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codeName="ThisWorkbook" defaultThemeVersion="124226"/>
  <mc:AlternateContent xmlns:mc="http://schemas.openxmlformats.org/markup-compatibility/2006">
    <mc:Choice Requires="x15">
      <x15ac:absPath xmlns:x15ac="http://schemas.microsoft.com/office/spreadsheetml/2010/11/ac" url="C:\Users\ALIF\Downloads\PT Pos\"/>
    </mc:Choice>
  </mc:AlternateContent>
  <xr:revisionPtr revIDLastSave="0" documentId="8_{AAD281CE-3E3C-4735-9252-3980E6C88CE2}" xr6:coauthVersionLast="47" xr6:coauthVersionMax="47" xr10:uidLastSave="{00000000-0000-0000-0000-000000000000}"/>
  <bookViews>
    <workbookView xWindow="-110" yWindow="-110" windowWidth="19420" windowHeight="10420" activeTab="1"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91029"/>
</workbook>
</file>

<file path=xl/calcChain.xml><?xml version="1.0" encoding="utf-8"?>
<calcChain xmlns="http://schemas.openxmlformats.org/spreadsheetml/2006/main">
  <c r="AY3" i="3" l="1"/>
  <c r="AY4" i="3"/>
  <c r="AY5" i="3"/>
  <c r="AY6" i="3"/>
  <c r="AY7" i="3"/>
  <c r="AY8" i="3"/>
  <c r="AY9" i="3"/>
  <c r="AY10" i="3"/>
  <c r="AY11" i="3"/>
  <c r="AY12" i="3"/>
  <c r="AY13" i="3"/>
  <c r="AY14" i="3"/>
  <c r="AY15" i="3"/>
  <c r="AY16" i="3"/>
  <c r="AY17" i="3"/>
  <c r="AY18" i="3"/>
  <c r="AY19" i="3"/>
  <c r="AY20" i="3"/>
  <c r="AY21" i="3"/>
  <c r="AY22" i="3"/>
  <c r="AY23" i="3"/>
  <c r="AY24" i="3"/>
  <c r="AY25" i="3"/>
  <c r="AY26" i="3"/>
  <c r="AY27" i="3"/>
  <c r="AY28" i="3"/>
  <c r="AY29" i="3"/>
  <c r="AY30" i="3"/>
  <c r="AY31" i="3"/>
  <c r="AY32" i="3"/>
  <c r="AY33" i="3"/>
  <c r="AY34" i="3"/>
  <c r="AY35" i="3"/>
  <c r="AY36" i="3"/>
  <c r="AY37" i="3"/>
  <c r="AY38" i="3"/>
  <c r="AY39" i="3"/>
  <c r="AY40" i="3"/>
  <c r="AY41" i="3"/>
  <c r="AY42" i="3"/>
  <c r="AY43" i="3"/>
  <c r="AY44" i="3"/>
  <c r="AY45" i="3"/>
  <c r="AY46" i="3"/>
  <c r="AY47" i="3"/>
  <c r="AY48" i="3"/>
  <c r="AY49" i="3"/>
  <c r="AY50" i="3"/>
  <c r="AY51" i="3"/>
  <c r="AY52" i="3"/>
  <c r="AY53" i="3"/>
  <c r="AY54" i="3"/>
  <c r="AY55" i="3"/>
  <c r="AY56" i="3"/>
  <c r="AY57" i="3"/>
  <c r="AY58" i="3"/>
  <c r="AY59" i="3"/>
  <c r="AY60" i="3"/>
  <c r="AY61" i="3"/>
  <c r="AY62" i="3"/>
  <c r="AY63" i="3"/>
  <c r="AY64" i="3"/>
  <c r="AY65" i="3"/>
  <c r="AY66" i="3"/>
  <c r="AY67" i="3"/>
  <c r="AY68" i="3"/>
  <c r="AY69" i="3"/>
  <c r="AY70" i="3"/>
  <c r="AY71" i="3"/>
  <c r="AY72" i="3"/>
  <c r="AY73" i="3"/>
  <c r="AY74" i="3"/>
  <c r="AY75" i="3"/>
  <c r="AY76" i="3"/>
  <c r="AY77" i="3"/>
  <c r="AY78" i="3"/>
  <c r="AY79" i="3"/>
  <c r="AY80" i="3"/>
  <c r="AY81" i="3"/>
  <c r="AY82" i="3"/>
  <c r="AY83" i="3"/>
  <c r="AY84" i="3"/>
  <c r="AY85" i="3"/>
  <c r="AY86" i="3"/>
  <c r="AY87" i="3"/>
  <c r="AY88" i="3"/>
  <c r="AY89" i="3"/>
  <c r="AY90" i="3"/>
  <c r="AY91" i="3"/>
  <c r="AY92" i="3"/>
  <c r="AY93" i="3"/>
  <c r="AY94" i="3"/>
  <c r="AY95" i="3"/>
  <c r="AY96" i="3"/>
  <c r="AY97" i="3"/>
  <c r="AY98" i="3"/>
  <c r="AY99" i="3"/>
  <c r="AY100" i="3"/>
  <c r="AY101" i="3"/>
  <c r="AY102" i="3"/>
  <c r="AY103" i="3"/>
  <c r="AY104" i="3"/>
  <c r="AY105" i="3"/>
  <c r="AY106" i="3"/>
  <c r="AY107" i="3"/>
  <c r="AY108" i="3"/>
  <c r="AY109" i="3"/>
  <c r="AY110" i="3"/>
  <c r="AY111" i="3"/>
  <c r="AY112" i="3"/>
  <c r="AY113" i="3"/>
  <c r="AY114" i="3"/>
  <c r="AY115" i="3"/>
  <c r="AY116" i="3"/>
  <c r="AY117" i="3"/>
  <c r="AY118" i="3"/>
  <c r="AY119" i="3"/>
  <c r="AY120" i="3"/>
  <c r="AY121" i="3"/>
  <c r="AY122" i="3"/>
  <c r="AY123" i="3"/>
  <c r="AY124" i="3"/>
  <c r="AY125" i="3"/>
  <c r="AY126" i="3"/>
  <c r="AY127" i="3"/>
  <c r="AY128" i="3"/>
  <c r="AY129" i="3"/>
  <c r="AY130" i="3"/>
  <c r="AY131" i="3"/>
  <c r="AY132" i="3"/>
  <c r="AY133" i="3"/>
  <c r="AY134" i="3"/>
  <c r="AY135" i="3"/>
  <c r="AY136" i="3"/>
  <c r="AY137" i="3"/>
  <c r="AY138" i="3"/>
  <c r="AY139" i="3"/>
  <c r="AY140" i="3"/>
  <c r="AY141" i="3"/>
  <c r="AY142" i="3"/>
  <c r="AY143" i="3"/>
  <c r="AY144" i="3"/>
  <c r="AY145" i="3"/>
  <c r="AY146" i="3"/>
  <c r="AY147" i="3"/>
  <c r="AY148" i="3"/>
  <c r="AY149" i="3"/>
  <c r="AY150" i="3"/>
  <c r="AY151" i="3"/>
  <c r="AY152" i="3"/>
  <c r="AY153" i="3"/>
  <c r="AY154" i="3"/>
  <c r="AY155" i="3"/>
  <c r="AY156" i="3"/>
  <c r="AY157" i="3"/>
  <c r="AY158" i="3"/>
  <c r="AY159" i="3"/>
  <c r="AY160" i="3"/>
  <c r="AY161" i="3"/>
  <c r="AY162" i="3"/>
  <c r="AY163" i="3"/>
  <c r="AY164" i="3"/>
  <c r="AY165" i="3"/>
  <c r="AY166" i="3"/>
  <c r="AY167" i="3"/>
  <c r="AY168" i="3"/>
  <c r="AY169" i="3"/>
  <c r="AY170" i="3"/>
  <c r="AY171" i="3"/>
  <c r="AY172" i="3"/>
  <c r="AY173" i="3"/>
  <c r="AY174" i="3"/>
  <c r="AY175" i="3"/>
  <c r="AY176" i="3"/>
  <c r="AY177" i="3"/>
  <c r="AY178" i="3"/>
  <c r="AY179" i="3"/>
  <c r="AY180" i="3"/>
  <c r="AY181" i="3"/>
  <c r="AY182" i="3"/>
  <c r="AY183" i="3"/>
  <c r="AY184" i="3"/>
  <c r="AY185" i="3"/>
  <c r="AY186" i="3"/>
  <c r="AY187" i="3"/>
  <c r="AY188" i="3"/>
  <c r="AY189" i="3"/>
  <c r="AY190" i="3"/>
  <c r="AY191" i="3"/>
  <c r="AY192" i="3"/>
  <c r="AY193" i="3"/>
  <c r="AY194" i="3"/>
  <c r="AY195" i="3"/>
  <c r="AY196" i="3"/>
  <c r="AY197" i="3"/>
  <c r="AY198" i="3"/>
  <c r="AY199" i="3"/>
  <c r="AY200" i="3"/>
  <c r="AY201" i="3"/>
  <c r="AY202" i="3"/>
  <c r="AY203" i="3"/>
  <c r="AY204" i="3"/>
  <c r="AY205" i="3"/>
  <c r="AY206" i="3"/>
  <c r="AY207" i="3"/>
  <c r="AY208" i="3"/>
  <c r="AY209" i="3"/>
  <c r="AY210" i="3"/>
  <c r="AY211" i="3"/>
  <c r="AY212" i="3"/>
  <c r="AY213" i="3"/>
  <c r="AY214" i="3"/>
  <c r="AY215" i="3"/>
  <c r="AY216" i="3"/>
  <c r="AY217" i="3"/>
  <c r="AY218" i="3"/>
  <c r="AY219" i="3"/>
  <c r="AY220" i="3"/>
  <c r="AY221" i="3"/>
  <c r="AY222" i="3"/>
  <c r="AY223" i="3"/>
  <c r="AY224" i="3"/>
  <c r="AY225" i="3"/>
  <c r="AY226" i="3"/>
  <c r="AY227" i="3"/>
  <c r="AY228" i="3"/>
  <c r="AY229" i="3"/>
  <c r="AY230" i="3"/>
  <c r="AY231" i="3"/>
  <c r="AY232" i="3"/>
  <c r="AY233" i="3"/>
  <c r="AY234" i="3"/>
  <c r="AY235" i="3"/>
  <c r="AY236" i="3"/>
  <c r="AY237" i="3"/>
  <c r="AY238" i="3"/>
  <c r="AY239" i="3"/>
  <c r="AY240" i="3"/>
  <c r="AY241" i="3"/>
  <c r="AY242" i="3"/>
  <c r="AY243" i="3"/>
  <c r="AY244" i="3"/>
  <c r="AY245" i="3"/>
  <c r="AY246" i="3"/>
  <c r="AY247" i="3"/>
  <c r="AY248" i="3"/>
  <c r="AY249" i="3"/>
  <c r="AY250" i="3"/>
  <c r="AY251" i="3"/>
  <c r="AY252" i="3"/>
  <c r="AY253" i="3"/>
  <c r="AY254" i="3"/>
  <c r="AY255" i="3"/>
  <c r="AY256" i="3"/>
  <c r="AY257" i="3"/>
  <c r="AY258" i="3"/>
  <c r="AY259" i="3"/>
  <c r="AY260" i="3"/>
  <c r="AY261" i="3"/>
  <c r="AY262" i="3"/>
  <c r="AY263" i="3"/>
  <c r="AY264" i="3"/>
  <c r="AY265" i="3"/>
  <c r="AY266" i="3"/>
  <c r="AY267" i="3"/>
  <c r="AY268" i="3"/>
  <c r="AY269" i="3"/>
  <c r="AY270" i="3"/>
  <c r="AY271" i="3"/>
  <c r="AY272" i="3"/>
  <c r="AY273" i="3"/>
  <c r="AY274" i="3"/>
  <c r="AY275" i="3"/>
  <c r="AY276" i="3"/>
  <c r="AY277" i="3"/>
  <c r="AY278" i="3"/>
  <c r="AY279" i="3"/>
  <c r="AY280" i="3"/>
  <c r="AY281" i="3"/>
  <c r="AY282" i="3"/>
  <c r="AY283" i="3"/>
  <c r="AY284" i="3"/>
  <c r="AY285" i="3"/>
  <c r="AY286" i="3"/>
  <c r="AY287" i="3"/>
  <c r="AY288" i="3"/>
  <c r="AY289" i="3"/>
  <c r="AY290" i="3"/>
  <c r="AY291" i="3"/>
  <c r="AY292" i="3"/>
  <c r="AY293" i="3"/>
  <c r="AY294" i="3"/>
  <c r="AY295" i="3"/>
  <c r="AY296" i="3"/>
  <c r="AY297" i="3"/>
  <c r="AY298" i="3"/>
  <c r="AY299" i="3"/>
  <c r="AY300" i="3"/>
  <c r="AY301" i="3"/>
  <c r="AY302" i="3"/>
  <c r="AY303" i="3"/>
  <c r="AY304" i="3"/>
  <c r="AY305" i="3"/>
  <c r="AY306" i="3"/>
  <c r="AY307" i="3"/>
  <c r="AY308" i="3"/>
  <c r="AY309" i="3"/>
  <c r="AY310" i="3"/>
  <c r="AY311" i="3"/>
  <c r="AY312" i="3"/>
  <c r="AY313" i="3"/>
  <c r="AY314" i="3"/>
  <c r="AY315" i="3"/>
  <c r="AY316" i="3"/>
  <c r="AY317" i="3"/>
  <c r="AY318" i="3"/>
  <c r="AY319" i="3"/>
  <c r="AY320" i="3"/>
  <c r="AY321" i="3"/>
  <c r="AY322" i="3"/>
  <c r="AY323" i="3"/>
  <c r="AY324" i="3"/>
  <c r="AY325" i="3"/>
  <c r="AY326" i="3"/>
  <c r="AY327" i="3"/>
  <c r="AY328" i="3"/>
  <c r="AY329" i="3"/>
  <c r="AY330" i="3"/>
  <c r="AY331" i="3"/>
  <c r="AY332" i="3"/>
  <c r="AY333" i="3"/>
  <c r="AY334" i="3"/>
  <c r="AY335" i="3"/>
  <c r="AY336" i="3"/>
  <c r="AY337" i="3"/>
  <c r="AY338" i="3"/>
  <c r="AY339" i="3"/>
  <c r="AY340" i="3"/>
  <c r="AY341" i="3"/>
  <c r="AY342" i="3"/>
  <c r="AY343" i="3"/>
  <c r="AY344" i="3"/>
  <c r="AY345" i="3"/>
  <c r="AY346" i="3"/>
  <c r="AY347" i="3"/>
  <c r="AY348" i="3"/>
  <c r="AY349" i="3"/>
  <c r="AY350" i="3"/>
  <c r="AY351" i="3"/>
  <c r="AY352" i="3"/>
  <c r="AY353" i="3"/>
  <c r="AY354" i="3"/>
  <c r="AY355" i="3"/>
  <c r="AY356" i="3"/>
  <c r="AY357" i="3"/>
  <c r="AY358" i="3"/>
  <c r="AY359" i="3"/>
  <c r="AY360" i="3"/>
  <c r="AY361" i="3"/>
  <c r="AY362" i="3"/>
  <c r="AY363" i="3"/>
  <c r="AY364" i="3"/>
  <c r="AY365" i="3"/>
  <c r="AY366" i="3"/>
  <c r="AY367" i="3"/>
  <c r="AY368" i="3"/>
  <c r="AY369" i="3"/>
  <c r="AY370" i="3"/>
  <c r="AY371" i="3"/>
  <c r="AY372" i="3"/>
  <c r="AY373" i="3"/>
  <c r="AY374" i="3"/>
  <c r="AY375" i="3"/>
  <c r="AY376" i="3"/>
  <c r="AY377" i="3"/>
  <c r="AY378" i="3"/>
  <c r="AY379" i="3"/>
  <c r="AY380" i="3"/>
  <c r="AY381" i="3"/>
  <c r="AY382" i="3"/>
  <c r="AY383" i="3"/>
  <c r="AY384" i="3"/>
  <c r="AY385" i="3"/>
  <c r="AY386" i="3"/>
  <c r="AY387" i="3"/>
  <c r="AY388" i="3"/>
  <c r="AY389" i="3"/>
  <c r="AY390" i="3"/>
  <c r="AY391" i="3"/>
  <c r="AY392" i="3"/>
  <c r="AY393" i="3"/>
  <c r="AY394" i="3"/>
  <c r="AY395" i="3"/>
  <c r="AY396" i="3"/>
  <c r="AY397" i="3"/>
  <c r="AY398" i="3"/>
  <c r="AY399" i="3"/>
  <c r="AY400" i="3"/>
  <c r="AY401" i="3"/>
  <c r="AY402" i="3"/>
  <c r="AY403" i="3"/>
  <c r="AY404" i="3"/>
  <c r="AY405" i="3"/>
  <c r="AY406" i="3"/>
  <c r="AY407" i="3"/>
  <c r="AY408" i="3"/>
  <c r="AY409" i="3"/>
  <c r="AY410" i="3"/>
  <c r="AY411" i="3"/>
  <c r="AY412" i="3"/>
  <c r="AY413" i="3"/>
  <c r="AY414" i="3"/>
  <c r="AY415" i="3"/>
  <c r="AY416" i="3"/>
  <c r="AY417" i="3"/>
  <c r="AY418" i="3"/>
  <c r="AY419" i="3"/>
  <c r="AY420" i="3"/>
  <c r="AY421" i="3"/>
  <c r="AY422" i="3"/>
  <c r="AY423" i="3"/>
  <c r="AY424" i="3"/>
  <c r="AY425" i="3"/>
  <c r="AY426" i="3"/>
  <c r="AY427" i="3"/>
  <c r="AY428" i="3"/>
  <c r="AY429" i="3"/>
  <c r="AY430" i="3"/>
  <c r="AY431" i="3"/>
  <c r="AY432" i="3"/>
  <c r="AY433" i="3"/>
  <c r="AY434" i="3"/>
  <c r="AY435" i="3"/>
  <c r="AY436" i="3"/>
  <c r="AY437" i="3"/>
  <c r="AY438" i="3"/>
  <c r="AY439" i="3"/>
  <c r="AY440" i="3"/>
  <c r="AY441" i="3"/>
  <c r="AY442" i="3"/>
  <c r="AY443" i="3"/>
  <c r="AY444" i="3"/>
  <c r="AY445" i="3"/>
  <c r="AY446" i="3"/>
  <c r="AY447" i="3"/>
  <c r="AY448" i="3"/>
  <c r="AY449" i="3"/>
  <c r="AY450" i="3"/>
  <c r="AY451" i="3"/>
  <c r="AY452" i="3"/>
  <c r="AY453" i="3"/>
  <c r="AY454" i="3"/>
  <c r="AY455" i="3"/>
  <c r="AY456" i="3"/>
  <c r="AY457" i="3"/>
  <c r="AY458" i="3"/>
  <c r="AY459" i="3"/>
  <c r="AY460" i="3"/>
  <c r="AY461" i="3"/>
  <c r="AY462" i="3"/>
  <c r="AY463" i="3"/>
  <c r="AY464" i="3"/>
  <c r="AY465" i="3"/>
  <c r="AY466" i="3"/>
  <c r="AY467" i="3"/>
  <c r="AY468" i="3"/>
  <c r="AY469" i="3"/>
  <c r="AY470" i="3"/>
  <c r="AY471" i="3"/>
  <c r="AY472" i="3"/>
  <c r="AY473" i="3"/>
  <c r="AY474" i="3"/>
  <c r="AY475" i="3"/>
  <c r="AY476" i="3"/>
  <c r="AY477" i="3"/>
  <c r="AY478" i="3"/>
  <c r="AY479" i="3"/>
  <c r="AY480" i="3"/>
  <c r="AY481" i="3"/>
  <c r="AY482" i="3"/>
  <c r="AY483" i="3"/>
  <c r="AY484" i="3"/>
  <c r="AY485" i="3"/>
  <c r="AY486" i="3"/>
  <c r="AY487" i="3"/>
  <c r="AY488" i="3"/>
  <c r="AY489" i="3"/>
  <c r="AY490" i="3"/>
  <c r="AY491" i="3"/>
  <c r="AY492" i="3"/>
  <c r="AY493" i="3"/>
  <c r="AY494" i="3"/>
  <c r="AY495" i="3"/>
  <c r="AY496" i="3"/>
  <c r="AY497" i="3"/>
  <c r="AY498" i="3"/>
  <c r="AY499" i="3"/>
  <c r="AY500" i="3"/>
  <c r="AY501" i="3"/>
  <c r="AY502" i="3"/>
  <c r="AY503" i="3"/>
  <c r="AY504" i="3"/>
  <c r="AY505" i="3"/>
  <c r="AY506" i="3"/>
  <c r="AY507" i="3"/>
  <c r="AY508" i="3"/>
  <c r="AY509" i="3"/>
  <c r="AY510" i="3"/>
  <c r="AY511" i="3"/>
  <c r="AY512" i="3"/>
  <c r="AY513" i="3"/>
  <c r="AY514" i="3"/>
  <c r="AY515" i="3"/>
  <c r="AY516" i="3"/>
  <c r="AY517" i="3"/>
  <c r="AY518" i="3"/>
  <c r="AY519" i="3"/>
  <c r="AY520" i="3"/>
  <c r="AY521" i="3"/>
  <c r="AY522" i="3"/>
  <c r="AY523" i="3"/>
  <c r="AY524" i="3"/>
  <c r="AY525" i="3"/>
  <c r="AY526" i="3"/>
  <c r="AY527" i="3"/>
  <c r="AY528" i="3"/>
  <c r="AY529" i="3"/>
  <c r="AY530" i="3"/>
  <c r="AY531" i="3"/>
  <c r="AY532" i="3"/>
  <c r="AY533" i="3"/>
  <c r="AY534" i="3"/>
  <c r="AY535" i="3"/>
  <c r="AY536" i="3"/>
  <c r="AY537" i="3"/>
  <c r="AY538" i="3"/>
  <c r="AY539" i="3"/>
  <c r="AY540" i="3"/>
  <c r="AY541" i="3"/>
  <c r="AY542" i="3"/>
  <c r="AY543" i="3"/>
  <c r="AY544" i="3"/>
  <c r="AY545" i="3"/>
  <c r="AY546" i="3"/>
  <c r="AY547" i="3"/>
  <c r="AY548" i="3"/>
  <c r="AY549" i="3"/>
  <c r="AY550" i="3"/>
  <c r="AY551" i="3"/>
  <c r="AY552" i="3"/>
  <c r="AY553" i="3"/>
  <c r="AY554" i="3"/>
  <c r="AY555" i="3"/>
  <c r="AY556" i="3"/>
  <c r="AY557" i="3"/>
  <c r="AY558" i="3"/>
  <c r="AY559" i="3"/>
  <c r="AY560" i="3"/>
  <c r="AY561" i="3"/>
  <c r="AY562" i="3"/>
  <c r="AY563" i="3"/>
  <c r="AY564" i="3"/>
  <c r="AY565" i="3"/>
  <c r="AY566" i="3"/>
  <c r="AY567" i="3"/>
  <c r="AY568" i="3"/>
  <c r="AY569" i="3"/>
  <c r="AY570" i="3"/>
  <c r="AY571" i="3"/>
  <c r="AY572" i="3"/>
  <c r="AY573" i="3"/>
  <c r="AY574" i="3"/>
  <c r="AY575" i="3"/>
  <c r="AY576" i="3"/>
  <c r="AY577" i="3"/>
  <c r="AY578" i="3"/>
  <c r="AY579" i="3"/>
  <c r="AY580" i="3"/>
  <c r="AY581" i="3"/>
  <c r="AY582" i="3"/>
  <c r="AY583" i="3"/>
  <c r="AY584" i="3"/>
  <c r="AY585" i="3"/>
  <c r="AY586" i="3"/>
  <c r="AY587" i="3"/>
  <c r="AY588" i="3"/>
  <c r="AY589" i="3"/>
  <c r="AY590" i="3"/>
  <c r="AY591" i="3"/>
  <c r="AY592" i="3"/>
  <c r="AY593" i="3"/>
  <c r="AY594" i="3"/>
  <c r="AY595" i="3"/>
  <c r="AY596" i="3"/>
  <c r="AY597" i="3"/>
  <c r="AY598" i="3"/>
  <c r="AY599" i="3"/>
  <c r="AY600" i="3"/>
  <c r="AY601" i="3"/>
  <c r="AY602" i="3"/>
  <c r="AY603" i="3"/>
  <c r="AY604" i="3"/>
  <c r="AY605" i="3"/>
  <c r="AY606" i="3"/>
  <c r="AY607" i="3"/>
  <c r="AY608" i="3"/>
  <c r="AY609" i="3"/>
  <c r="AY610" i="3"/>
  <c r="AY611" i="3"/>
  <c r="AY612" i="3"/>
  <c r="AY613" i="3"/>
  <c r="AY614" i="3"/>
  <c r="AY615" i="3"/>
  <c r="AY616" i="3"/>
  <c r="AY617" i="3"/>
  <c r="AY618" i="3"/>
  <c r="AY619" i="3"/>
  <c r="AY620" i="3"/>
  <c r="AY621" i="3"/>
  <c r="AY622" i="3"/>
  <c r="AY623" i="3"/>
  <c r="AY624" i="3"/>
  <c r="AY625" i="3"/>
  <c r="AY626" i="3"/>
  <c r="AY627" i="3"/>
  <c r="AY628" i="3"/>
  <c r="AY629" i="3"/>
  <c r="AY630" i="3"/>
  <c r="AY631" i="3"/>
  <c r="AY632" i="3"/>
  <c r="AY633" i="3"/>
  <c r="AY634" i="3"/>
  <c r="AY635" i="3"/>
  <c r="AY636" i="3"/>
  <c r="AY637" i="3"/>
  <c r="AY638" i="3"/>
  <c r="AY639" i="3"/>
  <c r="AY640" i="3"/>
  <c r="AY641" i="3"/>
  <c r="AY642" i="3"/>
  <c r="AY643" i="3"/>
  <c r="AY644" i="3"/>
  <c r="AY645" i="3"/>
  <c r="AY646" i="3"/>
  <c r="AY647" i="3"/>
  <c r="AY648" i="3"/>
  <c r="AY649" i="3"/>
  <c r="AY650" i="3"/>
  <c r="AY651" i="3"/>
  <c r="AY652" i="3"/>
  <c r="AY653" i="3"/>
  <c r="AY654" i="3"/>
  <c r="AY655" i="3"/>
  <c r="AY656" i="3"/>
  <c r="AY657" i="3"/>
  <c r="AY658" i="3"/>
  <c r="AY659" i="3"/>
  <c r="AY660" i="3"/>
  <c r="AY661" i="3"/>
  <c r="AY662" i="3"/>
  <c r="AY663" i="3"/>
  <c r="AY664" i="3"/>
  <c r="AY665" i="3"/>
  <c r="AY666" i="3"/>
  <c r="AY667" i="3"/>
  <c r="AY668" i="3"/>
  <c r="AY669" i="3"/>
  <c r="AY670" i="3"/>
  <c r="AY671" i="3"/>
  <c r="AY672" i="3"/>
  <c r="AY673" i="3"/>
  <c r="AY674" i="3"/>
  <c r="AY675" i="3"/>
  <c r="AY676" i="3"/>
  <c r="AY677" i="3"/>
  <c r="AY678" i="3"/>
  <c r="AY679" i="3"/>
  <c r="AY680" i="3"/>
  <c r="AY681" i="3"/>
  <c r="AY682" i="3"/>
  <c r="AY683" i="3"/>
  <c r="AY684" i="3"/>
  <c r="AY685" i="3"/>
  <c r="AY686" i="3"/>
  <c r="AY687" i="3"/>
  <c r="AY688" i="3"/>
  <c r="AY689" i="3"/>
  <c r="AY690" i="3"/>
  <c r="AY691" i="3"/>
  <c r="AY692" i="3"/>
  <c r="AY693" i="3"/>
  <c r="AY694" i="3"/>
  <c r="AY695" i="3"/>
  <c r="AY696" i="3"/>
  <c r="AY697" i="3"/>
  <c r="AY698" i="3"/>
  <c r="AY699" i="3"/>
  <c r="AY700" i="3"/>
  <c r="AY701" i="3"/>
  <c r="AY702" i="3"/>
  <c r="AY703" i="3"/>
  <c r="AY704" i="3"/>
  <c r="AY705" i="3"/>
  <c r="AY706" i="3"/>
  <c r="AY707" i="3"/>
  <c r="AY708" i="3"/>
  <c r="AY709" i="3"/>
  <c r="AY710" i="3"/>
  <c r="AY711" i="3"/>
  <c r="AY712" i="3"/>
  <c r="AY713" i="3"/>
  <c r="AY714" i="3"/>
  <c r="AY715" i="3"/>
  <c r="AY716" i="3"/>
  <c r="AY717" i="3"/>
  <c r="AY718" i="3"/>
  <c r="AY719" i="3"/>
  <c r="AY720" i="3"/>
  <c r="AY721" i="3"/>
  <c r="AY722" i="3"/>
  <c r="AY723" i="3"/>
  <c r="AY724" i="3"/>
  <c r="AY725" i="3"/>
  <c r="AY726" i="3"/>
  <c r="AY727" i="3"/>
  <c r="AY728" i="3"/>
  <c r="AY729" i="3"/>
  <c r="AY730" i="3"/>
  <c r="AY731" i="3"/>
  <c r="AY732" i="3"/>
  <c r="AY733" i="3"/>
  <c r="AY734" i="3"/>
  <c r="AY735" i="3"/>
  <c r="AY736" i="3"/>
  <c r="AY737" i="3"/>
  <c r="AY738" i="3"/>
  <c r="AY739" i="3"/>
  <c r="AY740" i="3"/>
  <c r="AY741" i="3"/>
  <c r="AY742" i="3"/>
  <c r="AY743" i="3"/>
  <c r="AY744" i="3"/>
  <c r="AY745" i="3"/>
  <c r="AY746" i="3"/>
  <c r="AY747" i="3"/>
  <c r="AY748" i="3"/>
  <c r="AY749" i="3"/>
  <c r="AY750" i="3"/>
  <c r="AY751" i="3"/>
  <c r="AY752" i="3"/>
  <c r="AY753" i="3"/>
  <c r="AY754" i="3"/>
  <c r="AY755" i="3"/>
  <c r="AY756" i="3"/>
  <c r="AY757" i="3"/>
  <c r="AY758" i="3"/>
  <c r="AY759" i="3"/>
  <c r="AY760" i="3"/>
  <c r="AY761" i="3"/>
  <c r="AY762" i="3"/>
  <c r="AY763" i="3"/>
  <c r="AY764" i="3"/>
  <c r="AY765" i="3"/>
  <c r="AY766" i="3"/>
  <c r="AY767" i="3"/>
  <c r="AY768" i="3"/>
  <c r="AY769" i="3"/>
  <c r="AY770" i="3"/>
  <c r="AY771" i="3"/>
  <c r="AY772" i="3"/>
  <c r="AY773" i="3"/>
  <c r="AY774" i="3"/>
  <c r="AY775" i="3"/>
  <c r="AY776" i="3"/>
  <c r="AY777" i="3"/>
  <c r="AY778" i="3"/>
  <c r="AY779" i="3"/>
  <c r="AY780" i="3"/>
  <c r="AY781" i="3"/>
  <c r="AY782" i="3"/>
  <c r="AY783" i="3"/>
  <c r="AY784" i="3"/>
  <c r="AY785" i="3"/>
  <c r="AY786" i="3"/>
  <c r="AY787" i="3"/>
  <c r="AY788" i="3"/>
  <c r="AY789" i="3"/>
  <c r="AY790" i="3"/>
  <c r="AY791" i="3"/>
  <c r="AY792" i="3"/>
  <c r="AY793" i="3"/>
  <c r="AY794" i="3"/>
  <c r="AY795" i="3"/>
  <c r="AY796" i="3"/>
  <c r="AY797" i="3"/>
  <c r="AY798" i="3"/>
  <c r="AY799" i="3"/>
  <c r="AY800" i="3"/>
  <c r="AY801" i="3"/>
  <c r="AY802" i="3"/>
  <c r="AY803" i="3"/>
  <c r="AY804" i="3"/>
  <c r="AY805" i="3"/>
  <c r="AY806" i="3"/>
  <c r="AY807" i="3"/>
  <c r="AY808" i="3"/>
  <c r="AY809" i="3"/>
  <c r="AY810" i="3"/>
  <c r="AY811" i="3"/>
  <c r="AY812" i="3"/>
  <c r="AY813" i="3"/>
  <c r="AY814" i="3"/>
  <c r="AY815" i="3"/>
  <c r="AY816" i="3"/>
  <c r="AY817" i="3"/>
  <c r="AY818" i="3"/>
  <c r="AY819" i="3"/>
  <c r="AY820" i="3"/>
  <c r="AY821" i="3"/>
  <c r="AY822" i="3"/>
  <c r="AY823" i="3"/>
  <c r="AY824" i="3"/>
  <c r="AY825" i="3"/>
  <c r="AY826" i="3"/>
  <c r="AY827" i="3"/>
  <c r="AY828" i="3"/>
  <c r="AY829" i="3"/>
  <c r="AY830" i="3"/>
  <c r="AY831" i="3"/>
  <c r="AY832" i="3"/>
  <c r="AY833" i="3"/>
  <c r="AY834" i="3"/>
  <c r="AY835" i="3"/>
  <c r="AY836" i="3"/>
  <c r="AY837" i="3"/>
  <c r="AY838" i="3"/>
  <c r="AY839" i="3"/>
  <c r="AY840" i="3"/>
  <c r="AY841" i="3"/>
  <c r="AY842" i="3"/>
  <c r="AY843" i="3"/>
  <c r="AY844" i="3"/>
  <c r="AY845" i="3"/>
  <c r="AY846" i="3"/>
  <c r="AY847" i="3"/>
  <c r="AY848" i="3"/>
  <c r="AY849" i="3"/>
  <c r="AY850" i="3"/>
  <c r="AY851" i="3"/>
  <c r="AY852" i="3"/>
  <c r="AY853" i="3"/>
  <c r="AY854" i="3"/>
  <c r="AY855" i="3"/>
  <c r="AY856" i="3"/>
  <c r="AY857" i="3"/>
  <c r="AY858" i="3"/>
  <c r="AY859" i="3"/>
  <c r="AY860" i="3"/>
  <c r="AY861" i="3"/>
  <c r="AY862" i="3"/>
  <c r="AY863" i="3"/>
  <c r="AY864" i="3"/>
  <c r="AY865" i="3"/>
  <c r="AY866" i="3"/>
  <c r="AY867" i="3"/>
  <c r="AY868" i="3"/>
  <c r="AY869" i="3"/>
  <c r="AY870" i="3"/>
  <c r="AY871" i="3"/>
  <c r="AY872" i="3"/>
  <c r="AY873" i="3"/>
  <c r="AY874" i="3"/>
  <c r="AY875" i="3"/>
  <c r="AY876" i="3"/>
  <c r="AY877" i="3"/>
  <c r="AY878" i="3"/>
  <c r="AY879" i="3"/>
  <c r="AY880" i="3"/>
  <c r="AY881" i="3"/>
  <c r="AY882" i="3"/>
  <c r="AY883" i="3"/>
  <c r="AY884" i="3"/>
  <c r="AY885" i="3"/>
  <c r="AY886" i="3"/>
  <c r="AY887" i="3"/>
  <c r="AY888" i="3"/>
  <c r="AY889" i="3"/>
  <c r="AY890" i="3"/>
  <c r="AY891" i="3"/>
  <c r="AY892" i="3"/>
  <c r="AY893" i="3"/>
  <c r="AY894" i="3"/>
  <c r="AY895" i="3"/>
  <c r="AY896" i="3"/>
  <c r="AY897" i="3"/>
  <c r="AY898" i="3"/>
  <c r="AY899" i="3"/>
  <c r="AY900" i="3"/>
  <c r="AY901" i="3"/>
  <c r="AY902" i="3"/>
  <c r="AY903" i="3"/>
  <c r="AY904" i="3"/>
  <c r="AY905" i="3"/>
  <c r="AY906" i="3"/>
  <c r="AY907" i="3"/>
  <c r="AY908" i="3"/>
  <c r="AY909" i="3"/>
  <c r="AY910" i="3"/>
  <c r="AY911" i="3"/>
  <c r="AY912" i="3"/>
  <c r="AY913" i="3"/>
  <c r="AY914" i="3"/>
  <c r="AY915" i="3"/>
  <c r="AY916" i="3"/>
  <c r="AY917" i="3"/>
  <c r="AY918" i="3"/>
  <c r="AY919" i="3"/>
  <c r="AY920" i="3"/>
  <c r="AY921" i="3"/>
  <c r="AY922" i="3"/>
  <c r="AY923" i="3"/>
  <c r="AY924" i="3"/>
  <c r="AY925" i="3"/>
  <c r="AY926" i="3"/>
  <c r="AY927" i="3"/>
  <c r="AY928" i="3"/>
  <c r="AY929" i="3"/>
  <c r="AY930" i="3"/>
  <c r="AY931" i="3"/>
  <c r="AY932" i="3"/>
  <c r="AY933" i="3"/>
  <c r="AY934" i="3"/>
  <c r="AY935" i="3"/>
  <c r="AY936" i="3"/>
  <c r="AY937" i="3"/>
  <c r="AY938" i="3"/>
  <c r="AY939" i="3"/>
  <c r="AY940" i="3"/>
  <c r="AY941" i="3"/>
  <c r="AY942" i="3"/>
  <c r="AY943" i="3"/>
  <c r="AY944" i="3"/>
  <c r="AY945" i="3"/>
  <c r="AY946" i="3"/>
  <c r="AY947" i="3"/>
  <c r="AY948" i="3"/>
  <c r="AY949" i="3"/>
  <c r="AY950" i="3"/>
  <c r="AY951" i="3"/>
  <c r="AY952" i="3"/>
  <c r="AY953" i="3"/>
  <c r="AY954" i="3"/>
  <c r="AY955" i="3"/>
  <c r="AY956" i="3"/>
  <c r="AY957" i="3"/>
  <c r="AY958" i="3"/>
  <c r="AY959" i="3"/>
  <c r="AY960" i="3"/>
  <c r="AY961" i="3"/>
  <c r="AY962" i="3"/>
  <c r="AY963" i="3"/>
  <c r="AY964" i="3"/>
  <c r="AY965" i="3"/>
  <c r="AY966" i="3"/>
  <c r="AY967" i="3"/>
  <c r="AY968" i="3"/>
  <c r="AY969" i="3"/>
  <c r="AY970" i="3"/>
  <c r="AY971" i="3"/>
  <c r="AY972" i="3"/>
  <c r="AY973" i="3"/>
  <c r="AY974" i="3"/>
  <c r="AY975" i="3"/>
  <c r="AY976" i="3"/>
  <c r="AY977" i="3"/>
  <c r="AY978" i="3"/>
  <c r="AY979" i="3"/>
  <c r="AY980" i="3"/>
  <c r="AY981" i="3"/>
  <c r="AY982" i="3"/>
  <c r="AY983" i="3"/>
  <c r="AY984" i="3"/>
  <c r="AY985" i="3"/>
  <c r="AY986" i="3"/>
  <c r="AY987" i="3"/>
  <c r="AY988" i="3"/>
  <c r="AY989" i="3"/>
  <c r="AY990" i="3"/>
  <c r="AY991" i="3"/>
  <c r="AY992" i="3"/>
  <c r="AY993" i="3"/>
  <c r="AY994" i="3"/>
  <c r="AY995" i="3"/>
  <c r="AY996" i="3"/>
  <c r="AY997" i="3"/>
  <c r="AY998" i="3"/>
  <c r="AY999" i="3"/>
  <c r="AY1000" i="3"/>
  <c r="AY1001" i="3"/>
  <c r="AY1002" i="3"/>
  <c r="AY1003" i="3"/>
  <c r="AY1004" i="3"/>
  <c r="AY1005" i="3"/>
  <c r="AY1006" i="3"/>
  <c r="AY1007" i="3"/>
  <c r="AY1008" i="3"/>
  <c r="AY1009" i="3"/>
  <c r="AY1010" i="3"/>
  <c r="AY1011" i="3"/>
  <c r="AY1012" i="3"/>
  <c r="AY1013" i="3"/>
  <c r="AY1014" i="3"/>
  <c r="AY1015" i="3"/>
  <c r="AY1016" i="3"/>
  <c r="AY1017" i="3"/>
  <c r="AY1018" i="3"/>
  <c r="AY1019" i="3"/>
  <c r="AY1020" i="3"/>
  <c r="AY1021" i="3"/>
  <c r="AY1022" i="3"/>
  <c r="AY1023" i="3"/>
  <c r="AY1024" i="3"/>
  <c r="AY1025" i="3"/>
  <c r="AY1026" i="3"/>
  <c r="AY1027" i="3"/>
  <c r="AY1028" i="3"/>
  <c r="AY1029" i="3"/>
  <c r="AY1030" i="3"/>
  <c r="AY1031" i="3"/>
  <c r="AY1032" i="3"/>
  <c r="AY1033" i="3"/>
  <c r="AY1034" i="3"/>
  <c r="AY1035" i="3"/>
  <c r="AY1036" i="3"/>
  <c r="AY1037" i="3"/>
  <c r="AY1038" i="3"/>
  <c r="AY1039" i="3"/>
  <c r="AY1040" i="3"/>
  <c r="AY1041" i="3"/>
  <c r="AY1042" i="3"/>
  <c r="AY1043" i="3"/>
  <c r="AY1044" i="3"/>
  <c r="AY1045" i="3"/>
  <c r="AY1046" i="3"/>
  <c r="AY1047" i="3"/>
  <c r="AY1048" i="3"/>
  <c r="AY1049" i="3"/>
  <c r="AY1050" i="3"/>
  <c r="AY1051" i="3"/>
  <c r="AY1052" i="3"/>
  <c r="AY1053" i="3"/>
  <c r="AY1054" i="3"/>
  <c r="AY1055" i="3"/>
  <c r="AY1056" i="3"/>
  <c r="AY1057" i="3"/>
  <c r="AY1058" i="3"/>
  <c r="AY1059" i="3"/>
  <c r="AY1060" i="3"/>
  <c r="AY1061" i="3"/>
  <c r="AY1062" i="3"/>
  <c r="AY1063" i="3"/>
  <c r="AY1064" i="3"/>
  <c r="AY1065" i="3"/>
  <c r="AY1066" i="3"/>
  <c r="AY1067" i="3"/>
  <c r="AY1068" i="3"/>
  <c r="AY1069" i="3"/>
  <c r="AY1070" i="3"/>
  <c r="AY1071" i="3"/>
  <c r="AY1072" i="3"/>
  <c r="AY1073" i="3"/>
  <c r="AY1074" i="3"/>
  <c r="AY1075" i="3"/>
  <c r="AY1076" i="3"/>
  <c r="AY1077" i="3"/>
  <c r="AY1078" i="3"/>
  <c r="AY1079" i="3"/>
  <c r="AY1080" i="3"/>
  <c r="AY1081" i="3"/>
  <c r="AY1082" i="3"/>
  <c r="AY1083" i="3"/>
  <c r="AY1084" i="3"/>
  <c r="AY1085" i="3"/>
  <c r="AY1086" i="3"/>
  <c r="AY1087" i="3"/>
  <c r="AY1088" i="3"/>
  <c r="AY1089" i="3"/>
  <c r="AY1090" i="3"/>
  <c r="AY1091" i="3"/>
  <c r="AY1092" i="3"/>
  <c r="AY1093" i="3"/>
  <c r="AY1094" i="3"/>
  <c r="AY1095" i="3"/>
  <c r="AY1096" i="3"/>
  <c r="AY1097" i="3"/>
  <c r="AY1098" i="3"/>
  <c r="AY1099" i="3"/>
  <c r="AY1100" i="3"/>
  <c r="AY1101" i="3"/>
  <c r="AY1102" i="3"/>
  <c r="AY1103" i="3"/>
  <c r="AY1104" i="3"/>
  <c r="AY1105" i="3"/>
  <c r="AY1106" i="3"/>
  <c r="AY1107" i="3"/>
  <c r="AY1108" i="3"/>
  <c r="AY1109" i="3"/>
  <c r="AY1110" i="3"/>
  <c r="AY1111" i="3"/>
  <c r="AY1112" i="3"/>
  <c r="AY1113" i="3"/>
  <c r="AY1114" i="3"/>
  <c r="AY1115" i="3"/>
  <c r="AY1116" i="3"/>
  <c r="AY1117" i="3"/>
  <c r="AY1118" i="3"/>
  <c r="AY1119" i="3"/>
  <c r="AY1120" i="3"/>
  <c r="AY1121" i="3"/>
  <c r="AY1122" i="3"/>
  <c r="AY1123" i="3"/>
  <c r="AY1124" i="3"/>
  <c r="AY1125" i="3"/>
  <c r="AY1126" i="3"/>
  <c r="AY1127" i="3"/>
  <c r="AY1128" i="3"/>
  <c r="AY1129" i="3"/>
  <c r="AY1130" i="3"/>
  <c r="AY1131" i="3"/>
  <c r="AY1132" i="3"/>
  <c r="AY1133" i="3"/>
  <c r="AY1134" i="3"/>
  <c r="AY1135" i="3"/>
  <c r="AY1136" i="3"/>
  <c r="AY1137" i="3"/>
  <c r="AY1138" i="3"/>
  <c r="AY1139" i="3"/>
  <c r="AY1140" i="3"/>
  <c r="AY1141" i="3"/>
  <c r="AY1142" i="3"/>
  <c r="AY1143" i="3"/>
  <c r="AY1144" i="3"/>
  <c r="AY1145" i="3"/>
  <c r="AY1146" i="3"/>
  <c r="AY1147" i="3"/>
  <c r="AY1148" i="3"/>
  <c r="AY1149" i="3"/>
  <c r="AY1150" i="3"/>
  <c r="AY1151" i="3"/>
  <c r="AY1152" i="3"/>
  <c r="AY1153" i="3"/>
  <c r="AY1154" i="3"/>
  <c r="AY1155" i="3"/>
  <c r="AY1156" i="3"/>
  <c r="AY1157" i="3"/>
  <c r="AY1158" i="3"/>
  <c r="AY1159" i="3"/>
  <c r="AY1160" i="3"/>
  <c r="AY1161" i="3"/>
  <c r="AY1162" i="3"/>
  <c r="AY1163" i="3"/>
  <c r="AY1164" i="3"/>
  <c r="AY1165" i="3"/>
  <c r="AY1166" i="3"/>
  <c r="AY1167" i="3"/>
  <c r="AY1168" i="3"/>
  <c r="AY1169" i="3"/>
  <c r="AY1170" i="3"/>
  <c r="AY1171" i="3"/>
  <c r="AY1172" i="3"/>
  <c r="AY1173" i="3"/>
  <c r="AY1174" i="3"/>
  <c r="AY1175" i="3"/>
  <c r="AY1176" i="3"/>
  <c r="AY1177" i="3"/>
  <c r="AY1178" i="3"/>
  <c r="AY1179" i="3"/>
  <c r="AY1180" i="3"/>
  <c r="AY1181" i="3"/>
  <c r="AY1182" i="3"/>
  <c r="AY1183" i="3"/>
  <c r="AY1184" i="3"/>
  <c r="AY1185" i="3"/>
  <c r="AY1186" i="3"/>
  <c r="AY1187" i="3"/>
  <c r="AY1188" i="3"/>
  <c r="AY1189" i="3"/>
  <c r="AY1190" i="3"/>
  <c r="AY1191" i="3"/>
  <c r="AY1192" i="3"/>
  <c r="AY1193" i="3"/>
  <c r="AY1194" i="3"/>
  <c r="AY1195" i="3"/>
  <c r="AY1196" i="3"/>
  <c r="AY1197" i="3"/>
  <c r="AY1198" i="3"/>
  <c r="AY1199" i="3"/>
  <c r="AY1200" i="3"/>
  <c r="AY1201" i="3"/>
  <c r="AY1202" i="3"/>
  <c r="AY1203" i="3"/>
  <c r="AY1204" i="3"/>
  <c r="AY1205" i="3"/>
  <c r="AY1206" i="3"/>
  <c r="AY1207" i="3"/>
  <c r="AY1208" i="3"/>
  <c r="AY1209" i="3"/>
  <c r="AY1210" i="3"/>
  <c r="AY1211" i="3"/>
  <c r="AY1212" i="3"/>
  <c r="AY1213" i="3"/>
  <c r="AY1214" i="3"/>
  <c r="AY1215" i="3"/>
  <c r="AY1216" i="3"/>
  <c r="AY1217" i="3"/>
  <c r="AY1218" i="3"/>
  <c r="AY1219" i="3"/>
  <c r="AY1220" i="3"/>
  <c r="AY1221" i="3"/>
  <c r="AY1222" i="3"/>
  <c r="AY1223" i="3"/>
  <c r="AY1224" i="3"/>
  <c r="AY1225" i="3"/>
  <c r="AY1226" i="3"/>
  <c r="AY1227" i="3"/>
  <c r="AY1228" i="3"/>
  <c r="AY1229" i="3"/>
  <c r="AY1230" i="3"/>
  <c r="AY1231" i="3"/>
  <c r="AY1232" i="3"/>
  <c r="AY1233" i="3"/>
  <c r="AY1234" i="3"/>
  <c r="AY1235" i="3"/>
  <c r="AY1236" i="3"/>
  <c r="AY1237" i="3"/>
  <c r="AY1238" i="3"/>
  <c r="AY1239" i="3"/>
  <c r="AY1240" i="3"/>
  <c r="AY1241" i="3"/>
  <c r="AY1242" i="3"/>
  <c r="AY1243" i="3"/>
  <c r="AY1244" i="3"/>
  <c r="AY1245" i="3"/>
  <c r="AY1246" i="3"/>
  <c r="AY1247" i="3"/>
  <c r="AY1248" i="3"/>
  <c r="AY1249" i="3"/>
  <c r="AY1250" i="3"/>
  <c r="AY1251" i="3"/>
  <c r="AY1252" i="3"/>
  <c r="AY1253" i="3"/>
  <c r="AY1254" i="3"/>
  <c r="AY1255" i="3"/>
  <c r="AY1256" i="3"/>
  <c r="AY1257" i="3"/>
  <c r="AY1258" i="3"/>
  <c r="AY1259" i="3"/>
  <c r="AY1260" i="3"/>
  <c r="AY1261" i="3"/>
  <c r="AY1262" i="3"/>
  <c r="AY1263" i="3"/>
  <c r="AY1264" i="3"/>
  <c r="AY1265" i="3"/>
  <c r="AY1266" i="3"/>
  <c r="AY1267" i="3"/>
  <c r="AY1268" i="3"/>
  <c r="AY1269" i="3"/>
  <c r="AY1270" i="3"/>
  <c r="AY1271" i="3"/>
  <c r="AY1272" i="3"/>
  <c r="AY1273" i="3"/>
  <c r="AY1274" i="3"/>
  <c r="AY1275" i="3"/>
  <c r="AY1276" i="3"/>
  <c r="AY1277" i="3"/>
  <c r="AY1278" i="3"/>
  <c r="AY1279" i="3"/>
  <c r="AY1280" i="3"/>
  <c r="AY1281" i="3"/>
  <c r="AY1282" i="3"/>
  <c r="AY1283" i="3"/>
  <c r="AY1284" i="3"/>
  <c r="AY1285" i="3"/>
  <c r="AY1286" i="3"/>
  <c r="AY1287" i="3"/>
  <c r="AY1288" i="3"/>
  <c r="AY1289" i="3"/>
  <c r="AY1290" i="3"/>
  <c r="AY1291" i="3"/>
  <c r="AY1292" i="3"/>
  <c r="AY1293" i="3"/>
  <c r="AY1294" i="3"/>
  <c r="AY1295" i="3"/>
  <c r="AY1296" i="3"/>
  <c r="AY1297" i="3"/>
  <c r="AY1298" i="3"/>
  <c r="AY1299" i="3"/>
  <c r="AY1300" i="3"/>
  <c r="AY1301" i="3"/>
  <c r="AY1302" i="3"/>
  <c r="AY1303" i="3"/>
  <c r="AY1304" i="3"/>
  <c r="AY1305" i="3"/>
  <c r="AY1306" i="3"/>
  <c r="AY1307" i="3"/>
  <c r="AY1308" i="3"/>
  <c r="AY1309" i="3"/>
  <c r="AY1310" i="3"/>
  <c r="AY1311" i="3"/>
  <c r="AY1312" i="3"/>
  <c r="AY1313" i="3"/>
  <c r="AY1314" i="3"/>
  <c r="AY1315" i="3"/>
  <c r="AY1316" i="3"/>
  <c r="AY1317"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AV3" i="3"/>
  <c r="AV4" i="3"/>
  <c r="AV7" i="3"/>
  <c r="AV9" i="3"/>
  <c r="AV10" i="3"/>
  <c r="AV15" i="3"/>
  <c r="AV16" i="3"/>
  <c r="AV20" i="3"/>
  <c r="AV21" i="3"/>
  <c r="AV27" i="3"/>
  <c r="AV28" i="3"/>
  <c r="AV29" i="3"/>
  <c r="AV31" i="3"/>
  <c r="AV35" i="3"/>
  <c r="AV38" i="3"/>
  <c r="AV39" i="3"/>
  <c r="AV40" i="3"/>
  <c r="AV41" i="3"/>
  <c r="AV43" i="3"/>
  <c r="AV45" i="3"/>
  <c r="AV46" i="3"/>
  <c r="AV47" i="3"/>
  <c r="AV48" i="3"/>
  <c r="AV52" i="3"/>
  <c r="AV54" i="3"/>
  <c r="AV55" i="3"/>
  <c r="AV59" i="3"/>
  <c r="AV63" i="3"/>
  <c r="AV64" i="3"/>
  <c r="AV65" i="3"/>
  <c r="AV68" i="3"/>
  <c r="AV70" i="3"/>
  <c r="AV73" i="3"/>
  <c r="AV87" i="3"/>
  <c r="AV88" i="3"/>
  <c r="AV89" i="3"/>
  <c r="AV92" i="3"/>
  <c r="AV93" i="3"/>
  <c r="AV94" i="3"/>
  <c r="AV98" i="3"/>
  <c r="AV99" i="3"/>
  <c r="AV100" i="3"/>
  <c r="AV101" i="3"/>
  <c r="AV105" i="3"/>
  <c r="AV106" i="3"/>
  <c r="AV108" i="3"/>
  <c r="AV111" i="3"/>
  <c r="AV113" i="3"/>
  <c r="AV114" i="3"/>
  <c r="AV116" i="3"/>
  <c r="AV117" i="3"/>
  <c r="AV119" i="3"/>
  <c r="AV120" i="3"/>
  <c r="AV121" i="3"/>
  <c r="AV124" i="3"/>
  <c r="AV131" i="3"/>
  <c r="AV133" i="3"/>
  <c r="AV142" i="3"/>
  <c r="AV143" i="3"/>
  <c r="AV144" i="3"/>
  <c r="AV145" i="3"/>
  <c r="AV152" i="3"/>
  <c r="AV153" i="3"/>
  <c r="AV158" i="3"/>
  <c r="AV167" i="3"/>
  <c r="AV168" i="3"/>
  <c r="AV172" i="3"/>
  <c r="AV175" i="3"/>
  <c r="AV177" i="3"/>
  <c r="AV178" i="3"/>
  <c r="AV179" i="3"/>
  <c r="AV180" i="3"/>
  <c r="AV184" i="3"/>
  <c r="AV185" i="3"/>
  <c r="AV188" i="3"/>
  <c r="AV198" i="3"/>
  <c r="AV199" i="3"/>
  <c r="AV201" i="3"/>
  <c r="AV205" i="3"/>
  <c r="AV212" i="3"/>
  <c r="AV217" i="3"/>
  <c r="AV219" i="3"/>
  <c r="AV220" i="3"/>
  <c r="AV222" i="3"/>
  <c r="AV225" i="3"/>
  <c r="AV228" i="3"/>
  <c r="AV229" i="3"/>
  <c r="AV233" i="3"/>
  <c r="AV237" i="3"/>
  <c r="AV238" i="3"/>
  <c r="AV240" i="3"/>
  <c r="AV252" i="3"/>
  <c r="AV259" i="3"/>
  <c r="AV261" i="3"/>
  <c r="AV262" i="3"/>
  <c r="AV268" i="3"/>
  <c r="AV269" i="3"/>
  <c r="AV270" i="3"/>
  <c r="AV271" i="3"/>
  <c r="AV278" i="3"/>
  <c r="AV284" i="3"/>
  <c r="AV285" i="3"/>
  <c r="AV286" i="3"/>
  <c r="AV289" i="3"/>
  <c r="AV294" i="3"/>
  <c r="AV300" i="3"/>
  <c r="AV302" i="3"/>
  <c r="AV304" i="3"/>
  <c r="AV307" i="3"/>
  <c r="AV308" i="3"/>
  <c r="AV312" i="3"/>
  <c r="AV314" i="3"/>
  <c r="AV315" i="3"/>
  <c r="AV320" i="3"/>
  <c r="AV321" i="3"/>
  <c r="AV324" i="3"/>
  <c r="AV326" i="3"/>
  <c r="AV328" i="3"/>
  <c r="AV336" i="3"/>
  <c r="AV337" i="3"/>
  <c r="AV338" i="3"/>
  <c r="AV342" i="3"/>
  <c r="AV345" i="3"/>
  <c r="AV353" i="3"/>
  <c r="AV355" i="3"/>
  <c r="AV356" i="3"/>
  <c r="AV357" i="3"/>
  <c r="AV358" i="3"/>
  <c r="AV359" i="3"/>
  <c r="AV362" i="3"/>
  <c r="AV363" i="3"/>
  <c r="AV364" i="3"/>
  <c r="AV367" i="3"/>
  <c r="AV369" i="3"/>
  <c r="AV374" i="3"/>
  <c r="AV375" i="3"/>
  <c r="AV376" i="3"/>
  <c r="AV377" i="3"/>
  <c r="AV378" i="3"/>
  <c r="AV380" i="3"/>
  <c r="AV381" i="3"/>
  <c r="AV382" i="3"/>
  <c r="AV383" i="3"/>
  <c r="AV385" i="3"/>
  <c r="AV386" i="3"/>
  <c r="AV389" i="3"/>
  <c r="AV399" i="3"/>
  <c r="AV403" i="3"/>
  <c r="AV405" i="3"/>
  <c r="AV406" i="3"/>
  <c r="AV417" i="3"/>
  <c r="AV419" i="3"/>
  <c r="AV420" i="3"/>
  <c r="AV422" i="3"/>
  <c r="AV426" i="3"/>
  <c r="AV427" i="3"/>
  <c r="AV434" i="3"/>
  <c r="AV439" i="3"/>
  <c r="AV440" i="3"/>
  <c r="AV441" i="3"/>
  <c r="AV445" i="3"/>
  <c r="AV451" i="3"/>
  <c r="AV452" i="3"/>
  <c r="AV454" i="3"/>
  <c r="AV460" i="3"/>
  <c r="AV461" i="3"/>
  <c r="AV469" i="3"/>
  <c r="AV479" i="3"/>
  <c r="AV488" i="3"/>
  <c r="AV489" i="3"/>
  <c r="AV490" i="3"/>
  <c r="AV492" i="3"/>
  <c r="AV494" i="3"/>
  <c r="AV495" i="3"/>
  <c r="AV497" i="3"/>
  <c r="AV501" i="3"/>
  <c r="AV502" i="3"/>
  <c r="AV512" i="3"/>
  <c r="AV522" i="3"/>
  <c r="AV526" i="3"/>
  <c r="AV531" i="3"/>
  <c r="AV532" i="3"/>
  <c r="AV533" i="3"/>
  <c r="AV534" i="3"/>
  <c r="AV535" i="3"/>
  <c r="AV536" i="3"/>
  <c r="AV537" i="3"/>
  <c r="AV538" i="3"/>
  <c r="AV539" i="3"/>
  <c r="AV541" i="3"/>
  <c r="AV542" i="3"/>
  <c r="AV543" i="3"/>
  <c r="AV544" i="3"/>
  <c r="AV545" i="3"/>
  <c r="AV546" i="3"/>
  <c r="AV547" i="3"/>
  <c r="AV548" i="3"/>
  <c r="AV549" i="3"/>
  <c r="AV550" i="3"/>
  <c r="AV552" i="3"/>
  <c r="AV553" i="3"/>
  <c r="AV554" i="3"/>
  <c r="AV555" i="3"/>
  <c r="AV557" i="3"/>
  <c r="AV558" i="3"/>
  <c r="AV559" i="3"/>
  <c r="AV560" i="3"/>
  <c r="AV562" i="3"/>
  <c r="AV564" i="3"/>
  <c r="AV565" i="3"/>
  <c r="AV567" i="3"/>
  <c r="AV568" i="3"/>
  <c r="AV571" i="3"/>
  <c r="AV573" i="3"/>
  <c r="AV574" i="3"/>
  <c r="AV575" i="3"/>
  <c r="AV576" i="3"/>
  <c r="AV578" i="3"/>
  <c r="AV579" i="3"/>
  <c r="AV580" i="3"/>
  <c r="AV581" i="3"/>
  <c r="AV582" i="3"/>
  <c r="AV583" i="3"/>
  <c r="AV584" i="3"/>
  <c r="AV588" i="3"/>
  <c r="AV589" i="3"/>
  <c r="AV590" i="3"/>
  <c r="AV593" i="3"/>
  <c r="AV594" i="3"/>
  <c r="AV595" i="3"/>
  <c r="AV598" i="3"/>
  <c r="AV599" i="3"/>
  <c r="AV600" i="3"/>
  <c r="AV601" i="3"/>
  <c r="AV602" i="3"/>
  <c r="AV603" i="3"/>
  <c r="AV605" i="3"/>
  <c r="AV609" i="3"/>
  <c r="AV610" i="3"/>
  <c r="AV611" i="3"/>
  <c r="AV612" i="3"/>
  <c r="AV613" i="3"/>
  <c r="AV619" i="3"/>
  <c r="AV620" i="3"/>
  <c r="AV621" i="3"/>
  <c r="AV622" i="3"/>
  <c r="AV623" i="3"/>
  <c r="AV624" i="3"/>
  <c r="AV625" i="3"/>
  <c r="AV627" i="3"/>
  <c r="AV629" i="3"/>
  <c r="AV630" i="3"/>
  <c r="AV632" i="3"/>
  <c r="AV634" i="3"/>
  <c r="AV637" i="3"/>
  <c r="AV644" i="3"/>
  <c r="AV649" i="3"/>
  <c r="AV652" i="3"/>
  <c r="AV656" i="3"/>
  <c r="AV657" i="3"/>
  <c r="AV660" i="3"/>
  <c r="AV663" i="3"/>
  <c r="AV664" i="3"/>
  <c r="AV665" i="3"/>
  <c r="AV666" i="3"/>
  <c r="AV669" i="3"/>
  <c r="AV670" i="3"/>
  <c r="AV673" i="3"/>
  <c r="AV674" i="3"/>
  <c r="AV675" i="3"/>
  <c r="AV676" i="3"/>
  <c r="AV677" i="3"/>
  <c r="AV678" i="3"/>
  <c r="AV679" i="3"/>
  <c r="AV682" i="3"/>
  <c r="AV683" i="3"/>
  <c r="AV688" i="3"/>
  <c r="AV689" i="3"/>
  <c r="AV690" i="3"/>
  <c r="AV691" i="3"/>
  <c r="AV692" i="3"/>
  <c r="AV696" i="3"/>
  <c r="AV698" i="3"/>
  <c r="AV699" i="3"/>
  <c r="AV700" i="3"/>
  <c r="AV703" i="3"/>
  <c r="AV704" i="3"/>
  <c r="AV707" i="3"/>
  <c r="AV711" i="3"/>
  <c r="AV712" i="3"/>
  <c r="AV715" i="3"/>
  <c r="AV719" i="3"/>
  <c r="AV721" i="3"/>
  <c r="AV722" i="3"/>
  <c r="AV723" i="3"/>
  <c r="AV724" i="3"/>
  <c r="AV725" i="3"/>
  <c r="AV726" i="3"/>
  <c r="AV727" i="3"/>
  <c r="AV736" i="3"/>
  <c r="AV738" i="3"/>
  <c r="AV739" i="3"/>
  <c r="AV740" i="3"/>
  <c r="AV743" i="3"/>
  <c r="AV746" i="3"/>
  <c r="AV751" i="3"/>
  <c r="AV754" i="3"/>
  <c r="AV755" i="3"/>
  <c r="AV760" i="3"/>
  <c r="AV762" i="3"/>
  <c r="AV765" i="3"/>
  <c r="AV769" i="3"/>
  <c r="AV771" i="3"/>
  <c r="AV775" i="3"/>
  <c r="AV776" i="3"/>
  <c r="AV781" i="3"/>
  <c r="AV783" i="3"/>
  <c r="AV788" i="3"/>
  <c r="AV791" i="3"/>
  <c r="AV803" i="3"/>
  <c r="AV813" i="3"/>
  <c r="AV816" i="3"/>
  <c r="AV817" i="3"/>
  <c r="AV818" i="3"/>
  <c r="AV819" i="3"/>
  <c r="AV820" i="3"/>
  <c r="AV823" i="3"/>
  <c r="AV826" i="3"/>
  <c r="AV828" i="3"/>
  <c r="AV834" i="3"/>
  <c r="AV836" i="3"/>
  <c r="AV838" i="3"/>
  <c r="AV840" i="3"/>
  <c r="AV841" i="3"/>
  <c r="AV842" i="3"/>
  <c r="AV843" i="3"/>
  <c r="AV844" i="3"/>
  <c r="AV847" i="3"/>
  <c r="AV848" i="3"/>
  <c r="AV849" i="3"/>
  <c r="AV856" i="3"/>
  <c r="AV859" i="3"/>
  <c r="AV864" i="3"/>
  <c r="AV866" i="3"/>
  <c r="AV876" i="3"/>
  <c r="AV878" i="3"/>
  <c r="AV880" i="3"/>
  <c r="AV885" i="3"/>
  <c r="AV888" i="3"/>
  <c r="AV896" i="3"/>
  <c r="AV897" i="3"/>
  <c r="AV901" i="3"/>
  <c r="AV902" i="3"/>
  <c r="AV910" i="3"/>
  <c r="AV913" i="3"/>
  <c r="AV915" i="3"/>
  <c r="AV916" i="3"/>
  <c r="AV919" i="3"/>
  <c r="AV920" i="3"/>
  <c r="AV928" i="3"/>
  <c r="AV930" i="3"/>
  <c r="AV934" i="3"/>
  <c r="AV935" i="3"/>
  <c r="AV940" i="3"/>
  <c r="AV941" i="3"/>
  <c r="AV942" i="3"/>
  <c r="AV944" i="3"/>
  <c r="AV947" i="3"/>
  <c r="AV949" i="3"/>
  <c r="AV951" i="3"/>
  <c r="AV952" i="3"/>
  <c r="AV953" i="3"/>
  <c r="AV955" i="3"/>
  <c r="AV957" i="3"/>
  <c r="AV958" i="3"/>
  <c r="AV961" i="3"/>
  <c r="AV963" i="3"/>
  <c r="AV964" i="3"/>
  <c r="AV965" i="3"/>
  <c r="AV976" i="3"/>
  <c r="AV977" i="3"/>
  <c r="AV983" i="3"/>
  <c r="AV986" i="3"/>
  <c r="AV987" i="3"/>
  <c r="AV990" i="3"/>
  <c r="AV992" i="3"/>
  <c r="AV993" i="3"/>
  <c r="AV995" i="3"/>
  <c r="AV999" i="3"/>
  <c r="AV1000" i="3"/>
  <c r="AV1001" i="3"/>
  <c r="AV1002" i="3"/>
  <c r="AV1016" i="3"/>
  <c r="AV1017" i="3"/>
  <c r="AV1019" i="3"/>
  <c r="AV1020" i="3"/>
  <c r="AV1021" i="3"/>
  <c r="AV1022" i="3"/>
  <c r="AV1026" i="3"/>
  <c r="AV1027" i="3"/>
  <c r="AV1029" i="3"/>
  <c r="AV1032" i="3"/>
  <c r="AV1033" i="3"/>
  <c r="AV1037" i="3"/>
  <c r="AV1038" i="3"/>
  <c r="AV1039" i="3"/>
  <c r="AV1040" i="3"/>
  <c r="AV1045" i="3"/>
  <c r="AV1049" i="3"/>
  <c r="AV1050" i="3"/>
  <c r="AV1053" i="3"/>
  <c r="AV1054" i="3"/>
  <c r="AV1055" i="3"/>
  <c r="AV1057" i="3"/>
  <c r="AV1059" i="3"/>
  <c r="AV1060" i="3"/>
  <c r="AV1064" i="3"/>
  <c r="AV1068" i="3"/>
  <c r="AV1069" i="3"/>
  <c r="AV1070" i="3"/>
  <c r="AV1071" i="3"/>
  <c r="AV1076" i="3"/>
  <c r="AV1078" i="3"/>
  <c r="AV1081" i="3"/>
  <c r="AV1087" i="3"/>
  <c r="AV1088" i="3"/>
  <c r="AV1090" i="3"/>
  <c r="AV1092" i="3"/>
  <c r="AV1103" i="3"/>
  <c r="AV1107" i="3"/>
  <c r="AV1109" i="3"/>
  <c r="AV1111" i="3"/>
  <c r="AV1112" i="3"/>
  <c r="AV1113" i="3"/>
  <c r="AV1116" i="3"/>
  <c r="AV1118" i="3"/>
  <c r="AV1120" i="3"/>
  <c r="AV1122" i="3"/>
  <c r="AV1124" i="3"/>
  <c r="AV1127" i="3"/>
  <c r="AV1129" i="3"/>
  <c r="AV1134" i="3"/>
  <c r="AV1136" i="3"/>
  <c r="AV1137" i="3"/>
  <c r="AV1138" i="3"/>
  <c r="AV1139" i="3"/>
  <c r="AV1141" i="3"/>
  <c r="AV1152" i="3"/>
  <c r="AV1154" i="3"/>
  <c r="AV1157" i="3"/>
  <c r="AV1158" i="3"/>
  <c r="AV1159" i="3"/>
  <c r="AV1160" i="3"/>
  <c r="AV1163" i="3"/>
  <c r="AV1165" i="3"/>
  <c r="AV1167" i="3"/>
  <c r="AV1168" i="3"/>
  <c r="AV1169" i="3"/>
  <c r="AV1170" i="3"/>
  <c r="AV1171" i="3"/>
  <c r="AV1176" i="3"/>
  <c r="AV1181" i="3"/>
  <c r="AV1182" i="3"/>
  <c r="AV1183" i="3"/>
  <c r="AV1184" i="3"/>
  <c r="AV1185" i="3"/>
  <c r="AV1186" i="3"/>
  <c r="AV1187" i="3"/>
  <c r="AV1188" i="3"/>
  <c r="AV1190" i="3"/>
  <c r="AV1191" i="3"/>
  <c r="AV1192" i="3"/>
  <c r="AV1194" i="3"/>
  <c r="AV1195" i="3"/>
  <c r="AV1196" i="3"/>
  <c r="AV1197" i="3"/>
  <c r="AV1200" i="3"/>
  <c r="AV1201" i="3"/>
  <c r="AV1202" i="3"/>
  <c r="AV1203" i="3"/>
  <c r="AV1205" i="3"/>
  <c r="AV1208" i="3"/>
  <c r="AV1209" i="3"/>
  <c r="AV1215" i="3"/>
  <c r="AV1217" i="3"/>
  <c r="AV1218" i="3"/>
  <c r="AV1219" i="3"/>
  <c r="AV1220" i="3"/>
  <c r="AV1221" i="3"/>
  <c r="AV1222" i="3"/>
  <c r="AV1223" i="3"/>
  <c r="AV1225" i="3"/>
  <c r="AV1228" i="3"/>
  <c r="AV1229" i="3"/>
  <c r="AV1233" i="3"/>
  <c r="AV1235" i="3"/>
  <c r="AV1236" i="3"/>
  <c r="AV1237" i="3"/>
  <c r="AV1243" i="3"/>
  <c r="AV1250" i="3"/>
  <c r="AV1251" i="3"/>
  <c r="AV1252" i="3"/>
  <c r="AV1253" i="3"/>
  <c r="AV1254" i="3"/>
  <c r="AV1255" i="3"/>
  <c r="AV1256" i="3"/>
  <c r="AV1264" i="3"/>
  <c r="AV1265" i="3"/>
  <c r="AV1269" i="3"/>
  <c r="AV1273" i="3"/>
  <c r="AV1274" i="3"/>
  <c r="AV1275" i="3"/>
  <c r="AV1276" i="3"/>
  <c r="AV1277" i="3"/>
  <c r="AV1280" i="3"/>
  <c r="AV1282" i="3"/>
  <c r="AV1283" i="3"/>
  <c r="AV1287" i="3"/>
  <c r="AV1288" i="3"/>
  <c r="AV1289" i="3"/>
  <c r="AV1303" i="3"/>
  <c r="AV1304" i="3"/>
  <c r="AV1305" i="3"/>
  <c r="AV1309" i="3"/>
  <c r="AV1310" i="3"/>
  <c r="AV1312" i="3"/>
  <c r="AV1315" i="3"/>
  <c r="AV1317" i="3"/>
  <c r="AP3" i="3"/>
  <c r="AP4" i="3"/>
  <c r="AP7" i="3"/>
  <c r="AP8" i="3"/>
  <c r="AP10" i="3"/>
  <c r="AP11" i="3"/>
  <c r="AP12" i="3"/>
  <c r="AP13" i="3"/>
  <c r="AP14" i="3"/>
  <c r="AP15" i="3"/>
  <c r="AP16" i="3"/>
  <c r="AP17" i="3"/>
  <c r="AP18" i="3"/>
  <c r="AP20" i="3"/>
  <c r="AP21" i="3"/>
  <c r="AP22" i="3"/>
  <c r="AP24" i="3"/>
  <c r="AP26" i="3"/>
  <c r="AP27" i="3"/>
  <c r="AP28" i="3"/>
  <c r="AP29" i="3"/>
  <c r="AP30" i="3"/>
  <c r="AP31" i="3"/>
  <c r="AP32" i="3"/>
  <c r="AP33" i="3"/>
  <c r="AP34" i="3"/>
  <c r="AP35" i="3"/>
  <c r="AP36" i="3"/>
  <c r="AP37" i="3"/>
  <c r="AP38" i="3"/>
  <c r="AP39" i="3"/>
  <c r="AP40" i="3"/>
  <c r="AP41" i="3"/>
  <c r="AP42" i="3"/>
  <c r="AP43" i="3"/>
  <c r="AP44" i="3"/>
  <c r="AP45" i="3"/>
  <c r="AP46" i="3"/>
  <c r="AP47" i="3"/>
  <c r="AP48" i="3"/>
  <c r="AP51" i="3"/>
  <c r="AP52" i="3"/>
  <c r="AP53" i="3"/>
  <c r="AP54" i="3"/>
  <c r="AP55" i="3"/>
  <c r="AP56" i="3"/>
  <c r="AP57" i="3"/>
  <c r="AP58" i="3"/>
  <c r="AP59" i="3"/>
  <c r="AP60" i="3"/>
  <c r="AP61" i="3"/>
  <c r="AP62" i="3"/>
  <c r="AP64" i="3"/>
  <c r="AP65" i="3"/>
  <c r="AP66" i="3"/>
  <c r="AP68" i="3"/>
  <c r="AP69" i="3"/>
  <c r="AP70" i="3"/>
  <c r="AP71" i="3"/>
  <c r="AP73" i="3"/>
  <c r="AP74" i="3"/>
  <c r="AP75" i="3"/>
  <c r="AP76" i="3"/>
  <c r="AP77" i="3"/>
  <c r="AP78" i="3"/>
  <c r="AP79" i="3"/>
  <c r="AP80" i="3"/>
  <c r="AP81" i="3"/>
  <c r="AP82" i="3"/>
  <c r="AP83" i="3"/>
  <c r="AP84" i="3"/>
  <c r="AP85" i="3"/>
  <c r="AP86" i="3"/>
  <c r="AP87" i="3"/>
  <c r="AP88" i="3"/>
  <c r="AP89" i="3"/>
  <c r="AP90" i="3"/>
  <c r="AP92" i="3"/>
  <c r="AP93" i="3"/>
  <c r="AP94" i="3"/>
  <c r="AP95" i="3"/>
  <c r="AP97" i="3"/>
  <c r="AP98" i="3"/>
  <c r="AP99" i="3"/>
  <c r="AP100" i="3"/>
  <c r="AP101" i="3"/>
  <c r="AP103" i="3"/>
  <c r="AP104" i="3"/>
  <c r="AP105" i="3"/>
  <c r="AP106" i="3"/>
  <c r="AP108" i="3"/>
  <c r="AP109" i="3"/>
  <c r="AP110" i="3"/>
  <c r="AP111" i="3"/>
  <c r="AP112" i="3"/>
  <c r="AP113" i="3"/>
  <c r="AP114" i="3"/>
  <c r="AP115" i="3"/>
  <c r="AP116" i="3"/>
  <c r="AP117" i="3"/>
  <c r="AP118" i="3"/>
  <c r="AP119" i="3"/>
  <c r="AP120" i="3"/>
  <c r="AP121" i="3"/>
  <c r="AP123" i="3"/>
  <c r="AP124" i="3"/>
  <c r="AP126" i="3"/>
  <c r="AP127" i="3"/>
  <c r="AP128" i="3"/>
  <c r="AP129" i="3"/>
  <c r="AP131" i="3"/>
  <c r="AP132" i="3"/>
  <c r="AP133" i="3"/>
  <c r="AP134" i="3"/>
  <c r="AP136" i="3"/>
  <c r="AP137" i="3"/>
  <c r="AP138" i="3"/>
  <c r="AP139" i="3"/>
  <c r="AP140" i="3"/>
  <c r="AP141" i="3"/>
  <c r="AP142" i="3"/>
  <c r="AP143" i="3"/>
  <c r="AP145" i="3"/>
  <c r="AP146" i="3"/>
  <c r="AP147" i="3"/>
  <c r="AP149" i="3"/>
  <c r="AP150" i="3"/>
  <c r="AP151" i="3"/>
  <c r="AP152" i="3"/>
  <c r="AP153" i="3"/>
  <c r="AP154" i="3"/>
  <c r="AP155" i="3"/>
  <c r="AP156" i="3"/>
  <c r="AP157" i="3"/>
  <c r="AP158" i="3"/>
  <c r="AP159" i="3"/>
  <c r="AP160" i="3"/>
  <c r="AP161" i="3"/>
  <c r="AP162" i="3"/>
  <c r="AP163" i="3"/>
  <c r="AP164" i="3"/>
  <c r="AP165" i="3"/>
  <c r="AP167" i="3"/>
  <c r="AP168" i="3"/>
  <c r="AP169" i="3"/>
  <c r="AP170" i="3"/>
  <c r="AP171" i="3"/>
  <c r="AP172" i="3"/>
  <c r="AP173" i="3"/>
  <c r="AP174" i="3"/>
  <c r="AP175" i="3"/>
  <c r="AP176" i="3"/>
  <c r="AP177" i="3"/>
  <c r="AP178" i="3"/>
  <c r="AP179" i="3"/>
  <c r="AP181" i="3"/>
  <c r="AP182" i="3"/>
  <c r="AP183" i="3"/>
  <c r="AP184" i="3"/>
  <c r="AP185" i="3"/>
  <c r="AP186" i="3"/>
  <c r="AP187" i="3"/>
  <c r="AP188" i="3"/>
  <c r="AP189" i="3"/>
  <c r="AP190" i="3"/>
  <c r="AP191" i="3"/>
  <c r="AP192" i="3"/>
  <c r="AP193" i="3"/>
  <c r="AP194" i="3"/>
  <c r="AP195" i="3"/>
  <c r="AP196" i="3"/>
  <c r="AP197" i="3"/>
  <c r="AP198" i="3"/>
  <c r="AP199" i="3"/>
  <c r="AP200" i="3"/>
  <c r="AP201" i="3"/>
  <c r="AP202" i="3"/>
  <c r="AP203" i="3"/>
  <c r="AP204" i="3"/>
  <c r="AP206" i="3"/>
  <c r="AP207" i="3"/>
  <c r="AP208" i="3"/>
  <c r="AP209" i="3"/>
  <c r="AP211" i="3"/>
  <c r="AP212" i="3"/>
  <c r="AP213" i="3"/>
  <c r="AP214" i="3"/>
  <c r="AP215" i="3"/>
  <c r="AP217" i="3"/>
  <c r="AP218" i="3"/>
  <c r="AP219" i="3"/>
  <c r="AP220" i="3"/>
  <c r="AP221" i="3"/>
  <c r="AP222" i="3"/>
  <c r="AP223" i="3"/>
  <c r="AP224" i="3"/>
  <c r="AP225" i="3"/>
  <c r="AP226" i="3"/>
  <c r="AP227" i="3"/>
  <c r="AP228" i="3"/>
  <c r="AP229" i="3"/>
  <c r="AP230" i="3"/>
  <c r="AP231" i="3"/>
  <c r="AP232" i="3"/>
  <c r="AP233" i="3"/>
  <c r="AP234" i="3"/>
  <c r="AP235" i="3"/>
  <c r="AP236" i="3"/>
  <c r="AP237" i="3"/>
  <c r="AP238" i="3"/>
  <c r="AP239" i="3"/>
  <c r="AP240" i="3"/>
  <c r="AP241" i="3"/>
  <c r="AP242" i="3"/>
  <c r="AP243" i="3"/>
  <c r="AP244" i="3"/>
  <c r="AP245" i="3"/>
  <c r="AP246" i="3"/>
  <c r="AP247" i="3"/>
  <c r="AP248" i="3"/>
  <c r="AP249" i="3"/>
  <c r="AP250" i="3"/>
  <c r="AP251" i="3"/>
  <c r="AP252" i="3"/>
  <c r="AP253" i="3"/>
  <c r="AP254" i="3"/>
  <c r="AP255" i="3"/>
  <c r="AP256" i="3"/>
  <c r="AP257" i="3"/>
  <c r="AP258" i="3"/>
  <c r="AP259" i="3"/>
  <c r="AP260" i="3"/>
  <c r="AP261" i="3"/>
  <c r="AP262" i="3"/>
  <c r="AP263" i="3"/>
  <c r="AP264" i="3"/>
  <c r="AP265" i="3"/>
  <c r="AP266" i="3"/>
  <c r="AP267" i="3"/>
  <c r="AP268" i="3"/>
  <c r="AP269" i="3"/>
  <c r="AP270" i="3"/>
  <c r="AP271" i="3"/>
  <c r="AP273" i="3"/>
  <c r="AP274" i="3"/>
  <c r="AP275" i="3"/>
  <c r="AP276" i="3"/>
  <c r="AP277" i="3"/>
  <c r="AP278" i="3"/>
  <c r="AP281" i="3"/>
  <c r="AP282" i="3"/>
  <c r="AP283" i="3"/>
  <c r="AP284" i="3"/>
  <c r="AP285" i="3"/>
  <c r="AP286" i="3"/>
  <c r="AP287" i="3"/>
  <c r="AP289" i="3"/>
  <c r="AP290" i="3"/>
  <c r="AP291" i="3"/>
  <c r="AP292" i="3"/>
  <c r="AP293" i="3"/>
  <c r="AP294" i="3"/>
  <c r="AP298" i="3"/>
  <c r="AP299" i="3"/>
  <c r="AP300" i="3"/>
  <c r="AP302" i="3"/>
  <c r="AP303" i="3"/>
  <c r="AP304" i="3"/>
  <c r="AP305" i="3"/>
  <c r="AP306" i="3"/>
  <c r="AP307" i="3"/>
  <c r="AP308" i="3"/>
  <c r="AP309" i="3"/>
  <c r="AP310" i="3"/>
  <c r="AP311" i="3"/>
  <c r="AP312" i="3"/>
  <c r="AP314" i="3"/>
  <c r="AP315" i="3"/>
  <c r="AP316" i="3"/>
  <c r="AP317" i="3"/>
  <c r="AP318" i="3"/>
  <c r="AP319" i="3"/>
  <c r="AP320" i="3"/>
  <c r="AP321" i="3"/>
  <c r="AP322" i="3"/>
  <c r="AP324" i="3"/>
  <c r="AP325" i="3"/>
  <c r="AP326" i="3"/>
  <c r="AP327" i="3"/>
  <c r="AP328" i="3"/>
  <c r="AP329" i="3"/>
  <c r="AP331" i="3"/>
  <c r="AP333" i="3"/>
  <c r="AP336" i="3"/>
  <c r="AP337" i="3"/>
  <c r="AP338" i="3"/>
  <c r="AP342" i="3"/>
  <c r="AP343" i="3"/>
  <c r="AP345" i="3"/>
  <c r="AP347" i="3"/>
  <c r="AP348" i="3"/>
  <c r="AP349" i="3"/>
  <c r="AP350" i="3"/>
  <c r="AP352" i="3"/>
  <c r="AP354" i="3"/>
  <c r="AP355" i="3"/>
  <c r="AP356" i="3"/>
  <c r="AP358" i="3"/>
  <c r="AP359" i="3"/>
  <c r="AP360" i="3"/>
  <c r="AP361" i="3"/>
  <c r="AP362" i="3"/>
  <c r="AP363" i="3"/>
  <c r="AP364" i="3"/>
  <c r="AP365" i="3"/>
  <c r="AP366" i="3"/>
  <c r="AP367" i="3"/>
  <c r="AP368" i="3"/>
  <c r="AP369" i="3"/>
  <c r="AP370" i="3"/>
  <c r="AP371" i="3"/>
  <c r="AP372" i="3"/>
  <c r="AP373" i="3"/>
  <c r="AP374" i="3"/>
  <c r="AP375" i="3"/>
  <c r="AP376" i="3"/>
  <c r="AP377" i="3"/>
  <c r="AP378" i="3"/>
  <c r="AP379" i="3"/>
  <c r="AP380" i="3"/>
  <c r="AP381" i="3"/>
  <c r="AP382" i="3"/>
  <c r="AP383" i="3"/>
  <c r="AP385" i="3"/>
  <c r="AP386" i="3"/>
  <c r="AP387" i="3"/>
  <c r="AP388" i="3"/>
  <c r="AP389" i="3"/>
  <c r="AP390" i="3"/>
  <c r="AP391" i="3"/>
  <c r="AP392" i="3"/>
  <c r="AP393" i="3"/>
  <c r="AP394" i="3"/>
  <c r="AP395" i="3"/>
  <c r="AP397" i="3"/>
  <c r="AP398" i="3"/>
  <c r="AP399" i="3"/>
  <c r="AP400" i="3"/>
  <c r="AP401" i="3"/>
  <c r="AP402" i="3"/>
  <c r="AP405" i="3"/>
  <c r="AP406" i="3"/>
  <c r="AP408" i="3"/>
  <c r="AP409" i="3"/>
  <c r="AP410" i="3"/>
  <c r="AP411" i="3"/>
  <c r="AP412" i="3"/>
  <c r="AP413" i="3"/>
  <c r="AP414" i="3"/>
  <c r="AP415" i="3"/>
  <c r="AP416" i="3"/>
  <c r="AP417" i="3"/>
  <c r="AP419" i="3"/>
  <c r="AP420" i="3"/>
  <c r="AP421" i="3"/>
  <c r="AP422" i="3"/>
  <c r="AP423" i="3"/>
  <c r="AP424" i="3"/>
  <c r="AP425" i="3"/>
  <c r="AP426" i="3"/>
  <c r="AP427" i="3"/>
  <c r="AP428" i="3"/>
  <c r="AP430" i="3"/>
  <c r="AP431" i="3"/>
  <c r="AP432" i="3"/>
  <c r="AP433" i="3"/>
  <c r="AP434" i="3"/>
  <c r="AP436" i="3"/>
  <c r="AP437" i="3"/>
  <c r="AP439" i="3"/>
  <c r="AP440" i="3"/>
  <c r="AP443" i="3"/>
  <c r="AP444" i="3"/>
  <c r="AP445" i="3"/>
  <c r="AP446" i="3"/>
  <c r="AP447" i="3"/>
  <c r="AP448" i="3"/>
  <c r="AP449" i="3"/>
  <c r="AP450" i="3"/>
  <c r="AP451" i="3"/>
  <c r="AP452" i="3"/>
  <c r="AP453" i="3"/>
  <c r="AP454" i="3"/>
  <c r="AP455" i="3"/>
  <c r="AP456" i="3"/>
  <c r="AP457" i="3"/>
  <c r="AP458" i="3"/>
  <c r="AP460" i="3"/>
  <c r="AP461" i="3"/>
  <c r="AP463" i="3"/>
  <c r="AP464" i="3"/>
  <c r="AP465" i="3"/>
  <c r="AP466" i="3"/>
  <c r="AP467" i="3"/>
  <c r="AP468" i="3"/>
  <c r="AP469" i="3"/>
  <c r="AP470" i="3"/>
  <c r="AP471" i="3"/>
  <c r="AP472" i="3"/>
  <c r="AP473" i="3"/>
  <c r="AP474" i="3"/>
  <c r="AP475" i="3"/>
  <c r="AP476" i="3"/>
  <c r="AP477" i="3"/>
  <c r="AP478" i="3"/>
  <c r="AP479" i="3"/>
  <c r="AP480" i="3"/>
  <c r="AP481" i="3"/>
  <c r="AP482" i="3"/>
  <c r="AP483" i="3"/>
  <c r="AP484" i="3"/>
  <c r="AP485" i="3"/>
  <c r="AP486" i="3"/>
  <c r="AP487" i="3"/>
  <c r="AP488" i="3"/>
  <c r="AP489" i="3"/>
  <c r="AP490" i="3"/>
  <c r="AP491" i="3"/>
  <c r="AP492" i="3"/>
  <c r="AP493" i="3"/>
  <c r="AP495" i="3"/>
  <c r="AP496" i="3"/>
  <c r="AP497" i="3"/>
  <c r="AP498" i="3"/>
  <c r="AP499" i="3"/>
  <c r="AP500" i="3"/>
  <c r="AP501" i="3"/>
  <c r="AP502" i="3"/>
  <c r="AP503" i="3"/>
  <c r="AP504" i="3"/>
  <c r="AP505" i="3"/>
  <c r="AP506" i="3"/>
  <c r="AP507" i="3"/>
  <c r="AP508" i="3"/>
  <c r="AP509" i="3"/>
  <c r="AP510" i="3"/>
  <c r="AP511" i="3"/>
  <c r="AP512" i="3"/>
  <c r="AP513" i="3"/>
  <c r="AP514" i="3"/>
  <c r="AP515" i="3"/>
  <c r="AP516" i="3"/>
  <c r="AP517" i="3"/>
  <c r="AP518" i="3"/>
  <c r="AP519" i="3"/>
  <c r="AP520" i="3"/>
  <c r="AP521" i="3"/>
  <c r="AP522" i="3"/>
  <c r="AP523" i="3"/>
  <c r="AP524" i="3"/>
  <c r="AP526" i="3"/>
  <c r="AP527" i="3"/>
  <c r="AP528" i="3"/>
  <c r="AP529" i="3"/>
  <c r="AP530" i="3"/>
  <c r="AP531" i="3"/>
  <c r="AP532" i="3"/>
  <c r="AP533" i="3"/>
  <c r="AP534" i="3"/>
  <c r="AP535" i="3"/>
  <c r="AP536" i="3"/>
  <c r="AP537" i="3"/>
  <c r="AP538" i="3"/>
  <c r="AP539" i="3"/>
  <c r="AP540" i="3"/>
  <c r="AP541" i="3"/>
  <c r="AP543" i="3"/>
  <c r="AP544" i="3"/>
  <c r="AP545" i="3"/>
  <c r="AP547" i="3"/>
  <c r="AP548" i="3"/>
  <c r="AP549" i="3"/>
  <c r="AP550" i="3"/>
  <c r="AP551" i="3"/>
  <c r="AP552" i="3"/>
  <c r="AP553" i="3"/>
  <c r="AP554" i="3"/>
  <c r="AP555" i="3"/>
  <c r="AP556" i="3"/>
  <c r="AP558" i="3"/>
  <c r="AP559" i="3"/>
  <c r="AP560" i="3"/>
  <c r="AP561" i="3"/>
  <c r="AP562" i="3"/>
  <c r="AP563" i="3"/>
  <c r="AP564" i="3"/>
  <c r="AP565" i="3"/>
  <c r="AP566" i="3"/>
  <c r="AP567" i="3"/>
  <c r="AP568" i="3"/>
  <c r="AP570" i="3"/>
  <c r="AP571" i="3"/>
  <c r="AP572" i="3"/>
  <c r="AP573" i="3"/>
  <c r="AP574" i="3"/>
  <c r="AP575" i="3"/>
  <c r="AP576" i="3"/>
  <c r="AP578" i="3"/>
  <c r="AP579" i="3"/>
  <c r="AP580" i="3"/>
  <c r="AP581" i="3"/>
  <c r="AP582" i="3"/>
  <c r="AP583" i="3"/>
  <c r="AP584" i="3"/>
  <c r="AP585" i="3"/>
  <c r="AP586" i="3"/>
  <c r="AP587" i="3"/>
  <c r="AP588" i="3"/>
  <c r="AP589" i="3"/>
  <c r="AP590" i="3"/>
  <c r="AP591" i="3"/>
  <c r="AP592" i="3"/>
  <c r="AP593" i="3"/>
  <c r="AP594" i="3"/>
  <c r="AP595" i="3"/>
  <c r="AP596" i="3"/>
  <c r="AP597" i="3"/>
  <c r="AP598" i="3"/>
  <c r="AP599" i="3"/>
  <c r="AP600" i="3"/>
  <c r="AP601" i="3"/>
  <c r="AP602" i="3"/>
  <c r="AP603" i="3"/>
  <c r="AP604" i="3"/>
  <c r="AP605" i="3"/>
  <c r="AP606" i="3"/>
  <c r="AP607" i="3"/>
  <c r="AP608" i="3"/>
  <c r="AP609" i="3"/>
  <c r="AP610" i="3"/>
  <c r="AP611" i="3"/>
  <c r="AP612" i="3"/>
  <c r="AP613" i="3"/>
  <c r="AP615" i="3"/>
  <c r="AP616" i="3"/>
  <c r="AP617" i="3"/>
  <c r="AP619" i="3"/>
  <c r="AP621" i="3"/>
  <c r="AP623" i="3"/>
  <c r="AP625" i="3"/>
  <c r="AP626" i="3"/>
  <c r="AP627" i="3"/>
  <c r="AP628" i="3"/>
  <c r="AP629" i="3"/>
  <c r="AP630" i="3"/>
  <c r="AP631" i="3"/>
  <c r="AP632" i="3"/>
  <c r="AP633" i="3"/>
  <c r="AP634" i="3"/>
  <c r="AP635" i="3"/>
  <c r="AP637" i="3"/>
  <c r="AP638" i="3"/>
  <c r="AP639" i="3"/>
  <c r="AP640" i="3"/>
  <c r="AP641" i="3"/>
  <c r="AP642" i="3"/>
  <c r="AP643" i="3"/>
  <c r="AP644" i="3"/>
  <c r="AP645" i="3"/>
  <c r="AP646" i="3"/>
  <c r="AP647" i="3"/>
  <c r="AP648" i="3"/>
  <c r="AP649" i="3"/>
  <c r="AP650" i="3"/>
  <c r="AP651" i="3"/>
  <c r="AP652" i="3"/>
  <c r="AP653" i="3"/>
  <c r="AP654" i="3"/>
  <c r="AP655" i="3"/>
  <c r="AP656" i="3"/>
  <c r="AP657" i="3"/>
  <c r="AP658" i="3"/>
  <c r="AP659" i="3"/>
  <c r="AP660" i="3"/>
  <c r="AP661" i="3"/>
  <c r="AP662" i="3"/>
  <c r="AP663" i="3"/>
  <c r="AP664" i="3"/>
  <c r="AP665" i="3"/>
  <c r="AP666" i="3"/>
  <c r="AP667" i="3"/>
  <c r="AP668" i="3"/>
  <c r="AP669" i="3"/>
  <c r="AP670" i="3"/>
  <c r="AP671" i="3"/>
  <c r="AP672" i="3"/>
  <c r="AP673" i="3"/>
  <c r="AP674" i="3"/>
  <c r="AP675" i="3"/>
  <c r="AP676" i="3"/>
  <c r="AP677" i="3"/>
  <c r="AP678" i="3"/>
  <c r="AP679" i="3"/>
  <c r="AP680" i="3"/>
  <c r="AP681" i="3"/>
  <c r="AP682" i="3"/>
  <c r="AP683" i="3"/>
  <c r="AP685" i="3"/>
  <c r="AP687" i="3"/>
  <c r="AP688" i="3"/>
  <c r="AP689" i="3"/>
  <c r="AP690" i="3"/>
  <c r="AP691" i="3"/>
  <c r="AP692" i="3"/>
  <c r="AP693" i="3"/>
  <c r="AP695" i="3"/>
  <c r="AP697" i="3"/>
  <c r="AP698" i="3"/>
  <c r="AP699" i="3"/>
  <c r="AP700" i="3"/>
  <c r="AP701" i="3"/>
  <c r="AP702" i="3"/>
  <c r="AP703" i="3"/>
  <c r="AP704" i="3"/>
  <c r="AP705" i="3"/>
  <c r="AP706" i="3"/>
  <c r="AP707" i="3"/>
  <c r="AP708" i="3"/>
  <c r="AP709" i="3"/>
  <c r="AP710" i="3"/>
  <c r="AP711" i="3"/>
  <c r="AP712" i="3"/>
  <c r="AP714" i="3"/>
  <c r="AP715" i="3"/>
  <c r="AP716" i="3"/>
  <c r="AP717" i="3"/>
  <c r="AP718" i="3"/>
  <c r="AP719" i="3"/>
  <c r="AP720" i="3"/>
  <c r="AP721" i="3"/>
  <c r="AP722" i="3"/>
  <c r="AP723" i="3"/>
  <c r="AP724" i="3"/>
  <c r="AP725" i="3"/>
  <c r="AP726" i="3"/>
  <c r="AP727" i="3"/>
  <c r="AP728" i="3"/>
  <c r="AP730" i="3"/>
  <c r="AP731" i="3"/>
  <c r="AP732" i="3"/>
  <c r="AP733" i="3"/>
  <c r="AP734" i="3"/>
  <c r="AP735" i="3"/>
  <c r="AP736" i="3"/>
  <c r="AP737" i="3"/>
  <c r="AP738" i="3"/>
  <c r="AP739" i="3"/>
  <c r="AP740" i="3"/>
  <c r="AP741" i="3"/>
  <c r="AP742" i="3"/>
  <c r="AP743" i="3"/>
  <c r="AP744" i="3"/>
  <c r="AP746" i="3"/>
  <c r="AP747" i="3"/>
  <c r="AP748" i="3"/>
  <c r="AP749" i="3"/>
  <c r="AP751" i="3"/>
  <c r="AP752" i="3"/>
  <c r="AP753" i="3"/>
  <c r="AP755" i="3"/>
  <c r="AP756" i="3"/>
  <c r="AP757" i="3"/>
  <c r="AP758" i="3"/>
  <c r="AP759" i="3"/>
  <c r="AP760" i="3"/>
  <c r="AP761" i="3"/>
  <c r="AP762" i="3"/>
  <c r="AP763" i="3"/>
  <c r="AP764" i="3"/>
  <c r="AP765" i="3"/>
  <c r="AP766" i="3"/>
  <c r="AP767" i="3"/>
  <c r="AP768" i="3"/>
  <c r="AP769" i="3"/>
  <c r="AP770" i="3"/>
  <c r="AP771" i="3"/>
  <c r="AP772" i="3"/>
  <c r="AP773" i="3"/>
  <c r="AP774" i="3"/>
  <c r="AP775" i="3"/>
  <c r="AP776" i="3"/>
  <c r="AP777" i="3"/>
  <c r="AP778" i="3"/>
  <c r="AP779" i="3"/>
  <c r="AP780" i="3"/>
  <c r="AP781" i="3"/>
  <c r="AP782" i="3"/>
  <c r="AP783" i="3"/>
  <c r="AP784" i="3"/>
  <c r="AP785" i="3"/>
  <c r="AP786" i="3"/>
  <c r="AP787" i="3"/>
  <c r="AP788" i="3"/>
  <c r="AP790" i="3"/>
  <c r="AP791" i="3"/>
  <c r="AP792" i="3"/>
  <c r="AP793" i="3"/>
  <c r="AP794" i="3"/>
  <c r="AP797" i="3"/>
  <c r="AP798" i="3"/>
  <c r="AP799" i="3"/>
  <c r="AP800" i="3"/>
  <c r="AP801" i="3"/>
  <c r="AP802" i="3"/>
  <c r="AP803" i="3"/>
  <c r="AP804" i="3"/>
  <c r="AP805" i="3"/>
  <c r="AP806" i="3"/>
  <c r="AP807" i="3"/>
  <c r="AP808" i="3"/>
  <c r="AP809" i="3"/>
  <c r="AP810" i="3"/>
  <c r="AP811" i="3"/>
  <c r="AP812" i="3"/>
  <c r="AP813" i="3"/>
  <c r="AP814" i="3"/>
  <c r="AP815" i="3"/>
  <c r="AP816" i="3"/>
  <c r="AP817" i="3"/>
  <c r="AP818" i="3"/>
  <c r="AP819" i="3"/>
  <c r="AP821" i="3"/>
  <c r="AP822" i="3"/>
  <c r="AP823" i="3"/>
  <c r="AP824" i="3"/>
  <c r="AP825" i="3"/>
  <c r="AP826" i="3"/>
  <c r="AP827" i="3"/>
  <c r="AP828" i="3"/>
  <c r="AP829" i="3"/>
  <c r="AP830" i="3"/>
  <c r="AP831" i="3"/>
  <c r="AP832" i="3"/>
  <c r="AP833" i="3"/>
  <c r="AP834" i="3"/>
  <c r="AP835" i="3"/>
  <c r="AP836" i="3"/>
  <c r="AP837" i="3"/>
  <c r="AP838" i="3"/>
  <c r="AP839" i="3"/>
  <c r="AP840" i="3"/>
  <c r="AP841" i="3"/>
  <c r="AP842" i="3"/>
  <c r="AP843" i="3"/>
  <c r="AP844" i="3"/>
  <c r="AP845" i="3"/>
  <c r="AP846" i="3"/>
  <c r="AP847" i="3"/>
  <c r="AP848" i="3"/>
  <c r="AP849" i="3"/>
  <c r="AP851" i="3"/>
  <c r="AP852" i="3"/>
  <c r="AP853" i="3"/>
  <c r="AP854" i="3"/>
  <c r="AP855" i="3"/>
  <c r="AP856" i="3"/>
  <c r="AP857" i="3"/>
  <c r="AP858" i="3"/>
  <c r="AP859" i="3"/>
  <c r="AP860" i="3"/>
  <c r="AP861" i="3"/>
  <c r="AP862" i="3"/>
  <c r="AP863" i="3"/>
  <c r="AP864" i="3"/>
  <c r="AP865" i="3"/>
  <c r="AP866" i="3"/>
  <c r="AP867" i="3"/>
  <c r="AP868" i="3"/>
  <c r="AP869" i="3"/>
  <c r="AP870" i="3"/>
  <c r="AP871" i="3"/>
  <c r="AP872" i="3"/>
  <c r="AP873" i="3"/>
  <c r="AP874" i="3"/>
  <c r="AP875" i="3"/>
  <c r="AP876" i="3"/>
  <c r="AP877" i="3"/>
  <c r="AP878" i="3"/>
  <c r="AP879" i="3"/>
  <c r="AP880" i="3"/>
  <c r="AP881" i="3"/>
  <c r="AP882" i="3"/>
  <c r="AP883" i="3"/>
  <c r="AP884" i="3"/>
  <c r="AP885" i="3"/>
  <c r="AP886" i="3"/>
  <c r="AP887" i="3"/>
  <c r="AP888" i="3"/>
  <c r="AP889" i="3"/>
  <c r="AP890" i="3"/>
  <c r="AP891" i="3"/>
  <c r="AP892" i="3"/>
  <c r="AP894" i="3"/>
  <c r="AP895" i="3"/>
  <c r="AP896" i="3"/>
  <c r="AP897" i="3"/>
  <c r="AP899" i="3"/>
  <c r="AP900" i="3"/>
  <c r="AP901" i="3"/>
  <c r="AP902" i="3"/>
  <c r="AP903" i="3"/>
  <c r="AP904" i="3"/>
  <c r="AP905" i="3"/>
  <c r="AP906" i="3"/>
  <c r="AP907" i="3"/>
  <c r="AP908" i="3"/>
  <c r="AP909" i="3"/>
  <c r="AP910" i="3"/>
  <c r="AP912" i="3"/>
  <c r="AP913" i="3"/>
  <c r="AP915" i="3"/>
  <c r="AP916" i="3"/>
  <c r="AP917" i="3"/>
  <c r="AP918" i="3"/>
  <c r="AP919" i="3"/>
  <c r="AP920" i="3"/>
  <c r="AP921" i="3"/>
  <c r="AP922" i="3"/>
  <c r="AP924" i="3"/>
  <c r="AP925" i="3"/>
  <c r="AP926" i="3"/>
  <c r="AP927" i="3"/>
  <c r="AP928" i="3"/>
  <c r="AP929" i="3"/>
  <c r="AP930" i="3"/>
  <c r="AP931" i="3"/>
  <c r="AP932" i="3"/>
  <c r="AP933" i="3"/>
  <c r="AP934" i="3"/>
  <c r="AP936" i="3"/>
  <c r="AP937" i="3"/>
  <c r="AP938" i="3"/>
  <c r="AP941" i="3"/>
  <c r="AP942" i="3"/>
  <c r="AP943" i="3"/>
  <c r="AP944" i="3"/>
  <c r="AP945" i="3"/>
  <c r="AP946" i="3"/>
  <c r="AP947" i="3"/>
  <c r="AP948" i="3"/>
  <c r="AP949" i="3"/>
  <c r="AP950" i="3"/>
  <c r="AP953" i="3"/>
  <c r="AP954" i="3"/>
  <c r="AP955" i="3"/>
  <c r="AP956" i="3"/>
  <c r="AP957" i="3"/>
  <c r="AP959" i="3"/>
  <c r="AP960" i="3"/>
  <c r="AP961" i="3"/>
  <c r="AP962" i="3"/>
  <c r="AP963" i="3"/>
  <c r="AP964" i="3"/>
  <c r="AP965" i="3"/>
  <c r="AP966" i="3"/>
  <c r="AP967" i="3"/>
  <c r="AP968" i="3"/>
  <c r="AP969" i="3"/>
  <c r="AP970" i="3"/>
  <c r="AP971" i="3"/>
  <c r="AP973" i="3"/>
  <c r="AP974" i="3"/>
  <c r="AP975" i="3"/>
  <c r="AP976" i="3"/>
  <c r="AP977" i="3"/>
  <c r="AP978" i="3"/>
  <c r="AP979" i="3"/>
  <c r="AP980" i="3"/>
  <c r="AP981" i="3"/>
  <c r="AP982" i="3"/>
  <c r="AP983" i="3"/>
  <c r="AP984" i="3"/>
  <c r="AP985" i="3"/>
  <c r="AP986" i="3"/>
  <c r="AP988" i="3"/>
  <c r="AP989" i="3"/>
  <c r="AP990" i="3"/>
  <c r="AP991" i="3"/>
  <c r="AP992" i="3"/>
  <c r="AP993" i="3"/>
  <c r="AP995" i="3"/>
  <c r="AP997" i="3"/>
  <c r="AP998" i="3"/>
  <c r="AP999" i="3"/>
  <c r="AP1000" i="3"/>
  <c r="AP1001" i="3"/>
  <c r="AP1002" i="3"/>
  <c r="AP1003" i="3"/>
  <c r="AP1004" i="3"/>
  <c r="AP1005" i="3"/>
  <c r="AP1006" i="3"/>
  <c r="AP1007" i="3"/>
  <c r="AP1008" i="3"/>
  <c r="AP1009" i="3"/>
  <c r="AP1010" i="3"/>
  <c r="AP1011" i="3"/>
  <c r="AP1012" i="3"/>
  <c r="AP1013" i="3"/>
  <c r="AP1014" i="3"/>
  <c r="AP1015" i="3"/>
  <c r="AP1016" i="3"/>
  <c r="AP1017" i="3"/>
  <c r="AP1018" i="3"/>
  <c r="AP1019" i="3"/>
  <c r="AP1020" i="3"/>
  <c r="AP1021" i="3"/>
  <c r="AP1022" i="3"/>
  <c r="AP1023" i="3"/>
  <c r="AP1024" i="3"/>
  <c r="AP1025" i="3"/>
  <c r="AP1026" i="3"/>
  <c r="AP1027" i="3"/>
  <c r="AP1030" i="3"/>
  <c r="AP1031" i="3"/>
  <c r="AP1032" i="3"/>
  <c r="AP1033" i="3"/>
  <c r="AP1035" i="3"/>
  <c r="AP1036" i="3"/>
  <c r="AP1037" i="3"/>
  <c r="AP1038" i="3"/>
  <c r="AP1039" i="3"/>
  <c r="AP1040" i="3"/>
  <c r="AP1041" i="3"/>
  <c r="AP1042" i="3"/>
  <c r="AP1043" i="3"/>
  <c r="AP1045" i="3"/>
  <c r="AP1046" i="3"/>
  <c r="AP1047" i="3"/>
  <c r="AP1049" i="3"/>
  <c r="AP1050" i="3"/>
  <c r="AP1052" i="3"/>
  <c r="AP1053" i="3"/>
  <c r="AP1054" i="3"/>
  <c r="AP1055" i="3"/>
  <c r="AP1056" i="3"/>
  <c r="AP1058" i="3"/>
  <c r="AP1059" i="3"/>
  <c r="AP1060" i="3"/>
  <c r="AP1061" i="3"/>
  <c r="AP1062" i="3"/>
  <c r="AP1064" i="3"/>
  <c r="AP1065" i="3"/>
  <c r="AP1066" i="3"/>
  <c r="AP1067" i="3"/>
  <c r="AP1068" i="3"/>
  <c r="AP1069" i="3"/>
  <c r="AP1070" i="3"/>
  <c r="AP1071" i="3"/>
  <c r="AP1072" i="3"/>
  <c r="AP1073" i="3"/>
  <c r="AP1074" i="3"/>
  <c r="AP1075" i="3"/>
  <c r="AP1076" i="3"/>
  <c r="AP1077" i="3"/>
  <c r="AP1078" i="3"/>
  <c r="AP1079" i="3"/>
  <c r="AP1080" i="3"/>
  <c r="AP1081" i="3"/>
  <c r="AP1082" i="3"/>
  <c r="AP1083" i="3"/>
  <c r="AP1084" i="3"/>
  <c r="AP1085" i="3"/>
  <c r="AP1086" i="3"/>
  <c r="AP1087" i="3"/>
  <c r="AP1088" i="3"/>
  <c r="AP1089" i="3"/>
  <c r="AP1091" i="3"/>
  <c r="AP1092" i="3"/>
  <c r="AP1093" i="3"/>
  <c r="AP1094" i="3"/>
  <c r="AP1095" i="3"/>
  <c r="AP1096" i="3"/>
  <c r="AP1097" i="3"/>
  <c r="AP1098" i="3"/>
  <c r="AP1099" i="3"/>
  <c r="AP1100" i="3"/>
  <c r="AP1101" i="3"/>
  <c r="AP1102" i="3"/>
  <c r="AP1103" i="3"/>
  <c r="AP1104" i="3"/>
  <c r="AP1105" i="3"/>
  <c r="AP1106" i="3"/>
  <c r="AP1107" i="3"/>
  <c r="AP1108" i="3"/>
  <c r="AP1109" i="3"/>
  <c r="AP1110" i="3"/>
  <c r="AP1111" i="3"/>
  <c r="AP1112" i="3"/>
  <c r="AP1113" i="3"/>
  <c r="AP1115" i="3"/>
  <c r="AP1116" i="3"/>
  <c r="AP1117" i="3"/>
  <c r="AP1118" i="3"/>
  <c r="AP1120" i="3"/>
  <c r="AP1122" i="3"/>
  <c r="AP1123" i="3"/>
  <c r="AP1124" i="3"/>
  <c r="AP1125" i="3"/>
  <c r="AP1126" i="3"/>
  <c r="AP1127" i="3"/>
  <c r="AP1129" i="3"/>
  <c r="AP1130" i="3"/>
  <c r="AP1131" i="3"/>
  <c r="AP1132" i="3"/>
  <c r="AP1133" i="3"/>
  <c r="AP1134" i="3"/>
  <c r="AP1135" i="3"/>
  <c r="AP1136" i="3"/>
  <c r="AP1138" i="3"/>
  <c r="AP1139" i="3"/>
  <c r="AP1143" i="3"/>
  <c r="AP1144" i="3"/>
  <c r="AP1145" i="3"/>
  <c r="AP1146" i="3"/>
  <c r="AP1147" i="3"/>
  <c r="AP1148" i="3"/>
  <c r="AP1149" i="3"/>
  <c r="AP1150" i="3"/>
  <c r="AP1151" i="3"/>
  <c r="AP1152" i="3"/>
  <c r="AP1153" i="3"/>
  <c r="AP1154" i="3"/>
  <c r="AP1156" i="3"/>
  <c r="AP1157" i="3"/>
  <c r="AP1158" i="3"/>
  <c r="AP1160" i="3"/>
  <c r="AP1161" i="3"/>
  <c r="AP1162" i="3"/>
  <c r="AP1163" i="3"/>
  <c r="AP1165" i="3"/>
  <c r="AP1167" i="3"/>
  <c r="AP1168" i="3"/>
  <c r="AP1169" i="3"/>
  <c r="AP1170" i="3"/>
  <c r="AP1171" i="3"/>
  <c r="AP1172" i="3"/>
  <c r="AP1173" i="3"/>
  <c r="AP1174" i="3"/>
  <c r="AP1175" i="3"/>
  <c r="AP1176" i="3"/>
  <c r="AP1177" i="3"/>
  <c r="AP1178" i="3"/>
  <c r="AP1179" i="3"/>
  <c r="AP1181" i="3"/>
  <c r="AP1183" i="3"/>
  <c r="AP1184" i="3"/>
  <c r="AP1185" i="3"/>
  <c r="AP1186" i="3"/>
  <c r="AP1187" i="3"/>
  <c r="AP1188" i="3"/>
  <c r="AP1189" i="3"/>
  <c r="AP1190" i="3"/>
  <c r="AP1191" i="3"/>
  <c r="AP1192" i="3"/>
  <c r="AP1193" i="3"/>
  <c r="AP1194" i="3"/>
  <c r="AP1195" i="3"/>
  <c r="AP1196" i="3"/>
  <c r="AP1197" i="3"/>
  <c r="AP1199" i="3"/>
  <c r="AP1200" i="3"/>
  <c r="AP1201" i="3"/>
  <c r="AP1202" i="3"/>
  <c r="AP1203" i="3"/>
  <c r="AP1205" i="3"/>
  <c r="AP1206" i="3"/>
  <c r="AP1207" i="3"/>
  <c r="AP1208" i="3"/>
  <c r="AP1209" i="3"/>
  <c r="AP1210" i="3"/>
  <c r="AP1211" i="3"/>
  <c r="AP1212" i="3"/>
  <c r="AP1213" i="3"/>
  <c r="AP1214" i="3"/>
  <c r="AP1215" i="3"/>
  <c r="AP1217" i="3"/>
  <c r="AP1218" i="3"/>
  <c r="AP1219" i="3"/>
  <c r="AP1220" i="3"/>
  <c r="AP1221" i="3"/>
  <c r="AP1222" i="3"/>
  <c r="AP1223" i="3"/>
  <c r="AP1224" i="3"/>
  <c r="AP1225" i="3"/>
  <c r="AP1226" i="3"/>
  <c r="AP1227" i="3"/>
  <c r="AP1228" i="3"/>
  <c r="AP1229" i="3"/>
  <c r="AP1230" i="3"/>
  <c r="AP1231" i="3"/>
  <c r="AP1232" i="3"/>
  <c r="AP1233" i="3"/>
  <c r="AP1234" i="3"/>
  <c r="AP1236" i="3"/>
  <c r="AP1237" i="3"/>
  <c r="AP1238" i="3"/>
  <c r="AP1239" i="3"/>
  <c r="AP1240" i="3"/>
  <c r="AP1241" i="3"/>
  <c r="AP1242" i="3"/>
  <c r="AP1243" i="3"/>
  <c r="AP1244" i="3"/>
  <c r="AP1245" i="3"/>
  <c r="AP1248" i="3"/>
  <c r="AP1249" i="3"/>
  <c r="AP1250" i="3"/>
  <c r="AP1251" i="3"/>
  <c r="AP1252" i="3"/>
  <c r="AP1253" i="3"/>
  <c r="AP1256" i="3"/>
  <c r="AP1257" i="3"/>
  <c r="AP1259" i="3"/>
  <c r="AP1260" i="3"/>
  <c r="AP1261" i="3"/>
  <c r="AP1262" i="3"/>
  <c r="AP1263" i="3"/>
  <c r="AP1264" i="3"/>
  <c r="AP1265" i="3"/>
  <c r="AP1266" i="3"/>
  <c r="AP1268" i="3"/>
  <c r="AP1269" i="3"/>
  <c r="AP1270" i="3"/>
  <c r="AP1271" i="3"/>
  <c r="AP1272" i="3"/>
  <c r="AP1273" i="3"/>
  <c r="AP1275" i="3"/>
  <c r="AP1276" i="3"/>
  <c r="AP1277" i="3"/>
  <c r="AP1278" i="3"/>
  <c r="AP1279" i="3"/>
  <c r="AP1280" i="3"/>
  <c r="AP1281" i="3"/>
  <c r="AP1282" i="3"/>
  <c r="AP1283" i="3"/>
  <c r="AP1284" i="3"/>
  <c r="AP1285" i="3"/>
  <c r="AP1286" i="3"/>
  <c r="AP1287" i="3"/>
  <c r="AP1288" i="3"/>
  <c r="AP1289" i="3"/>
  <c r="AP1291" i="3"/>
  <c r="AP1292" i="3"/>
  <c r="AP1293" i="3"/>
  <c r="AP1294" i="3"/>
  <c r="AP1295" i="3"/>
  <c r="AP1296" i="3"/>
  <c r="AP1297" i="3"/>
  <c r="AP1298" i="3"/>
  <c r="AP1299" i="3"/>
  <c r="AP1300" i="3"/>
  <c r="AP1301" i="3"/>
  <c r="AP1302" i="3"/>
  <c r="AP1303" i="3"/>
  <c r="AP1304" i="3"/>
  <c r="AP1305" i="3"/>
  <c r="AP1306" i="3"/>
  <c r="AP1307" i="3"/>
  <c r="AP1308" i="3"/>
  <c r="AP1309" i="3"/>
  <c r="AP1310" i="3"/>
  <c r="AP1311" i="3"/>
  <c r="AP1312" i="3"/>
  <c r="AP1313" i="3"/>
  <c r="AP1314" i="3"/>
  <c r="AP1315" i="3"/>
  <c r="AP1316" i="3"/>
  <c r="AP1317" i="3"/>
  <c r="AM4" i="3"/>
  <c r="AM7" i="3"/>
  <c r="AM10" i="3"/>
  <c r="AM13" i="3"/>
  <c r="AM14" i="3"/>
  <c r="AM15" i="3"/>
  <c r="AM20" i="3"/>
  <c r="AM24" i="3"/>
  <c r="AM26" i="3"/>
  <c r="AM31" i="3"/>
  <c r="AM38" i="3"/>
  <c r="AM41" i="3"/>
  <c r="AM47" i="3"/>
  <c r="AM50" i="3"/>
  <c r="AM54" i="3"/>
  <c r="AM61" i="3"/>
  <c r="AM62" i="3"/>
  <c r="AM63" i="3"/>
  <c r="AM64" i="3"/>
  <c r="AM69" i="3"/>
  <c r="AM70" i="3"/>
  <c r="AM71" i="3"/>
  <c r="AM73" i="3"/>
  <c r="AM75" i="3"/>
  <c r="AM76" i="3"/>
  <c r="AM77" i="3"/>
  <c r="AM82" i="3"/>
  <c r="AM89" i="3"/>
  <c r="AM90" i="3"/>
  <c r="AM112" i="3"/>
  <c r="AM114" i="3"/>
  <c r="AM116" i="3"/>
  <c r="AM121" i="3"/>
  <c r="AM134" i="3"/>
  <c r="AM137" i="3"/>
  <c r="AM139" i="3"/>
  <c r="AM140" i="3"/>
  <c r="AM141" i="3"/>
  <c r="AM143" i="3"/>
  <c r="AM148" i="3"/>
  <c r="AM152" i="3"/>
  <c r="AM154" i="3"/>
  <c r="AM155" i="3"/>
  <c r="AM159" i="3"/>
  <c r="AM161" i="3"/>
  <c r="AM162" i="3"/>
  <c r="AM164" i="3"/>
  <c r="AM166" i="3"/>
  <c r="AM167" i="3"/>
  <c r="AM168" i="3"/>
  <c r="AM175" i="3"/>
  <c r="AM176" i="3"/>
  <c r="AM177" i="3"/>
  <c r="AM180" i="3"/>
  <c r="AM181" i="3"/>
  <c r="AM184" i="3"/>
  <c r="AM185" i="3"/>
  <c r="AM188" i="3"/>
  <c r="AM191" i="3"/>
  <c r="AM192" i="3"/>
  <c r="AM195" i="3"/>
  <c r="AM197" i="3"/>
  <c r="AM198" i="3"/>
  <c r="AM199" i="3"/>
  <c r="AM201" i="3"/>
  <c r="AM202" i="3"/>
  <c r="AM204" i="3"/>
  <c r="AM206" i="3"/>
  <c r="AM208" i="3"/>
  <c r="AM209" i="3"/>
  <c r="AM212" i="3"/>
  <c r="AM214" i="3"/>
  <c r="AM218" i="3"/>
  <c r="AM219" i="3"/>
  <c r="AM224" i="3"/>
  <c r="AM228" i="3"/>
  <c r="AM230" i="3"/>
  <c r="AM231" i="3"/>
  <c r="AM233" i="3"/>
  <c r="AM235" i="3"/>
  <c r="AM236" i="3"/>
  <c r="AM242" i="3"/>
  <c r="AM245" i="3"/>
  <c r="AM246" i="3"/>
  <c r="AM251" i="3"/>
  <c r="AM252" i="3"/>
  <c r="AM253" i="3"/>
  <c r="AM256" i="3"/>
  <c r="AM260" i="3"/>
  <c r="AM261" i="3"/>
  <c r="AM266" i="3"/>
  <c r="AM267" i="3"/>
  <c r="AM278" i="3"/>
  <c r="AM285" i="3"/>
  <c r="AM287" i="3"/>
  <c r="AM290" i="3"/>
  <c r="AM302" i="3"/>
  <c r="AM307" i="3"/>
  <c r="AM308" i="3"/>
  <c r="AM311" i="3"/>
  <c r="AM314" i="3"/>
  <c r="AM315" i="3"/>
  <c r="AM316" i="3"/>
  <c r="AM317" i="3"/>
  <c r="AM321" i="3"/>
  <c r="AM322" i="3"/>
  <c r="AM325" i="3"/>
  <c r="AM327" i="3"/>
  <c r="AM330" i="3"/>
  <c r="AM336" i="3"/>
  <c r="AM342" i="3"/>
  <c r="AM343" i="3"/>
  <c r="AM345" i="3"/>
  <c r="AM348" i="3"/>
  <c r="AM349" i="3"/>
  <c r="AM352" i="3"/>
  <c r="AM356" i="3"/>
  <c r="AM357" i="3"/>
  <c r="AM358" i="3"/>
  <c r="AM362" i="3"/>
  <c r="AM365" i="3"/>
  <c r="AM367" i="3"/>
  <c r="AM369" i="3"/>
  <c r="AM370" i="3"/>
  <c r="AM376" i="3"/>
  <c r="AM377" i="3"/>
  <c r="AM380" i="3"/>
  <c r="AM382" i="3"/>
  <c r="AM383" i="3"/>
  <c r="AM389" i="3"/>
  <c r="AM392" i="3"/>
  <c r="AM393" i="3"/>
  <c r="AM399" i="3"/>
  <c r="AM404" i="3"/>
  <c r="AM406" i="3"/>
  <c r="AM408" i="3"/>
  <c r="AM412" i="3"/>
  <c r="AM413" i="3"/>
  <c r="AM415" i="3"/>
  <c r="AM417" i="3"/>
  <c r="AM420" i="3"/>
  <c r="AM423" i="3"/>
  <c r="AM426" i="3"/>
  <c r="AM427" i="3"/>
  <c r="AM432" i="3"/>
  <c r="AM434" i="3"/>
  <c r="AM435" i="3"/>
  <c r="AM443" i="3"/>
  <c r="AM446" i="3"/>
  <c r="AM447" i="3"/>
  <c r="AM451" i="3"/>
  <c r="AM452" i="3"/>
  <c r="AM455" i="3"/>
  <c r="AM458" i="3"/>
  <c r="AM462" i="3"/>
  <c r="AM463" i="3"/>
  <c r="AM464" i="3"/>
  <c r="AM468" i="3"/>
  <c r="AM470" i="3"/>
  <c r="AM472" i="3"/>
  <c r="AM475" i="3"/>
  <c r="AM476" i="3"/>
  <c r="AM477" i="3"/>
  <c r="AM478" i="3"/>
  <c r="AM479" i="3"/>
  <c r="AM482" i="3"/>
  <c r="AM485" i="3"/>
  <c r="AM488" i="3"/>
  <c r="AM489" i="3"/>
  <c r="AM490" i="3"/>
  <c r="AM493" i="3"/>
  <c r="AM495" i="3"/>
  <c r="AM498" i="3"/>
  <c r="AM499" i="3"/>
  <c r="AM500" i="3"/>
  <c r="AM501" i="3"/>
  <c r="AM502" i="3"/>
  <c r="AM504" i="3"/>
  <c r="AM505" i="3"/>
  <c r="AM507" i="3"/>
  <c r="AM509" i="3"/>
  <c r="AM520" i="3"/>
  <c r="AM521" i="3"/>
  <c r="AM522" i="3"/>
  <c r="AM523" i="3"/>
  <c r="AM524" i="3"/>
  <c r="AM525" i="3"/>
  <c r="AM527" i="3"/>
  <c r="AM531" i="3"/>
  <c r="AM532" i="3"/>
  <c r="AM533" i="3"/>
  <c r="AM534" i="3"/>
  <c r="AM538" i="3"/>
  <c r="AM539" i="3"/>
  <c r="AM541" i="3"/>
  <c r="AM545" i="3"/>
  <c r="AM550" i="3"/>
  <c r="AM552" i="3"/>
  <c r="AM553" i="3"/>
  <c r="AM555" i="3"/>
  <c r="AM558" i="3"/>
  <c r="AM566" i="3"/>
  <c r="AM567" i="3"/>
  <c r="AM568" i="3"/>
  <c r="AM570" i="3"/>
  <c r="AM572" i="3"/>
  <c r="AM575" i="3"/>
  <c r="AM576" i="3"/>
  <c r="AM580" i="3"/>
  <c r="AM582" i="3"/>
  <c r="AM584" i="3"/>
  <c r="AM587" i="3"/>
  <c r="AM590" i="3"/>
  <c r="AM595" i="3"/>
  <c r="AM596" i="3"/>
  <c r="AM597" i="3"/>
  <c r="AM599" i="3"/>
  <c r="AM600" i="3"/>
  <c r="AM601" i="3"/>
  <c r="AM604" i="3"/>
  <c r="AM605" i="3"/>
  <c r="AM606" i="3"/>
  <c r="AM609" i="3"/>
  <c r="AM610" i="3"/>
  <c r="AM611" i="3"/>
  <c r="AM612" i="3"/>
  <c r="AM613" i="3"/>
  <c r="AM616" i="3"/>
  <c r="AM618" i="3"/>
  <c r="AM619" i="3"/>
  <c r="AM620" i="3"/>
  <c r="AM621" i="3"/>
  <c r="AM623" i="3"/>
  <c r="AM624" i="3"/>
  <c r="AM625" i="3"/>
  <c r="AM629" i="3"/>
  <c r="AM630" i="3"/>
  <c r="AM632" i="3"/>
  <c r="AM634" i="3"/>
  <c r="AM637" i="3"/>
  <c r="AM640" i="3"/>
  <c r="AM641" i="3"/>
  <c r="AM643" i="3"/>
  <c r="AM649" i="3"/>
  <c r="AM661" i="3"/>
  <c r="AM662" i="3"/>
  <c r="AM665" i="3"/>
  <c r="AM666" i="3"/>
  <c r="AM672" i="3"/>
  <c r="AM675" i="3"/>
  <c r="AM676" i="3"/>
  <c r="AM678" i="3"/>
  <c r="AM682" i="3"/>
  <c r="AM683" i="3"/>
  <c r="AM685" i="3"/>
  <c r="AM688" i="3"/>
  <c r="AM690" i="3"/>
  <c r="AM691" i="3"/>
  <c r="AM692" i="3"/>
  <c r="AM696" i="3"/>
  <c r="AM701" i="3"/>
  <c r="AM708" i="3"/>
  <c r="AM709" i="3"/>
  <c r="AM713" i="3"/>
  <c r="AM714" i="3"/>
  <c r="AM715" i="3"/>
  <c r="AM716" i="3"/>
  <c r="AM717" i="3"/>
  <c r="AM720" i="3"/>
  <c r="AM722" i="3"/>
  <c r="AM724" i="3"/>
  <c r="AM727" i="3"/>
  <c r="AM731" i="3"/>
  <c r="AM733" i="3"/>
  <c r="AM737" i="3"/>
  <c r="AM738" i="3"/>
  <c r="AM739" i="3"/>
  <c r="AM742" i="3"/>
  <c r="AM744" i="3"/>
  <c r="AM746" i="3"/>
  <c r="AM748" i="3"/>
  <c r="AM749" i="3"/>
  <c r="AM751" i="3"/>
  <c r="AM754" i="3"/>
  <c r="AM765" i="3"/>
  <c r="AM778" i="3"/>
  <c r="AM781" i="3"/>
  <c r="AM783" i="3"/>
  <c r="AM785" i="3"/>
  <c r="AM786" i="3"/>
  <c r="AM788" i="3"/>
  <c r="AM793" i="3"/>
  <c r="AM796" i="3"/>
  <c r="AM797" i="3"/>
  <c r="AM798" i="3"/>
  <c r="AM804" i="3"/>
  <c r="AM806" i="3"/>
  <c r="AM819" i="3"/>
  <c r="AM823" i="3"/>
  <c r="AM826" i="3"/>
  <c r="AM827" i="3"/>
  <c r="AM829" i="3"/>
  <c r="AM830" i="3"/>
  <c r="AM831" i="3"/>
  <c r="AM832" i="3"/>
  <c r="AM833" i="3"/>
  <c r="AM836" i="3"/>
  <c r="AM838" i="3"/>
  <c r="AM840" i="3"/>
  <c r="AM841" i="3"/>
  <c r="AM842" i="3"/>
  <c r="AM843" i="3"/>
  <c r="AM844" i="3"/>
  <c r="AM848" i="3"/>
  <c r="AM849" i="3"/>
  <c r="AM853" i="3"/>
  <c r="AM854" i="3"/>
  <c r="AM856" i="3"/>
  <c r="AM859" i="3"/>
  <c r="AM862" i="3"/>
  <c r="AM863" i="3"/>
  <c r="AM867" i="3"/>
  <c r="AM872" i="3"/>
  <c r="AM874" i="3"/>
  <c r="AM876" i="3"/>
  <c r="AM877" i="3"/>
  <c r="AM879" i="3"/>
  <c r="AM880" i="3"/>
  <c r="AM883" i="3"/>
  <c r="AM886" i="3"/>
  <c r="AM889" i="3"/>
  <c r="AM892" i="3"/>
  <c r="AM896" i="3"/>
  <c r="AM899" i="3"/>
  <c r="AM905" i="3"/>
  <c r="AM906" i="3"/>
  <c r="AM908" i="3"/>
  <c r="AM910" i="3"/>
  <c r="AM912" i="3"/>
  <c r="AM916" i="3"/>
  <c r="AM918" i="3"/>
  <c r="AM919" i="3"/>
  <c r="AM928" i="3"/>
  <c r="AM930" i="3"/>
  <c r="AM932" i="3"/>
  <c r="AM934" i="3"/>
  <c r="AM944" i="3"/>
  <c r="AM947" i="3"/>
  <c r="AM948" i="3"/>
  <c r="AM949" i="3"/>
  <c r="AM951" i="3"/>
  <c r="AM952" i="3"/>
  <c r="AM954" i="3"/>
  <c r="AM955" i="3"/>
  <c r="AM957" i="3"/>
  <c r="AM961" i="3"/>
  <c r="AM962" i="3"/>
  <c r="AM963" i="3"/>
  <c r="AM964" i="3"/>
  <c r="AM966" i="3"/>
  <c r="AM967" i="3"/>
  <c r="AM968" i="3"/>
  <c r="AM969" i="3"/>
  <c r="AM973" i="3"/>
  <c r="AM974" i="3"/>
  <c r="AM976" i="3"/>
  <c r="AM977" i="3"/>
  <c r="AM981" i="3"/>
  <c r="AM984" i="3"/>
  <c r="AM985" i="3"/>
  <c r="AM986" i="3"/>
  <c r="AM988" i="3"/>
  <c r="AM989" i="3"/>
  <c r="AM992" i="3"/>
  <c r="AM995" i="3"/>
  <c r="AM998" i="3"/>
  <c r="AM999" i="3"/>
  <c r="AM1000" i="3"/>
  <c r="AM1001" i="3"/>
  <c r="AM1002" i="3"/>
  <c r="AM1004" i="3"/>
  <c r="AM1005" i="3"/>
  <c r="AM1007" i="3"/>
  <c r="AM1008" i="3"/>
  <c r="AM1009" i="3"/>
  <c r="AM1011" i="3"/>
  <c r="AM1016" i="3"/>
  <c r="AM1017" i="3"/>
  <c r="AM1018" i="3"/>
  <c r="AM1020" i="3"/>
  <c r="AM1022" i="3"/>
  <c r="AM1023" i="3"/>
  <c r="AM1024" i="3"/>
  <c r="AM1025" i="3"/>
  <c r="AM1026" i="3"/>
  <c r="AM1027" i="3"/>
  <c r="AM1029" i="3"/>
  <c r="AM1030" i="3"/>
  <c r="AM1031" i="3"/>
  <c r="AM1032" i="3"/>
  <c r="AM1033" i="3"/>
  <c r="AM1040" i="3"/>
  <c r="AM1041" i="3"/>
  <c r="AM1042" i="3"/>
  <c r="AM1043" i="3"/>
  <c r="AM1045" i="3"/>
  <c r="AM1047" i="3"/>
  <c r="AM1050" i="3"/>
  <c r="AM1051" i="3"/>
  <c r="AM1052" i="3"/>
  <c r="AM1053" i="3"/>
  <c r="AM1054" i="3"/>
  <c r="AM1055" i="3"/>
  <c r="AM1056" i="3"/>
  <c r="AM1057" i="3"/>
  <c r="AM1059" i="3"/>
  <c r="AM1060" i="3"/>
  <c r="AM1061" i="3"/>
  <c r="AM1062" i="3"/>
  <c r="AM1064" i="3"/>
  <c r="AM1066" i="3"/>
  <c r="AM1067" i="3"/>
  <c r="AM1068" i="3"/>
  <c r="AM1069" i="3"/>
  <c r="AM1071" i="3"/>
  <c r="AM1075" i="3"/>
  <c r="AM1079" i="3"/>
  <c r="AM1081" i="3"/>
  <c r="AM1084" i="3"/>
  <c r="AM1086" i="3"/>
  <c r="AM1087" i="3"/>
  <c r="AM1088" i="3"/>
  <c r="AM1089" i="3"/>
  <c r="AM1090" i="3"/>
  <c r="AM1091" i="3"/>
  <c r="AM1092" i="3"/>
  <c r="AM1094" i="3"/>
  <c r="AM1095" i="3"/>
  <c r="AM1096" i="3"/>
  <c r="AM1097" i="3"/>
  <c r="AM1099" i="3"/>
  <c r="AM1100" i="3"/>
  <c r="AM1101" i="3"/>
  <c r="AM1103" i="3"/>
  <c r="AM1107" i="3"/>
  <c r="AM1108" i="3"/>
  <c r="AM1109" i="3"/>
  <c r="AM1112" i="3"/>
  <c r="AM1113" i="3"/>
  <c r="AM1116" i="3"/>
  <c r="AM1120" i="3"/>
  <c r="AM1123" i="3"/>
  <c r="AM1127" i="3"/>
  <c r="AM1128" i="3"/>
  <c r="AM1129" i="3"/>
  <c r="AM1136" i="3"/>
  <c r="AM1138" i="3"/>
  <c r="AM1139" i="3"/>
  <c r="AM1142" i="3"/>
  <c r="AM1143" i="3"/>
  <c r="AM1144" i="3"/>
  <c r="AM1148" i="3"/>
  <c r="AM1150" i="3"/>
  <c r="AM1151" i="3"/>
  <c r="AM1152" i="3"/>
  <c r="AM1154" i="3"/>
  <c r="AM1157" i="3"/>
  <c r="AM1162" i="3"/>
  <c r="AM1163" i="3"/>
  <c r="AM1169" i="3"/>
  <c r="AM1170" i="3"/>
  <c r="AM1171" i="3"/>
  <c r="AM1181" i="3"/>
  <c r="AM1183" i="3"/>
  <c r="AM1184" i="3"/>
  <c r="AM1185" i="3"/>
  <c r="AM1186" i="3"/>
  <c r="AM1190" i="3"/>
  <c r="AM1192" i="3"/>
  <c r="AM1193" i="3"/>
  <c r="AM1194" i="3"/>
  <c r="AM1200" i="3"/>
  <c r="AM1203" i="3"/>
  <c r="AM1205" i="3"/>
  <c r="AM1207" i="3"/>
  <c r="AM1209" i="3"/>
  <c r="AM1213" i="3"/>
  <c r="AM1214" i="3"/>
  <c r="AM1215" i="3"/>
  <c r="AM1217" i="3"/>
  <c r="AM1218" i="3"/>
  <c r="AM1219" i="3"/>
  <c r="AM1220" i="3"/>
  <c r="AM1221" i="3"/>
  <c r="AM1222" i="3"/>
  <c r="AM1225" i="3"/>
  <c r="AM1226" i="3"/>
  <c r="AM1229" i="3"/>
  <c r="AM1240" i="3"/>
  <c r="AM1243" i="3"/>
  <c r="AM1245" i="3"/>
  <c r="AM1251" i="3"/>
  <c r="AM1252" i="3"/>
  <c r="AM1253" i="3"/>
  <c r="AM1257" i="3"/>
  <c r="AM1258" i="3"/>
  <c r="AM1259" i="3"/>
  <c r="AM1260" i="3"/>
  <c r="AM1261" i="3"/>
  <c r="AM1262" i="3"/>
  <c r="AM1263" i="3"/>
  <c r="AM1264" i="3"/>
  <c r="AM1271" i="3"/>
  <c r="AM1273" i="3"/>
  <c r="AM1274" i="3"/>
  <c r="AM1275" i="3"/>
  <c r="AM1279" i="3"/>
  <c r="AM1280" i="3"/>
  <c r="AM1281" i="3"/>
  <c r="AM1287" i="3"/>
  <c r="AM1288" i="3"/>
  <c r="AM1291" i="3"/>
  <c r="AM1293" i="3"/>
  <c r="AM1294" i="3"/>
  <c r="AM1299" i="3"/>
  <c r="AM1300" i="3"/>
  <c r="AM1303" i="3"/>
  <c r="AM1304" i="3"/>
  <c r="AM1306" i="3"/>
  <c r="AM1313" i="3"/>
  <c r="AM1315" i="3"/>
  <c r="AM1316" i="3"/>
  <c r="AL570" i="3"/>
  <c r="AK221" i="3"/>
  <c r="AK540" i="3"/>
  <c r="AK654" i="3"/>
  <c r="BB693" i="1"/>
  <c r="BB694" i="1"/>
  <c r="BB695" i="1"/>
  <c r="BB696" i="1"/>
  <c r="BB697" i="1"/>
  <c r="BB698" i="1"/>
  <c r="BB699" i="1"/>
  <c r="BB700" i="1"/>
  <c r="BB701" i="1"/>
  <c r="BB775" i="1"/>
  <c r="BB1291" i="1"/>
  <c r="BB1410" i="1"/>
  <c r="BB1487" i="1"/>
  <c r="BB1488" i="1"/>
  <c r="BB1489" i="1"/>
  <c r="BB1490" i="1"/>
  <c r="BB1491" i="1"/>
  <c r="BB1492" i="1"/>
  <c r="BB1502" i="1"/>
  <c r="BB1566" i="1"/>
  <c r="BB1567" i="1"/>
  <c r="BB1766" i="1"/>
  <c r="BB1767" i="1"/>
  <c r="BB1768" i="1"/>
  <c r="BB1769" i="1"/>
  <c r="BB1770" i="1"/>
  <c r="BB1771" i="1"/>
  <c r="BB1772" i="1"/>
  <c r="BB1773" i="1"/>
  <c r="BB1774" i="1"/>
  <c r="BB1775" i="1"/>
  <c r="BB1776" i="1"/>
  <c r="BB1843"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U3" i="1"/>
  <c r="U4" i="1"/>
  <c r="U5" i="1"/>
  <c r="U6" i="1"/>
  <c r="U19" i="1"/>
  <c r="U20" i="1"/>
  <c r="U27" i="1"/>
  <c r="U28" i="1"/>
  <c r="U29" i="1"/>
  <c r="U30" i="1"/>
  <c r="U31" i="1"/>
  <c r="U32" i="1"/>
  <c r="U33" i="1"/>
  <c r="U37" i="1"/>
  <c r="U38" i="1"/>
  <c r="U39" i="1"/>
  <c r="U40" i="1"/>
  <c r="U41" i="1"/>
  <c r="U42" i="1"/>
  <c r="U43" i="1"/>
  <c r="U45" i="1"/>
  <c r="U46" i="1"/>
  <c r="U51" i="1"/>
  <c r="U52" i="1"/>
  <c r="U53" i="1"/>
  <c r="U58" i="1"/>
  <c r="U59" i="1"/>
  <c r="U64" i="1"/>
  <c r="U66" i="1"/>
  <c r="U68" i="1"/>
  <c r="U69" i="1"/>
  <c r="U70" i="1"/>
  <c r="U82" i="1"/>
  <c r="U83" i="1"/>
  <c r="U88" i="1"/>
  <c r="U89" i="1"/>
  <c r="U90" i="1"/>
  <c r="U91" i="1"/>
  <c r="U92" i="1"/>
  <c r="U93" i="1"/>
  <c r="U94" i="1"/>
  <c r="U95" i="1"/>
  <c r="U96" i="1"/>
  <c r="U97" i="1"/>
  <c r="U98" i="1"/>
  <c r="U99" i="1"/>
  <c r="U101" i="1"/>
  <c r="U105" i="1"/>
  <c r="U106" i="1"/>
  <c r="U107" i="1"/>
  <c r="U108" i="1"/>
  <c r="U109" i="1"/>
  <c r="U110" i="1"/>
  <c r="U111" i="1"/>
  <c r="U112" i="1"/>
  <c r="U113" i="1"/>
  <c r="U114" i="1"/>
  <c r="U115" i="1"/>
  <c r="U116" i="1"/>
  <c r="U117" i="1"/>
  <c r="U118" i="1"/>
  <c r="U119" i="1"/>
  <c r="U122" i="1"/>
  <c r="U123" i="1"/>
  <c r="U124" i="1"/>
  <c r="U125" i="1"/>
  <c r="U126" i="1"/>
  <c r="U127" i="1"/>
  <c r="U128" i="1"/>
  <c r="U131" i="1"/>
  <c r="U132" i="1"/>
  <c r="U133" i="1"/>
  <c r="U134" i="1"/>
  <c r="U139" i="1"/>
  <c r="U145" i="1"/>
  <c r="U146" i="1"/>
  <c r="U147" i="1"/>
  <c r="U148" i="1"/>
  <c r="U153" i="1"/>
  <c r="U159" i="1"/>
  <c r="U164" i="1"/>
  <c r="U165" i="1"/>
  <c r="U171" i="1"/>
  <c r="U173" i="1"/>
  <c r="U174" i="1"/>
  <c r="U178" i="1"/>
  <c r="U179" i="1"/>
  <c r="U182" i="1"/>
  <c r="U183" i="1"/>
  <c r="U188" i="1"/>
  <c r="U189" i="1"/>
  <c r="U190" i="1"/>
  <c r="U191" i="1"/>
  <c r="U193" i="1"/>
  <c r="U194" i="1"/>
  <c r="U198" i="1"/>
  <c r="U199" i="1"/>
  <c r="U200" i="1"/>
  <c r="U201" i="1"/>
  <c r="U203" i="1"/>
  <c r="U207" i="1"/>
  <c r="U208" i="1"/>
  <c r="U209" i="1"/>
  <c r="U211" i="1"/>
  <c r="U212" i="1"/>
  <c r="U213" i="1"/>
  <c r="U214" i="1"/>
  <c r="U215" i="1"/>
  <c r="U219" i="1"/>
  <c r="U221" i="1"/>
  <c r="U222" i="1"/>
  <c r="U230" i="1"/>
  <c r="U232" i="1"/>
  <c r="U233" i="1"/>
  <c r="U238" i="1"/>
  <c r="U239" i="1"/>
  <c r="U242" i="1"/>
  <c r="U243" i="1"/>
  <c r="U255" i="1"/>
  <c r="U256" i="1"/>
  <c r="U257" i="1"/>
  <c r="U258" i="1"/>
  <c r="U259" i="1"/>
  <c r="U260" i="1"/>
  <c r="U261" i="1"/>
  <c r="U262" i="1"/>
  <c r="U263" i="1"/>
  <c r="U264" i="1"/>
  <c r="U267" i="1"/>
  <c r="U268" i="1"/>
  <c r="U271" i="1"/>
  <c r="U272" i="1"/>
  <c r="U273" i="1"/>
  <c r="U274" i="1"/>
  <c r="U275" i="1"/>
  <c r="U276" i="1"/>
  <c r="U277" i="1"/>
  <c r="U278" i="1"/>
  <c r="U279" i="1"/>
  <c r="U280" i="1"/>
  <c r="U281" i="1"/>
  <c r="U283" i="1"/>
  <c r="U284" i="1"/>
  <c r="U285" i="1"/>
  <c r="U286" i="1"/>
  <c r="U287" i="1"/>
  <c r="U289" i="1"/>
  <c r="U290" i="1"/>
  <c r="U291" i="1"/>
  <c r="U292" i="1"/>
  <c r="U294" i="1"/>
  <c r="U295" i="1"/>
  <c r="U296" i="1"/>
  <c r="U300" i="1"/>
  <c r="U305" i="1"/>
  <c r="U306" i="1"/>
  <c r="U307" i="1"/>
  <c r="U308" i="1"/>
  <c r="U309" i="1"/>
  <c r="U310" i="1"/>
  <c r="U311" i="1"/>
  <c r="U312" i="1"/>
  <c r="U313" i="1"/>
  <c r="U314" i="1"/>
  <c r="U316" i="1"/>
  <c r="U318" i="1"/>
  <c r="U319" i="1"/>
  <c r="U320" i="1"/>
  <c r="U321" i="1"/>
  <c r="U324" i="1"/>
  <c r="U325" i="1"/>
  <c r="U326" i="1"/>
  <c r="U328"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8" i="1"/>
  <c r="U379" i="1"/>
  <c r="U380" i="1"/>
  <c r="U381" i="1"/>
  <c r="U382" i="1"/>
  <c r="U383" i="1"/>
  <c r="U384" i="1"/>
  <c r="U385" i="1"/>
  <c r="U386" i="1"/>
  <c r="U387" i="1"/>
  <c r="U388" i="1"/>
  <c r="U389" i="1"/>
  <c r="U390" i="1"/>
  <c r="U391" i="1"/>
  <c r="U392" i="1"/>
  <c r="U393" i="1"/>
  <c r="U394" i="1"/>
  <c r="U395" i="1"/>
  <c r="U396" i="1"/>
  <c r="U397" i="1"/>
  <c r="U398" i="1"/>
  <c r="U399" i="1"/>
  <c r="U400" i="1"/>
  <c r="U401" i="1"/>
  <c r="U404" i="1"/>
  <c r="U405" i="1"/>
  <c r="U406" i="1"/>
  <c r="U407" i="1"/>
  <c r="U408" i="1"/>
  <c r="U409" i="1"/>
  <c r="U410" i="1"/>
  <c r="U411" i="1"/>
  <c r="U412" i="1"/>
  <c r="U413" i="1"/>
  <c r="U414" i="1"/>
  <c r="U415" i="1"/>
  <c r="U416" i="1"/>
  <c r="U417" i="1"/>
  <c r="U418" i="1"/>
  <c r="U419" i="1"/>
  <c r="U420" i="1"/>
  <c r="U424" i="1"/>
  <c r="U425" i="1"/>
  <c r="U426" i="1"/>
  <c r="U427" i="1"/>
  <c r="U428" i="1"/>
  <c r="U429" i="1"/>
  <c r="U430" i="1"/>
  <c r="U431" i="1"/>
  <c r="U432" i="1"/>
  <c r="U433" i="1"/>
  <c r="U434" i="1"/>
  <c r="U442" i="1"/>
  <c r="U444" i="1"/>
  <c r="U448" i="1"/>
  <c r="U449" i="1"/>
  <c r="U458" i="1"/>
  <c r="U459" i="1"/>
  <c r="U460" i="1"/>
  <c r="U461" i="1"/>
  <c r="U484" i="1"/>
  <c r="U491" i="1"/>
  <c r="U494" i="1"/>
  <c r="U495" i="1"/>
  <c r="U497" i="1"/>
  <c r="U498" i="1"/>
  <c r="U510" i="1"/>
  <c r="U512" i="1"/>
  <c r="U516" i="1"/>
  <c r="U517" i="1"/>
  <c r="U518" i="1"/>
  <c r="U520" i="1"/>
  <c r="U526" i="1"/>
  <c r="U537" i="1"/>
  <c r="U538" i="1"/>
  <c r="U539" i="1"/>
  <c r="U540" i="1"/>
  <c r="U541" i="1"/>
  <c r="U542" i="1"/>
  <c r="U543" i="1"/>
  <c r="U544" i="1"/>
  <c r="U545" i="1"/>
  <c r="U546" i="1"/>
  <c r="U547" i="1"/>
  <c r="U548" i="1"/>
  <c r="U549" i="1"/>
  <c r="U550" i="1"/>
  <c r="U551" i="1"/>
  <c r="U552" i="1"/>
  <c r="U553" i="1"/>
  <c r="U554" i="1"/>
  <c r="U555" i="1"/>
  <c r="U557" i="1"/>
  <c r="U559" i="1"/>
  <c r="U560" i="1"/>
  <c r="U561" i="1"/>
  <c r="U562" i="1"/>
  <c r="U563" i="1"/>
  <c r="U564" i="1"/>
  <c r="U566" i="1"/>
  <c r="U567" i="1"/>
  <c r="U568" i="1"/>
  <c r="U569" i="1"/>
  <c r="U570" i="1"/>
  <c r="U571" i="1"/>
  <c r="U573" i="1"/>
  <c r="U574" i="1"/>
  <c r="U575" i="1"/>
  <c r="U577" i="1"/>
  <c r="U578" i="1"/>
  <c r="U580" i="1"/>
  <c r="U581" i="1"/>
  <c r="U582" i="1"/>
  <c r="U583" i="1"/>
  <c r="U586" i="1"/>
  <c r="U588" i="1"/>
  <c r="U607"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2" i="1"/>
  <c r="U643" i="1"/>
  <c r="U644" i="1"/>
  <c r="U645" i="1"/>
  <c r="U646" i="1"/>
  <c r="U648" i="1"/>
  <c r="U649" i="1"/>
  <c r="U650" i="1"/>
  <c r="U652" i="1"/>
  <c r="U653" i="1"/>
  <c r="U654" i="1"/>
  <c r="U655" i="1"/>
  <c r="U656" i="1"/>
  <c r="U657" i="1"/>
  <c r="U658" i="1"/>
  <c r="U659" i="1"/>
  <c r="U660" i="1"/>
  <c r="U664" i="1"/>
  <c r="U665" i="1"/>
  <c r="U666" i="1"/>
  <c r="U669" i="1"/>
  <c r="U670" i="1"/>
  <c r="U673" i="1"/>
  <c r="U675" i="1"/>
  <c r="U676" i="1"/>
  <c r="U687" i="1"/>
  <c r="U688" i="1"/>
  <c r="U691" i="1"/>
  <c r="U692" i="1"/>
  <c r="U693" i="1"/>
  <c r="U694" i="1"/>
  <c r="U695" i="1"/>
  <c r="U696" i="1"/>
  <c r="U697" i="1"/>
  <c r="U698" i="1"/>
  <c r="U699" i="1"/>
  <c r="U700" i="1"/>
  <c r="U701" i="1"/>
  <c r="U702" i="1"/>
  <c r="U708" i="1"/>
  <c r="U710" i="1"/>
  <c r="U711" i="1"/>
  <c r="U712" i="1"/>
  <c r="U714" i="1"/>
  <c r="U715" i="1"/>
  <c r="U716" i="1"/>
  <c r="U717" i="1"/>
  <c r="U718" i="1"/>
  <c r="U719" i="1"/>
  <c r="U720" i="1"/>
  <c r="U721" i="1"/>
  <c r="U722" i="1"/>
  <c r="U723" i="1"/>
  <c r="U725" i="1"/>
  <c r="U728" i="1"/>
  <c r="U743" i="1"/>
  <c r="U744" i="1"/>
  <c r="U747" i="1"/>
  <c r="U752" i="1"/>
  <c r="U753" i="1"/>
  <c r="U754" i="1"/>
  <c r="U765" i="1"/>
  <c r="U768" i="1"/>
  <c r="U776" i="1"/>
  <c r="U777" i="1"/>
  <c r="U778" i="1"/>
  <c r="U779" i="1"/>
  <c r="U780" i="1"/>
  <c r="U781" i="1"/>
  <c r="U782" i="1"/>
  <c r="U785" i="1"/>
  <c r="U787" i="1"/>
  <c r="U788" i="1"/>
  <c r="U789" i="1"/>
  <c r="U795" i="1"/>
  <c r="U803" i="1"/>
  <c r="U804" i="1"/>
  <c r="U825" i="1"/>
  <c r="U826" i="1"/>
  <c r="U828" i="1"/>
  <c r="U833" i="1"/>
  <c r="U836" i="1"/>
  <c r="U837" i="1"/>
  <c r="U838" i="1"/>
  <c r="U839" i="1"/>
  <c r="U840" i="1"/>
  <c r="U841" i="1"/>
  <c r="U842" i="1"/>
  <c r="U845" i="1"/>
  <c r="U846" i="1"/>
  <c r="U851" i="1"/>
  <c r="U855" i="1"/>
  <c r="U856" i="1"/>
  <c r="U859" i="1"/>
  <c r="U860" i="1"/>
  <c r="U866" i="1"/>
  <c r="U867" i="1"/>
  <c r="U869" i="1"/>
  <c r="U871" i="1"/>
  <c r="U875" i="1"/>
  <c r="U876" i="1"/>
  <c r="U877" i="1"/>
  <c r="U878" i="1"/>
  <c r="U879" i="1"/>
  <c r="U880"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3" i="1"/>
  <c r="U1014" i="1"/>
  <c r="U1015" i="1"/>
  <c r="U1016" i="1"/>
  <c r="U1017" i="1"/>
  <c r="U1018" i="1"/>
  <c r="U1019" i="1"/>
  <c r="U1020" i="1"/>
  <c r="U1021" i="1"/>
  <c r="U1022" i="1"/>
  <c r="U1026" i="1"/>
  <c r="U1027" i="1"/>
  <c r="U1028" i="1"/>
  <c r="U1029" i="1"/>
  <c r="U1030" i="1"/>
  <c r="U1031" i="1"/>
  <c r="U1033" i="1"/>
  <c r="U1034" i="1"/>
  <c r="U1035" i="1"/>
  <c r="U1036" i="1"/>
  <c r="U1037" i="1"/>
  <c r="U1039" i="1"/>
  <c r="U1040" i="1"/>
  <c r="U1041" i="1"/>
  <c r="U1042" i="1"/>
  <c r="U1043" i="1"/>
  <c r="U1044" i="1"/>
  <c r="U1045" i="1"/>
  <c r="U1046" i="1"/>
  <c r="U1047" i="1"/>
  <c r="U1048" i="1"/>
  <c r="U1060" i="1"/>
  <c r="U1061" i="1"/>
  <c r="U1062" i="1"/>
  <c r="U1063" i="1"/>
  <c r="U1064" i="1"/>
  <c r="U1065" i="1"/>
  <c r="U1066" i="1"/>
  <c r="U1067" i="1"/>
  <c r="U1068" i="1"/>
  <c r="U1069" i="1"/>
  <c r="U1070" i="1"/>
  <c r="U1071" i="1"/>
  <c r="U1072" i="1"/>
  <c r="U1073" i="1"/>
  <c r="U1074" i="1"/>
  <c r="U1075" i="1"/>
  <c r="U1082" i="1"/>
  <c r="U1083" i="1"/>
  <c r="U1084" i="1"/>
  <c r="U1085" i="1"/>
  <c r="U1086"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4" i="1"/>
  <c r="U1226" i="1"/>
  <c r="U1227" i="1"/>
  <c r="U1228" i="1"/>
  <c r="U1229" i="1"/>
  <c r="U1230" i="1"/>
  <c r="U1231" i="1"/>
  <c r="U1232" i="1"/>
  <c r="U1233" i="1"/>
  <c r="U1234" i="1"/>
  <c r="U1235" i="1"/>
  <c r="U1238" i="1"/>
  <c r="U1239" i="1"/>
  <c r="U1240" i="1"/>
  <c r="U1241" i="1"/>
  <c r="U1242" i="1"/>
  <c r="U1243" i="1"/>
  <c r="U1244" i="1"/>
  <c r="U1245" i="1"/>
  <c r="U1246" i="1"/>
  <c r="U1247" i="1"/>
  <c r="U1249" i="1"/>
  <c r="U1250" i="1"/>
  <c r="U1251" i="1"/>
  <c r="U1252" i="1"/>
  <c r="U1253" i="1"/>
  <c r="U1254" i="1"/>
  <c r="U1255" i="1"/>
  <c r="U1256" i="1"/>
  <c r="U1257" i="1"/>
  <c r="U1258" i="1"/>
  <c r="U1261" i="1"/>
  <c r="U1262" i="1"/>
  <c r="U1287" i="1"/>
  <c r="U1292" i="1"/>
  <c r="U1293" i="1"/>
  <c r="U1294" i="1"/>
  <c r="U1295" i="1"/>
  <c r="U1296" i="1"/>
  <c r="U1297" i="1"/>
  <c r="U1298" i="1"/>
  <c r="U1299" i="1"/>
  <c r="U1300" i="1"/>
  <c r="U1301" i="1"/>
  <c r="U1304" i="1"/>
  <c r="U1305" i="1"/>
  <c r="U1321" i="1"/>
  <c r="U1322" i="1"/>
  <c r="U1323" i="1"/>
  <c r="U1324" i="1"/>
  <c r="U1325" i="1"/>
  <c r="U1327" i="1"/>
  <c r="U1328" i="1"/>
  <c r="U1329" i="1"/>
  <c r="U1330" i="1"/>
  <c r="U1331" i="1"/>
  <c r="U1332" i="1"/>
  <c r="U1333" i="1"/>
  <c r="U1336" i="1"/>
  <c r="U1352" i="1"/>
  <c r="U1353"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6" i="1"/>
  <c r="U1409" i="1"/>
  <c r="U1411" i="1"/>
  <c r="U1412" i="1"/>
  <c r="U1413" i="1"/>
  <c r="U1414" i="1"/>
  <c r="U1415" i="1"/>
  <c r="U1437" i="1"/>
  <c r="U1438" i="1"/>
  <c r="U1440" i="1"/>
  <c r="U1442" i="1"/>
  <c r="U1445" i="1"/>
  <c r="U1453" i="1"/>
  <c r="U1455" i="1"/>
  <c r="U1459" i="1"/>
  <c r="U1460" i="1"/>
  <c r="U1461" i="1"/>
  <c r="U1462" i="1"/>
  <c r="U1463" i="1"/>
  <c r="U1464" i="1"/>
  <c r="U1465" i="1"/>
  <c r="U1466" i="1"/>
  <c r="U1467" i="1"/>
  <c r="U1469" i="1"/>
  <c r="U1473" i="1"/>
  <c r="U1477" i="1"/>
  <c r="U1479" i="1"/>
  <c r="U1482" i="1"/>
  <c r="U1483" i="1"/>
  <c r="U1487" i="1"/>
  <c r="U1488" i="1"/>
  <c r="U1489" i="1"/>
  <c r="U1490" i="1"/>
  <c r="U1491" i="1"/>
  <c r="U1492" i="1"/>
  <c r="U1494" i="1"/>
  <c r="U1495" i="1"/>
  <c r="U1501" i="1"/>
  <c r="U1503" i="1"/>
  <c r="U1505" i="1"/>
  <c r="U1506" i="1"/>
  <c r="U1507" i="1"/>
  <c r="U1508" i="1"/>
  <c r="U1509" i="1"/>
  <c r="U1516" i="1"/>
  <c r="U1517" i="1"/>
  <c r="U1518" i="1"/>
  <c r="U1519" i="1"/>
  <c r="U1520" i="1"/>
  <c r="U1521" i="1"/>
  <c r="U1522" i="1"/>
  <c r="U1528" i="1"/>
  <c r="U1529" i="1"/>
  <c r="U1530" i="1"/>
  <c r="U1531" i="1"/>
  <c r="U1532" i="1"/>
  <c r="U1533" i="1"/>
  <c r="U1534" i="1"/>
  <c r="U1535" i="1"/>
  <c r="U1536" i="1"/>
  <c r="U1537" i="1"/>
  <c r="U1538" i="1"/>
  <c r="U1539" i="1"/>
  <c r="U1540" i="1"/>
  <c r="U1541" i="1"/>
  <c r="U1542" i="1"/>
  <c r="U1543" i="1"/>
  <c r="U1544" i="1"/>
  <c r="U1545" i="1"/>
  <c r="U1546" i="1"/>
  <c r="U1547" i="1"/>
  <c r="U1548" i="1"/>
  <c r="U1549" i="1"/>
  <c r="U1555" i="1"/>
  <c r="U1556" i="1"/>
  <c r="U1557" i="1"/>
  <c r="U1561" i="1"/>
  <c r="U1562" i="1"/>
  <c r="U1563" i="1"/>
  <c r="U1564" i="1"/>
  <c r="U1568" i="1"/>
  <c r="U1569" i="1"/>
  <c r="U1572" i="1"/>
  <c r="U1573" i="1"/>
  <c r="U1577" i="1"/>
  <c r="U1581" i="1"/>
  <c r="U1585" i="1"/>
  <c r="U1590" i="1"/>
  <c r="U1591" i="1"/>
  <c r="U1592" i="1"/>
  <c r="U1594" i="1"/>
  <c r="U1596" i="1"/>
  <c r="U1597" i="1"/>
  <c r="U1598" i="1"/>
  <c r="U1599" i="1"/>
  <c r="U1600" i="1"/>
  <c r="U1601" i="1"/>
  <c r="U1602" i="1"/>
  <c r="U1606" i="1"/>
  <c r="U1607" i="1"/>
  <c r="U1608" i="1"/>
  <c r="U1609" i="1"/>
  <c r="U1610" i="1"/>
  <c r="U1611" i="1"/>
  <c r="U1612" i="1"/>
  <c r="U1614" i="1"/>
  <c r="U1615" i="1"/>
  <c r="U1617" i="1"/>
  <c r="U1618" i="1"/>
  <c r="U1622" i="1"/>
  <c r="U1623" i="1"/>
  <c r="U1625" i="1"/>
  <c r="U1626" i="1"/>
  <c r="U1630" i="1"/>
  <c r="U1632" i="1"/>
  <c r="U1633" i="1"/>
  <c r="U1635" i="1"/>
  <c r="U1637" i="1"/>
  <c r="U1638" i="1"/>
  <c r="U1639" i="1"/>
  <c r="U1640" i="1"/>
  <c r="U1641" i="1"/>
  <c r="U1642" i="1"/>
  <c r="U1643" i="1"/>
  <c r="U1644" i="1"/>
  <c r="U1645" i="1"/>
  <c r="U1646" i="1"/>
  <c r="U1647" i="1"/>
  <c r="U1648" i="1"/>
  <c r="U1649" i="1"/>
  <c r="U1650" i="1"/>
  <c r="U1651" i="1"/>
  <c r="U1652" i="1"/>
  <c r="U1653" i="1"/>
  <c r="U1656" i="1"/>
  <c r="U1658" i="1"/>
  <c r="U1659" i="1"/>
  <c r="U1660" i="1"/>
  <c r="U1663" i="1"/>
  <c r="U1664" i="1"/>
  <c r="U1665" i="1"/>
  <c r="U1666" i="1"/>
  <c r="U1667" i="1"/>
  <c r="U1680" i="1"/>
  <c r="U1684" i="1"/>
  <c r="U1685" i="1"/>
  <c r="U1686" i="1"/>
  <c r="U1687" i="1"/>
  <c r="U1690" i="1"/>
  <c r="U1691" i="1"/>
  <c r="U1692" i="1"/>
  <c r="U1693" i="1"/>
  <c r="U1694" i="1"/>
  <c r="U1695" i="1"/>
  <c r="U1696" i="1"/>
  <c r="U1697" i="1"/>
  <c r="U1698" i="1"/>
  <c r="U1699"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55" i="1"/>
  <c r="U1756" i="1"/>
  <c r="U1757" i="1"/>
  <c r="U1758" i="1"/>
  <c r="U1766" i="1"/>
  <c r="U1767" i="1"/>
  <c r="U1768" i="1"/>
  <c r="U1769" i="1"/>
  <c r="U1770" i="1"/>
  <c r="U1771" i="1"/>
  <c r="U1772" i="1"/>
  <c r="U1773" i="1"/>
  <c r="U1774" i="1"/>
  <c r="U1775" i="1"/>
  <c r="U1776" i="1"/>
  <c r="U1777" i="1"/>
  <c r="U1786" i="1"/>
  <c r="U1788" i="1"/>
  <c r="U1795" i="1"/>
  <c r="U1797" i="1"/>
  <c r="U1798" i="1"/>
  <c r="U1799" i="1"/>
  <c r="U1801" i="1"/>
  <c r="U1802" i="1"/>
  <c r="U1803" i="1"/>
  <c r="U1805" i="1"/>
  <c r="U1806" i="1"/>
  <c r="U1807" i="1"/>
  <c r="U1808" i="1"/>
  <c r="U1809" i="1"/>
  <c r="U1810" i="1"/>
  <c r="U1811" i="1"/>
  <c r="U1812" i="1"/>
  <c r="U1813" i="1"/>
  <c r="U1814" i="1"/>
  <c r="U1820" i="1"/>
  <c r="U1821" i="1"/>
  <c r="U1822" i="1"/>
  <c r="U1823" i="1"/>
  <c r="U1824" i="1"/>
  <c r="U1825" i="1"/>
  <c r="U1826" i="1"/>
  <c r="U1827" i="1"/>
  <c r="U1839" i="1"/>
  <c r="U1841" i="1"/>
  <c r="U1842" i="1"/>
  <c r="U1843" i="1"/>
  <c r="U1844" i="1"/>
  <c r="U1851" i="1"/>
  <c r="U1852" i="1"/>
  <c r="U1853" i="1"/>
  <c r="U2287" i="1"/>
  <c r="R7" i="1"/>
  <c r="R16" i="1"/>
  <c r="R26" i="1"/>
  <c r="R27" i="1"/>
  <c r="R28" i="1"/>
  <c r="R30" i="1"/>
  <c r="R33" i="1"/>
  <c r="R36" i="1"/>
  <c r="R37" i="1"/>
  <c r="R38" i="1"/>
  <c r="R40" i="1"/>
  <c r="R41" i="1"/>
  <c r="R42" i="1"/>
  <c r="R43" i="1"/>
  <c r="R55" i="1"/>
  <c r="R56" i="1"/>
  <c r="R57" i="1"/>
  <c r="R60" i="1"/>
  <c r="R62" i="1"/>
  <c r="R63" i="1"/>
  <c r="R75" i="1"/>
  <c r="R76" i="1"/>
  <c r="R80" i="1"/>
  <c r="R81" i="1"/>
  <c r="R84" i="1"/>
  <c r="R85" i="1"/>
  <c r="R86" i="1"/>
  <c r="R87" i="1"/>
  <c r="R100" i="1"/>
  <c r="R102" i="1"/>
  <c r="R103" i="1"/>
  <c r="R104" i="1"/>
  <c r="R120" i="1"/>
  <c r="R121" i="1"/>
  <c r="R135" i="1"/>
  <c r="R136" i="1"/>
  <c r="R137" i="1"/>
  <c r="R138" i="1"/>
  <c r="R155" i="1"/>
  <c r="R163" i="1"/>
  <c r="R171" i="1"/>
  <c r="R172" i="1"/>
  <c r="R175" i="1"/>
  <c r="R176" i="1"/>
  <c r="R177" i="1"/>
  <c r="R184" i="1"/>
  <c r="R205" i="1"/>
  <c r="R216" i="1"/>
  <c r="R223" i="1"/>
  <c r="R224" i="1"/>
  <c r="R225" i="1"/>
  <c r="R226" i="1"/>
  <c r="R227" i="1"/>
  <c r="R228" i="1"/>
  <c r="R229" i="1"/>
  <c r="R244" i="1"/>
  <c r="R245" i="1"/>
  <c r="R246" i="1"/>
  <c r="R247" i="1"/>
  <c r="R248" i="1"/>
  <c r="R249" i="1"/>
  <c r="R250" i="1"/>
  <c r="R251" i="1"/>
  <c r="R252" i="1"/>
  <c r="R253" i="1"/>
  <c r="R254" i="1"/>
  <c r="R269" i="1"/>
  <c r="R270" i="1"/>
  <c r="R280" i="1"/>
  <c r="R281" i="1"/>
  <c r="R282" i="1"/>
  <c r="R300" i="1"/>
  <c r="R304" i="1"/>
  <c r="R313" i="1"/>
  <c r="R317" i="1"/>
  <c r="R325" i="1"/>
  <c r="R331" i="1"/>
  <c r="R403" i="1"/>
  <c r="R421" i="1"/>
  <c r="R438" i="1"/>
  <c r="R439" i="1"/>
  <c r="R440" i="1"/>
  <c r="R441" i="1"/>
  <c r="R445" i="1"/>
  <c r="R448" i="1"/>
  <c r="R449" i="1"/>
  <c r="R451" i="1"/>
  <c r="R494" i="1"/>
  <c r="R495" i="1"/>
  <c r="R509" i="1"/>
  <c r="R512" i="1"/>
  <c r="R516" i="1"/>
  <c r="R558" i="1"/>
  <c r="R582" i="1"/>
  <c r="R586" i="1"/>
  <c r="R589" i="1"/>
  <c r="R590" i="1"/>
  <c r="R591" i="1"/>
  <c r="R592" i="1"/>
  <c r="R593" i="1"/>
  <c r="R594" i="1"/>
  <c r="R595" i="1"/>
  <c r="R596" i="1"/>
  <c r="R599" i="1"/>
  <c r="R605" i="1"/>
  <c r="R606" i="1"/>
  <c r="R645" i="1"/>
  <c r="R651" i="1"/>
  <c r="R682" i="1"/>
  <c r="R683" i="1"/>
  <c r="R684" i="1"/>
  <c r="R685" i="1"/>
  <c r="R686" i="1"/>
  <c r="R704" i="1"/>
  <c r="R705" i="1"/>
  <c r="R706" i="1"/>
  <c r="R726" i="1"/>
  <c r="R727" i="1"/>
  <c r="R729" i="1"/>
  <c r="R730" i="1"/>
  <c r="R731" i="1"/>
  <c r="R732" i="1"/>
  <c r="R733" i="1"/>
  <c r="R734" i="1"/>
  <c r="R735" i="1"/>
  <c r="R736" i="1"/>
  <c r="R737" i="1"/>
  <c r="R738" i="1"/>
  <c r="R739" i="1"/>
  <c r="R740" i="1"/>
  <c r="R741" i="1"/>
  <c r="R742" i="1"/>
  <c r="R745" i="1"/>
  <c r="R746" i="1"/>
  <c r="R748" i="1"/>
  <c r="R749" i="1"/>
  <c r="R750" i="1"/>
  <c r="R751" i="1"/>
  <c r="R755" i="1"/>
  <c r="R756" i="1"/>
  <c r="R759" i="1"/>
  <c r="R760" i="1"/>
  <c r="R761" i="1"/>
  <c r="R762" i="1"/>
  <c r="R763" i="1"/>
  <c r="R764" i="1"/>
  <c r="R766" i="1"/>
  <c r="R775" i="1"/>
  <c r="R776" i="1"/>
  <c r="R777" i="1"/>
  <c r="R778" i="1"/>
  <c r="R779" i="1"/>
  <c r="R780" i="1"/>
  <c r="R781" i="1"/>
  <c r="R782" i="1"/>
  <c r="R786" i="1"/>
  <c r="R791" i="1"/>
  <c r="R792" i="1"/>
  <c r="R796" i="1"/>
  <c r="R798" i="1"/>
  <c r="R800" i="1"/>
  <c r="R801" i="1"/>
  <c r="R802" i="1"/>
  <c r="R804" i="1"/>
  <c r="R808" i="1"/>
  <c r="R809" i="1"/>
  <c r="R811" i="1"/>
  <c r="R812" i="1"/>
  <c r="R824" i="1"/>
  <c r="R840" i="1"/>
  <c r="R841" i="1"/>
  <c r="R842" i="1"/>
  <c r="R847" i="1"/>
  <c r="R857" i="1"/>
  <c r="R858" i="1"/>
  <c r="R881" i="1"/>
  <c r="R883" i="1"/>
  <c r="R884" i="1"/>
  <c r="R1010" i="1"/>
  <c r="R1011" i="1"/>
  <c r="R1012" i="1"/>
  <c r="R1025" i="1"/>
  <c r="R1032" i="1"/>
  <c r="R1051" i="1"/>
  <c r="R1052" i="1"/>
  <c r="R1053" i="1"/>
  <c r="R1054" i="1"/>
  <c r="R1055" i="1"/>
  <c r="R1056" i="1"/>
  <c r="R1057" i="1"/>
  <c r="R1058" i="1"/>
  <c r="R1059" i="1"/>
  <c r="R1159" i="1"/>
  <c r="R1278" i="1"/>
  <c r="R1279" i="1"/>
  <c r="R1280" i="1"/>
  <c r="R1281" i="1"/>
  <c r="R1282" i="1"/>
  <c r="R1291" i="1"/>
  <c r="R1336" i="1"/>
  <c r="R1337" i="1"/>
  <c r="R1338" i="1"/>
  <c r="R1339" i="1"/>
  <c r="R1340" i="1"/>
  <c r="R1346" i="1"/>
  <c r="R1347" i="1"/>
  <c r="R1352" i="1"/>
  <c r="R1353" i="1"/>
  <c r="R1399" i="1"/>
  <c r="R1446" i="1"/>
  <c r="R1455" i="1"/>
  <c r="R1468" i="1"/>
  <c r="R1478" i="1"/>
  <c r="R1484" i="1"/>
  <c r="R1485" i="1"/>
  <c r="R1508" i="1"/>
  <c r="R1510" i="1"/>
  <c r="R1512" i="1"/>
  <c r="R1513" i="1"/>
  <c r="R1525" i="1"/>
  <c r="R1526" i="1"/>
  <c r="R1527" i="1"/>
  <c r="R1550" i="1"/>
  <c r="R1551" i="1"/>
  <c r="R1552" i="1"/>
  <c r="R1553" i="1"/>
  <c r="R1554" i="1"/>
  <c r="R1558" i="1"/>
  <c r="R1574" i="1"/>
  <c r="R1575" i="1"/>
  <c r="R1576" i="1"/>
  <c r="R1592" i="1"/>
  <c r="R1597" i="1"/>
  <c r="R1643" i="1"/>
  <c r="R1644" i="1"/>
  <c r="R1645" i="1"/>
  <c r="R1646" i="1"/>
  <c r="R1647" i="1"/>
  <c r="R1648" i="1"/>
  <c r="R1649" i="1"/>
  <c r="R1650" i="1"/>
  <c r="R1652" i="1"/>
  <c r="R1653" i="1"/>
  <c r="R1655" i="1"/>
  <c r="R1656" i="1"/>
  <c r="R1667" i="1"/>
  <c r="R1668" i="1"/>
  <c r="R1671" i="1"/>
  <c r="R1684" i="1"/>
  <c r="R1722" i="1"/>
  <c r="R1723" i="1"/>
  <c r="R1724" i="1"/>
  <c r="R1725" i="1"/>
  <c r="R1726" i="1"/>
  <c r="R1727" i="1"/>
  <c r="R1755" i="1"/>
  <c r="R1756" i="1"/>
  <c r="R1757" i="1"/>
  <c r="R1758" i="1"/>
  <c r="R1778" i="1"/>
  <c r="R1779" i="1"/>
  <c r="R1780" i="1"/>
  <c r="R1781" i="1"/>
  <c r="R1782" i="1"/>
  <c r="R1783" i="1"/>
  <c r="R1784" i="1"/>
  <c r="R1785" i="1"/>
  <c r="R1793" i="1"/>
  <c r="R1796" i="1"/>
  <c r="R1797" i="1"/>
  <c r="R1799" i="1"/>
  <c r="R1804" i="1"/>
  <c r="R1815" i="1"/>
  <c r="R1843" i="1"/>
  <c r="R1844" i="1"/>
  <c r="R1848" i="1"/>
  <c r="R1876" i="1"/>
  <c r="R2013" i="1"/>
  <c r="R2098" i="1"/>
  <c r="R2127" i="1"/>
  <c r="R2149" i="1"/>
  <c r="R2287" i="1"/>
  <c r="Q1346" i="1"/>
  <c r="B152" i="7" l="1"/>
  <c r="B151" i="7"/>
  <c r="B154" i="7"/>
  <c r="B153" i="7"/>
  <c r="P36" i="7"/>
  <c r="Q36" i="7" s="1"/>
  <c r="P2" i="7"/>
  <c r="B166" i="7"/>
  <c r="B165" i="7"/>
  <c r="B168" i="7"/>
  <c r="B167" i="7"/>
  <c r="R36" i="7"/>
  <c r="S36" i="7" s="1"/>
  <c r="R2" i="7"/>
  <c r="B138" i="7"/>
  <c r="B137" i="7"/>
  <c r="B140" i="7"/>
  <c r="B139" i="7"/>
  <c r="N36" i="7"/>
  <c r="O36" i="7" s="1"/>
  <c r="N2" i="7"/>
  <c r="B124" i="7"/>
  <c r="B123" i="7"/>
  <c r="B110" i="7"/>
  <c r="B109" i="7"/>
  <c r="B126" i="7"/>
  <c r="B125" i="7"/>
  <c r="L36" i="7"/>
  <c r="M36" i="7" s="1"/>
  <c r="L2" i="7"/>
  <c r="B96" i="7"/>
  <c r="B95" i="7"/>
  <c r="B82" i="7"/>
  <c r="B81" i="7"/>
  <c r="B112" i="7"/>
  <c r="B111" i="7"/>
  <c r="J36" i="7"/>
  <c r="K36" i="7" s="1"/>
  <c r="J2" i="7"/>
  <c r="B98" i="7"/>
  <c r="B97" i="7"/>
  <c r="H36" i="7"/>
  <c r="I36" i="7" s="1"/>
  <c r="H2" i="7"/>
  <c r="B84" i="7"/>
  <c r="B83" i="7"/>
  <c r="F36" i="7"/>
  <c r="G36" i="7" s="1"/>
  <c r="F2" i="7"/>
  <c r="B68" i="7"/>
  <c r="B67" i="7"/>
  <c r="B70" i="7"/>
  <c r="B69" i="7"/>
  <c r="T2" i="7"/>
  <c r="T36"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D36" i="7"/>
  <c r="E36" i="7" s="1"/>
  <c r="D2" i="7"/>
  <c r="U36" i="7"/>
  <c r="P28" i="7" l="1"/>
  <c r="Q3" i="7"/>
  <c r="Q2" i="7"/>
  <c r="R3" i="7"/>
  <c r="R4" i="7" s="1"/>
  <c r="S3" i="7" s="1"/>
  <c r="T3" i="7"/>
  <c r="L3" i="7"/>
  <c r="M2" i="7" s="1"/>
  <c r="N3" i="7"/>
  <c r="H3" i="7"/>
  <c r="J3" i="7"/>
  <c r="D3" i="7"/>
  <c r="D4" i="7" s="1"/>
  <c r="E3" i="7" s="1"/>
  <c r="F3" i="7"/>
  <c r="U2" i="7"/>
  <c r="P29" i="7" l="1"/>
  <c r="P30" i="7" s="1"/>
  <c r="P31" i="7" s="1"/>
  <c r="P32" i="7" s="1"/>
  <c r="P33" i="7" s="1"/>
  <c r="P34" i="7" s="1"/>
  <c r="P35" i="7" s="1"/>
  <c r="Q35" i="7" s="1"/>
  <c r="Q5" i="7"/>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I2" i="7"/>
  <c r="J4" i="7"/>
  <c r="K2" i="7"/>
  <c r="H4" i="7"/>
  <c r="H5" i="7" s="1"/>
  <c r="E2" i="7"/>
  <c r="F4" i="7"/>
  <c r="G2" i="7"/>
  <c r="D5" i="7"/>
  <c r="E4" i="7" s="1"/>
  <c r="U3" i="7"/>
  <c r="L28" i="7" l="1"/>
  <c r="Q6" i="7"/>
  <c r="T5" i="7"/>
  <c r="M3" i="7"/>
  <c r="R6" i="7"/>
  <c r="S5" i="7" s="1"/>
  <c r="I3" i="7"/>
  <c r="N5" i="7"/>
  <c r="O3" i="7"/>
  <c r="M4" i="7"/>
  <c r="M5" i="7"/>
  <c r="M6" i="7"/>
  <c r="J5" i="7"/>
  <c r="K3" i="7"/>
  <c r="H6" i="7"/>
  <c r="I5" i="7" s="1"/>
  <c r="I4" i="7"/>
  <c r="F5" i="7"/>
  <c r="G3" i="7"/>
  <c r="D6" i="7"/>
  <c r="E5" i="7" s="1"/>
  <c r="U4" i="7"/>
  <c r="L29" i="7" l="1"/>
  <c r="L30" i="7" s="1"/>
  <c r="L31" i="7" s="1"/>
  <c r="L32" i="7" s="1"/>
  <c r="L33" i="7" s="1"/>
  <c r="L34" i="7" s="1"/>
  <c r="L35" i="7" s="1"/>
  <c r="M35" i="7" s="1"/>
  <c r="Q7" i="7"/>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N26" i="7"/>
  <c r="O25" i="7" s="1"/>
  <c r="M27" i="7"/>
  <c r="J26" i="7"/>
  <c r="K25" i="7" s="1"/>
  <c r="H27" i="7"/>
  <c r="F26" i="7"/>
  <c r="G25" i="7" s="1"/>
  <c r="D27" i="7"/>
  <c r="U25" i="7"/>
  <c r="I26" i="7" l="1"/>
  <c r="S26" i="7"/>
  <c r="E26" i="7"/>
  <c r="Q27" i="7"/>
  <c r="T27" i="7"/>
  <c r="R28" i="7"/>
  <c r="N27" i="7"/>
  <c r="M28" i="7"/>
  <c r="J27" i="7"/>
  <c r="H28" i="7"/>
  <c r="F27" i="7"/>
  <c r="D28" i="7"/>
  <c r="I27" i="7" l="1"/>
  <c r="E27" i="7"/>
  <c r="S27" i="7"/>
  <c r="K26" i="7"/>
  <c r="G26" i="7"/>
  <c r="O26" i="7"/>
  <c r="Q28" i="7"/>
  <c r="T28" i="7"/>
  <c r="R29" i="7"/>
  <c r="S28" i="7" s="1"/>
  <c r="N28" i="7"/>
  <c r="M29" i="7"/>
  <c r="J28" i="7"/>
  <c r="H29" i="7"/>
  <c r="I28" i="7" s="1"/>
  <c r="F28" i="7"/>
  <c r="D29" i="7"/>
  <c r="E28" i="7" s="1"/>
  <c r="U26" i="7"/>
  <c r="K27" i="7" l="1"/>
  <c r="G27" i="7"/>
  <c r="O27" i="7"/>
  <c r="Q29" i="7"/>
  <c r="T29" i="7"/>
  <c r="R30" i="7"/>
  <c r="N29" i="7"/>
  <c r="O28" i="7" s="1"/>
  <c r="M30" i="7"/>
  <c r="J29" i="7"/>
  <c r="K28" i="7" s="1"/>
  <c r="H30" i="7"/>
  <c r="I29" i="7" s="1"/>
  <c r="F29" i="7"/>
  <c r="G28" i="7" s="1"/>
  <c r="D30" i="7"/>
  <c r="E29" i="7" s="1"/>
  <c r="U27" i="7"/>
  <c r="Q30" i="7" l="1"/>
  <c r="T30" i="7"/>
  <c r="R31" i="7"/>
  <c r="S30" i="7" s="1"/>
  <c r="S29" i="7"/>
  <c r="N30" i="7"/>
  <c r="O29" i="7" s="1"/>
  <c r="M31" i="7"/>
  <c r="J30" i="7"/>
  <c r="K29" i="7" s="1"/>
  <c r="H31" i="7"/>
  <c r="I30" i="7" s="1"/>
  <c r="F30" i="7"/>
  <c r="G29" i="7" s="1"/>
  <c r="D31" i="7"/>
  <c r="E30" i="7" s="1"/>
  <c r="U28" i="7"/>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N34" i="7"/>
  <c r="O33" i="7" s="1"/>
  <c r="J34" i="7"/>
  <c r="K33" i="7" s="1"/>
  <c r="H35" i="7"/>
  <c r="F34" i="7"/>
  <c r="G33" i="7" s="1"/>
  <c r="D35" i="7"/>
  <c r="U33" i="7"/>
  <c r="E34" i="7" l="1"/>
  <c r="E35" i="7"/>
  <c r="I34" i="7"/>
  <c r="I35" i="7"/>
  <c r="S34" i="7"/>
  <c r="S35" i="7"/>
  <c r="T35" i="7"/>
  <c r="N35" i="7"/>
  <c r="J35" i="7"/>
  <c r="F35" i="7"/>
  <c r="U34" i="7"/>
  <c r="O34" i="7" l="1"/>
  <c r="O35" i="7"/>
  <c r="G34" i="7"/>
  <c r="G35" i="7"/>
  <c r="K34" i="7"/>
  <c r="K35" i="7"/>
  <c r="U3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xr:uid="{00000000-0006-0000-0000-00000D00000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<sst xmlns="http://schemas.openxmlformats.org/spreadsheetml/2006/main" count="41774" uniqueCount="12065">
  <si>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</si>
  <si>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</si>
  <si>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</si>
  <si>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</si>
  <si>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</si>
  <si>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</si>
  <si>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</si>
  <si>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</si>
  <si>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</si>
  <si>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</si>
  <si>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</si>
  <si>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</si>
  <si>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</si>
  <si>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</si>
  <si>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</si>
  <si>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</si>
  <si>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</si>
  <si>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</si>
  <si>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</si>
  <si>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</si>
  <si>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</si>
  <si>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</si>
  <si>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</si>
  <si>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</si>
  <si>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</si>
  <si>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</si>
  <si>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</si>
  <si>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</si>
  <si>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</si>
  <si>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</si>
  <si>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</si>
  <si>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</si>
  <si>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</si>
  <si>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</si>
  <si>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</si>
  <si>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</si>
  <si>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</si>
  <si>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</si>
  <si>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</si>
  <si>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</si>
  <si>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</si>
  <si>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</si>
  <si>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</si>
  <si>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</si>
  <si>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</si>
  <si>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</si>
  <si>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</si>
  <si>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</si>
  <si>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</si>
  <si>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</si>
  <si>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</si>
  <si>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</si>
  <si>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</si>
  <si>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</si>
  <si>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</si>
  <si>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</si>
  <si>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</si>
  <si>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</si>
  <si>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</si>
  <si>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</si>
  <si>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</si>
  <si>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</si>
  <si>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</si>
  <si>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</si>
  <si>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</si>
  <si>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</si>
  <si>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</si>
  <si>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</si>
  <si>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</si>
  <si>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</si>
  <si>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</si>
  <si>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</si>
  <si>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</si>
  <si>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</si>
  <si>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</si>
  <si>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</si>
  <si>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</si>
  <si>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</si>
  <si>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</si>
  <si>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</si>
  <si>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</si>
  <si>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</si>
  <si>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</si>
  <si>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</si>
  <si>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</si>
  <si>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</si>
  <si>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</si>
  <si>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</si>
  <si>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</si>
  <si>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</si>
  <si>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</si>
  <si>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</si>
  <si>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</si>
  <si>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</si>
  <si>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</si>
  <si>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</si>
  <si>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</si>
  <si>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</si>
  <si>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</si>
  <si>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</si>
  <si>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</si>
  <si>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</si>
  <si>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</si>
  <si>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</si>
  <si>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</si>
  <si>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</si>
  <si>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</si>
  <si>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</si>
  <si>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</si>
  <si>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</si>
  <si>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</si>
  <si>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</si>
  <si>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</si>
  <si>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</si>
  <si>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</si>
  <si>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</si>
  <si>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</si>
  <si>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</si>
  <si>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</si>
  <si>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</si>
  <si>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</si>
  <si>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</si>
  <si>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</si>
  <si>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</si>
  <si>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</si>
  <si>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</si>
  <si>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</si>
  <si>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</si>
  <si>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</si>
  <si>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</si>
  <si>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</si>
  <si>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</si>
  <si>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</si>
  <si>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</si>
  <si>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</si>
  <si>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</si>
  <si>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</si>
  <si>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</si>
  <si>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</si>
  <si>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</si>
  <si>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</si>
  <si>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</si>
  <si>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</si>
  <si>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</si>
  <si>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</si>
  <si>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</si>
  <si>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</si>
  <si>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</si>
  <si>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</si>
  <si>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</si>
  <si>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</si>
  <si>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</si>
  <si>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</si>
  <si>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</si>
  <si>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</si>
  <si>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</si>
  <si>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</si>
  <si>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</si>
  <si>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</si>
  <si>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</si>
  <si>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</si>
  <si>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</si>
  <si>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</si>
  <si>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</si>
  <si>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</si>
  <si>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</si>
  <si>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</si>
  <si>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</si>
  <si>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</si>
  <si>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</si>
  <si>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</si>
  <si>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</si>
  <si>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</si>
  <si>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</si>
  <si>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</si>
  <si>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</si>
  <si>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</si>
  <si>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</si>
  <si>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</si>
  <si>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</si>
  <si>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URLs in Tweet</t>
  </si>
  <si>
    <t>Domains in Tweet</t>
  </si>
  <si>
    <t>Hashtags in Tweet</t>
  </si>
  <si>
    <t>Media in Tweet</t>
  </si>
  <si>
    <t>Tweet Image File</t>
  </si>
  <si>
    <t>Tweet Date (UTC)</t>
  </si>
  <si>
    <t>Date</t>
  </si>
  <si>
    <t>Time</t>
  </si>
  <si>
    <t>Twitter Page for Tweet</t>
  </si>
  <si>
    <t>Latitude</t>
  </si>
  <si>
    <t>Longitude</t>
  </si>
  <si>
    <t>Imported ID</t>
  </si>
  <si>
    <t>In-Reply-To Tweet ID</t>
  </si>
  <si>
    <t>Favorited</t>
  </si>
  <si>
    <t>Favorite Count</t>
  </si>
  <si>
    <t>In-Reply-To User ID</t>
  </si>
  <si>
    <t>Is Quote Status</t>
  </si>
  <si>
    <t>Language</t>
  </si>
  <si>
    <t>Possibly Sensitive</t>
  </si>
  <si>
    <t>Quoted Status ID</t>
  </si>
  <si>
    <t>Retweeted</t>
  </si>
  <si>
    <t>Retweet Count</t>
  </si>
  <si>
    <t>Retweet ID</t>
  </si>
  <si>
    <t>Source</t>
  </si>
  <si>
    <t>Truncated</t>
  </si>
  <si>
    <t>Unified Twitter ID</t>
  </si>
  <si>
    <t>Imported Tweet Type</t>
  </si>
  <si>
    <t>Added By Extended Analysis</t>
  </si>
  <si>
    <t>Corrected By Extended Analysis</t>
  </si>
  <si>
    <t>Place Bounding Box</t>
  </si>
  <si>
    <t>Place Country</t>
  </si>
  <si>
    <t>Place Country Code</t>
  </si>
  <si>
    <t>Place Full Name</t>
  </si>
  <si>
    <t>Place ID</t>
  </si>
  <si>
    <t>Place Name</t>
  </si>
  <si>
    <t>Place Type</t>
  </si>
  <si>
    <t>Place URL</t>
  </si>
  <si>
    <t>labonnoangel</t>
  </si>
  <si>
    <t>fox19712405</t>
  </si>
  <si>
    <t>mamavanenbas</t>
  </si>
  <si>
    <t>ilvtenyuw_</t>
  </si>
  <si>
    <t>imam_rachmayadi</t>
  </si>
  <si>
    <t>raniafitri9</t>
  </si>
  <si>
    <t>princeofcrimes</t>
  </si>
  <si>
    <t>ofcourseynoot</t>
  </si>
  <si>
    <t>nana_shazliana</t>
  </si>
  <si>
    <t>jeonchimz</t>
  </si>
  <si>
    <t>_milkytael_</t>
  </si>
  <si>
    <t>sunupinasti</t>
  </si>
  <si>
    <t>raihanadia__</t>
  </si>
  <si>
    <t>belle_maaa</t>
  </si>
  <si>
    <t>jasajokmebelje1</t>
  </si>
  <si>
    <t>bemaiae</t>
  </si>
  <si>
    <t>wibwaktu</t>
  </si>
  <si>
    <t>nobi_indonesia</t>
  </si>
  <si>
    <t>opaz01</t>
  </si>
  <si>
    <t>nrainatsnm</t>
  </si>
  <si>
    <t>syhrnajihah</t>
  </si>
  <si>
    <t>ankoenka</t>
  </si>
  <si>
    <t>stepbymoo</t>
  </si>
  <si>
    <t>aprrldw</t>
  </si>
  <si>
    <t>j4withthesun</t>
  </si>
  <si>
    <t>apamungkasa</t>
  </si>
  <si>
    <t>nadyaazzh</t>
  </si>
  <si>
    <t>choicrush</t>
  </si>
  <si>
    <t>_shafeeeeeee</t>
  </si>
  <si>
    <t>bpomtanahbumbu</t>
  </si>
  <si>
    <t>kamusbesarkbbi</t>
  </si>
  <si>
    <t>mooneunhye1</t>
  </si>
  <si>
    <t>sleepingmoo</t>
  </si>
  <si>
    <t>mang_ib</t>
  </si>
  <si>
    <t>sumselterkini</t>
  </si>
  <si>
    <t>mylovefarhan</t>
  </si>
  <si>
    <t>malangdorn2</t>
  </si>
  <si>
    <t>ggukiexly</t>
  </si>
  <si>
    <t>wakapoldur</t>
  </si>
  <si>
    <t>rezakrisna28</t>
  </si>
  <si>
    <t>whaisya</t>
  </si>
  <si>
    <t>sprinklesmy</t>
  </si>
  <si>
    <t>sxash4</t>
  </si>
  <si>
    <t>staykrna</t>
  </si>
  <si>
    <t>lowkerid1</t>
  </si>
  <si>
    <t>dwi_wahyudi</t>
  </si>
  <si>
    <t>bilaljaveid954</t>
  </si>
  <si>
    <t>arangomah</t>
  </si>
  <si>
    <t>demgons</t>
  </si>
  <si>
    <t>nsntrmj</t>
  </si>
  <si>
    <t>bicaradotnews</t>
  </si>
  <si>
    <t>kejaksaanri</t>
  </si>
  <si>
    <t>kn_sungaipenuh</t>
  </si>
  <si>
    <t>malangsorn6</t>
  </si>
  <si>
    <t>15death</t>
  </si>
  <si>
    <t>tarrriiishop</t>
  </si>
  <si>
    <t>galaxyou_</t>
  </si>
  <si>
    <t>semupetualang</t>
  </si>
  <si>
    <t>serendypitae</t>
  </si>
  <si>
    <t>momogeezz</t>
  </si>
  <si>
    <t>__wantankri</t>
  </si>
  <si>
    <t>jalalmisai_2</t>
  </si>
  <si>
    <t>zidanzainudin_</t>
  </si>
  <si>
    <t>moekartho</t>
  </si>
  <si>
    <t>paulus_willy</t>
  </si>
  <si>
    <t>beastieu</t>
  </si>
  <si>
    <t>fassyaplease</t>
  </si>
  <si>
    <t>asipfrappucino</t>
  </si>
  <si>
    <t>hatiakueg0</t>
  </si>
  <si>
    <t>theisyraf</t>
  </si>
  <si>
    <t>drxnkxntxgxr__</t>
  </si>
  <si>
    <t>maktiri_</t>
  </si>
  <si>
    <t>shvfx</t>
  </si>
  <si>
    <t>ayrhazel</t>
  </si>
  <si>
    <t>firzana_hazirah</t>
  </si>
  <si>
    <t>pradanadika29</t>
  </si>
  <si>
    <t>pikapocoyo</t>
  </si>
  <si>
    <t>ariefskie</t>
  </si>
  <si>
    <t>anaklolina2</t>
  </si>
  <si>
    <t>nitafamira</t>
  </si>
  <si>
    <t>shdxlias</t>
  </si>
  <si>
    <t>frugalfliza</t>
  </si>
  <si>
    <t>lyzaoreo</t>
  </si>
  <si>
    <t>ariasampash</t>
  </si>
  <si>
    <t>shahnewaz01</t>
  </si>
  <si>
    <t>qurratulaini_99</t>
  </si>
  <si>
    <t>doraemonbolatt</t>
  </si>
  <si>
    <t>whysishak</t>
  </si>
  <si>
    <t>peachkarin22</t>
  </si>
  <si>
    <t>aminhakami</t>
  </si>
  <si>
    <t>1zz4tihabshi</t>
  </si>
  <si>
    <t>imezaq</t>
  </si>
  <si>
    <t>greatofkratos</t>
  </si>
  <si>
    <t>farisyamat</t>
  </si>
  <si>
    <t>nvraini_</t>
  </si>
  <si>
    <t>rozlyana_</t>
  </si>
  <si>
    <t>aishaamber_</t>
  </si>
  <si>
    <t>sithy_farmia</t>
  </si>
  <si>
    <t>shahzad29741549</t>
  </si>
  <si>
    <t>glowingjuseyo</t>
  </si>
  <si>
    <t>qayyyyyyyyyy</t>
  </si>
  <si>
    <t>al_adamhafiz</t>
  </si>
  <si>
    <t>afikahmahadi</t>
  </si>
  <si>
    <t>aethkims</t>
  </si>
  <si>
    <t>kbrindns</t>
  </si>
  <si>
    <t>vrishaba05</t>
  </si>
  <si>
    <t>manoharasekar</t>
  </si>
  <si>
    <t>atiknoru</t>
  </si>
  <si>
    <t>alifiahsftr</t>
  </si>
  <si>
    <t>dongchanlee_</t>
  </si>
  <si>
    <t>nggaatauu</t>
  </si>
  <si>
    <t>alifmuclisinapp</t>
  </si>
  <si>
    <t>amir_r00</t>
  </si>
  <si>
    <t>m_izmie</t>
  </si>
  <si>
    <t>bobelx</t>
  </si>
  <si>
    <t>pos_ronda123</t>
  </si>
  <si>
    <t>tiki_teki</t>
  </si>
  <si>
    <t>anyrafsa</t>
  </si>
  <si>
    <t>amierah___</t>
  </si>
  <si>
    <t>ahmadl04644463</t>
  </si>
  <si>
    <t>wantwothree__</t>
  </si>
  <si>
    <t>diifracha</t>
  </si>
  <si>
    <t>strkrsndty</t>
  </si>
  <si>
    <t>epham_</t>
  </si>
  <si>
    <t>kkurominikura</t>
  </si>
  <si>
    <t>jayparkie_</t>
  </si>
  <si>
    <t>atiqahdalila</t>
  </si>
  <si>
    <t>divarubybear</t>
  </si>
  <si>
    <t>snowqmini</t>
  </si>
  <si>
    <t>onewishaday1999</t>
  </si>
  <si>
    <t>voidotid</t>
  </si>
  <si>
    <t>nhbrrr</t>
  </si>
  <si>
    <t>adam_danxxl</t>
  </si>
  <si>
    <t>baeshilight</t>
  </si>
  <si>
    <t>rajutpremium</t>
  </si>
  <si>
    <t>renpiess</t>
  </si>
  <si>
    <t>aimer_riska</t>
  </si>
  <si>
    <t>1085350_nel</t>
  </si>
  <si>
    <t>jijahcrochet</t>
  </si>
  <si>
    <t>tomoeyushiro</t>
  </si>
  <si>
    <t>kardosony</t>
  </si>
  <si>
    <t>ranisor</t>
  </si>
  <si>
    <t>folkloreswifty</t>
  </si>
  <si>
    <t>ameliaamin_</t>
  </si>
  <si>
    <t>dianamadlani</t>
  </si>
  <si>
    <t>mrfiqa</t>
  </si>
  <si>
    <t>sanahfdzel</t>
  </si>
  <si>
    <t>tribunmedan</t>
  </si>
  <si>
    <t>geageez</t>
  </si>
  <si>
    <t>renhyuckarts</t>
  </si>
  <si>
    <t>emyra97</t>
  </si>
  <si>
    <t>afiqks6</t>
  </si>
  <si>
    <t>frshahnis_ee</t>
  </si>
  <si>
    <t>nvrxkmxl_</t>
  </si>
  <si>
    <t>tengkuharry_</t>
  </si>
  <si>
    <t>arziezy</t>
  </si>
  <si>
    <t>minoccall</t>
  </si>
  <si>
    <t>jaemjne</t>
  </si>
  <si>
    <t>shuaevee</t>
  </si>
  <si>
    <t>suminnasen</t>
  </si>
  <si>
    <t>mhdaq__</t>
  </si>
  <si>
    <t>acha2612</t>
  </si>
  <si>
    <t>dottlily</t>
  </si>
  <si>
    <t>kanimentikong</t>
  </si>
  <si>
    <t>kamustikaa</t>
  </si>
  <si>
    <t>jobtripper</t>
  </si>
  <si>
    <t>selebcuit</t>
  </si>
  <si>
    <t>alepsss_</t>
  </si>
  <si>
    <t>kenanga_co</t>
  </si>
  <si>
    <t>ronimputra</t>
  </si>
  <si>
    <t>romshahrom1</t>
  </si>
  <si>
    <t>flagamedia</t>
  </si>
  <si>
    <t>seotips_vanprob</t>
  </si>
  <si>
    <t>ehteshambilal</t>
  </si>
  <si>
    <t>iruuulll__</t>
  </si>
  <si>
    <t>liyanaabubakar</t>
  </si>
  <si>
    <t>odhsbnsjhgg</t>
  </si>
  <si>
    <t>woshbeom</t>
  </si>
  <si>
    <t>karantinapdg</t>
  </si>
  <si>
    <t>mazeruney</t>
  </si>
  <si>
    <t>lailaarina_</t>
  </si>
  <si>
    <t>muzaliii</t>
  </si>
  <si>
    <t>reshtua</t>
  </si>
  <si>
    <t>inewsdotid</t>
  </si>
  <si>
    <t>dearmiyra</t>
  </si>
  <si>
    <t>aiyudiaa</t>
  </si>
  <si>
    <t>nrulafiqah17</t>
  </si>
  <si>
    <t>21anishafizah</t>
  </si>
  <si>
    <t>pryoung61</t>
  </si>
  <si>
    <t>pakdembud</t>
  </si>
  <si>
    <t>r20250207</t>
  </si>
  <si>
    <t>nvamjin</t>
  </si>
  <si>
    <t>nblhrsl_</t>
  </si>
  <si>
    <t>mhdrejab</t>
  </si>
  <si>
    <t>shaewillow_</t>
  </si>
  <si>
    <t>iqo_uwaizzz</t>
  </si>
  <si>
    <t>eymaiizeckae_</t>
  </si>
  <si>
    <t>munirahhh98</t>
  </si>
  <si>
    <t>rbonafida</t>
  </si>
  <si>
    <t>_antaresh29</t>
  </si>
  <si>
    <t>lilstayy</t>
  </si>
  <si>
    <t>bubblestarnoona</t>
  </si>
  <si>
    <t>inlifeu_</t>
  </si>
  <si>
    <t>_ainnabilaa</t>
  </si>
  <si>
    <t>hanniestar00</t>
  </si>
  <si>
    <t>hanniequokkache</t>
  </si>
  <si>
    <t>alyacoups</t>
  </si>
  <si>
    <t>zulaikanordin_</t>
  </si>
  <si>
    <t>felixismyloveee</t>
  </si>
  <si>
    <t>janjuink</t>
  </si>
  <si>
    <t>sunforyoo</t>
  </si>
  <si>
    <t>cutmeng_backup</t>
  </si>
  <si>
    <t>cikiebokkie</t>
  </si>
  <si>
    <t>newstayskz</t>
  </si>
  <si>
    <t>detikcom</t>
  </si>
  <si>
    <t>rhyuwanda</t>
  </si>
  <si>
    <t>chyuns99</t>
  </si>
  <si>
    <t>fais_mohder</t>
  </si>
  <si>
    <t>yellowlixeu</t>
  </si>
  <si>
    <t>nur_alisyaaa</t>
  </si>
  <si>
    <t>saifull04800784</t>
  </si>
  <si>
    <t>jierahrsli</t>
  </si>
  <si>
    <t>qwertyahsksk</t>
  </si>
  <si>
    <t>sevngjinluvr</t>
  </si>
  <si>
    <t>gembrit</t>
  </si>
  <si>
    <t>kabigon89</t>
  </si>
  <si>
    <t>m_sael</t>
  </si>
  <si>
    <t>khan0348700</t>
  </si>
  <si>
    <t>_chrisnini</t>
  </si>
  <si>
    <t>jiniretsmole</t>
  </si>
  <si>
    <t>_h0wling_</t>
  </si>
  <si>
    <t>aimonogatari_</t>
  </si>
  <si>
    <t>abdulre26789541</t>
  </si>
  <si>
    <t>parvinabasi</t>
  </si>
  <si>
    <t>cranberiesh</t>
  </si>
  <si>
    <t>leenoninxx</t>
  </si>
  <si>
    <t>stayeri1</t>
  </si>
  <si>
    <t>alikmrdnn</t>
  </si>
  <si>
    <t>pln_123</t>
  </si>
  <si>
    <t>ivonnnn</t>
  </si>
  <si>
    <t>4v0cado1</t>
  </si>
  <si>
    <t>bknsquare</t>
  </si>
  <si>
    <t>oyehero4200</t>
  </si>
  <si>
    <t>malangdorn1</t>
  </si>
  <si>
    <t>fatemeh50692110</t>
  </si>
  <si>
    <t>bangqiha</t>
  </si>
  <si>
    <t>skzanddstay</t>
  </si>
  <si>
    <t>ponilempar</t>
  </si>
  <si>
    <t>theblsss</t>
  </si>
  <si>
    <t>siskaaudhina</t>
  </si>
  <si>
    <t>wolfzenluv</t>
  </si>
  <si>
    <t>kotamagetan_</t>
  </si>
  <si>
    <t>mahdibagheli1</t>
  </si>
  <si>
    <t>yanup77</t>
  </si>
  <si>
    <t>gustavog22</t>
  </si>
  <si>
    <t>ikertxu_cero8</t>
  </si>
  <si>
    <t>alifmuamin</t>
  </si>
  <si>
    <t>alyssaaudy</t>
  </si>
  <si>
    <t>cheesychoc</t>
  </si>
  <si>
    <t>ko2w</t>
  </si>
  <si>
    <t>eljohnfmpku</t>
  </si>
  <si>
    <t>mcrkluv</t>
  </si>
  <si>
    <t>hazirahbodo</t>
  </si>
  <si>
    <t>fiyybby_</t>
  </si>
  <si>
    <t>gorugodore</t>
  </si>
  <si>
    <t>yuniyunayy</t>
  </si>
  <si>
    <t>_daisybea17</t>
  </si>
  <si>
    <t>ainulyakin1003</t>
  </si>
  <si>
    <t>banserblitar</t>
  </si>
  <si>
    <t>harir16191604</t>
  </si>
  <si>
    <t>kariadi_tv</t>
  </si>
  <si>
    <t>novisherliana</t>
  </si>
  <si>
    <t>arifrah90154134</t>
  </si>
  <si>
    <t>ansoermansoer</t>
  </si>
  <si>
    <t>jnedepok_id</t>
  </si>
  <si>
    <t>choliqlz</t>
  </si>
  <si>
    <t>aimalfaruq_zaim</t>
  </si>
  <si>
    <t>farobiz</t>
  </si>
  <si>
    <t>ansorkotakediri</t>
  </si>
  <si>
    <t>a88ytjhan88</t>
  </si>
  <si>
    <t>padangjobs_id</t>
  </si>
  <si>
    <t>471_eb</t>
  </si>
  <si>
    <t>atikahlahhh</t>
  </si>
  <si>
    <t>jaimahmembara_</t>
  </si>
  <si>
    <t>kompaskerja</t>
  </si>
  <si>
    <t>astronphile</t>
  </si>
  <si>
    <t>ydwsgf</t>
  </si>
  <si>
    <t>eonsirtus</t>
  </si>
  <si>
    <t>gondron13473091</t>
  </si>
  <si>
    <t>woozisparks</t>
  </si>
  <si>
    <t>baratropot</t>
  </si>
  <si>
    <t>butterflyyyyy02</t>
  </si>
  <si>
    <t>dasterhejo</t>
  </si>
  <si>
    <t>biowan3254</t>
  </si>
  <si>
    <t>anisofeaaaaaa</t>
  </si>
  <si>
    <t>cixbaely</t>
  </si>
  <si>
    <t>gesuriid</t>
  </si>
  <si>
    <t>festifiki</t>
  </si>
  <si>
    <t>eunoiahoon</t>
  </si>
  <si>
    <t>kemlu_ri</t>
  </si>
  <si>
    <t>zakierivaldi</t>
  </si>
  <si>
    <t>ljtzys</t>
  </si>
  <si>
    <t>sdnagr</t>
  </si>
  <si>
    <t>budiatnogr</t>
  </si>
  <si>
    <t>wickysky_</t>
  </si>
  <si>
    <t>kucingduakepala</t>
  </si>
  <si>
    <t>bcpasarbaru</t>
  </si>
  <si>
    <t>pascallen_</t>
  </si>
  <si>
    <t>rizkamarhani</t>
  </si>
  <si>
    <t>madelin252</t>
  </si>
  <si>
    <t>bagheli1plus</t>
  </si>
  <si>
    <t>anaknda_</t>
  </si>
  <si>
    <t>greysavyor</t>
  </si>
  <si>
    <t>yuuutzh_</t>
  </si>
  <si>
    <t>blvckalter</t>
  </si>
  <si>
    <t>teeuhaa</t>
  </si>
  <si>
    <t>masyarakatradio</t>
  </si>
  <si>
    <t>ib_ost</t>
  </si>
  <si>
    <t>kalonginsomnia</t>
  </si>
  <si>
    <t>almahendraf</t>
  </si>
  <si>
    <t>niizaaar</t>
  </si>
  <si>
    <t>milkycocho</t>
  </si>
  <si>
    <t>anwarashburn</t>
  </si>
  <si>
    <t>jjkthygie</t>
  </si>
  <si>
    <t>jekeyy1201</t>
  </si>
  <si>
    <t>dw_sardjono</t>
  </si>
  <si>
    <t>widddigidaw</t>
  </si>
  <si>
    <t>95tdoongz</t>
  </si>
  <si>
    <t>putr4sj</t>
  </si>
  <si>
    <t>mktbhbooks</t>
  </si>
  <si>
    <t>pinknjill</t>
  </si>
  <si>
    <t>_dwinand</t>
  </si>
  <si>
    <t>ahjoss10</t>
  </si>
  <si>
    <t>sonbl05</t>
  </si>
  <si>
    <t>jeonghaniyoo_m</t>
  </si>
  <si>
    <t>ateynnnn</t>
  </si>
  <si>
    <t>itsme0605</t>
  </si>
  <si>
    <t>sparepartfjbj</t>
  </si>
  <si>
    <t>0bokuto</t>
  </si>
  <si>
    <t>julyas43</t>
  </si>
  <si>
    <t>h_e_qal</t>
  </si>
  <si>
    <t>aikerja</t>
  </si>
  <si>
    <t>nursyhra_</t>
  </si>
  <si>
    <t>asgcaseba</t>
  </si>
  <si>
    <t>syzira</t>
  </si>
  <si>
    <t>cygyt</t>
  </si>
  <si>
    <t>shhxtty</t>
  </si>
  <si>
    <t>nrnshaik19</t>
  </si>
  <si>
    <t>naaabihaaa</t>
  </si>
  <si>
    <t>bcbanjarmasin_</t>
  </si>
  <si>
    <t>kalokamubisa</t>
  </si>
  <si>
    <t>awwbubuu</t>
  </si>
  <si>
    <t>marlyanamn</t>
  </si>
  <si>
    <t>sayangtravis</t>
  </si>
  <si>
    <t>ohmasgoff</t>
  </si>
  <si>
    <t>milkeuta</t>
  </si>
  <si>
    <t>adityaraa27</t>
  </si>
  <si>
    <t>itzelworid</t>
  </si>
  <si>
    <t>atshushichun</t>
  </si>
  <si>
    <t>gopinda901</t>
  </si>
  <si>
    <t>crossvinee</t>
  </si>
  <si>
    <t>hunjisvngs</t>
  </si>
  <si>
    <t>hyunjiyoungein</t>
  </si>
  <si>
    <t>minnieeeeyey</t>
  </si>
  <si>
    <t>jiniretselling</t>
  </si>
  <si>
    <t>skzstaycmchhysj</t>
  </si>
  <si>
    <t>bbokfreckkie</t>
  </si>
  <si>
    <t>favorskz</t>
  </si>
  <si>
    <t>haafiieezaa98</t>
  </si>
  <si>
    <t>mongmongmy</t>
  </si>
  <si>
    <t>enhanreals</t>
  </si>
  <si>
    <t>ansnisnis</t>
  </si>
  <si>
    <t>abbykhai11</t>
  </si>
  <si>
    <t>nychnie</t>
  </si>
  <si>
    <t>14quokka</t>
  </si>
  <si>
    <t>aanisnana</t>
  </si>
  <si>
    <t>_hanjillipop</t>
  </si>
  <si>
    <t>tvstvmy</t>
  </si>
  <si>
    <t>prncsflwr_</t>
  </si>
  <si>
    <t>stayawl</t>
  </si>
  <si>
    <t>nctrting</t>
  </si>
  <si>
    <t>myncteam</t>
  </si>
  <si>
    <t>pasarnct</t>
  </si>
  <si>
    <t>elninosaurus</t>
  </si>
  <si>
    <t>perikertas17</t>
  </si>
  <si>
    <t>bucinhwghyunjin</t>
  </si>
  <si>
    <t>stxrslight</t>
  </si>
  <si>
    <t>hohochamzzz</t>
  </si>
  <si>
    <t>sumasenyangyang</t>
  </si>
  <si>
    <t>piecesofhyune</t>
  </si>
  <si>
    <t>wirawankrisna</t>
  </si>
  <si>
    <t>dearczennies_</t>
  </si>
  <si>
    <t>infokuis</t>
  </si>
  <si>
    <t>tenlee_107</t>
  </si>
  <si>
    <t>matchclctte</t>
  </si>
  <si>
    <t>shahrinazakaria</t>
  </si>
  <si>
    <t>proxpective</t>
  </si>
  <si>
    <t>half_moonxstars</t>
  </si>
  <si>
    <t>nctmydream_</t>
  </si>
  <si>
    <t>nctmy95</t>
  </si>
  <si>
    <t>dhinijogja</t>
  </si>
  <si>
    <t>pasarnctrt</t>
  </si>
  <si>
    <t>zigichild</t>
  </si>
  <si>
    <t>jjeyaz</t>
  </si>
  <si>
    <t>nblnndf</t>
  </si>
  <si>
    <t>fuznalaela</t>
  </si>
  <si>
    <t>lem0n4de_sh0p</t>
  </si>
  <si>
    <t>ilusikmu</t>
  </si>
  <si>
    <t>sunyibiar</t>
  </si>
  <si>
    <t>winkiwinki_</t>
  </si>
  <si>
    <t>intanint</t>
  </si>
  <si>
    <t>_mintcholatte</t>
  </si>
  <si>
    <t>azrnazol</t>
  </si>
  <si>
    <t>lokersumatera1</t>
  </si>
  <si>
    <t>ateezmart</t>
  </si>
  <si>
    <t>seoulutionid</t>
  </si>
  <si>
    <t>fallinstaar</t>
  </si>
  <si>
    <t>leeehovo</t>
  </si>
  <si>
    <t>jaerimcoty</t>
  </si>
  <si>
    <t>benarmalay</t>
  </si>
  <si>
    <t>cristykatt</t>
  </si>
  <si>
    <t>alifpribadi</t>
  </si>
  <si>
    <t>pra_dypta</t>
  </si>
  <si>
    <t>junaidi_afif</t>
  </si>
  <si>
    <t>muhammad_akbarr</t>
  </si>
  <si>
    <t>riduch</t>
  </si>
  <si>
    <t>fajar_bdmn</t>
  </si>
  <si>
    <t>ahmaadzulfikar</t>
  </si>
  <si>
    <t>sarfd</t>
  </si>
  <si>
    <t>robygessyromany</t>
  </si>
  <si>
    <t>syarifiirvan</t>
  </si>
  <si>
    <t>krisnapraditya2</t>
  </si>
  <si>
    <t>captainfaried</t>
  </si>
  <si>
    <t>sonnarutoluffy</t>
  </si>
  <si>
    <t>cindercells</t>
  </si>
  <si>
    <t>pojhur</t>
  </si>
  <si>
    <t>dawifezi2</t>
  </si>
  <si>
    <t>andrifigfarm</t>
  </si>
  <si>
    <t>_iansyah</t>
  </si>
  <si>
    <t>sosistdamn1</t>
  </si>
  <si>
    <t>titanjerami</t>
  </si>
  <si>
    <t>rian2290</t>
  </si>
  <si>
    <t>ndhan_rom</t>
  </si>
  <si>
    <t>kharisma_juve</t>
  </si>
  <si>
    <t>sandiagnelli</t>
  </si>
  <si>
    <t>hcnaramas_</t>
  </si>
  <si>
    <t>danuarya_p</t>
  </si>
  <si>
    <t>mfajriyansyah</t>
  </si>
  <si>
    <t>__elbeh</t>
  </si>
  <si>
    <t>yourbabetonight</t>
  </si>
  <si>
    <t>25yuyun</t>
  </si>
  <si>
    <t>gandalah</t>
  </si>
  <si>
    <t>zanpaqu07</t>
  </si>
  <si>
    <t>artshs10</t>
  </si>
  <si>
    <t>hadirdinsos</t>
  </si>
  <si>
    <t>akbartigabelas</t>
  </si>
  <si>
    <t>asfarinaaaa_</t>
  </si>
  <si>
    <t>ardiez1897</t>
  </si>
  <si>
    <t>ekodwiee</t>
  </si>
  <si>
    <t>nuytarigan</t>
  </si>
  <si>
    <t>oecsik</t>
  </si>
  <si>
    <t>prabhusindewa</t>
  </si>
  <si>
    <t>faridfadhil14</t>
  </si>
  <si>
    <t>henry_ogi</t>
  </si>
  <si>
    <t>_afaz</t>
  </si>
  <si>
    <t>eldayato</t>
  </si>
  <si>
    <t>achmadsreza</t>
  </si>
  <si>
    <t>tirkapoor</t>
  </si>
  <si>
    <t>satlantas_ds</t>
  </si>
  <si>
    <t>seellacc</t>
  </si>
  <si>
    <t>peeloffsmile</t>
  </si>
  <si>
    <t>namujoon__</t>
  </si>
  <si>
    <t>ridzki_ss</t>
  </si>
  <si>
    <t>hanifinho</t>
  </si>
  <si>
    <t>kaptenupil</t>
  </si>
  <si>
    <t>faayyyh</t>
  </si>
  <si>
    <t>aidilzulkefli_</t>
  </si>
  <si>
    <t>thisisfair99</t>
  </si>
  <si>
    <t>fredsepra</t>
  </si>
  <si>
    <t>keychushoppu</t>
  </si>
  <si>
    <t>ayraayrong</t>
  </si>
  <si>
    <t>areizaldy</t>
  </si>
  <si>
    <t>zkrhm</t>
  </si>
  <si>
    <t>abdullah_s3eed_</t>
  </si>
  <si>
    <t>kuyaaglaya</t>
  </si>
  <si>
    <t>btstreamingid</t>
  </si>
  <si>
    <t>jhope_indonesia</t>
  </si>
  <si>
    <t>dvisyyy_</t>
  </si>
  <si>
    <t>rrenle00</t>
  </si>
  <si>
    <t>kakayy</t>
  </si>
  <si>
    <t>jonrussell</t>
  </si>
  <si>
    <t>ahmadyasiin</t>
  </si>
  <si>
    <t>gio40351985</t>
  </si>
  <si>
    <t>ashataee</t>
  </si>
  <si>
    <t>jngwoozeus</t>
  </si>
  <si>
    <t>nxnadoongies</t>
  </si>
  <si>
    <t>psrnctrt</t>
  </si>
  <si>
    <t>bnnk_info</t>
  </si>
  <si>
    <t>rozzy_bwin</t>
  </si>
  <si>
    <t>bagusfitrian</t>
  </si>
  <si>
    <t>disnakerja_com</t>
  </si>
  <si>
    <t>tribunnews</t>
  </si>
  <si>
    <t>taggie_03</t>
  </si>
  <si>
    <t>xrzlx</t>
  </si>
  <si>
    <t>calleenreesa</t>
  </si>
  <si>
    <t>sylvkartika</t>
  </si>
  <si>
    <t>df9994447</t>
  </si>
  <si>
    <t>luvmlikeudu</t>
  </si>
  <si>
    <t>siiandhy</t>
  </si>
  <si>
    <t>miyongyu</t>
  </si>
  <si>
    <t>jentokiee</t>
  </si>
  <si>
    <t>wh0junie</t>
  </si>
  <si>
    <t>chocoboyksw</t>
  </si>
  <si>
    <t>jasaraharjaaceh</t>
  </si>
  <si>
    <t>anggita02727756</t>
  </si>
  <si>
    <t>3kimandimdead</t>
  </si>
  <si>
    <t>jihoneybebe</t>
  </si>
  <si>
    <t>sukulent_kaktus</t>
  </si>
  <si>
    <t>awenk_bukar</t>
  </si>
  <si>
    <t>tibott2</t>
  </si>
  <si>
    <t>hendrimbahe_10</t>
  </si>
  <si>
    <t>aly_pemuda</t>
  </si>
  <si>
    <t>naj_2709</t>
  </si>
  <si>
    <t>youngfarrel27</t>
  </si>
  <si>
    <t>ariestarico2</t>
  </si>
  <si>
    <t>giewhydi</t>
  </si>
  <si>
    <t>rizkidikka</t>
  </si>
  <si>
    <t>berli_flo</t>
  </si>
  <si>
    <t>marv3lll</t>
  </si>
  <si>
    <t>o1sahi</t>
  </si>
  <si>
    <t>bey_heri</t>
  </si>
  <si>
    <t>panterorison20</t>
  </si>
  <si>
    <t>adenugraha999</t>
  </si>
  <si>
    <t>sydneyx5w</t>
  </si>
  <si>
    <t>farrel27</t>
  </si>
  <si>
    <t>babyericsohn</t>
  </si>
  <si>
    <t>rakustudiojogja</t>
  </si>
  <si>
    <t>_adeputra</t>
  </si>
  <si>
    <t>putiandamdewi16</t>
  </si>
  <si>
    <t>hhjdinn</t>
  </si>
  <si>
    <t>anak_sultanjaya</t>
  </si>
  <si>
    <t>ta_k3n</t>
  </si>
  <si>
    <t>kemenkumham_jtm</t>
  </si>
  <si>
    <t>pkspekayon</t>
  </si>
  <si>
    <t>dmncbgs</t>
  </si>
  <si>
    <t>hoonqhwadxjj</t>
  </si>
  <si>
    <t>caratsmarket</t>
  </si>
  <si>
    <t>thisuglyducklin</t>
  </si>
  <si>
    <t>caesarygesa</t>
  </si>
  <si>
    <t>prakamaulana</t>
  </si>
  <si>
    <t>liliiluuu</t>
  </si>
  <si>
    <t>nurlimreski</t>
  </si>
  <si>
    <t>twitlowongan</t>
  </si>
  <si>
    <t>imanhidayat85</t>
  </si>
  <si>
    <t>dnyrstn_</t>
  </si>
  <si>
    <t>canduayamgeprek</t>
  </si>
  <si>
    <t>leezxv</t>
  </si>
  <si>
    <t>ray_prakarsa</t>
  </si>
  <si>
    <t>nanasisterrr</t>
  </si>
  <si>
    <t>nugraha16_</t>
  </si>
  <si>
    <t>rezaaadtya</t>
  </si>
  <si>
    <t>derryaulia</t>
  </si>
  <si>
    <t>bukansamsmith</t>
  </si>
  <si>
    <t>korantempo</t>
  </si>
  <si>
    <t>sokojogja</t>
  </si>
  <si>
    <t>jggkkie</t>
  </si>
  <si>
    <t>floraisonvie</t>
  </si>
  <si>
    <t>pasartheboyz</t>
  </si>
  <si>
    <t>gudangloker_com</t>
  </si>
  <si>
    <t>_n0t4lfiaccount</t>
  </si>
  <si>
    <t>lokernesiaid</t>
  </si>
  <si>
    <t>eunhatelkomsel</t>
  </si>
  <si>
    <t>akuratco</t>
  </si>
  <si>
    <t>muse_indonesia</t>
  </si>
  <si>
    <t>sparklingpjh</t>
  </si>
  <si>
    <t>sendalpupus</t>
  </si>
  <si>
    <t>smootieskies</t>
  </si>
  <si>
    <t>mitraloker</t>
  </si>
  <si>
    <t>_44ngel_</t>
  </si>
  <si>
    <t>indojobinfo</t>
  </si>
  <si>
    <t>dyodks</t>
  </si>
  <si>
    <t>meneertang</t>
  </si>
  <si>
    <t>crownjxno</t>
  </si>
  <si>
    <t>dochil97</t>
  </si>
  <si>
    <t>birthhdayboyy</t>
  </si>
  <si>
    <t>jnvcarts</t>
  </si>
  <si>
    <t>meisyarahma0109</t>
  </si>
  <si>
    <t>draftanakunpad</t>
  </si>
  <si>
    <t>jieyalahh</t>
  </si>
  <si>
    <t>nauttella</t>
  </si>
  <si>
    <t>idealtouse</t>
  </si>
  <si>
    <t>isrdotcom</t>
  </si>
  <si>
    <t>pajakbela</t>
  </si>
  <si>
    <t>pajakmanna</t>
  </si>
  <si>
    <t>sherlynzlee</t>
  </si>
  <si>
    <t>temandeeptalk</t>
  </si>
  <si>
    <t>dodotcantik</t>
  </si>
  <si>
    <t>shattapyou</t>
  </si>
  <si>
    <t>tsyahana</t>
  </si>
  <si>
    <t>deobimarket</t>
  </si>
  <si>
    <t>pasartheboyzmy</t>
  </si>
  <si>
    <t>mybigbozz</t>
  </si>
  <si>
    <t>hyjinjinn</t>
  </si>
  <si>
    <t>cikguainan</t>
  </si>
  <si>
    <t>bbyerics</t>
  </si>
  <si>
    <t>kharismaselaras</t>
  </si>
  <si>
    <t>bursakerja20</t>
  </si>
  <si>
    <t>makhlukhalusss</t>
  </si>
  <si>
    <t>bazaardeobi</t>
  </si>
  <si>
    <t>haiqal_mahtiar</t>
  </si>
  <si>
    <t>pingpongshh</t>
  </si>
  <si>
    <t>ajisaazeez</t>
  </si>
  <si>
    <t>ireneizbaee</t>
  </si>
  <si>
    <t>nraisyah_12</t>
  </si>
  <si>
    <t>pksejahtera</t>
  </si>
  <si>
    <t>pks_psrebo</t>
  </si>
  <si>
    <t>soorisaa</t>
  </si>
  <si>
    <t>lcvely_wn</t>
  </si>
  <si>
    <t>widodo025</t>
  </si>
  <si>
    <t>nabilaaptrs</t>
  </si>
  <si>
    <t>shadatuzn</t>
  </si>
  <si>
    <t>jeonginfoxyy</t>
  </si>
  <si>
    <t>teutoong21</t>
  </si>
  <si>
    <t>guardianfa</t>
  </si>
  <si>
    <t>iyenstars</t>
  </si>
  <si>
    <t>iouhrj</t>
  </si>
  <si>
    <t>cthe0luvr</t>
  </si>
  <si>
    <t>briankhis</t>
  </si>
  <si>
    <t>ainthesame</t>
  </si>
  <si>
    <t>hopills</t>
  </si>
  <si>
    <t>pasarpiwon</t>
  </si>
  <si>
    <t>tyongluvb</t>
  </si>
  <si>
    <t>jeromechanhee</t>
  </si>
  <si>
    <t>depoksenju</t>
  </si>
  <si>
    <t>worriwart</t>
  </si>
  <si>
    <t>kusumastianto</t>
  </si>
  <si>
    <t>bluebir56633512</t>
  </si>
  <si>
    <t>egghannie</t>
  </si>
  <si>
    <t>shafigh</t>
  </si>
  <si>
    <t>spartanwisata</t>
  </si>
  <si>
    <t>sohyunjae</t>
  </si>
  <si>
    <t>cococheezy</t>
  </si>
  <si>
    <t>vssyie</t>
  </si>
  <si>
    <t>taestrowbeary</t>
  </si>
  <si>
    <t>lvlyytaetae</t>
  </si>
  <si>
    <t>kittywonieee</t>
  </si>
  <si>
    <t>jeonginfoxyny</t>
  </si>
  <si>
    <t>aesthetichees</t>
  </si>
  <si>
    <t>jkzty</t>
  </si>
  <si>
    <t>seaguling</t>
  </si>
  <si>
    <t>tinyyyjungwon</t>
  </si>
  <si>
    <t>purpleejinnie</t>
  </si>
  <si>
    <t>hairulpasya</t>
  </si>
  <si>
    <t>pld_dedy</t>
  </si>
  <si>
    <t>gusdinsurabaya</t>
  </si>
  <si>
    <t>taehusna</t>
  </si>
  <si>
    <t>_chemog_</t>
  </si>
  <si>
    <t>blueanchovy_</t>
  </si>
  <si>
    <t>kendari_pos</t>
  </si>
  <si>
    <t>jnoslatte</t>
  </si>
  <si>
    <t>bunnykie</t>
  </si>
  <si>
    <t>infolokerserang</t>
  </si>
  <si>
    <t>dinotaete</t>
  </si>
  <si>
    <t>drp_supportina</t>
  </si>
  <si>
    <t>vantaesfm</t>
  </si>
  <si>
    <t>glitterzkoo</t>
  </si>
  <si>
    <t>jamaisvuphoria</t>
  </si>
  <si>
    <t>depok_pos</t>
  </si>
  <si>
    <t>lunarwolfj</t>
  </si>
  <si>
    <t>alyessamariani</t>
  </si>
  <si>
    <t>wintervecember_</t>
  </si>
  <si>
    <t>flowtaekoo</t>
  </si>
  <si>
    <t>hengkyfathurr</t>
  </si>
  <si>
    <t>picknava3</t>
  </si>
  <si>
    <t>lauvkia</t>
  </si>
  <si>
    <t>syazzyjinbts</t>
  </si>
  <si>
    <t>blkhairtannies</t>
  </si>
  <si>
    <t>jeonbunnyqis</t>
  </si>
  <si>
    <t>busannfairies</t>
  </si>
  <si>
    <t>ho6ism</t>
  </si>
  <si>
    <t>arnabjungkook</t>
  </si>
  <si>
    <t>mydearjiminie</t>
  </si>
  <si>
    <t>jks_ladyice</t>
  </si>
  <si>
    <t>lilhannies</t>
  </si>
  <si>
    <t>cheriekoo_</t>
  </si>
  <si>
    <t>thenexteleanor</t>
  </si>
  <si>
    <t>clwdygguk</t>
  </si>
  <si>
    <t>yuuusshi</t>
  </si>
  <si>
    <t>dinaacooky</t>
  </si>
  <si>
    <t>piwpiwjoon</t>
  </si>
  <si>
    <t>seungvocado22</t>
  </si>
  <si>
    <t>ffairykoo</t>
  </si>
  <si>
    <t>bangtansbaby13</t>
  </si>
  <si>
    <t>bangpdwife</t>
  </si>
  <si>
    <t>pjmnjjkk</t>
  </si>
  <si>
    <t>jiminiekiyowoo</t>
  </si>
  <si>
    <t>yyoongs93</t>
  </si>
  <si>
    <t>lyayae_</t>
  </si>
  <si>
    <t>sitirdeenaa</t>
  </si>
  <si>
    <t>t_mikhwan</t>
  </si>
  <si>
    <t>jci_pekanbaru</t>
  </si>
  <si>
    <t>jaemdoongiessss</t>
  </si>
  <si>
    <t>ktaehmybae</t>
  </si>
  <si>
    <t>skylova2</t>
  </si>
  <si>
    <t>akittendust</t>
  </si>
  <si>
    <t>wanshaidin1</t>
  </si>
  <si>
    <t>imnicekeepgoing</t>
  </si>
  <si>
    <t>qilahshafie69</t>
  </si>
  <si>
    <t>shrfhbgtn</t>
  </si>
  <si>
    <t>usagiescape</t>
  </si>
  <si>
    <t>ezzyyall</t>
  </si>
  <si>
    <t>juventusfcid</t>
  </si>
  <si>
    <t>emirvan96</t>
  </si>
  <si>
    <t>cap_bintang</t>
  </si>
  <si>
    <t>mungillicious</t>
  </si>
  <si>
    <t>kimonechi</t>
  </si>
  <si>
    <t>faeezah01774194</t>
  </si>
  <si>
    <t>miliondez</t>
  </si>
  <si>
    <t>heymingyuu</t>
  </si>
  <si>
    <t>claruskv</t>
  </si>
  <si>
    <t>inipandaa_</t>
  </si>
  <si>
    <t>taeilcarts</t>
  </si>
  <si>
    <t>tetehdrinktea</t>
  </si>
  <si>
    <t>siapakahaquw</t>
  </si>
  <si>
    <t>potolawas</t>
  </si>
  <si>
    <t>micimochi</t>
  </si>
  <si>
    <t>koranbumn</t>
  </si>
  <si>
    <t>joyxvc1</t>
  </si>
  <si>
    <t>characterofr</t>
  </si>
  <si>
    <t>jjaeluvm</t>
  </si>
  <si>
    <t>hellloimsthn</t>
  </si>
  <si>
    <t>p3psodent</t>
  </si>
  <si>
    <t>jerukcina</t>
  </si>
  <si>
    <t>lvlyjbblyy</t>
  </si>
  <si>
    <t>lightaboo</t>
  </si>
  <si>
    <t>univ_mhthamrin</t>
  </si>
  <si>
    <t>artsyyflower</t>
  </si>
  <si>
    <t>flirtswkook</t>
  </si>
  <si>
    <t>jinkidubuu</t>
  </si>
  <si>
    <t>jcpacaran</t>
  </si>
  <si>
    <t>hjia__</t>
  </si>
  <si>
    <t>byeommin</t>
  </si>
  <si>
    <t>unclemuthu05</t>
  </si>
  <si>
    <t>jeneralkenobii</t>
  </si>
  <si>
    <t>aniszulkifle</t>
  </si>
  <si>
    <t>ahidahid</t>
  </si>
  <si>
    <t>reloadnih</t>
  </si>
  <si>
    <t>mkomeliya</t>
  </si>
  <si>
    <t>smolwoonie</t>
  </si>
  <si>
    <t>izzarose</t>
  </si>
  <si>
    <t>ndanaaaaaa</t>
  </si>
  <si>
    <t>cxlendulx</t>
  </si>
  <si>
    <t>bandungnewsid</t>
  </si>
  <si>
    <t>republikaonline</t>
  </si>
  <si>
    <t>bunnedu</t>
  </si>
  <si>
    <t>allif33</t>
  </si>
  <si>
    <t>drjoealexander</t>
  </si>
  <si>
    <t>cringeunicorn_</t>
  </si>
  <si>
    <t>jonguparx</t>
  </si>
  <si>
    <t>kinanthings</t>
  </si>
  <si>
    <t>kbharianaceh</t>
  </si>
  <si>
    <t>chyoevil13</t>
  </si>
  <si>
    <t>birrubiw</t>
  </si>
  <si>
    <t>binbreacker</t>
  </si>
  <si>
    <t>hj7bkt20sgr3</t>
  </si>
  <si>
    <t>yojeong9196</t>
  </si>
  <si>
    <t>portalkalbar1</t>
  </si>
  <si>
    <t>cwecani</t>
  </si>
  <si>
    <t>fluff__yunicorn</t>
  </si>
  <si>
    <t>bkipm_kkp</t>
  </si>
  <si>
    <t>wilkerjalaludin</t>
  </si>
  <si>
    <t>craemkoo</t>
  </si>
  <si>
    <t>imanassrii</t>
  </si>
  <si>
    <t>vointeuir</t>
  </si>
  <si>
    <t>yangf41ry</t>
  </si>
  <si>
    <t>occeanview</t>
  </si>
  <si>
    <t>tariprinsa</t>
  </si>
  <si>
    <t>lcadies</t>
  </si>
  <si>
    <t>bnnksleman</t>
  </si>
  <si>
    <t>dyanahr</t>
  </si>
  <si>
    <t>orchidpoison</t>
  </si>
  <si>
    <t>fokus_satu</t>
  </si>
  <si>
    <t>sapepulakni</t>
  </si>
  <si>
    <t>khairudinzack07</t>
  </si>
  <si>
    <t>bobahyuck</t>
  </si>
  <si>
    <t>putrirahmayln</t>
  </si>
  <si>
    <t>himasurautm</t>
  </si>
  <si>
    <t>helloindonesian</t>
  </si>
  <si>
    <t>rsupelitahusada</t>
  </si>
  <si>
    <t>karanganyarkab</t>
  </si>
  <si>
    <t>writerwkamah</t>
  </si>
  <si>
    <t>infomjkt</t>
  </si>
  <si>
    <t>masdoddd</t>
  </si>
  <si>
    <t>bawaslutator</t>
  </si>
  <si>
    <t>along_pura</t>
  </si>
  <si>
    <t>sur_dchuvalier</t>
  </si>
  <si>
    <t>kominfosumbar</t>
  </si>
  <si>
    <t>rumahkipkunsil</t>
  </si>
  <si>
    <t>lib1_alfawy</t>
  </si>
  <si>
    <t>kominfodiy</t>
  </si>
  <si>
    <t>himafifmipaunri</t>
  </si>
  <si>
    <t>coklatkita</t>
  </si>
  <si>
    <t>d4mbpoltekpos</t>
  </si>
  <si>
    <t>lowongankerjalu</t>
  </si>
  <si>
    <t>bolmongkpu</t>
  </si>
  <si>
    <t>kejariindramayu</t>
  </si>
  <si>
    <t>cindysirait</t>
  </si>
  <si>
    <t>ant_surf_fish</t>
  </si>
  <si>
    <t>pp234sc</t>
  </si>
  <si>
    <t>ncit31</t>
  </si>
  <si>
    <t>loeyyeojaa</t>
  </si>
  <si>
    <t>syafiqaaazm</t>
  </si>
  <si>
    <t>oshh____</t>
  </si>
  <si>
    <t>ikpkominfosbs</t>
  </si>
  <si>
    <t>radiopatria</t>
  </si>
  <si>
    <t>tvrisumbar</t>
  </si>
  <si>
    <t>theiconomic</t>
  </si>
  <si>
    <t>himasejarahfkip</t>
  </si>
  <si>
    <t>kpuberau</t>
  </si>
  <si>
    <t>antara_lkbn</t>
  </si>
  <si>
    <t>tabda_tabdi</t>
  </si>
  <si>
    <t>zibellebeaute</t>
  </si>
  <si>
    <t>auwich</t>
  </si>
  <si>
    <t>bpskabmuba</t>
  </si>
  <si>
    <t>jaemistvy</t>
  </si>
  <si>
    <t>smks_jannah</t>
  </si>
  <si>
    <t>pranatahumas</t>
  </si>
  <si>
    <t>carilokermedan</t>
  </si>
  <si>
    <t>yuan_info</t>
  </si>
  <si>
    <t>shun_chan_chan</t>
  </si>
  <si>
    <t>tarbantinbooks</t>
  </si>
  <si>
    <t>tictactoe_app</t>
  </si>
  <si>
    <t>kpudonggala</t>
  </si>
  <si>
    <t>kpujakartatimur</t>
  </si>
  <si>
    <t>yainiakuu</t>
  </si>
  <si>
    <t>xxllyamr</t>
  </si>
  <si>
    <t>harrynuriman</t>
  </si>
  <si>
    <t>rriprograma3</t>
  </si>
  <si>
    <t>thanksindomie</t>
  </si>
  <si>
    <t>himapentikaunri</t>
  </si>
  <si>
    <t>taqimovic_</t>
  </si>
  <si>
    <t>h0swee</t>
  </si>
  <si>
    <t>putribigwin_</t>
  </si>
  <si>
    <t>humas_jogja</t>
  </si>
  <si>
    <t>leis_94</t>
  </si>
  <si>
    <t>kpukotadenpasar</t>
  </si>
  <si>
    <t>tatihar_10</t>
  </si>
  <si>
    <t>deasokanews</t>
  </si>
  <si>
    <t>nisazain_</t>
  </si>
  <si>
    <t>medilow</t>
  </si>
  <si>
    <t>ndasmuyee</t>
  </si>
  <si>
    <t>legalcentric</t>
  </si>
  <si>
    <t>perancahrindu</t>
  </si>
  <si>
    <t>bawasludepok_</t>
  </si>
  <si>
    <t>ikimlyth</t>
  </si>
  <si>
    <t>immaturekids_</t>
  </si>
  <si>
    <t>himaska_unri</t>
  </si>
  <si>
    <t>cerita_parapuan</t>
  </si>
  <si>
    <t>rnarendro_w</t>
  </si>
  <si>
    <t>myaccnotyours_</t>
  </si>
  <si>
    <t>jiniretkkami</t>
  </si>
  <si>
    <t>frckleslixie</t>
  </si>
  <si>
    <t>xoicedteaa</t>
  </si>
  <si>
    <t>knowleebb</t>
  </si>
  <si>
    <t>apmoestopo</t>
  </si>
  <si>
    <t>humasresmesuji</t>
  </si>
  <si>
    <t>codex_telkom</t>
  </si>
  <si>
    <t>bpsjatim</t>
  </si>
  <si>
    <t>anshaeyn</t>
  </si>
  <si>
    <t>bandung_goid</t>
  </si>
  <si>
    <t>seputaran_bdg</t>
  </si>
  <si>
    <t>maretaprilmeiye</t>
  </si>
  <si>
    <t>imiblkpadang</t>
  </si>
  <si>
    <t>fiersabesari</t>
  </si>
  <si>
    <t>orangekampus</t>
  </si>
  <si>
    <t>kamadjajaklog</t>
  </si>
  <si>
    <t>linomeow_8</t>
  </si>
  <si>
    <t>ayoesfa</t>
  </si>
  <si>
    <t>blksamarinda</t>
  </si>
  <si>
    <t>officialwasa48</t>
  </si>
  <si>
    <t>lebotquidittg</t>
  </si>
  <si>
    <t>jk_daulay</t>
  </si>
  <si>
    <t>1_shieldnkri</t>
  </si>
  <si>
    <t>jeeennn</t>
  </si>
  <si>
    <t>felixsuryadi2</t>
  </si>
  <si>
    <t>himapefsi</t>
  </si>
  <si>
    <t>tatakamu_</t>
  </si>
  <si>
    <t>tanthiaa</t>
  </si>
  <si>
    <t>samsatdigital</t>
  </si>
  <si>
    <t>dickowijaya</t>
  </si>
  <si>
    <t>rizaldiyos1</t>
  </si>
  <si>
    <t>ndukla2</t>
  </si>
  <si>
    <t>silakmu</t>
  </si>
  <si>
    <t>x4riph0bi4</t>
  </si>
  <si>
    <t>himapbsifkipur1</t>
  </si>
  <si>
    <t>himakompolban</t>
  </si>
  <si>
    <t>anjasmara_ferry</t>
  </si>
  <si>
    <t>teiyongg</t>
  </si>
  <si>
    <t>sofyarega</t>
  </si>
  <si>
    <t>mhafizzz19</t>
  </si>
  <si>
    <t>bkdjatim</t>
  </si>
  <si>
    <t>anfariz92</t>
  </si>
  <si>
    <t>bumnjdih</t>
  </si>
  <si>
    <t>denpasarkota</t>
  </si>
  <si>
    <t>citraemillia</t>
  </si>
  <si>
    <t>diskominfopwk</t>
  </si>
  <si>
    <t>infobdg</t>
  </si>
  <si>
    <t>vincentera1</t>
  </si>
  <si>
    <t>evikaathalia</t>
  </si>
  <si>
    <t>kita_official_</t>
  </si>
  <si>
    <t>yazmato</t>
  </si>
  <si>
    <t>masellbuy</t>
  </si>
  <si>
    <t>sassysleep_</t>
  </si>
  <si>
    <t>fattireyz</t>
  </si>
  <si>
    <t>skzmarketmy</t>
  </si>
  <si>
    <t>anade04973624</t>
  </si>
  <si>
    <t>yeoninnie</t>
  </si>
  <si>
    <t>yseohui96</t>
  </si>
  <si>
    <t>revmen_id</t>
  </si>
  <si>
    <t>andidewiyahooc1</t>
  </si>
  <si>
    <t>aynbla</t>
  </si>
  <si>
    <t>jdihkpumgl</t>
  </si>
  <si>
    <t>sitinoerhayati</t>
  </si>
  <si>
    <t>juyeonspicy</t>
  </si>
  <si>
    <t>herlin_673yp</t>
  </si>
  <si>
    <t>flobamoraglobal</t>
  </si>
  <si>
    <t>mmrrllssyyffqq</t>
  </si>
  <si>
    <t>swoozidk</t>
  </si>
  <si>
    <t>lcvingwoo_</t>
  </si>
  <si>
    <t>telkomindonesia</t>
  </si>
  <si>
    <t>humasjabar</t>
  </si>
  <si>
    <t>repkemanz</t>
  </si>
  <si>
    <t>ide2nesia</t>
  </si>
  <si>
    <t>mudha_satriya</t>
  </si>
  <si>
    <t>nikfaez_</t>
  </si>
  <si>
    <t>marwansr</t>
  </si>
  <si>
    <t>djppikominfo</t>
  </si>
  <si>
    <t>joshyyyy111</t>
  </si>
  <si>
    <t>polresrembang86</t>
  </si>
  <si>
    <t>gojekmilitan</t>
  </si>
  <si>
    <t>psychoddle</t>
  </si>
  <si>
    <t>tiarakhansaaa</t>
  </si>
  <si>
    <t>_averain99</t>
  </si>
  <si>
    <t>nynassuh</t>
  </si>
  <si>
    <t>divhumas_polri</t>
  </si>
  <si>
    <t>permanamukim</t>
  </si>
  <si>
    <t>davinardsyah</t>
  </si>
  <si>
    <t>bikinlaparmata</t>
  </si>
  <si>
    <t>tuanwidi</t>
  </si>
  <si>
    <t>whenscarves</t>
  </si>
  <si>
    <t>jiaeffendie</t>
  </si>
  <si>
    <t>torantula</t>
  </si>
  <si>
    <t>funjunkies</t>
  </si>
  <si>
    <t>dipurwantto</t>
  </si>
  <si>
    <t>dw19kur</t>
  </si>
  <si>
    <t>itsnaini_alan</t>
  </si>
  <si>
    <t>anisprasety</t>
  </si>
  <si>
    <t>el_maqnuah</t>
  </si>
  <si>
    <t>_u5er5_</t>
  </si>
  <si>
    <t>reskrimrestaptk</t>
  </si>
  <si>
    <t>nararara17</t>
  </si>
  <si>
    <t>hendrichalid</t>
  </si>
  <si>
    <t>negarakecil</t>
  </si>
  <si>
    <t>ekapuspitaward1</t>
  </si>
  <si>
    <t>humaspemkotbkl</t>
  </si>
  <si>
    <t>rezanurazar</t>
  </si>
  <si>
    <t>moncherriees</t>
  </si>
  <si>
    <t>mykimchillstore</t>
  </si>
  <si>
    <t>elgowh</t>
  </si>
  <si>
    <t>bbplk_serang</t>
  </si>
  <si>
    <t>hash1r4_</t>
  </si>
  <si>
    <t>wicaksono_pe</t>
  </si>
  <si>
    <t>minanggermanic</t>
  </si>
  <si>
    <t>spy_zone85</t>
  </si>
  <si>
    <t>kemkominfo</t>
  </si>
  <si>
    <t>luluiii</t>
  </si>
  <si>
    <t>ppid_sragen</t>
  </si>
  <si>
    <t>kantahkabsragen</t>
  </si>
  <si>
    <t>hahakimiiiiii</t>
  </si>
  <si>
    <t>lokershareinone</t>
  </si>
  <si>
    <t>b4esuzypuji</t>
  </si>
  <si>
    <t>adarndresser</t>
  </si>
  <si>
    <t>3andalas</t>
  </si>
  <si>
    <t>astritriast</t>
  </si>
  <si>
    <t>fullsunbb_</t>
  </si>
  <si>
    <t>littleboozi</t>
  </si>
  <si>
    <t>cherlyalviani</t>
  </si>
  <si>
    <t>anwarkhairi</t>
  </si>
  <si>
    <t>nasruddinharon</t>
  </si>
  <si>
    <t>mpo_ani</t>
  </si>
  <si>
    <t>alkecilsaja</t>
  </si>
  <si>
    <t>yanguning2</t>
  </si>
  <si>
    <t>danicdanic</t>
  </si>
  <si>
    <t>btsmarketmy</t>
  </si>
  <si>
    <t>blinkuelilies</t>
  </si>
  <si>
    <t>bonno35583659</t>
  </si>
  <si>
    <t>inisial_jj</t>
  </si>
  <si>
    <t>inagobes26</t>
  </si>
  <si>
    <t>zomet13</t>
  </si>
  <si>
    <t>camelaila1</t>
  </si>
  <si>
    <t>ryuzaky46</t>
  </si>
  <si>
    <t>pmi_kabsemarang</t>
  </si>
  <si>
    <t>yoesfat</t>
  </si>
  <si>
    <t>lulusyukk</t>
  </si>
  <si>
    <t>blood4lifeid</t>
  </si>
  <si>
    <t>gldenvnte</t>
  </si>
  <si>
    <t>openkerja</t>
  </si>
  <si>
    <t>winterpeachyy</t>
  </si>
  <si>
    <t>tbssouvenir</t>
  </si>
  <si>
    <t>datel7190</t>
  </si>
  <si>
    <t>lowongankerja07</t>
  </si>
  <si>
    <t>roistorez</t>
  </si>
  <si>
    <t>lim_pato</t>
  </si>
  <si>
    <t>kyufiies</t>
  </si>
  <si>
    <t>sitimaharani39</t>
  </si>
  <si>
    <t>bravobeacukai</t>
  </si>
  <si>
    <t>euisnurhalimah6</t>
  </si>
  <si>
    <t>jawapos</t>
  </si>
  <si>
    <t>karangpos</t>
  </si>
  <si>
    <t>gdlks12</t>
  </si>
  <si>
    <t>ardhobani</t>
  </si>
  <si>
    <t>bbamwin</t>
  </si>
  <si>
    <t>pelangii_senja</t>
  </si>
  <si>
    <t>infosebelah</t>
  </si>
  <si>
    <t>tinggibdnalami</t>
  </si>
  <si>
    <t>rakyatsulsel</t>
  </si>
  <si>
    <t>pacarminbin</t>
  </si>
  <si>
    <t>berjakey</t>
  </si>
  <si>
    <t>matchxlouds</t>
  </si>
  <si>
    <t>sandaranscoups</t>
  </si>
  <si>
    <t>linorieng</t>
  </si>
  <si>
    <t>shiningstar0606</t>
  </si>
  <si>
    <t>kiwlunaa</t>
  </si>
  <si>
    <t>junxoala</t>
  </si>
  <si>
    <t>captainllama_</t>
  </si>
  <si>
    <t>ibigwintday</t>
  </si>
  <si>
    <t>dwuagg</t>
  </si>
  <si>
    <t>seelaaa_</t>
  </si>
  <si>
    <t>yvelixie_bang28</t>
  </si>
  <si>
    <t>je_ariff</t>
  </si>
  <si>
    <t>truplapng</t>
  </si>
  <si>
    <t>asabri_official</t>
  </si>
  <si>
    <t>bvttercupp</t>
  </si>
  <si>
    <t>rhutiyyy</t>
  </si>
  <si>
    <t>amwidyou</t>
  </si>
  <si>
    <t>_gita05</t>
  </si>
  <si>
    <t>dattebayo96_</t>
  </si>
  <si>
    <t>enjoyourmark</t>
  </si>
  <si>
    <t>najusaaaaa</t>
  </si>
  <si>
    <t>ummunaha</t>
  </si>
  <si>
    <t>peachyjaemine</t>
  </si>
  <si>
    <t>sicepat_ekspres</t>
  </si>
  <si>
    <t>pos_indonesia</t>
  </si>
  <si>
    <t>peuniels</t>
  </si>
  <si>
    <t>beritasulselcom</t>
  </si>
  <si>
    <t>erickthohir</t>
  </si>
  <si>
    <t>idtodayco</t>
  </si>
  <si>
    <t>caratshopina</t>
  </si>
  <si>
    <t>jualanlabels</t>
  </si>
  <si>
    <t>sellbuytrad3</t>
  </si>
  <si>
    <t>bernardgyorgy</t>
  </si>
  <si>
    <t>aidatetttttt</t>
  </si>
  <si>
    <t>suneo138</t>
  </si>
  <si>
    <t>enakmurahbanyaq</t>
  </si>
  <si>
    <t>princehanjisung</t>
  </si>
  <si>
    <t>lowker_indojob</t>
  </si>
  <si>
    <t>jokowi</t>
  </si>
  <si>
    <t>jajanbighit</t>
  </si>
  <si>
    <t>babesjkvstore</t>
  </si>
  <si>
    <t>stfuidcabtyou</t>
  </si>
  <si>
    <t>markettfess</t>
  </si>
  <si>
    <t>aiaiake2</t>
  </si>
  <si>
    <t>itsgitcha</t>
  </si>
  <si>
    <t>dagangkr</t>
  </si>
  <si>
    <t>bertanyarl</t>
  </si>
  <si>
    <t>tousiesjour</t>
  </si>
  <si>
    <t>bundaaiz88</t>
  </si>
  <si>
    <t>ngalamfess</t>
  </si>
  <si>
    <t>hrkys_sya</t>
  </si>
  <si>
    <t>jualan_base</t>
  </si>
  <si>
    <t>naaaafdddd</t>
  </si>
  <si>
    <t>dagangkorea</t>
  </si>
  <si>
    <t>androom3da</t>
  </si>
  <si>
    <t>chlriedes</t>
  </si>
  <si>
    <t>sygfess</t>
  </si>
  <si>
    <t>jualanmenfess</t>
  </si>
  <si>
    <t>urdreamjen</t>
  </si>
  <si>
    <t>erinajajan</t>
  </si>
  <si>
    <t>timmymalachi</t>
  </si>
  <si>
    <t>jajanbhlabels</t>
  </si>
  <si>
    <t>fantasysepgu94</t>
  </si>
  <si>
    <t>xylonj_</t>
  </si>
  <si>
    <t>anissaherdian</t>
  </si>
  <si>
    <t>indihome</t>
  </si>
  <si>
    <t>jahja81285550</t>
  </si>
  <si>
    <t>sshmyyy</t>
  </si>
  <si>
    <t>breadeujinnie</t>
  </si>
  <si>
    <t>lovlypjs_</t>
  </si>
  <si>
    <t>posindonesia</t>
  </si>
  <si>
    <t>gusmusgusmu</t>
  </si>
  <si>
    <t>yaqutcqoumas</t>
  </si>
  <si>
    <t>ephanc_cc</t>
  </si>
  <si>
    <t>amrudinnejad__</t>
  </si>
  <si>
    <t>mahdikherid</t>
  </si>
  <si>
    <t>kantorposjkb</t>
  </si>
  <si>
    <t>ggsell_fess</t>
  </si>
  <si>
    <t>posindonesia279</t>
  </si>
  <si>
    <t>posindo</t>
  </si>
  <si>
    <t>anteraja_id</t>
  </si>
  <si>
    <t>forjayyeon</t>
  </si>
  <si>
    <t>ferdinandhaean3</t>
  </si>
  <si>
    <t>ndhrahzaidi</t>
  </si>
  <si>
    <t>zainulazrii</t>
  </si>
  <si>
    <t>setianiary_</t>
  </si>
  <si>
    <t>commuterline</t>
  </si>
  <si>
    <t>scralachtica</t>
  </si>
  <si>
    <t>kasihrindu19</t>
  </si>
  <si>
    <t>sellkpopfess</t>
  </si>
  <si>
    <t>tahukukus_</t>
  </si>
  <si>
    <t>svttradingmy</t>
  </si>
  <si>
    <t>svtrademy</t>
  </si>
  <si>
    <t>svtradingmy</t>
  </si>
  <si>
    <t>svtmarketmy</t>
  </si>
  <si>
    <t>geroboksvt_my</t>
  </si>
  <si>
    <t>budipra87870630</t>
  </si>
  <si>
    <t>shopeemy</t>
  </si>
  <si>
    <t>nasibujangg</t>
  </si>
  <si>
    <t>menfesssyg</t>
  </si>
  <si>
    <t>restbuy</t>
  </si>
  <si>
    <t>kemensosri</t>
  </si>
  <si>
    <t>chanbabygiri</t>
  </si>
  <si>
    <t>jualanengene</t>
  </si>
  <si>
    <t>nurulhidayah_94</t>
  </si>
  <si>
    <t>stanmenfess</t>
  </si>
  <si>
    <t>s_graciajkt48</t>
  </si>
  <si>
    <t>ariffl5</t>
  </si>
  <si>
    <t>afiqahamni1</t>
  </si>
  <si>
    <t>ilhamdw</t>
  </si>
  <si>
    <t>treasuremarkets</t>
  </si>
  <si>
    <t>sbyfess</t>
  </si>
  <si>
    <t>ihvjjktch</t>
  </si>
  <si>
    <t>lampungbase</t>
  </si>
  <si>
    <t>karawangfess</t>
  </si>
  <si>
    <t>anyaslalusalah</t>
  </si>
  <si>
    <t>mohmahfudmd</t>
  </si>
  <si>
    <t>ferskjaen</t>
  </si>
  <si>
    <t>kemenbumn</t>
  </si>
  <si>
    <t>herecital</t>
  </si>
  <si>
    <t>convomf</t>
  </si>
  <si>
    <t>fiddinroyan</t>
  </si>
  <si>
    <t>askrlfess</t>
  </si>
  <si>
    <t>yuyujuyu_</t>
  </si>
  <si>
    <t>bbysaturnusca</t>
  </si>
  <si>
    <t>federicochiesa</t>
  </si>
  <si>
    <t>jnecare</t>
  </si>
  <si>
    <t>jne_id</t>
  </si>
  <si>
    <t>jntexpressid</t>
  </si>
  <si>
    <t>japanmerchfess</t>
  </si>
  <si>
    <t>banjarbase</t>
  </si>
  <si>
    <t>idwantscoldplay</t>
  </si>
  <si>
    <t>thekenweb</t>
  </si>
  <si>
    <t>nfreischlad</t>
  </si>
  <si>
    <t>baleayuresto</t>
  </si>
  <si>
    <t>rosinhoteljogja</t>
  </si>
  <si>
    <t>pitabiruadv</t>
  </si>
  <si>
    <t>sicepat</t>
  </si>
  <si>
    <t>jne</t>
  </si>
  <si>
    <t>hipmibantul</t>
  </si>
  <si>
    <t>gojekindonesia</t>
  </si>
  <si>
    <t>logiccoffee</t>
  </si>
  <si>
    <t>pasarsf9my</t>
  </si>
  <si>
    <t>treasuremembers</t>
  </si>
  <si>
    <t>dedekayen</t>
  </si>
  <si>
    <t>rbkunwas</t>
  </si>
  <si>
    <t>ponakan_zeus26</t>
  </si>
  <si>
    <t>masajhiajhi</t>
  </si>
  <si>
    <t>shopeeid</t>
  </si>
  <si>
    <t>awwgill</t>
  </si>
  <si>
    <t>pandabeardada</t>
  </si>
  <si>
    <t>etereojin</t>
  </si>
  <si>
    <t>ghastpiracy</t>
  </si>
  <si>
    <t>melissaarfa</t>
  </si>
  <si>
    <t>jbudam</t>
  </si>
  <si>
    <t>namakunida</t>
  </si>
  <si>
    <t>vchristyano</t>
  </si>
  <si>
    <t>ditjenpajakri</t>
  </si>
  <si>
    <t>lonelyboy77x</t>
  </si>
  <si>
    <t>kam_camelia</t>
  </si>
  <si>
    <t>squidwrd__</t>
  </si>
  <si>
    <t>aly4chan</t>
  </si>
  <si>
    <t>bettylhestariie</t>
  </si>
  <si>
    <t>nastitintan</t>
  </si>
  <si>
    <t>pacarbighit</t>
  </si>
  <si>
    <t>btstrading_my</t>
  </si>
  <si>
    <t>kpopsellingmy_</t>
  </si>
  <si>
    <t>malaysia_trade</t>
  </si>
  <si>
    <t>pasarbts</t>
  </si>
  <si>
    <t>tpplampung</t>
  </si>
  <si>
    <t>cik_mashuri</t>
  </si>
  <si>
    <t>brigade01arwan1</t>
  </si>
  <si>
    <t>azzameldzikrie</t>
  </si>
  <si>
    <t>tppkemendes</t>
  </si>
  <si>
    <t>yusradaridesa</t>
  </si>
  <si>
    <t>imansyukri</t>
  </si>
  <si>
    <t>malik_haramain</t>
  </si>
  <si>
    <t>halimiskandarnu</t>
  </si>
  <si>
    <t>batara</t>
  </si>
  <si>
    <t>mizanpilus_</t>
  </si>
  <si>
    <t>masdonge</t>
  </si>
  <si>
    <t>milktypjm</t>
  </si>
  <si>
    <t>istananegara_</t>
  </si>
  <si>
    <t>tenteradarat</t>
  </si>
  <si>
    <t>mindefmalaysia</t>
  </si>
  <si>
    <t>tldm_rasmi</t>
  </si>
  <si>
    <t>tudm_rasmi</t>
  </si>
  <si>
    <t>markasatm</t>
  </si>
  <si>
    <t>tokopedia</t>
  </si>
  <si>
    <t>tokopediacare</t>
  </si>
  <si>
    <t>doeeyeskook</t>
  </si>
  <si>
    <t>qtpjvn</t>
  </si>
  <si>
    <t>rashiqahhhh</t>
  </si>
  <si>
    <t>jnt_kruengmane</t>
  </si>
  <si>
    <t>sksksinjun</t>
  </si>
  <si>
    <t>bdngfess</t>
  </si>
  <si>
    <t>yukkishii</t>
  </si>
  <si>
    <t>maisarahhhh____</t>
  </si>
  <si>
    <t>effaalyaa</t>
  </si>
  <si>
    <t>menodewi</t>
  </si>
  <si>
    <t>gyucheoli</t>
  </si>
  <si>
    <t>haniphoria</t>
  </si>
  <si>
    <t>reenjeun</t>
  </si>
  <si>
    <t>translate_n</t>
  </si>
  <si>
    <t>bighitkantin</t>
  </si>
  <si>
    <t>3dhatia</t>
  </si>
  <si>
    <t>bukanfahiraa</t>
  </si>
  <si>
    <t>justicefyingme</t>
  </si>
  <si>
    <t>sunustm</t>
  </si>
  <si>
    <t>kogiexorealpc</t>
  </si>
  <si>
    <t>om_hendri</t>
  </si>
  <si>
    <t>aaariniii</t>
  </si>
  <si>
    <t>txtdrikurir</t>
  </si>
  <si>
    <t>txtdarionlshop</t>
  </si>
  <si>
    <t>anlmsraa</t>
  </si>
  <si>
    <t>ruangaleeya</t>
  </si>
  <si>
    <t>yewdams</t>
  </si>
  <si>
    <t>kalonamuse</t>
  </si>
  <si>
    <t>tdcwonwoo</t>
  </si>
  <si>
    <t>ctbzale</t>
  </si>
  <si>
    <t>txtdariolshop_</t>
  </si>
  <si>
    <t>syazkurus</t>
  </si>
  <si>
    <t>mamatdinzz</t>
  </si>
  <si>
    <t>mohdruzainii</t>
  </si>
  <si>
    <t>relyourbae2</t>
  </si>
  <si>
    <t>geboyy__</t>
  </si>
  <si>
    <t>masgah_</t>
  </si>
  <si>
    <t>ayydafryanti</t>
  </si>
  <si>
    <t>lindrayyy</t>
  </si>
  <si>
    <t>diaryfirda</t>
  </si>
  <si>
    <t>ayubsr</t>
  </si>
  <si>
    <t>morethanurbby</t>
  </si>
  <si>
    <t>deviinaja</t>
  </si>
  <si>
    <t>mutuallandfess</t>
  </si>
  <si>
    <t>billaameliaa</t>
  </si>
  <si>
    <t>kingnftpromoter</t>
  </si>
  <si>
    <t>noviadmyy</t>
  </si>
  <si>
    <t>chitaglorya</t>
  </si>
  <si>
    <t>jbartspace_nft</t>
  </si>
  <si>
    <t>rindubeneran</t>
  </si>
  <si>
    <t>sorceressmyr</t>
  </si>
  <si>
    <t>youtube</t>
  </si>
  <si>
    <t>idtiki</t>
  </si>
  <si>
    <t>busifess</t>
  </si>
  <si>
    <t>rmdhntyamanda19</t>
  </si>
  <si>
    <t>jongseongcarts</t>
  </si>
  <si>
    <t>bawaslu_jabar</t>
  </si>
  <si>
    <t>bawaslu_ri</t>
  </si>
  <si>
    <t>ckinoza</t>
  </si>
  <si>
    <t>beacukairi</t>
  </si>
  <si>
    <t>justlilbitchy</t>
  </si>
  <si>
    <t>nanjirouechizen</t>
  </si>
  <si>
    <t>cisska_rahayu</t>
  </si>
  <si>
    <t>rekkaal</t>
  </si>
  <si>
    <t>aryprasetyo85</t>
  </si>
  <si>
    <t>tb_aank</t>
  </si>
  <si>
    <t>dennysiregar7</t>
  </si>
  <si>
    <t>baktikominfo</t>
  </si>
  <si>
    <t>kemensetnegri</t>
  </si>
  <si>
    <t>setkabgoid</t>
  </si>
  <si>
    <t>kspgoid</t>
  </si>
  <si>
    <t>henrysubiakto</t>
  </si>
  <si>
    <t>absetyono</t>
  </si>
  <si>
    <t>platejohnny</t>
  </si>
  <si>
    <t>nitarose38</t>
  </si>
  <si>
    <t>queen__lagi</t>
  </si>
  <si>
    <t>_mrs_cemploooon</t>
  </si>
  <si>
    <t>infoungaran</t>
  </si>
  <si>
    <t>palangmerah</t>
  </si>
  <si>
    <t>pmijawatengah</t>
  </si>
  <si>
    <t>jaywones</t>
  </si>
  <si>
    <t>lariesmanis</t>
  </si>
  <si>
    <t>wh_nini</t>
  </si>
  <si>
    <t>myxiaodejun</t>
  </si>
  <si>
    <t>whdksskosh</t>
  </si>
  <si>
    <t>kpopstorefess</t>
  </si>
  <si>
    <t>taetaelvly</t>
  </si>
  <si>
    <t>korlantasid</t>
  </si>
  <si>
    <t>stephanus168</t>
  </si>
  <si>
    <t>ichihoony</t>
  </si>
  <si>
    <t>alphinside</t>
  </si>
  <si>
    <t>meily1106</t>
  </si>
  <si>
    <t>for__dy</t>
  </si>
  <si>
    <t>sobatmkji</t>
  </si>
  <si>
    <t>skizfm</t>
  </si>
  <si>
    <t>free_west_papua</t>
  </si>
  <si>
    <t>rdsandyutama</t>
  </si>
  <si>
    <t>Retweet</t>
  </si>
  <si>
    <t>MentionsInRetweet</t>
  </si>
  <si>
    <t>Replies to</t>
  </si>
  <si>
    <t>Mentions</t>
  </si>
  <si>
    <t>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</si>
  <si>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PT Pos Indonesia (Persero) memperkuat layanan platform digital PosAja! dengan memperkenalkan kurir khusus perempuan O-Ranger Mawar serta menggandeng penyedia transportasi online Nusantara Ojek (Nujek). #BUMNMaju
https://t.co/Z9fEMxlVmv</t>
  </si>
  <si>
    <t>Gajelas bgt ajg bulan lalu pake sicepat halu juga paling 5 hari, lah ini seminggu lebih gak ada kejelasan hadeh.
Better shopee express sih, tapi paling best jnt wkwk🥰😘</t>
  </si>
  <si>
    <t>@idtodayco 400 orang Pasukan Setan kemana boosss?? Dikirimnya pke kurir apa? jNE, sicepat, atau apa bos? Kok ga kedengeran lg</t>
  </si>
  <si>
    <t>Selain Gubernur Jawa Timur Khofifah Indar Parawansa, juga hadir Menparekraf RI Sandiaga Uno, Duta Besar Finlandia untuk Indonesia Jari Sinkari dan Dirjen Sumber Daya Perangkat Pos dan Informatika Kementerian Kominfo Dr Ir Ismail MT</t>
  </si>
  <si>
    <t>Sumpah ga lgi gw ngirim di pos indonesia, lma bener paket gw sampe. 
Hari selasa dikirim skrng udah minggu belom nyampe, klau jnt atau sicepat paling 4 hari doang njir.</t>
  </si>
  <si>
    <t>@CaratShopINA gak pernah kalo ke ph tapi kalo kirim ww lewat pos indonesia bisa bayar langsung di pos indonesia nder</t>
  </si>
  <si>
    <t>gila laju jnt , smlm pos dari perak harini dh smpai cdc dengkil 🙆🏻‍♀️</t>
  </si>
  <si>
    <t>@jualanlabels aku bisa nder insya allah lagi gak banyak kesibukan juga, udah sering packing barang, line/wa ku aktif semuaa. btw aku dom jaksel dan rumahku deket juga sama ekspedisi jnt &amp;amp; sicepat 😊😊 oiya shopee aku juga udah freeong xtra, kalau tertarik hire aku boleh dm ya kakk</t>
  </si>
  <si>
    <t>@jualanlabels Aku bisa kak jadi admin packing di GO kakak,aku dom Jakarta timur,rumah aku deket sama jnt,jne,sicepat kak</t>
  </si>
  <si>
    <t>BUMN Pos Indonesia membuka lowongan kerja untuk lulusan SMA yang akan ditutup sampai 23 September 2021. Simak di sini persyaratannya. https://t.co/xL4PswA0hY</t>
  </si>
  <si>
    <t>Jnt bagi 1000 points sempena birthday, masalahnya aku jarang pos barang 😂😂😂</t>
  </si>
  <si>
    <t>Since I always go to pos laju and jnt my friends will always ask me to pick up their parcels and ask "buka ka pos laju/jnt arini?" And now I feel like pekerja pos laju and jnt</t>
  </si>
  <si>
    <t>hp/wa 085225480239-pengiriman=COD POS ( byr di tmpt ke seluruh indonesia ) https://t.co/sOAsome3Xs</t>
  </si>
  <si>
    <t>hp/wa 085225480239-pengiriman=COD POS ( byr di tmpt ke seluruh indonesia ) https://t.co/kKsCj4NX4y</t>
  </si>
  <si>
    <t>@sellbuytrad3 Akuu bisa nder dom indramayu jabar, deket sama berbagai ekspedisi jne,jnt,sicept,anteraja,kantor pos tinggal mgesot fee miring butuh kerjaan gabut banget😭😭</t>
  </si>
  <si>
    <t>pengadaan barang dan jasa pt.pos indonesia</t>
  </si>
  <si>
    <t>555：paket pos：郵便小包：ゆうびんこづつみ</t>
  </si>
  <si>
    <t>@BernardGyorgy malaysia, singapore, indonesia, thailand, vietnam, the philippines, even taiwan , japan and korea are all china's trading partners so why on earth would china stop the sea lanes like this pos just said?</t>
  </si>
  <si>
    <t>i asked the seller to post out kibbles and milk powder i bought for my anak bulus asap bc i’m in urgent need of it lepastu 3days later baru dia pos lepastu dia guna poslaju kalau jnt ni mesti sampai dah semalam 😭</t>
  </si>
  <si>
    <t>setelah berapa lama tak pegi jnt pos brg 🥺
FINALLY! https://t.co/E8GWMqxUzb</t>
  </si>
  <si>
    <t>Open PO fanmade TShirt Mamamoo (INA) 🇮🇩
⚠️ Detail size dan harga di foto
⚠️ Harga di luar ongkir dari Jakarta
⚠️ Barang ready 1-2 minggu
✅ Full Payment only 65k
✅ Pengiriman JNE / J&amp;amp;T / SiCepat
🍊 https://t.co/UWzHnn3GQM https://t.co/qafjXDyRWt</t>
  </si>
  <si>
    <t>#LokerPam - PT Sicepat Ekspres Indonesia - Admin Claim - Gunung Sahari, Jakarta Pusat https://t.co/ZZuG8gOLO0</t>
  </si>
  <si>
    <t>@AidaTetttttt hahaha garang takpe, lelama nti dia okay as the time goes by. if jnt cover dh lma mintak pos by parcel je 😂 japp i try tanya any pet taxi available... btw u stay area mana ye?</t>
  </si>
  <si>
    <t>Bagi produsen usaha mikro dan kecil dapat mengajukan keringanan tarif pendaftaran diskon sebesar 50% loh.
.
Pembayaran dilakukan melalui POS Indonesia dan 75 bank yang telah tekoneksi dengan Simponi (Sistem Informasi PNBP Online).
.</t>
  </si>
  <si>
    <t>#Arti Resi Dalam Belanja Online, Cara Cek Resi JNE, J&amp;amp;T, SiCepat, Ninja, Pos, Tiki - Tribun Sumsel #KBBI https://t.co/cm1u4WtleY</t>
  </si>
  <si>
    <t>Kemensos salurkan 200,660 paket masker dan vitamin melalui PT Pos Logistik Indonesia dengan menerapkan prokes secara ketat sehingga paket dijamin higienis.
Jokowi Lawan Pandemi https://t.co/c7zug0pJFS</t>
  </si>
  <si>
    <t>Perkuat Layanan Platform Digital Courier PosAja!, Pos Indonesia Kenalkan O-Ranger Mawar &amp;amp; Kurir  Wanita - https://t.co/gAEpl5POfj https://t.co/zKq5suPOuc</t>
  </si>
  <si>
    <t>Perkuat Layanan Platform Digital Courier PosAja!, Pos Indonesia Kenalkan O-Ranger Mawar &amp;amp; Kurir  Wanita - https://t.co/gAEpl5POfj https://t.co/xAMoeGle4V</t>
  </si>
  <si>
    <t>Perkuat Layanan Platform Digital Courier PosAja!, Pos Indonesia Kenalkan O-Ranger Mawar &amp;amp; Kurir  Wanita - https://t.co/gAEpl5POfj https://t.co/eafidlzrny</t>
  </si>
  <si>
    <t>Perkuat Layanan Platform Digital Courier PosAja!, Pos Indonesia Kenalkan O-Ranger Mawar &amp;amp; Kurir  Wanita - https://t.co/gAEpl5POfj https://t.co/dkpbE92VCA</t>
  </si>
  <si>
    <t>pos laju lembab. jnt laju lagi. shopee wtf</t>
  </si>
  <si>
    <t>Mamang jnt pliss langsung dateng kerumah aja kaya mamang sicepat, gausa nelfon nyuruh w ke toko karena gue males banget huaaa</t>
  </si>
  <si>
    <t>@suneo138 @Gojekmilitan J&amp;amp;T, JNE, SICEPAT...?</t>
  </si>
  <si>
    <t>@enakmurahbanyaq Ywd lewat kantor pos indonesia aja deh sekalian kwkwkw</t>
  </si>
  <si>
    <t>[WTS] FELIX NOEASY STANDARC PC C VER
RM35 INC POS JNT TO WM 😊
anything can dm me
#pasarstraykids #pasarSKZ https://t.co/DYYbkRNCaz</t>
  </si>
  <si>
    <t>@PrinceHanJiSung Sicepat siii. Tp beneran ga nyangka secepet ini.. kalo pake jnt aja lama 😂😂</t>
  </si>
  <si>
    <t>https://t.co/yWsVFeIN3M
#lowkerid
 #jobs #lowongankerja #lowongan @lowker_indojob #lowker_indonesia  WELCOME TO NEW YORK WELCOME TO NEW YORK #WaspadaKovidVarianBaru Welcome to NY</t>
  </si>
  <si>
    <t>Pos Indonesia Gandeng Nujek dan Perkenalkan O-Ranger Mawar
https://t.co/qbQ7xwZ8HP</t>
  </si>
  <si>
    <t>@jualanlabels halo kak! aku sangat bersedia jadi admin packing, btw aku dom jakbar dan kebetulan rumahku juga deket jne, jnt, tiki, wahana, sicepat, id express, lion parcel, anteraja, ninja express. aku juga ada pengalaman packing barang jualan aku, temen sama punya kakak.</t>
  </si>
  <si>
    <t>Pos Indonesia Gandeng Nujek dan Perkenalkan O-Ranger Mawar
@jokowi https://t.co/K7D8dID2wP</t>
  </si>
  <si>
    <t>Sebanyak 290 orang perempuan tergabung menjadi kurir khusus wanita O-Ranger Mawar di bawah naungan PT Pos Indonesia (Persero). #BicaraNews
https://t.co/naeUA2Q7fJ</t>
  </si>
  <si>
    <t>1. Pada Selasa, 14 September 2021, Kejaksaan Tinggi Jawa Barat menahan tersangka Dugaan Tidak Pidana Korupsi Penyimpanan Pengelolaan Keuangan di PT. Pos Finansial Indonesia dengan inisial RDC selaku Mantan Manager Akuntansi dan Keuangan PT. Pos Finansial Indonesia. https://t.co/rQB4Sg4GyG</t>
  </si>
  <si>
    <t>2. Tersangka lainnya dengan inisial  S selaku Direktur PT. Pos Finansial Indonesia. Hal ini diduga berpotensi merugikan keuangan negara sebesar kurang lebih Rp. 52.612.200.000,- dalam pengelolaan layanan Pospay yang dilaksanakan oleh PT. Pos Finansial Indonesia.
#kejaksaanri</t>
  </si>
  <si>
    <t>6. Gijinka POS Indonesia 🤣🤣🤣🤣 a human personification of Indonesian post service https://t.co/j6zjioshrP</t>
  </si>
  <si>
    <t>@babesjkvstore @jajanbighit Mjb nder, kl jne emang min freeong 300k. Coba pake jnt/sicepat min 120k/30k buat extra udah freeong. Cmiiw yaa</t>
  </si>
  <si>
    <t>@babesjkvstore @jajanbighit jne emang gabisa kalau 30k/120k, min nya 300k.
pakai jnt/sicepat aja bisa kok dapet gratong nya</t>
  </si>
  <si>
    <t>PT Pos Indonesia memperkuat layanan platform digital PosAja! dengan memperkenalkan kurir khusus perempuan O-Ranger Mawar serta menggandeng penyedia transportasi online Nusantara Ojek.
Kick off O-Ranger Mawar dilakukan di Batu Malang, (17/9). 
@jokowi
https://t.co/tSeKxjBoIe</t>
  </si>
  <si>
    <t>@babesjkvstore @jajanbighit kalo jne emang freeong min 300, kalo jnt sicepat anteraja dll min 120. itu kayanya jne ga termasuk expedisi yg freeong xtra deh, jadi tetep freeong nya min 300k bukan 30k🥲 aku kurang tau jg kalo itu</t>
  </si>
  <si>
    <t>@stfuidcabtyou JnT, Sicepat, Ninja Express, JNE, yg mana jasa pengirimannya?</t>
  </si>
  <si>
    <t>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</si>
  <si>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Ni wrap cara aku.. yg dah pos before ni elok je jnt tak cara, elok je sampai ke kl ke kedah ke johor. Makan modal. Konon nak beli susu Bunga utk next week. Serius down sgt2. Silap aku lah kot tak belajar lg pasal pengeposan😔 https://t.co/d231EmSVrc</t>
  </si>
  <si>
    <t>Jnt wrap tong gabus aku..yg bahagian pecah tu dia letak kotak je kat tepi pecah tu. Before pos aku tamp sticker fragile, bila jnt pos dia wrap dengan wrap hitam dah takda fragile😭😭😭 https://t.co/7TzvA9UQDL</t>
  </si>
  <si>
    <t>PT Pos Indonesia memperkuat layanan platform digital PosAja! dengan memperkenalkan kurir khusus perempuan O-Ranger Mawar serta menggandeng penyedia transportasi online Nusantara Ojek (Nujek).
https://t.co/x3DlH4nxQE</t>
  </si>
  <si>
    <t>PT Pos Indonesia memperkuat layanan platform digital PosAja! dengan memperkenalkan kurir khusus perempuan O-Ranger Mawar serta menggandeng penyedia transportasi online Nusantara Ojek (Nujek).
https://t.co/cxSDC2eA0U</t>
  </si>
  <si>
    <t>@aiaiake2 @markettfess Bisa bgt kak, ekspedisinya pake sicepat/jnt/jne kok</t>
  </si>
  <si>
    <t>PT Pos Indonesia (Persero) memperkuat layanan platform digital PosAja! dengan memperkenalkan kurir khusus perempuan O-Ranger Mawar
https://t.co/GcXB4P7rw9
@jokowi</t>
  </si>
  <si>
    <t>Pos Indonesia Gandeng Nujek dan Perkenalkan O-Ranger Mawar https://t.co/E0kIBbza5j 
@jokowi</t>
  </si>
  <si>
    <t>@itsgitcha Dua duanya bisa kak. Bisa cek website mereka kiriman luar negri. Bisa pos indonesia juga pake pos internasional</t>
  </si>
  <si>
    <t>@dagangkr sini aku bisa nder, jakarta barat deket wahana, jne, jnt, sicepat, tiki 
buat fee bisa didiskusikan di dm nder biar sama sama enak 🙏🏻</t>
  </si>
  <si>
    <t>@dagangkr sini nder, aku cukup berpengalaman. dom jakarta barat deket wahana, jne, jnt, sicepat, tiki 
buat fee bisa didiskusikan di dm nder biar sama sama enak 🙏🏻</t>
  </si>
  <si>
    <t>@bertanyarl ganti, sicepat/jnt👍</t>
  </si>
  <si>
    <t>@tousIesjour Hasil tugasnya bisa kirim by pos/jne</t>
  </si>
  <si>
    <t>Jangan berani2 dengan Indonesia  yee.. 
Kapal Perang Baru Indonesia
#PrabowoJawabAncamanChina https://t.co/U42GC4VuO7</t>
  </si>
  <si>
    <t>IRL frens getting sick of me talking NFT, web3, DAOs,POS,…</t>
  </si>
  <si>
    <t>@amierah___ Buat aduan dekat SKMM dan sertakan semua bukti. Hopefully akan ada tindakan. Cerita je semua dekat sana. InsyaAllah akan ada maklum balas. Sebab dlu pernah barang pos guna jnt xsampai2, lepas buat aduan, xlama tu terus dapat barang. Just explain semua je dalam aduan tu.</t>
  </si>
  <si>
    <t>@BundaAiz88 Di kirim lewat apa?
Jnt atau pos?</t>
  </si>
  <si>
    <t>@dagangkr aku bisa nder tapi dom bintaro (tangsel). deket banyak ekspedisi (j&amp;amp;t sicepat jne wahana dll) fee sekitar 3k-7k tergantung bahan sama paket dan bisa dibicarain lagi kok &amp;lt;33</t>
  </si>
  <si>
    <t>yes i found the answer, kemarin sempet nangis ketika nganter paket jam 11 malem ke sicepat dan diotak gw mikir "skrg gw kerja keras buat siapa?" and then i will livin up her dream! BISMILLAH PT. KIRANA TECHNOLOGY INDONESIA 2022! https://t.co/Nyu9T81k7I</t>
  </si>
  <si>
    <t>@ngalamfess Tinggalkan JNE, pilih sicepat atau j&amp;amp;t</t>
  </si>
  <si>
    <t>Help rt!
Yang butuh admin packing, boleh dm ya.
packing pc/printilan kecil 5k
Album/barang besar 7k kalo +poster 10k nder
Bahan packing udh dari aku ya.
🏠 bandung
Deket rumah aku ada semua ekspedisi sicepat jnt jne id anteraja shopeexpress ninja</t>
  </si>
  <si>
    <t>@hrkys_sya yeah im using pos malaysia and its taking quite longer than i expected so maybe ill see for jnt and hows the rate for it</t>
  </si>
  <si>
    <t>PT Pos Indonesia berharap dengan hadirnya O-Ranger Mawar akan terjalin komunikasi lebih efektif. dengan mitra UMKM. https://t.co/46qHDF971r</t>
  </si>
  <si>
    <t>next time,i shouldn't using pos laju punya service,at first i thought pos laju is better than jnt...but well</t>
  </si>
  <si>
    <t>@naaaafdddd @JUALAN_BASE Aku dom purwakarta jabar kak,gaada kurir soalnya pake jnt juga kurir biasa yg suka anterin paket,awalnya gabisa tp aku bilang kalau itu nomer thracking id nya lama2 ternyata bisa kak,tp ini pertama kali nya pake sicepat</t>
  </si>
  <si>
    <t>Kantor pos, jne, jnt deket banget dari rumah. Shopee udah bisa freeong juga. Admin rekap juga bisa. Untuk fee nanti kita deal dealannya di dm yaa, let's goo 💖
Oh iya aku Belum megang GO manapun sama sekali dan gak sibuk juga (kecuali pagi jam 8-9).</t>
  </si>
  <si>
    <t>Kantor pos, jne, jnt deket banget dari rumah. 🍊 ku udah bisa freeong juga. Adm rekap juga bisa. Untuk fee nanti kita deal dealannya di dm yaa, Oh iya aku Belum megang GO manapun sama sekali dan gak sibuk juga (kecuali pagi jam 8-9). aku dom indramayu kota.</t>
  </si>
  <si>
    <t>Kenalkan Kurir Khusus Wanita O-Ranger Mawar, Pos Indonesia Gandeng NUJEK
https://t.co/M7KlxahOLP https://t.co/E3Emr4NWPW</t>
  </si>
  <si>
    <t>Ini twit meresahkan ..
😭😭😭
Btw yang tanya kirim pc keluar negeri.  
For first aku gak tinggal di indonesia .
Kalau ketentuan disini
Pack nya pake amplop top loader trs tulis alamat sama kaya selkor kasih kantor pos bayar selesai 🙏🙏 https://t.co/Rf8v43XPqC</t>
  </si>
  <si>
    <t>alhamdulillah, stock mask chain 50pcs dah sampai Bahau. setelah 2 hari delay. haih jarang2 pos laju buat hal ni, biasa pos hari ni esok delivered dekat cust dah. ini 4 hari, tak pasal2 tambah option shipping skrg. kat shoppe kitaorg boleh guna jnt dah mat. padan muka pos laju</t>
  </si>
  <si>
    <t>aku guna pos laju sebab mudah pada aku. tapi sebab ada few cust yang req guna jnt sebab poslaju tempat dorang problem, kita tambah option. now dah ada 2 choice.
customer di utamakan ya kawan kawan. mudah dekat customer, mudah juga dekat kita, in sha Allah</t>
  </si>
  <si>
    <t>Pos Indonesia Buka Lowongan Kerja untuk Lulusan SMA, Buruan Daftar
https://t.co/tSj53HR1PI via @tribunmedan</t>
  </si>
  <si>
    <t>Halo semuanya, kali ini aku nerima jasa titip paket, aku dom depok, dekat dengan ekspedisi siCepat, jne, jnt, wahana</t>
  </si>
  <si>
    <t>ini kalau aku mau nyalain satu ekspedisi aja supaya pas nganter barang jg sklian mending jnt apa sicepat ya? tp kyknya ekspedisinya jg beda2 tergantung kmna..</t>
  </si>
  <si>
    <t>Bodo natang keje selow. Kau ingat aku beli barang pakai duit mu ke. Hilang parcel tu. Habis pos laju aku maki lepas ni. 
Barang dari 9hb lagi. Eee la. Janji hari tu sedap tak ikut perangai JNT. Last last sama je belaka.</t>
  </si>
  <si>
    <t>@dagangkorea Aku pernahh lewat pos indonesia</t>
  </si>
  <si>
    <t>@dagangkorea lewat pos indonesia</t>
  </si>
  <si>
    <t>@androom3da WKWKWKWA ANJ
tp pake pos aja ah biar merch postcardnya kepake sama kali2 pos indonesia ngerilis perangko gambar un1ty 🥲</t>
  </si>
  <si>
    <t>Ni agent aku buka, tu wrap by jnt. Wehhhh, aku baru nak start niaga utk anak aku kot. Penat nya… ke mmg silap aku sbb pos air guna jnt? Dalam 20botol, 6 je elok… https://t.co/HpAgIuqynd</t>
  </si>
  <si>
    <t>ramai yang tanya “ nanti pos tak rosak ke corndog?” 
as long as jnt area awak laju boleh je sebab dia tahan 1-4 days ! And letak dalam ice box juga 😋🤍
secure teruk ! 1 pack 10 batang, RM15 exc postage to Semenanjung Malaysia 🚚 https://t.co/qPj66rqlIX</t>
  </si>
  <si>
    <t>Menteri Perhubungan Budi Karya Sumadi melaksanakan peninjauan langsung ke Pos Lintas Batas Negara (PLBN) Entikong.
"Kita harus memastikan bahwa tidak ada varian Corona baru yakni varian MU dan Lamda tidak masuk ke Indonesia. Kita harus memastikan WNI yang melintas mendapat</t>
  </si>
  <si>
    <t>gua nungguin sampel dari 2 hari lalu kaga nyampe2. punteun pak, bu, ada ekspedisi namanya jnt, sicepat, atau ga jne dah. kenapa make cargo??? udah gitu gua tanyain foto sampel ada apa engga, malah dibales broadcast-an acara mereka???? terlepas dari salkir/bukan, tetep aja gajelas https://t.co/PgNtYdBQNk</t>
  </si>
  <si>
    <t>jumat bilang ongkirnya gratis. kalo tau selama ini mending w bayar aja ongkirnya, gua bayar dah tu 10k doang tapi dikirim pake jnt/sicepat😡</t>
  </si>
  <si>
    <t>⚡PT Majoo Teknologi Indonesia have an opening for a Product Owner POS
Fully remote! Based in 🇮🇩 Indonesia
https://t.co/G1ha4oRlFn
#remote #ProjectManagement #job #remotework #remotejobs</t>
  </si>
  <si>
    <t>bisa bikin bumper warna warni ala pos kota, berani tampil di depan kamera, pandai berbicara, ini yang disebut content creator di Indonesia 😅
sungguh beruntung kalian ..</t>
  </si>
  <si>
    <t>POSPAY is a digital financial platform for PT Pos Indonesia,
Flaga Media Asia is trusted by PT Pos Indonesia to handle and organize all activities of Rahmat Erwin Abdullah as a brand Ambassador for POSPAY 2021 Products
#Flagamediaasia 
#digitalmarketing #eventorganizer https://t.co/zMvfadcD0D</t>
  </si>
  <si>
    <t>@chlriedes 🤣xde gf ko gi nganga dengar cerita kat mak nenek onyang ke jiran sebelah ke jnt pos ke🤣</t>
  </si>
  <si>
    <t>Emg paling bener pakai sicepat / jnt https://t.co/ZTAvVwj0uT</t>
  </si>
  <si>
    <t>Btw i rasa mmg khairulaming dah ngam sap soi dgn abg2 jnt sbb dah 3 kali I order sambal nyet and sampai within 3 days lepas pos. Padahal dari kelantan. I order brang dri PJ ke SA kadang2 seminggu bru sampai. https://t.co/u7acux5MKi</t>
  </si>
  <si>
    <t>@sygfess Kalo cod tanpa si oren bisanya baru kantor pos kayaknya, di jne/t bisanya pke si oren klo mau cod soalnya dlu prnh tanya lgs di jnt cmiiw</t>
  </si>
  <si>
    <t>klo di pos indonesia , paket yg mau di kirim tuh harus di check dulu ga si?</t>
  </si>
  <si>
    <t>@KarantinaPDG adakan coffee morning yangdihadiri oleh Bea dan Cukai Teluk Bayur, KSOP Pelabuhan Teluk Bayur, BKSDA, Otoritas Bandara Wilayah VI, Kantor Pos Padang, PT ASDP dan Garuda Indonesia. https://t.co/SfTPrwJSJF</t>
  </si>
  <si>
    <t>@JualanMenfess Aku pernah persis beginii. Udah seminggu ga gerak ujung2nya di refund (paket dibalikin ke aku). Ternyata shippernya salah taro. Bukannya ke jne tapi malah ke sicepat😊 coba chat moka aja, dibantu sm dia nanti</t>
  </si>
  <si>
    <t>PT Pos Indonesia (Persero) memperkuat layanan platform Pos Aja! dengsn memperkenalkan kurir khusus perempuan O-Ranger Mawar serta menggandeng penyedia transportasi online Nusantara online ( Nujek) 
@jokowi
https://t.co/EGX1U59lv6</t>
  </si>
  <si>
    <t>PT Pos Indonesia (Persero) memperkuat layananan platform digital PosAja! dengan memperkenalkan kurir khusus perempuan O-Ranger Mawar serta menggandeng penyedia transportasi online Nusantara Ojek (Nujek). 
@jokowi 
https://t.co/EGX1U59lv6</t>
  </si>
  <si>
    <t>Pos Indonesia gandeng Nikel dan perkenalkan O-Ranger Mawar. Penandatanganan kerjasama antara PT Pos Indonesia dan Nikel dilakukan di Batu, kota Malang, Jatim pada Jumat,17 Agustus 2021.
@jokowi
https://t.co/c8x6PaMwdT</t>
  </si>
  <si>
    <t>Mensos Dorong Pos Indonesia dan Himbara Kalteng Tuntaskan Penyaluran Bansos Tunai di Pekan Ketiga September
https://t.co/3ljClOA7xt</t>
  </si>
  <si>
    <t>@urdreamjen Biasanya tuh 10-16 jam itu pake sicepat sama jnt juga segitu dari bogor, tapi klo dari bandung pake si cepat juga beneran cepet bgt cuma 18 jam uda sampe rumahh skskksk...</t>
  </si>
  <si>
    <t>@erinajajan Jnt suka gajelas nder kalau pickup, gapernah dateng kalau ga di chat kurir jadi mending anter ke counter ajaa😭 kalau mau pickup mending sicepat/anteraja itu mau satu paket/dua pun ttep dipick up hehe</t>
  </si>
  <si>
    <t>@timmymalachi Yawlaaa iyaaaa maaaf baru Mau ku ballas lagi 😭😭😭
Aku kirim paket ke luar kota sekarang pakai Wahana, Bang... Kalau agak terpencil J&amp;amp;T/Pos...
Kalau mau dikirim cepet pakai Paxel
Tapi regularnya pakai Wahana 😁</t>
  </si>
  <si>
    <t>@jajanbhlabels kalo mau pickup mending sicepat sih, kalo jnt gabakal dipickup sampe lumutan🙂</t>
  </si>
  <si>
    <t>@jajanbhlabels kl jnt kudu chat kurir nder, sicepat aja dia pasti dateng</t>
  </si>
  <si>
    <t>@dagangkorea dom kendal jateng, fee 5k pake kardus. deket jnt jne sicepat</t>
  </si>
  <si>
    <t>Kamu tau kelucuan lanjutan dari drama maintanance jaringan ini? Mereka masih sempat berfikir membuat pengumuman dalam bentuk selebaran digital. Apa nda kepikiran kalau mau download gambarnya susah karena jaringan? Kenapa ga gambarnya kamu print, terus dikirim pakai Pos Indonesia?</t>
  </si>
  <si>
    <t>WTS SKZ 🇲🇾 ONLY
• Felix,Changbin Jewel PC [SET] - RM38
• Chan Jewel PC - RM28
• Changbin Red Frame - RM10
• Seungmin Red Frame - RM12
*cb jewel pc have defect 
🖇 Exc pos (jnt)
🖇 shopeepay/online banking 
❌ NO rush postage 
📩DM if interested 
#pasarskz https://t.co/xZvb38hB1r</t>
  </si>
  <si>
    <t>@FantasySepGu94 haah geram la dhl...silap xmintak seller pos guna jnt..sbb boleh request tp xingt😢aduh..4 hari gak la cmni..haha..sis beli binder jugak 😂😂</t>
  </si>
  <si>
    <t>@dagangkr Sicepat pasti ngepick up, bahkan di wa dlu.
Klo jnt gaperna ngepick up klo ga di wa. Makanya aku mesti kudu wa cs jnt</t>
  </si>
  <si>
    <t>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</si>
  <si>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J&amp;amp;T? Emang problematik itu kurir. Ternyata krn masalah penggajian toh
Belom sempat ngumpulin trust kayak JNE/Tiki, udah mulai kesalip marketnya sama sicepat https://t.co/cTR3cC0DC0</t>
  </si>
  <si>
    <t>WTS
Black frame changbin, i.n: rm8 each
ds: rm22 each
normal pc: rm20 each
i.n nacific: rm15 
(excl pos)
Jnt- wm: rm8
     - em: rm14
Postage on thursday
Help me clear my extras🥺
#pasarSKZ https://t.co/hU7Tw2eAyd</t>
  </si>
  <si>
    <t>@xylonj_ Pake POS bisa, pake JNE bisaa</t>
  </si>
  <si>
    <t>Maap sicepat, idxpress, sma jnt ak tidak mau pake lagi😭🥲</t>
  </si>
  <si>
    <t>@AnissaHerdian antara lain: PT. Pos Indonesia (kantor pos) atau ATM bank yang telah bekerja sama dengan PLN (memilih menu non taglis).
Agar semua makin mudah, ayo download aplikasi New PLN Mobile di Play Store atau Apps Store, Terima kasih telah menghubungi PLN 123. (2/2) Tks -Harry</t>
  </si>
  <si>
    <t>@Jahja81285550 @IndiHome Hi Kak, pembayaran tagihan rekening dapat melalui ATM, PT POS Indonesia atau Alfamart dan Indomaret ya. Tks -zulmi</t>
  </si>
  <si>
    <t>@lovlypjs_ @Breadeujinnie @sshmyyy Haihh takut nk guna jnt dh sebelum ni takut nk guna pos laju sebab dorg suka peram brg 😭</t>
  </si>
  <si>
    <t>Follow @Coltliq90 || Pos Indonesia Jobs: Oranger Loket https://t.co/fIeCtHgMVG</t>
  </si>
  <si>
    <t>keren banget ngirim paket pake Pos Indonesia. minggu sore kirim, bolakbalik cek resi paket ga gerak samsek. ga curiga sih, mikirku karena hari minggu, eh sore ini tadi udah sampe ke penerima.
padahal di Pangkalan Bun🙂 24 jam Jogja-Kalteng, ajaib sih ini. masih bingung. kok bisa</t>
  </si>
  <si>
    <t>Forum Industri Kecil Menengah Jawa Timur Wilayah Magetan dan PT. Pos Indonesia Cabang #Magetan Bersama-sama Menjemput Cahaya Terang
https://t.co/BD8VoQZc81</t>
  </si>
  <si>
    <t>Selamat ulang tahun ke-275 PT Pos Indonesia (Persero) @PosIndonesia, semoga sukses menjadi postal operator, penyedia jasa kurir, logistik, dan keuangan paling kompetitif.
#DigitalBisa #UntukIndonesiaLebihBaik https://t.co/mAF5n8bNNz</t>
  </si>
  <si>
    <t>Koeman acaba de dizer na coletiva pós jogo que não tem como fazer esse Barcelona jogar o Tiki Taki. 
Esse cara é foda.</t>
  </si>
  <si>
    <t>Lo de Tiki Taki lo ha dicho así como cuando de pequeño te enfadabas con tu primo que le gustaba jugar al PES y lo llamabas POS creyendo que le ofendías y solo quedabas como gilipollas.</t>
  </si>
  <si>
    <t>Book Depository gak nyampe itu salah Kantor Pos Indonesia bukan ya?</t>
  </si>
  <si>
    <t>Sahabat El John, ikuti #SpecialTalkShow POSPAY bersama PT. Pos Indonesia dengan narasumber Bapak Teddy Kurniawan, selaku Executive General Manager KCU Pekanbaru, PT. Pos Indonesia Wilayah Riau. Selasa, 21 September 2021, mulai jam 1 siang, hanya di Radio El John 102.6 FM. https://t.co/5rIXVp0HbT</t>
  </si>
  <si>
    <t>wts lfb 🇲🇾
chenle boring ver pc rm27 exc pos
-still can nego
-please adopt him ㅠㅠ
-dm for more info !!
accept shopeepay
rm6 em / rm10 wm (jnt)
#pasarNCT</t>
  </si>
  <si>
    <t>Astaghfirullah nyeri,emg gaberes nih jnt semoga sicepat fine" aja:" gilasih https://t.co/FUSPgb3hPo</t>
  </si>
  <si>
    <t>@fiyybby_ iya aku juga suka tuh sicepat sama anteraja, malah akhir2 ini jne bagus</t>
  </si>
  <si>
    <t>@sicepat_ekspres Mantap min, banyakin diskon2 utk kirim ke daerah Indonesia Timur dong hihi</t>
  </si>
  <si>
    <t>Haiyaaa pos laju ngan jnt tok polah aku mlas nak berbisness</t>
  </si>
  <si>
    <t>Selamat HARI SANTRI 2021
Santri siap menjadi pengisi dari beberapa pos kekuatan yang kosong untuk menjadikan Bangsa Indonesia menjadi bangsa yang lebih mandiri serta berdedikasi.
@mahdikherid
@amrudinnejad__
@ephanc_cc
@YaqutCQoumas
@gusmusgusmu
#SantriSiagaJiwaRaga https://t.co/hPCfa9HASm</t>
  </si>
  <si>
    <t>Mau kirim barang wajib cantumkan ALAMAT LENGKAP sertakan KODE POS &amp;amp; NOMOR AKTIF pengirim &amp;amp; penerima, jangan sampai salah yaah #JNE</t>
  </si>
  <si>
    <t>@KantorPosJKB kalo barang ketinggalan di indonesia mau invoice dari mana? Sulap?? Buat surat keterangan bahasa inggris, emang yg kerja di kantor pos bisa bahasa inggris?? Indonesia ini aneh gak ada invoice malah hrs menyiapkan “invoice palsu”</t>
  </si>
  <si>
    <t>Lowongan Kerja Sumbar PT Pos Indonesia (Persero) September 2021 https://t.co/alSgPkof9m</t>
  </si>
  <si>
    <t>Lowongan Kerja Minimal SMA/Sederajat PT Pos Indonesia (BUMN) September 2021 https://t.co/tjzCsGQnOD</t>
  </si>
  <si>
    <t>@GGSell_fess Oalah jnt, kukira sicepat.. Paket aku ada yg begitu, kayaknya lg disortir nder. Pas dicek resi gaada kelanjutan, tau2 dah sampe rumah..</t>
  </si>
  <si>
    <t>Gercep bgt pesanan ke rumah juga langsung dikirim, hari ini dapet 2 paket anteraja semua tp datengnya satu satu, kalo sicepat sm jnt dulu barengan dianternya ke rumah pas udah soree</t>
  </si>
  <si>
    <t>@bertanyarl Kalo jnt biasanya doi hrs ngechat kurirnya duku br bisa di pickup. Kl sicepat langsung aja gamake chat</t>
  </si>
  <si>
    <t>Sudah isi isi kelengkapan terjebak di pembayaran virtual account yg harus pake bank BNI..😁😁.. biaya perpanjang sim C 75rb + ongkos kirim pos indonesia 25rb..</t>
  </si>
  <si>
    <t>#grabexpress #gosend #shopee #anteraja #ninjaexpress #jne #jnt #sicepat #tiki #kantorpos #kurir</t>
  </si>
  <si>
    <t>@pos_indonesia @posindonesia279 @PosIndo ayolah tertibkan prokes ditempat kerjanya. CC : @erickthohir ada yg bandel dg prokes https://t.co/LJ38CeRVvM</t>
  </si>
  <si>
    <t>Pesanan dari aliexpress nyampe juga. 1 bulan. Ngaret di pos indonesia yaa ampe harus dijemput sendiri karna barang gak gerak2 dr hari jumat. Total tebus 20 rb pajak + biaya admin pos 10 rb 🙄
Tapi begitu liat isi bukunya auto happy cz itsa succulent, baby!! 😍 https://t.co/BhXEjCszGg</t>
  </si>
  <si>
    <t>Hari aku takdak mood la semua org nak call pakcik makcik abg jnt abg pos laju abg dhl ayoooo</t>
  </si>
  <si>
    <t>Ketua Komisi V DPR RI Lasarus mengatakan, Pos Lintas Batas Negara (PLBN) seperti di Aruk Kabupaten Sambas dan PLBN Entikong merupakan titik penting dalam upaya memutus rantai penyebaran COVID-19 dari luar wilayah Indonesia.
https://t.co/2e9EM3bVPT #pdiperjuangan</t>
  </si>
  <si>
    <t>Biasanya pake jasa jnt, jne, sicepat, kantor pos gak pernah kecewa. Ini nyoba pake jasa @anteraja_id gilaaaa lama bgt</t>
  </si>
  <si>
    <t>@forjayyeon weverse bisa pake opsi j&amp;amp;t sicepat jne 😭</t>
  </si>
  <si>
    <t>2. Terutama dlm mendukung konektivitas &amp;amp; pembangunan di Indonesia melalui layanan pos.
Sebagai anggota POC, Indonesia berhak untuk memperjuangkan kepentingan pos nasional, agar dapat diakomodasi oleh UPU.
Selengkapnya https://t.co/uTCYv56Crg
#IndonesiaUntukDunia
#IniDiplomasi https://t.co/3I96k7Qqy0</t>
  </si>
  <si>
    <t>skrg jnt dah super laju. semalam pos hari ni sampai. poslaju pun sama laju jugak. mcm ni shopping pun best 😂</t>
  </si>
  <si>
    <t>To πολύ το... τίκι-τάκι (ή πως κάνεις τον Πικέ σέντερ φορ για να πάρεις βαθμό με τη Γρανάδα) https://t.co/z2rOQyqitt</t>
  </si>
  <si>
    <t>@FerdinandHaean3 Sebelum ngelapor paling sampe pos penjagan dia disuruh menyanyikan lagu Indonesia Raya bang 😅🤣😆</t>
  </si>
  <si>
    <t>@ndhrahzaidi jnt ni pelik tau ada sekali tu pos pc 7.30 je tau2 smlm 8.50 dia igt kelakar ke😭</t>
  </si>
  <si>
    <t>@zainulazrii Lom msuk 2 mnggu gk la, sminggu gia dh, hri ke 5 bok kede ya pos, nak nunggu gk dh k jnt!!</t>
  </si>
  <si>
    <t>@setianiary_ Selamat sore Kak. Baik, apakah yang dimaksud adalah reekspor ke negara asal? Jika ya, untuk pengajuan permohonan reekspor dapat ke lantai 1 Blok B, Gedung Pos Indonesia Jakarta Pusat. Trims ~zia</t>
  </si>
  <si>
    <t>@scralachtica @CommuterLine Kalo logiknya gini, pegawai pos Indonesia ngga boleh ngirim surat lewat pos Indonesia ya?</t>
  </si>
  <si>
    <t>halo min @bravobeacukai saya sudah melunasi pajaknya di Tokopedia, untuk resi sambungan ke POS Indonesia itu ceknya di mana ya?
Soalnya saya udah pakai 2 nomor resi pengiriman sebelumnya, nomor resi tidak valid :( https://t.co/U8W59LSNEf</t>
  </si>
  <si>
    <t>@kasihrindu19 Tq mekda 😭😭😭 Mohon abg Jnt pos yang ni kat sis 😆😆🤣🤣🤣
Mekda makankan untuk sis 🤣</t>
  </si>
  <si>
    <t>@bertanyarl normal si, enakan pake sicepat soalnya beneran cepet, jnt nomer 2, jne skip lah</t>
  </si>
  <si>
    <t>@sellkpopfess Nder dm aku sini lagi butuh banget, aku bisa jadi admin rekap sama admin packing, rumah deket sicepat,jnt,jne,id express, aku dom semarang, aku juga udah kebiasaan packing barang</t>
  </si>
  <si>
    <t>@TahuKukus_ Mau kirim lewat apa? Jne? Jnt? Sicepat?</t>
  </si>
  <si>
    <t>SEUNGKWAN HENGGARAE PC 
🖇️ RM26 exc pos
🌟 freebies 
🖇️ RM8 (jnt only)
🖇️ no rush postage due to work :)
🖇️ strictly no backout
hmu while u can #pasarSVT #pasarkpop @GEROBOKSVT_MY @svtmarketmy @svtradingmy @SVTRADEMY @SVTTRADINGMY help rt thank you~ https://t.co/OI9OVwkNwH https://t.co/tisLR6IjXj</t>
  </si>
  <si>
    <t>@ib_ost @BudiPra87870630 @PosIndo Udah saya skrinsut dan kirim ke whatsapp pribadi direksi @posindo (Dir Keu)
Semoga ditindaklanjuti untuk keselamatan bersama dan kebaikan PT POS Indonesia yang kita cintai
🙏</t>
  </si>
  <si>
    <t>Oke ternyata : ninja, jne sama sicepat. Sama sama 4 hari kalau dari bekasi ke salatiga. Semua udah aku cobain 😅</t>
  </si>
  <si>
    <t>21 sept 2021 hari jadi komunitas postcrossing indonesia ke 10 tahun. Seneng bisa join di komunitas kartu pos ini belajar banyak hal juga. Cuma sayang di masa pandemi jadi kurang intensitas buat berkirim kartu pos lagi.
Kenangan foto beberapa tahun lalu.
#postcrossing https://t.co/5kaCvPo1aW</t>
  </si>
  <si>
    <t>Ada yg pernah kirim2 barang ke Dubai engga yah? Mahal bgt pake pos Indonesia</t>
  </si>
  <si>
    <t>guysss lebih cepet jnt apa sicepat???</t>
  </si>
  <si>
    <t>@nasibujangg @ShopeeMY Bad aku hari2 pos guna jnt esok nya mesti sampai. The quickest la kalau courier lain ni taktau la</t>
  </si>
  <si>
    <t>still scared to using other than pos indonesia 🙃</t>
  </si>
  <si>
    <t>@jajanbhlabels rmh ku dket eskpedisi jnt&amp;amp;sicepat</t>
  </si>
  <si>
    <t>Bismillah
Ijin Lapak Tweeps🙏
Harga Promo Bibit Kunyit Hitam (kaempferia parviflora)
Untuk minggu ini.
1 paket isi 2 bibit polibag
Hanya 150k belum ongkir.
Total  ada 10 paket  (sementara ini)
Pengiriman Luar P. Jawa via Tiki dan Pos.
Monggo..Order bisa DM 🙏
Ijin RT Gais https://t.co/MZxJ2xDCB5</t>
  </si>
  <si>
    <t>@menfesssyg Bisa nder, setauku pos indonesia sm j&amp;amp;t ada sistem cod</t>
  </si>
  <si>
    <t>@restbuy walaupun gua sering pake jnt, sicepat lebih cepet</t>
  </si>
  <si>
    <t>Bantuan dalam program BST @KemensosRI dicairkan dengan menggunakan beberapa cara, antara lain melalui Kantor Pos Indonesia dan beberapa bank. Cek rekening siapa tahu dapat program BST https://t.co/59OxOUsAlQ https://t.co/2VJ95BWmKY</t>
  </si>
  <si>
    <t>Dapatkan buku ni untuk tau variasi bacaan2 dalam solat.
Buku poket, bahasa indonesia mudah. Cuma RM4.00 saja tak termasuk pos. Bagus juga kalau bagi pada keluarga dan kawan2.
Pertanyaan/Pembelian/Waqaf:
https://t.co/G6zxYkPLX7 https://t.co/vQtGvPiIfj</t>
  </si>
  <si>
    <t>@bertanyarl Pos aja, soalnya kalo jnt sicepat bakal ditolak
Kecuali kamu bohong soal isi paketnya, tp kalo knp2 mereka ga akan tanggung jawab</t>
  </si>
  <si>
    <t>gw jg bisa kalo cuman ngepos dpt kiriman barang tiap hari, dari grebfud dari gofud dari jne, jnt, sicepat, dari belanja online, captionnya yg kaya
"makasih yaaa bestie akuuuu @ sikampret kirimannyaa kebetulan banget lagi butuh iniii yaampuun kamu tau aja, luvvv pokoknya" https://t.co/lTOMqqbfH6</t>
  </si>
  <si>
    <t>✈️Pengiriman
Bisa lewat JNE, J&amp;amp;T, sicepat, ninja express</t>
  </si>
  <si>
    <t>@chanbabygirI wts diri sendiri buat jadi admin packing, nyelem sellkor juga bisa. aku lagi free banget, ekspedisi juga deket deket ada ninja, tiki, jne, jnt, sicepat, id exp. dom cianjur jawa barat udah pengalaman packing karena jualan juga di oren, fee bisa dibicarakan🙏🏻siapa tau berminat</t>
  </si>
  <si>
    <t>@jualanlabels wts diri sendiri buat jadi admin packing. aku lagi free banget, ekspedisi juga deket deket ada ninja, tiki, jne, jnt, sicepat, id exp. dom cianjur jawa barat udah pengalaman packing karena jualan juga di oren, fee bisa dibicarakan🙏🏻siapa tau berminat</t>
  </si>
  <si>
    <t>@sellkpopfess wts diri sendiri buat jadi admin packing. aku lagi free banget, ekspedisi juga deket deket ada ninja, tiki, jne, jnt, sicepat, id exp. dom cianjur jawa barat udah pengalaman packing karena jualan juga di oren, fee bisa dibicarakan🙏🏻siapa tau berminat</t>
  </si>
  <si>
    <t>@pacarnyabh wts diri sendiri buat jadi admin packing. aku lagi free banget, ekspedisi juga deket deket ada ninja, tiki, jne, jnt, sicepat, id exp. dom cianjur jawa barat udah pengalaman packing karena jualan juga di oren, fee bisa dibicarakan🙏🏻siapa tau berminat</t>
  </si>
  <si>
    <t>wts diri sendiri buat jadi admin packing. aku lagi free banget, ekspedisi juga deket deket ada ninja, tiki, jne, jnt, sicepat, id exp. dom cianjur jawa barat udah pengalaman packing karena jualan juga di oren, fee bisa dibicarakan🙏🏻siapa tau berminat</t>
  </si>
  <si>
    <t>@jualanlabels aku bukan dom jkt tapi boleh dicoba dulu siapa tau cocok :( aku lagi free banget, ekspedisi juga deket deket ada ninja, tiki, jne, jnt, sicepat, id exp. dom cianjur jawa barat udah pengalaman packing karena jualan juga di oren, fee bisa dibicarakan🙏🏻</t>
  </si>
  <si>
    <t>@jualanengene sender tolong cek ini ya. aku lagi free banget, ekspedisi juga deket deket ada ninja, tiki, jne, jnt, sicepat, id exp. dom cianjur jawa barat udah pengalaman packing karena jualan juga di oren, fee bisa dibicarakan🙏🏻siapa tau berminat</t>
  </si>
  <si>
    <t>@dagangkr wts diri sendiri buat jadi admin packing. aku lagi free banget, ekspedisi juga deket deket ada ninja, tiki, jne, jnt, sicepat, id exp. dom cianjur jawa barat udah pengalaman packing karena jualan juga di oren, fee bisa dibicarakan🙏🏻siapa tau berminat yuk dm</t>
  </si>
  <si>
    <t>@nurulhidayah_94 Boleh dayah. Aku pos dekat dayah saubiran semalam pastu hari ni dah sampai hehe. Kejap je jnt buat kerja 🤣 ws aku dayah kalau nk order 😘 https://t.co/url2XIa6pX</t>
  </si>
  <si>
    <t>Tgoklaa hampa yang dah postage. Hari ni pos, esok sampai. Alhamdulillah laa jnt laju area kg pelet 😂 https://t.co/s9SGynGw1M</t>
  </si>
  <si>
    <t>@menfesssyg Cek aja ongkirnya di google nder.
Tinggal kamu pilih aja mau make pos, jnt, jne, atau sicepat, atau yg lainnya.
Tinggal masukin kecamatan pengirim sama penerima sama berat
Itu udh ada nanti ongkir sama estimasinya.
Kalau aku cek di aplikasi biasanya karna aku jualan.</t>
  </si>
  <si>
    <t>Saya menjual BODY SET HONDA WIN P... seharga Rp750.000. Dapatkan di Shopee sekarang! https://t.co/rpAQQPc1q9 #ShopeeID https://t.co/7zeasuB49j</t>
  </si>
  <si>
    <t>Btw setelah dia lulus, gue cinlol lagi dengan anak basket yup ini katolik. Lebih lagi ye pressurenya. Apalagi pas tanding, sama2 tanding, sama2 kalah juga. Deket bgt kek prangko pos indonesia dah kita. Tapi yeah jauh deh bahkan sampe skrg. Sedih sih tp gpp soalnye</t>
  </si>
  <si>
    <t>@stanmenfess Yaelah cuma ngumpulin berkas aja kudu datengin kantor tujuan? Hey Pos Indonesia didirikan sebelum kamu lahir buat apa?</t>
  </si>
  <si>
    <t>@S_GraciaJKT48 Klo di Indonesia squid game..
-Lempar sendal (bikin susunan sendal bentuk Segitiga) trus di lempar pake sendal / kayu
- BT 7 (bete 7)
- Colek Sabun
- suit lompat
- ular naga panjang
- Kotak Pos belum diisi mari kita isi dengan para penumpang...
- abc 5 dasar
- dll</t>
  </si>
  <si>
    <t>Lowongan Kerja - Info Lowongan Kerja ...
.
PT Pos Indonesia (Persero) merupakan salah satu perusa... - https://t.co/h5JuwBTd7j https://t.co/nHZb0eaSz8</t>
  </si>
  <si>
    <t>@ariffl5 sbb mu jnt ni pos laju haha https://t.co/jfuaexsxMK</t>
  </si>
  <si>
    <t>Ready stock siap kirim ke seluruh Indonesia via pos paket tercatat. Minat bisa ke WA 08119997148 https://t.co/dW7rgCxNnm</t>
  </si>
  <si>
    <t>@AfiqahAmni1 hi awak boleh je pos shah alam hehe as long as jnt area awak laju 💓💓💓💓</t>
  </si>
  <si>
    <t>@ilhamdw Pos Indonesia lah pak....</t>
  </si>
  <si>
    <t>@treasuremarkets rumahku jg dkt jne jnt sicepat🙌</t>
  </si>
  <si>
    <t>Wtf sia, just sbb one buku yg aku order hg smpai silap hntq 2 friggin benda, this is not normal okay, but aku tk pernah melenting or apa, pastu demand nk jnt jgk even dah kata jnt jauh dri rumah, pastu duk kalut kalut suruh aku pos brg, mask bru smpai kul 5 smlm dia expect</t>
  </si>
  <si>
    <t>Aku pos mask tu smlm jgk, siap bgi arahan aku pos dulu pastu send bukti shipping fee?!?!?!? Eh aku ni bukan seller and kami jarang p pos pos barang, lagi lagi nk travel smpai sungai tiram smata mata nk tolong hg guna courier jnt, salam apa tkdk pastu duk bagi arahan suruh</t>
  </si>
  <si>
    <t>siapa pulak pos barang letak nombor aku ni, kantoi dah jnt mesej bagi tracking number 🤣</t>
  </si>
  <si>
    <t>Sejalan dengan Peraturan Menteri Keuangan  (PMK) nomor 109/PMK.04/2020 tentang Kawasan Pabean dan Tempat Penimbunan Sementara, Tim Monitoring dan Evaluasi KPPBC TMP B Banjarmasin telah melaksanakan Monev Kawasan Pabean dan Tempat Penimbunan Sementara di PT. Pos Indonesia https://t.co/JtbcPa8Vjx</t>
  </si>
  <si>
    <t>@ihvjjktch @sbyfess Walah, ngga ada nder aku..
Atau kalo ngga, gosend in ke jnt
Aku kemaren gitu, butuh kirim ke sicepat tapi ngga ada orang, jadi tak gosenin ke sicepat, sama pak gojek nya nanti difotoin tanda terima</t>
  </si>
  <si>
    <t>@lampungbase Pos Indonesia coba</t>
  </si>
  <si>
    <t>Semua call jawab benda sama. Bila request nak tahu apa progress daripada previous complaints semua terkial jawab. Aku tau banyak dah complaint orang ramai pasal jnt. Ni bukan barang aku pos, ni barang patut terima.</t>
  </si>
  <si>
    <t>@treasuremarkets akuu bisa udh freeong min 10.000 domnya tangerang. rumah deket jnt sicepat jne dkk</t>
  </si>
  <si>
    <t>Pos Indonesia ki dah mahal ruwet. Lha bagemana kita nggak pake jasti2 aja....</t>
  </si>
  <si>
    <t>@menfesssyg Pos indonesia vs j*e/jn* ( jasa pengiriman brg) kali ya</t>
  </si>
  <si>
    <t>@karawangfess Online aja, kirim nya pake jne trucking atau sicepat biar ongkirnya murah</t>
  </si>
  <si>
    <t>@Anyaslalusalah Kmren juga ada yg inget kata tukang pos. Gue gatau kang pos anjir, jne jnt aja gue ga ajak ngobrol</t>
  </si>
  <si>
    <t>@mohmahfudmd ini seh hrsny udah tidak usah ditanya samsat mana krn semua samsat yg ada di Indonesia selalu melakukan pungli dan satu lg utk kepolisian Indonesia agar polisi lalu lintas itu difungsikan sebagaimana mestinya bukan duduk2 di pos yg ngatur lalin pak ogah(bogor).</t>
  </si>
  <si>
    <t>REKON BST KABUPATEN BULELENG DENGAN ANGGARAN BTT BERSAMA PT POS INDONESIA TAHAP I BULAN JULI TAHUN 2021 https://t.co/oZ0yyUS68w</t>
  </si>
  <si>
    <t>WTS SKZ JEWEL CASE 🇲🇾 ONLY
💰RM48
• Lee Know Cover, Felix Frame PC , Changbin Red Frame [SET ONLY]
• Hyungline Mini Photobook
** leeknow photobook have minor defect 
🖇 Exc pos (jnt)
🖇 shopeepay/online banking 
❌ NO rush postage 
📩DM if interested 
#pasarskz https://t.co/00HQ1cH7ZD</t>
  </si>
  <si>
    <t>Parcel berpuluh2 sampai rumah 😁😁 abang jnt dgn pos laju siap nyembang depan rumah 🤣🤣</t>
  </si>
  <si>
    <t>Pembinaan pos itu bertujuan mengimbangi pos kawalan Tentera Nasional Indonesia (TNI) serta memperkukuhkan lagi kawalan sempadan Sarawak-Kalimantan.
#tvs #tvsmy #beinformed #mindef 
https://t.co/F4XBFvXKFz</t>
  </si>
  <si>
    <t>[HELP RT]
WTS | MY MSIA MALAYSIA 🇲🇾 ONLY 
NCT DREAM HOT SAUCE ALBUM 
- Boring ver
- Sealed
- on hand 
🏷 RM 75
🚚 price alr inc pos (jnt) 
💚 Will inc freebies ^^
 💌 dm for more pic/interested
#pasarNCT #pasarNCTmy #mynctjual #NCT https://t.co/PiUx4CbLoO</t>
  </si>
  <si>
    <t>@CaratShopINA Aku mah anter sendiri ke konter klo jnt jne. Enakan sicepat nder</t>
  </si>
  <si>
    <t>⠀⠀⠀⠀ ⠀ 
   ── 📬   Pos Indonesia 
                     mengirimkan dokumen 
                     untuk @ferskjaen 
⠀⠀⠀⠀ ⠀ https://t.co/SHlxTvOntU</t>
  </si>
  <si>
    <t>#BUMNBangkrut ya emang resiko persaingan, belum lagi kalau nggak ada inovasi
Sebut saja Pos Indonesia yang baru mulai, tapi sudah ketinggalan😁
Paling top tuh yang udah monopoli tapi masih rugi tuh, mending duitnya @KemenBUMN buat beli bitcoin sekalian 😁👍👍</t>
  </si>
  <si>
    <t>Kali ini Sicepat Ekspress indonesia mau kasih Fujifilm Instax SQ-1 yang kece ini nih, kamu mau?
Untuk info lengkapnya bisa kalian dapatkan disini ==&amp;gt; Kali ini Mimin mau kasih Fujifilm Instax SQ-1 yang kece ini nih, kamu mau? https://t.co/faNVKdJiDs</t>
  </si>
  <si>
    <t>🛵ONGKOS KIRIM
• By owner area Malang Raya: 2.000/KM
• By GO-SEND/Grab
• Luar kota by paxel, jnt atau pos
❗potongan ongkir:
•buy 4 pack potongan 5K
•buy 7 pack potongan 10K
•buy 10 pack potongan 15K
📌Pengiriman luar kota non-paxel wajib extra packing +5K</t>
  </si>
  <si>
    <t>MasyaAllah 😱 tudiaaa lajuu bak hangg 🤣,baru je pos smlm,tup tup haqini dh nyampeii ye 🤭😝 Alhamdulillah Thank You Dear &amp;amp; Jnt 💖! https://t.co/ZSwBYVRIQk</t>
  </si>
  <si>
    <t>⠀⠀⠀⠀ ⠀ 
   ── 📬   Pos Indonesia 
                     mengirimkan dokumen 
                     untuk @HERECITAL
⠀⠀⠀⠀ ⠀ https://t.co/JZKtNp9ElY</t>
  </si>
  <si>
    <t>Mending jne, jnt, atau sicepat si?</t>
  </si>
  <si>
    <t>Pemerintah melalui Kementerian PUPR tengah menyelesaikan pembangunan Pos Lintas Batas Negara (PLBN) Jagoi Babang di Kab. Bengkayang Kalbar untuk memperkuat kedaulatan Negara Kesatuan Republik Indonesia (NKRI) di perbatasan sebagai garda terdepan. @jokowi
https://t.co/yOvusPR1xk https://t.co/GkHk2nqIpA</t>
  </si>
  <si>
    <t>@convomf untung no wa aku gapernah disebarluaskan, kalopun ada no ga dikenal ngechat palingan kurir gojek/shopee/jnt/sicepat dkk</t>
  </si>
  <si>
    <t>@fiddinroyan komisaris sama ceo beda ya, ceo pos indonesia udh kren bgt, inovasinya banyak, yg awalnya ketinggalan dngn jnt dan jne, kini mulai menyusul</t>
  </si>
  <si>
    <t>Jnt, jne, maap aku lagi ga bisa berpaling dari sicepat. Udah murah, bisa nyampe sehari lagi😘</t>
  </si>
  <si>
    <t>PUPR tengah menyelesaikan pembangunan Pos Lintas Batas Negara (PLBN) Jagoi Babang di Kabupaten Bengkayang Provinsi Kalimantan Barat (Kalbar) untuk memperkuat kedaulatan Negara Kesatuan Republik Indonesia (NKRI) di perbatasan sebagai garda terdepan. @jokowi
https://t.co/bVKIizJHnY</t>
  </si>
  <si>
    <t>@Askrlfess AKU DEKET JNT JNE SICEPAT WAHANA NINJA EXPRESS</t>
  </si>
  <si>
    <t>Me everytime abang grab food, food panda, jnt, pos laju etc:
Bang letak atas tembok je bang 📢</t>
  </si>
  <si>
    <t>Lowongan Kerja Palembang, PT. Pos Indonesia (Persero) - Kantor Pos 30000 sebagai Oranger Antaran. Deadline 25 September 2021
#lokersumatera #lowongankerja #kurir #palembang #lokerpalembang
https://t.co/a1pI7GElz0</t>
  </si>
  <si>
    <t>atzm
ALBUM ATEEZ ZERO : FEVER PART 3 BUNDLE (A ver, Z ver, Diary ver)
✅ 3 POB KTOWN4U sortir member
✅ 3 poster
✅ barang sudah ada di kantor pos indonesia
✅ ems tax
❌ packing
Rp 800.000
dm @seoulutionid</t>
  </si>
  <si>
    <t>WTS / WANT TO SELL
ALBUM ATEEZ ZERO : FEVER PART 3 BUNDLE (A ver, Z ver, Diary ver)
✅ 3 POB KTOWN4U sortir member
✅ 3 poster
✅ barang sudah ada di kantor pos indonesia
✅ ems tax
❌ packing
Rp 800.000</t>
  </si>
  <si>
    <t>@yuyujuyu_ wkwk terutama jnt sicepat, mantap lah pokoknya🤣👍</t>
  </si>
  <si>
    <t>@bbysaturnusca kalo dari shopee gabisa milih, aku lupa matiin ekspedisi sicepat krn kemarin ada yg request pake sicepat biasanya juga pake jnt</t>
  </si>
  <si>
    <t>Malaysia Mahu Bina 10 Pos Kawalan Ketenteraan di Sempadan Sarawak- Kalimantan — BeritaBenar https://t.co/cjoQRn59GN</t>
  </si>
  <si>
    <t>Anda pos era verdad, siempre tenia la duda de lo de Indonesia https://t.co/MS0gfVo0QH</t>
  </si>
  <si>
    <t>❌Sicepat❌
❌J&amp;amp;T express❌
❌JNE❌
📦⚽️ 𝙵𝙴𝙳𝙴𝚇 𝙴𝚇𝙿𝚁𝙴𝚂𝚂 📦⚽️
#SpeziaJuve #ForzaJuve https://t.co/AgcOJrn7lv</t>
  </si>
  <si>
    <t>@juventusfcid @federicochiesa Cc: @sicepat_ekspres 
@jntexpressid 
@JNE_ID @JNECare 
Lumayan min dapat promo gratisan nih di akun official Juve 😁</t>
  </si>
  <si>
    <t>AnterAE ga ada? RT @juventusfcid: ❌Sicepat❌
❌J&amp;amp;T express❌
❌JNE❌
📦⚽️ 𝙵𝙴𝙳𝙴𝚇 𝙴𝚇𝙿𝚁𝙴𝚂𝚂 📦⚽️
#SpeziaJuve #ForzaJuve https://t.co/jTcmm34M5w</t>
  </si>
  <si>
    <t>Pagi
Sebelum aku umumin karena kali ini aku bakal kasih ke banyak akun
Bagi pemenang yg "mau" ambil hadiahnya baca ini dulu ya
-Bersedia bayar ongkir manual (JNE/jnt/wahana)+ 10k
-ss namamu SBG pemenang
-dm aku dgn isi
Denimalz/Petit:
Gender:
Nama:
Hp:
Alamat:
Kode pos:
-</t>
  </si>
  <si>
    <t>Berita | REKON BST KABUPATEN BULELENG DENGAN ANGGARAN BTT BERSAMA PT POS INDONESIA TAHAP I BULAN JULI TAHUN 2021 https://t.co/SRT6cDwPs1 https://t.co/tZK5kTLjCa</t>
  </si>
  <si>
    <t>harini semua serba tak kena, tengok parcel shopee express lembab nak mampus, (delay delivery sebab salah poskod) pastu peram lama2 parcel) padahal jnt pos laju elok je hantar, takde pun salah poskod?????? Aku tak ubah pun alamat aku.</t>
  </si>
  <si>
    <t>Hai kak! aku make pake ems / rln tracked ke us kita perlu isi form gitu ga kakk? oya pas ke kantor pos nya kita p… — iya isi cds dulu online, nanti kita print terus ditempel ke paketnya (jadi bentuknya kayak resi jnt dari shopee).… https://t.co/nuZpBZdcV4</t>
  </si>
  <si>
    <t>Pos padat pagi pada 23 sept 2021 
@polisi_indonesia 
@direktoratlalulintaspoldasumut 
@ntmc_polri 
@polisi_indonesia https://t.co/1I9kdKsDUF</t>
  </si>
  <si>
    <t>Apel pagi  di pos terpadu penyekatan Nursaadah  pada 23 sept 2021 
@polisi_indonesia 
@direktoratlalulintaspoldasumut 
@ntmc_polri 
@polisi_indonesia https://t.co/fi6Ff1FEDo</t>
  </si>
  <si>
    <t>yang cari admin packing bisa yaaa^^ feenya bisa diomongin di dm^^
⭕packing photocard / postcard / barang" kecil kaya pin button, dsb.
‼️album boleh dm dulu ya biar menyesuaikan keinginan
✅packing dari aku
✅ada shopee gratong xtra
✅rumah deket sicepat &amp;amp; jnt</t>
  </si>
  <si>
    <t>jnt kan sebenarnya servis dia not bad jugak tau, laju.. seller tu pos parcel semalam, harini dah sampai kat tmpt sendiri, argh suka suka 😆😆</t>
  </si>
  <si>
    <t>Jnt makin teruk tp pos laju makin bagus ye sekarang. Sehari je dah sampai. Keep it up poslaju!</t>
  </si>
  <si>
    <t>hii , me and my friend finally decided to open awb service.
courier provided:
🌹jnt
🌹pos laju
each postage only (can be up to 5kg each parcel) 
🌸RM9
more than 10 parcel
🌸RM7/each
hit my dm for more details</t>
  </si>
  <si>
    <t>binate pos laju babi, betak nok mapuh pengurusan. kelmarin pos, harini tkdok dale sistem lg. baik jnt la blako. marin pos, harini sapa duk kb doh.</t>
  </si>
  <si>
    <t>@JapanMerchFess Pake Pos Indonesia nder</t>
  </si>
  <si>
    <t>@banjarbase kena kawa di pilih jnt eco atau sicepat halu</t>
  </si>
  <si>
    <t>Yang mau cari dan beli rumah di perumahan, gua rekomendasikan di Citra Indah City, Cluster Bukit Pinus Blok Q5, Kecamatan Jonggol, Kabupaten Bogor, Propinsi Jawa Barat, Kode pos 16380, Indonesia, Bumi. https://t.co/3mNYBAQ2Ix</t>
  </si>
  <si>
    <t>sicepat : sat set... paqeet
JNE : harap bersabaaar... ini masih di sorting center</t>
  </si>
  <si>
    <t>Indomy yg ada instagram atau tiktok boleh share goals yg di pos @IDWantsColdplay🤗
👇👇👇👇👇👇👇
Tiktok : https://t.co/Z1vASdr0uh
Instagram : https://t.co/UN0HqvgIjW</t>
  </si>
  <si>
    <t>Ini yg admin go yg lagi nyari admin packing atau atur data bisa tawarin ke aku sini, dom semarang rumah deket j&amp;amp;t/jne/sicepat, aku ada shopee juga testinya juga ada💙</t>
  </si>
  <si>
    <t>There's a gold rush happening in the logistics industry. In today's free story, @nfreischlad unpacks Indonesia's SiCepat's sprawling business, as it aims for a US$2 billion IPO on the IDX in 2022. Only at @TheKenWeb 
https://t.co/zbnkEL1jWe</t>
  </si>
  <si>
    <t>Terimakasih para penggiat P4GN Bantul yang akan beraksi menumpas narkoba di lingkungan swasta🔥🔥🔥 @logiccoffee.id @gojekindonesia @bpcphribantul @hipmibantul @jne.yogyakarta @sicepat.jogja @sicepat_ekspres @pitabiruadv @pita_mayangsinta @rosinhoteljogja @baleayuresto.id https://t.co/UcmbQI3Ilz</t>
  </si>
  <si>
    <t>Mahal bgt ongkir uniqlo, kirain pake jnt apa sicepat tahunye ninja express wkwk</t>
  </si>
  <si>
    <t>Lowongan Kerja PT POS Indonesia (Persero) https://t.co/u6neYWancn</t>
  </si>
  <si>
    <t>Lowongan Kerja PT Pos Indonesia Persero Makassar 2021 Frontliner, Dibuka hingga 24 September 2021 https://t.co/g9xiZ6kgUg</t>
  </si>
  <si>
    <t>Lowongan Kerja PT Pos Indonesia Persero Makassar 2021 Frontliner, Dibuka hingga 24 September 2021
https://t.co/g9xiZ6kgUg</t>
  </si>
  <si>
    <t>✅proof detail depan belakang setiap postcard 
✅DM only
🚚 Jnt/sicepat/tiki/lion/JNE</t>
  </si>
  <si>
    <t>Udah tanya ke security apartemen ga ada yg terima, dan anehnya ya nulis nama securitynya “Mas” dan gw ga punya security namanya “Mas” pun klo JNE klo barang cargo itu saya ditelfon krn barangnya besar. Poor service @sicepat_ekspres SLA juga lama, padahal tinggal kontak kurir aja https://t.co/PtOeNFzTjt</t>
  </si>
  <si>
    <t>@sellkpopfess Aku dom bdg nder, ada rumah kosong punya ortu bisa buat simpen dan packing barangnya disitu. Expedisi yg deket jnt, jne, sicepat, anteraja udh ada no kurirnya juga🥰</t>
  </si>
  <si>
    <t>help rt 🇲🇾 | wts the boyz sunwoo younghoon hyunjae sangyeon kevin pc  #pasartheboyz #pasartbz
- prices in pic &amp;amp; exc pos  
- postage rm6wm shopee jnt (+ rm3 packaging)
- postage on weekend  
- serious buyer only 
- fast payment 
- can reserved but no backout.
- condition 10/10 https://t.co/qAMrpUUJqO</t>
  </si>
  <si>
    <t>Hai Jasfren, hari ini Pembina Samsat Aceh yang terdiri dari Dirlantas Polda Aceh, Kepala BPKA, dan Kepala PT Jasa Raharja Cabang Aceh menandatangi perpanjangan Perjanjian Kerjasama Pelayanan Pembayaran Pajak Kendaraan Bermotor melalui PT. Pos Indonesia
#PKS
#PKB
#SWDKLLJ
#PNBP https://t.co/A0DkJ7RSvI</t>
  </si>
  <si>
    <t>Pemerintah menyelesaikan pembangunan Pos Lintas Batas Negara (PLBN) Jagoi Babang di Kabupaten Bengkayang, Provinsi Kalimantan Barat.
Pembangunan PLBN merupakan wujud nyata implementasi dalam membangun Indonesia dari pinggiran dalam rangka menjaga kedaulatan NKRI. https://t.co/Qsx3c0IBD8</t>
  </si>
  <si>
    <t>(WTS/HELP RT) ALL SF9 PCS RM10 EACH ‼️
- postage rm10 em/wm (FIXED) 
- using JNT 
- FPFS 
- SHOPEEPAY/BANKIN✅
- NO BACKOUT ❌
- TAKE MORE THAN RM50 FREE POS‼️
#pasarSF9 @pasarSF9my help rt. https://t.co/187gbquXxe</t>
  </si>
  <si>
    <t>Jadi tunggu apalagii yukk order, untuk price list nya bisa ketuk dm kita di
Intagram : skulen_cactus
Twitter : sukulentku_.
🤗🤗
Dan untuk pengiriman nya kita menggunakan jasa kirim (jnt/jne/sicepat/ninja express) , gojek, grab,  ataupun bisa COD (untuk sekitaran kab bandung) 🥳</t>
  </si>
  <si>
    <t>pemerintah memperpanjang program BST selama dua bulan, yaitu pada Mei dan Juni 2021 dengan indeks bantuan Rp 300.000 per bulan per KPM.
Program BST yang menyasar 10 juta KPM tersebut disalurkan pemerintah melalui PT Pos Indonesia.
#BansosLanjutTerus
https://t.co/zn965fx92l</t>
  </si>
  <si>
    <t>BST kembali diperpanjang untuk dua bulan yakni bulan Mei dan Juni 2021 dengan indeks Rp300 ribu/bulan/Keluarga Penerima Manfaat (KPM). BST menyasar 10 juta KPM dengan penyaluran dilakukan melalui PT Pos Indonesia.
#BansosLanjutTerus
https://t.co/kTGIC0DqCm</t>
  </si>
  <si>
    <t>PT SiCepat Express Indonesia memborong saham PT Digital Mediatama Maxima Tbk. sebanyak 5 juta lembar. SiCepat merupakan salah satu portofolio investasi yang dimiliki oleh MDI Ventures. MDI Ventures merupakan ventura yang menjadi anak usaha @TelkomIndonesia https://t.co/GUT2vwx4bk</t>
  </si>
  <si>
    <t>@treasuremembers kalo kita gak ditakdirkan bersama tandanya adalah salah satu nomor telepon kode pos kecamatan di Indonesia arahkan ke sekolah sama sekali tidak memiliki izin bertanya kepada saya https://t.co/PBDVgDE17j</t>
  </si>
  <si>
    <t>@dedekayen Aku gada wa si kurir karna aku jarang pake sicepat, ini juga karna tokonya sicepat doang, biasanya pake jnt terus, kantor sicepat disini aja aku gatau lik</t>
  </si>
  <si>
    <t>TOBAT GUE PAKE SICEPAT ANJ, AH KEMAREN GADA PILIHAN JNT SIH</t>
  </si>
  <si>
    <t>Terkait UKK Imigrasi Bojonegoro, ULP di mall wilayah Surabaya maupun Kerjasama dengan PT Pos Indonesia. (Humas Kemenkumham Jatim)
#KemenkumhamRI
#KumhamPASTI 
@rbkunwas https://t.co/RG47KIBueN</t>
  </si>
  <si>
    <t>PKS Minta Pemerintah perhatikan Jalur Lintas Batas Tradisional untuk memutus rantai penyebaran Covid-19 dari luar wilayah Indonesia. ~ Aleg PKS, Toriq Hidayat. https://t.co/S3qaGSD7fS</t>
  </si>
  <si>
    <t>@ponakan_zeus26 besok paketnya pake Pos Indonesia aja berarti</t>
  </si>
  <si>
    <t>Cwta kalo kirim ke ln pake pos indonesia bayarnya bisa pake debit ga ya?</t>
  </si>
  <si>
    <t>@Masajhiajhi Sampaikan sendiri saya bukan pos indonesia 😝</t>
  </si>
  <si>
    <t>𝐀𝐫𝐢 ga pernah pakai itu. Palingan jnt jne sicepat instant same day gitu aja</t>
  </si>
  <si>
    <t>@sicepat_ekspres 002745392347 lambat banget si cepat pelayanan lebih parah dari JNE</t>
  </si>
  <si>
    <t>@ShopeeID Bisa ganti sicepat?aku pake jnt dr jakarta ke ngawi seminggu tarumaa ini jg aku pesen lg kayanya jg bakal seminggu soapnya gajlan” paketnya</t>
  </si>
  <si>
    <t>@ShopeeID Iya tp pengirimannya bisa pake sicepat?apa jnt ajaaa:)</t>
  </si>
  <si>
    <t>Pos Indonesia tidak masuk?? https://t.co/dsWJ9Cx5Bs</t>
  </si>
  <si>
    <t>#Lowongan ORANGER LOKET BUMN PT. Pos Indonesia (Persero) Update 19 September 2021 (Minimum SMA / Sederajat | Fresh Graduate/Berpengalaman | Semua Jurusan). Syarat, Lokasi &amp;amp; Cara Melamar Baca Di: https://t.co/j0Gu9zOGMu https://t.co/Lwt0sLIiUL</t>
  </si>
  <si>
    <t>#Lowongan ORANGER LOKET BUMN PT. Pos Indonesia (Persero) Update 20 September 2021 (Fresh Graduate/Berpengalaman | Semua Jurusan). Syarat, Lokasi &amp;amp; Cara Melamar Baca Di: https://t.co/j0Gu9zOGMu https://t.co/M1osnyI3La</t>
  </si>
  <si>
    <t>#Lowongan BUMN PT. Pos Indonesia (Persero) Update 21 September 2021 (Minimum SMA / Sederajat). Syarat, Lokasi &amp;amp; Cara Melamar Baca Di: https://t.co/j0Gu9zOGMu https://t.co/tHojnCNxMo</t>
  </si>
  <si>
    <t>#Lowongan FRONTLINER BUMN PT. Pos Indonesia (Persero) Update 22 September 2021 (Fresh Graduate/Berpengalaman | Semua Jurusan). Syarat, Lokasi &amp;amp; Cara Melamar Baca Di: https://t.co/j0Gu9zOGMu https://t.co/fCOhBNWF8y</t>
  </si>
  <si>
    <t>#Lowongan WAREHOUSE OPERATOR PT. Pos Logistik Indonesia (Anak BUMN PT. Pos Indonesia (Persero) | Semua Jurusan | Penempatan di Banyak Kota). Syarat, Lokasi &amp;amp; Cara Melamar Baca Di: https://t.co/j0Gu9zOGMu https://t.co/S63zISccBX</t>
  </si>
  <si>
    <t>@awwgill jne n sicepat bisa si</t>
  </si>
  <si>
    <t>gerigitan betul sya ni pos laju sma jnt apa juga drg buat parcel sya lama2 d kk😭😭</t>
  </si>
  <si>
    <t>Yg keinget skg sih museum sribaduga, museum pos indonesia https://t.co/HtPMshUMlE</t>
  </si>
  <si>
    <t>@pandabeardada Bukaannn. Masih jauh dari fithub.
Clue: yg deket pos polisi benhil sama jne benhil.</t>
  </si>
  <si>
    <t>Benda pos lain yang masih banyak penggemar adalah kartu pos. Secara global, para penggemar kartu pos punya cara unik dalam bertukar benda ini: lewat wadah Postcrossing. Ada juga kolektor personal yang menggemari kartu pos atas alasan… https://t.co/K84kg6Sfhk #KoranTempo</t>
  </si>
  <si>
    <t>@etereojin di aku sicepat malah cpt bgt jnt lama 😦</t>
  </si>
  <si>
    <t>@ghastpiracy wkwkwkw iyah aku gold member tiap minggu 10 freeong dan cashback 10rebu😂 gimana gue ga cuan, hemat 2jutaan gue sejak pake tokped dan kurirnya pake JNT atau sicepat which means ga lama2 walaupun ditulis sampe tujuan 4 hari sering bgt cuma sehari 2 hari</t>
  </si>
  <si>
    <t>Lowongan Kerja PT Pos Logistik Indonesia Tahun 2021 https://t.co/eBiEKsoWVE</t>
  </si>
  <si>
    <t>@melissaarfa sampe sih, yang bikin lama di indonya, mereka pakai pos soalnya dan yatau sendiri pos indonesia gimana</t>
  </si>
  <si>
    <t>Lowongan Kerja Pos Logistik Indonesia Surabaya September 2021 https://t.co/aEFNUeee7m</t>
  </si>
  <si>
    <t>sicepat udh bagus banget di gue baru kemaren sore di kirim dari nganjuk, hari ini udh di bandung sedangkan si jnt estimasi harus sampe sebelum tgl 23.. tapi sampe sekarang ga nyampe lol</t>
  </si>
  <si>
    <t>BUMN Pos Indonesia membuka lamaran kerja posisi Oranger Loket, berikut persyaratan yang harus dipenuhi apabila tertarik untuk melamar.
https://t.co/stJKSazYZG</t>
  </si>
  <si>
    <t>Museum Pos Indonesia dibangun oleh pemerintah Hindia Belanda pada 27 Juli 1920. Berikut sejarah dan kisah mistisnya!
https://t.co/Z8PT3bGA3T</t>
  </si>
  <si>
    <t>Anak usaha PT Pos Indonesia (Persero) yakni Pos Logistik Indonesia tengah membuka lowongan kerja, yuk intip!
https://t.co/M5uNJdQ02i</t>
  </si>
  <si>
    <t>Lisensi: GET‼
SIAP, 86! 🔥
Aksi, militer, sci-fi... dijamin HYPE BANGET. 
EIGHTY SIX bagian kedua akan tayang mulai musim depan, dan Muse telah mengamankan lisensinya!
⚠ Jadwal dan platform penayangan akan kami infokan segera. Pos ini bukan penumuman penayangan di YouTube ⚠ https://t.co/jhWWcrGbyn</t>
  </si>
  <si>
    <t>Lisensi: GET ‼
Kali ini, kami sudah mengamankan hak tayang untuk anime chibi "Kaginado" yang bakal bikin kalian nostalgia maksimal!
⚠ Jadwal dan platform penayangan akan kami infokan segera. Pos ini bukan penumuman penayangan di YouTube ⚠
Website：https://t.co/e8dLJ7iMYY https://t.co/XD5OZAO26c</t>
  </si>
  <si>
    <t>@jbudam Untuk aku sndri yg kota bandung sebenernya pake id selalu cepet, cmn kurang tau klo di luar bandung itu agak lebih lama, biasa jnt/sicepat 1-2 hari klo id bisa 2-3 hari</t>
  </si>
  <si>
    <t>@namakunida Paling bener jnt/sicepat</t>
  </si>
  <si>
    <t>Beria la buat gambar passport beli kat shopee sebab murah. Sekali jnt dok buat peram barang aku 😤 dah la nak pos segala document harini haihh 🤬</t>
  </si>
  <si>
    <t>Lowongan Kerja Oranger Antaran Pos Indonesia SMA September 2021 https://t.co/b0sDMTVA7P</t>
  </si>
  <si>
    <t>Lowongan Kerja Semua Jurusan PT Pos Logistik Indonesia September 2021 https://t.co/EYuPjOeK2C</t>
  </si>
  <si>
    <t>Mana abang jnt niii, nak pergi pos barang ni 😭😭</t>
  </si>
  <si>
    <t>Lowongan Kerja Oranger Antaran Pos Indonesia SMA September 2021 https://t.co/3nwKisLDwr</t>
  </si>
  <si>
    <t>Lowongan Kerja Semua Jurusan PT Pos Logistik Indonesia September 2021 https://t.co/ZQCjMXK2aZ</t>
  </si>
  <si>
    <t>Jnt nak pos sekilo rm12 😱😱😱😱😱 da kenape mahal sgt??????</t>
  </si>
  <si>
    <t>@bravobeacukai Baik Kak, akan aku cek berkala ya di web Pos Indonesia nya. Nanti diserahkan per email ke kurirnya kah?</t>
  </si>
  <si>
    <t>@keziegy di daerah ku jnt sama sicepat sama ajaa</t>
  </si>
  <si>
    <t>@VChristyano Mau lewat mana JNE apa TIKI apa KANTOR POS apa SICEPAT</t>
  </si>
  <si>
    <t>@keziegy sicepat sama jnt</t>
  </si>
  <si>
    <t>@keziegy jnt or sicepat, tapi mending jnt</t>
  </si>
  <si>
    <t>@jualanlabels halo kak,aku bersedia untuk admin packing,btw dom aku karawang dan kebetulan rumah aku juga deket jnt,jne,sicepat.aku akan memberikan yang terbaik trmksh</t>
  </si>
  <si>
    <t>- guys ada yang tau kalau kita mau liat info loker jasa pengiriman (ex. Sicepat, jnt, jne) itu dimana ya?</t>
  </si>
  <si>
    <t>Tapi shopee express sini bagus. Sama je macam jnt, semalam pos harini sampai. Kadang pukul 10 malam pun dia hantar lagi (~‾▿‾)~</t>
  </si>
  <si>
    <t>sicepat cpt bgt ish mo sungkem galagi pake jne</t>
  </si>
  <si>
    <t>Harusnya paket aku sampe besok ni kalo pake sicepat, klo jnt express ndk tau lah tu~</t>
  </si>
  <si>
    <t>INFO LOKER BUMN! PT POS Logistik Indonesia Buka Lowongan Untuk Lulusan Min D3 Terbaru September 2021
#loker #lowongankerja
https://t.co/YBt2b9q9Kk</t>
  </si>
  <si>
    <t>[AGENDA]
Senin (20/09) Kepala Kanwil DJP Bengkulu dan Lampung Tri Bowo mendapat kunjungan kerja dari Executive General Manager (EGM) Pos Indonesia KCU Wilayah Lampung Risda.
@DitjenPajakRI https://t.co/wqQM3OvyqD</t>
  </si>
  <si>
    <t>Kunjungan kerja ini bertujuan untuk meningkatkan kerja sama antara Kanwil DJP Bengkulu dan Lampung dengan Pos Indonesia KCU Wilayah Lampung dalam bidang pengawasan Bea Meterai dan pemanfaaran Geo Tagging bersama
@PosIndonesia
#sinergi
#pajakkitauntukkita 
#pajakkuatindonesiamaju</t>
  </si>
  <si>
    <t>@Askrlfess mending plastikin lagi sendiri. pake map dulu kalau perlu sebelum diplastikin..... aku kalau dokumen penting biasanya pos sih, jarang jne. ngirim kertas pake jne mentok soal statistik tahun lalu doang ke temen......</t>
  </si>
  <si>
    <t>@Askrlfess kmaren mau ngirim ijazah gtu malah di tolak sma jnt nya,, mending pos aja</t>
  </si>
  <si>
    <t>Otw Surabaya lagiiii barang berat tapi ongkir tetep ringan pake Grab Express x Anteraja. Maapin iklan hahaahah lagi tergilak gilak akutuh sama si Grab, babay JNE, JNT, SiCepat, Gojek. https://t.co/ZO2wHLnuiO</t>
  </si>
  <si>
    <t>@lonelyboy77x Haa jap nak hantar.. nk by jnt ke pos? 🤣</t>
  </si>
  <si>
    <t>Jnt kat lahat mmg terbaik lah. Harini pos esok dh sampai. Even sis terkejut hantar JB pun esok tu sampai dh. Then senang, drop off je takyah nak masuk dalam.</t>
  </si>
  <si>
    <t>help rt 🇲🇾 wts sunwoo haknyeon kick pc #pasartheboyz #pasartbz
-both rm 28 exc pos
-postage rm 6 shopee jnt (add rm 3 packaging)
-postage on weekend 
-serious buyer only 
-can reserve but no backout 
-fast payment 
-sunwoo pc have slightly defect 
-haknyeon pc condition 10/10 https://t.co/aJwzHUeo9D</t>
  </si>
  <si>
    <t>Lowongan Kerja BUMN PT Pos Indonesia https://t.co/PemcfL4J64 https://t.co/IGmxjKM2NF</t>
  </si>
  <si>
    <t>Lowongan Kerja BUMN PT Pos Indonesia https://t.co/PemcfKN7Hu https://t.co/8DJCjUCpG4</t>
  </si>
  <si>
    <t>Lowongan Kerja PT Pos Logistik Indonesia https://t.co/VNgJkDYVm4 https://t.co/Emjz91aK2q</t>
  </si>
  <si>
    <t>poster weverse gue ilang di anteraja, bilangnya mau diproses dr minggu lalu. gue follow up malah gadibaca wa gue, dianggurin aja gitu~ hmm cuktau ajanih mending jnt atoga sicepat dah</t>
  </si>
  <si>
    <t>@kam_camelia Dia rasa membazir buat le sendiri.
Kotak sendiri. Lampu sendiri. Reben sendiri. Jajan sendiri.
Nak personal touch sangat kan.
Ha lepas tu beratur pulak dalam jnt untuk pos.
Dekat situ dah sekurang-kurangnya dua tempat dia kena check in checkout.</t>
  </si>
  <si>
    <t>Lowongan Kerja PT Pos Logistik Indonesia https://t.co/Lmd85Akyqz</t>
  </si>
  <si>
    <t>Lowongan Kerja PT Pos Indonesia Persero Makassar 2021 Frontliner, Dibuka hingga 24 ... - Tribun: PT Pos Indonesia membuka lowongan kerja dalam rangka mencari calon pegawai yang siap untuk bergabung sebagai karyawan perusahaan. PT… https://t.co/LcZwxZ2EyP #loker #lowongankerja</t>
  </si>
  <si>
    <t>Info Loker! PT SiCepat Ekspres Indonesia Buka Lowongan Kerja untuk Lulusan Minimal D3: Info Loker! PT SiCepat Ekspres Indonesia Buka Lowongan Kerja untuk Lulusan Minimal D3. Erlyn Pratiwi 24 September 2021, 13:30 WIB. https://t.co/DpQhk32ulg #loker #lowongankerja</t>
  </si>
  <si>
    <t>@squidwrd__ kenapa ngga uninstall aja app nya dan beralih ke pos Indonesia</t>
  </si>
  <si>
    <t>@aly4chan Nk jnt ke pos laju?</t>
  </si>
  <si>
    <t>pos la cepat roti thailand tu kan berkulat dalam lori jnt</t>
  </si>
  <si>
    <t>Semoga sempat sampai jnt untuk pos barang</t>
  </si>
  <si>
    <t>when will ppl realise sellers takleh bagi free shipping bcs jnt bukan bapak saya punya, saya tak balut pc awak guna daun, bukan pergi pos barang awak naik unta, bukan bukan bukannnnnnnn https://t.co/aQqhbMbDbE</t>
  </si>
  <si>
    <t>Small giveaway for 🇲🇾 STAY ❣️
1pc I.N ds noeasy ⚡
Just like, rt, n comment any skz pic. Will end esok anytime, sbb nak terus pos dgn parcel my buyer yg lain. **postage on winner - rm5 jnt
#pasarSKZ https://t.co/tpNyxYmUWB</t>
  </si>
  <si>
    <t>@bettylhestariie kirim ny mw lewt sicepat apa lwt jne jne ni</t>
  </si>
  <si>
    <t>seru bngt skrg tetanggannya sm #shopeeexpress @jntexpressid @JNE_ID @sicepat_ekspres ditunggu yang lainnya yyyy🤩</t>
  </si>
  <si>
    <t>Hritu i ada beli something and then i tanya lh dia "u guna jnt ke" and then dia reply "i will use poslaju, but if you want jnt boleh je", astu tdi dia bgi tracking number pos laju HAHAHAHA💀</t>
  </si>
  <si>
    <t>@nastitintan sicepat, jnt menjangkau daerah gini gak ya</t>
  </si>
  <si>
    <t>sekarang aman sicepat apa jnt sih kalo buat pc 😓</t>
  </si>
  <si>
    <t>help rt 🇲🇾 #pasarpiwon 
wts intak p1ay set 
-selling in set rm25 exc pos 
-full set without id photo only 
-can reserve but no backout 
-no fussy buyer
-postage rm6 jnt shopee (+ rm3 packaging) https://t.co/MJM3VpJ7y6</t>
  </si>
  <si>
    <t>Ada yg pernah kirim dokumen antar kota pake jasa pos/JNE? Prosesnya gimna ya? Help</t>
  </si>
  <si>
    <t>@briankhis amaan kok. tegantung deh kan ada macem2 jenisnya, tp kisaran belasan ribu sih pos/jne itu aku dari bekasi-bandung. kalau pos kayanya ada web yg buat cek harga gitu dej</t>
  </si>
  <si>
    <t>@pacarbighit Mungkin ga pake ekspedisi macem jnt atau sicepat, atau mungkin kamu dah ga memenuhi kriteria lagi. Coba cek di bagian notifikasi penjual aja nder</t>
  </si>
  <si>
    <t>warna pos indonesia demi Allah jelek https://t.co/kU2ojpb4mz</t>
  </si>
  <si>
    <t>@convomf kangen ke perpus BI atau VDB terus mampir ke Pos Indonesia buat kirim postcards tiap Jumat sore. tt ___ tt</t>
  </si>
  <si>
    <t>Titip Bagus, Jastip yg tau tau nemu diskon 70% 😅
IG: https://t.co/m0tJmyeoyr
📱 WA &amp;amp; Line: 085326*22*72 DM yaa ☺️
🏦 Mandiri, BCA, Muamalat, a.n Angga P.
💳  GoPay &amp;amp; Ovo a.n. Angga P.
🛒 Shopee, Tokopedia &amp;amp; Bukalapak
📦 JNE, J&amp;amp;T, Wahana, Pos, Lion dan Cargo dari Gresik https://t.co/P3q4s9CgKC</t>
  </si>
  <si>
    <t>❗️help rt❗️WTS BTS pc 🇲🇾
-dm to buy
🚚 price exc pos
-rm8 jnt 
-rm7 pgeon
#pasarbts 
help rt thanks 💜
@pasarBTS @malaysia_trade @kpopsellingmy_ @BTStrading_MY https://t.co/SmFtwQCQBv</t>
  </si>
  <si>
    <t>❗️help rt❗️WTS BTS pc 🇲🇾
-dm to buy
🚚 price exc pos
-rm8 jnt 
-rm7 pgeon
#pasarbts 
help rt thanks 💜
@pasarBTS @malaysia_trade @kpopsellingmy_ @BTStrading_MY https://t.co/3uGQns9Elj</t>
  </si>
  <si>
    <t>❗️help rt❗️WTS BTS pc 🇲🇾
-dm to buy
🚚 price exc pos
-rm8 jnt 
-rm7 pgeon
#pasarbts 
help rt thanks 💜
@pasarBTS @malaysia_trade @kpopsellingmy_ @BTStrading_MY https://t.co/IFNm5tW17j</t>
  </si>
  <si>
    <t>❗️help rt❗️WTS BTS pc 🇲🇾
-dm to buy
🚚 price exc pos
-rm8 jnt 
-rm7 pgeon
#pasarbts 
help rt thanks 💜
@pasarBTS @malaysia_trade @kpopsellingmy_ @BTStrading_MY https://t.co/7L7uTdjfLv</t>
  </si>
  <si>
    <t>❗️help rt❗️WTS BTS pc 🇲🇾
-must bought by set
-dm to buy
🚚 price exc pos
-rm8 jnt 
-rm7 pgeon
#pasarbts 
help rt thanks 💜
@pasarBTS @malaysia_trade @kpopsellingmy_ @BTStrading_MY https://t.co/dFPJuTpr2F</t>
  </si>
  <si>
    <t>Desa menjadi pelopor Indonesia Sehat, Gus Halim imbau pos gebang desa kembali dijaga 24 jam.
@halimiskandarnu
@malik_haramain
@imansyukri
@yusradaridesa
@tppkemendes
@azzameldzikrie
@Brigade01Arwan1
@cik_mashuri
@TppLampung https://t.co/CdmF7KoGrq</t>
  </si>
  <si>
    <t>Relawan Jokowi Deklarasi Ganjar – Erick Capres – Cawapres 2024, Partai UKM Indonesia Apresiasi Sebagai Penerus Jokowi https://t.co/NauK8zFhbI lewat @BATARA POS</t>
  </si>
  <si>
    <t>Aidil Fitri Dilantik Jadi Komisaris BUMN Angkasa Pura Supports, Ketum Partai UKM Indonesia Ucapkan Selamat Bekerja https://t.co/2ScQUKJNE4 lewat @BATARA POS</t>
  </si>
  <si>
    <t>Pengurus DPW Partai UKM Indonesia Provinsi Banten Siap Kibarkan Bendera di Seluruh Banten https://t.co/5X81KgUjRd lewat @BATARA POS</t>
  </si>
  <si>
    <t>@mizanpilus_ Buat lahh malay subtitle dari espisode 1-9 baru best. And pos kt Youtube. Nampaknya youtubers Indonesia laju buat krja</t>
  </si>
  <si>
    <t>@masdonge Kalo shopee paling jne,jng,jne jtr,antareja,sicepat sama ninja coba cek jne jtr kak</t>
  </si>
  <si>
    <t>Menko Airlangga : UMKM usAHA Membangun Ekonomi Indonesia https://t.co/sfC5CrkaVc</t>
  </si>
  <si>
    <t>Lowongan Kerja PT Sicepat Ekspres Indonesia Penempatan Cilegon https://t.co/2OHGXKOZw8</t>
  </si>
  <si>
    <t>Bugs! sendiri merupakan k-site music app yang paling mudah penggunaannya karena dapat diverifikasi dengan nomor Internasional (termasuk Indonesia).
Tutorial pembuatan akun dan sebagainya akan segera kami pos, untuk mempermudah kalian dalam mempelajarinya 😊</t>
  </si>
  <si>
    <t>@milktypjm Sering bgttt, prnh pas set di pack sicepat kan tau tau udah sampe dluan sebelum dibales 😭😭 akhirnya aku minta balik lahi aja nnt krn paketnya banyak yg belum beres. Klo jnt kadang mau nunggu, pdahal bru chat "bisa pick up gak hari ini?" tau tau dah dpan rumah ajaa</t>
  </si>
  <si>
    <t>@milktypjm Skrg jnt jujurly agak susah buat di mintain pick up 😒 mending si cepat gaada nomer kurir pun bisa di pick up. Tapi bner si sicepat biasanya bisa pick up jam 1-5 sore doang wkwkw</t>
  </si>
  <si>
    <t>Produk Kerajinan &amp;amp; Dekorasi Rumah Indonesia Diserbu di Italia https://t.co/jenKdsDWDz</t>
  </si>
  <si>
    <t>Lowongan Kerja BUMN Pos Indonesia hingga 23 September, Lulusan SMA Merapat! https://t.co/5ebOOvJ8Vz</t>
  </si>
  <si>
    <t>UI Raih Penghargaan di Ajang Anugerah Humas Indonesia https://t.co/2qW0IV5MjQ</t>
  </si>
  <si>
    <t>Indonesia Kembali Terima Kiriman 5 juta Dosis Vaksin Sinovac https://t.co/cRdueJ3uB1</t>
  </si>
  <si>
    <t>UI-UQ Gelar Forum Bilateral Penerapan SDGS di Indonesia https://t.co/na5Ip1b5AZ</t>
  </si>
  <si>
    <t>Pertama Kali di Dunia, Honda Luncurkan All New Honda BR-V di Indonesia https://t.co/m646KmiXBK</t>
  </si>
  <si>
    <t>Menperin Luncurkan Indonesia Halal Industry Award 2021 https://t.co/1U21wtpvES</t>
  </si>
  <si>
    <t>UI Terbaik di Indonesia Versi Lembaga Riset Dunia https://t.co/7WJfcnAgRd</t>
  </si>
  <si>
    <t>Kyknya klo pos kluarin perangko seokjin. Jne jnt dll bkl kalah karena semua ngirim pake perangko seokjin 😂 https://t.co/vjBQV3ANIK</t>
  </si>
  <si>
    <t>Saya beli dari sg. besi dan pos ke batalion 18 ramd (para), kem sri pantai, trg, beberapa minggu lepas. Mungkin cawangan tadbir belum terima. Dah semak proof jnt mmg tepat lokasinya.
@MarkasATM @tudm_rasmi @tldm_rasmi @MINDEFMalaysia @TenteraDarat @ISTANANEGARA_ https://t.co/4dv9jAAjP0</t>
  </si>
  <si>
    <t>Lama gw ga beli di @TokopediaCare gara gara penjualnya cuma pakai @tokopedia aja , gw ga tau kalau @tokopedia kerja sama dengan expendisi baru yg ga profesional, harusnya seleksi expedisi, kita pakai @JNE_ID @jntexpressid @sicepat_ekspres ga bermasalah baru kali ini bermasalah</t>
  </si>
  <si>
    <t>Jasa ekspedisi yang saya pakai :
JNE
SICEPAT
GOSEND</t>
  </si>
  <si>
    <t>@doeeyeskook Eheheheh... Sbb cuti harini.. Tu yg pack tu sbb dh ckp nk pos harini kan.. Hahaha!! Tggu jnt pickup je ni sbb xde transport nk kluar.. Huhu</t>
  </si>
  <si>
    <t>@qtpjvn pos pkai jnt au- cepat sikit smpai😍</t>
  </si>
  <si>
    <t>Sekali pos dari shopee dapat kemek sbb jnt hantar hahaha /s https://t.co/LNOLvr9GIN</t>
  </si>
  <si>
    <t>@rashiqahhhh Weh tapi pos laju memang laju la sekarangggg, kalah jnt</t>
  </si>
  <si>
    <t>id express persis
sicepat Rans
j&amp;amp;t psg pati, min @jnt_kruengmane?</t>
  </si>
  <si>
    <t>@sksksinjun jauh di mata, jnt dekat dihati 😇 boleh pos 😇😇😇👍🏻👍🏻👍🏻👍🏻</t>
  </si>
  <si>
    <t>Kurir yg dateng hari ini:
1. Id express
2. Jnt
3. Sicepat
Kurang jne gaksii 😇</t>
  </si>
  <si>
    <t>Pos barang tengah hari ke Kuantan pakai JNT. Pukul 3.30 tadi dah sampai. JNT ni ikut branch ke macam mana? Lajunyaa</t>
  </si>
  <si>
    <t>Best jugak pos barang guna jnt ni. Barang 100ish je tapi dia cover 300 if ada rosak or pecah.</t>
  </si>
  <si>
    <t>@bdngfess sicepat dan jnt</t>
  </si>
  <si>
    <t>@bdngfess Sicepat sama jnt</t>
  </si>
  <si>
    <t>@bdngfess Jnt jeung sicepat</t>
  </si>
  <si>
    <t>@bdngfess Jnt, sicepat</t>
  </si>
  <si>
    <t>@Yukkishii ututu sini JNE, JNT dan Sicepat terbuka untukku pacc</t>
  </si>
  <si>
    <t>@effaalyaa @maisarahhhh____ Jnt tulis delayed due to external factor. Sahih ke sebab pos covid ni?</t>
  </si>
  <si>
    <t>@menodewi Mending sicepat opo jnt lek</t>
  </si>
  <si>
    <t>@gyucheoli pake kurir jnt ato sicepat ajaa? aku biasanya pake ituu</t>
  </si>
  <si>
    <t>@gyucheoli ohh kalo jnt setauku harus punya nomor telp kurirnya jadi nanti kita chat dia minta jemput paketnyaa, tapi kalo sicepat aku kurang tauu</t>
  </si>
  <si>
    <t>@haniphoria Mau pake JNE atau sicepat kak? Jika ingin perlindungan tambahan bisa check out bubble wrap juga yah kak</t>
  </si>
  <si>
    <t>@bdngfess jnt, sicepat</t>
  </si>
  <si>
    <t>@reenjeun sampeee, klo sicepat/jnt pasti dianter biasanya</t>
  </si>
  <si>
    <t>@bdngfess Jnt sicepat</t>
  </si>
  <si>
    <t>Kemarin jne lama soalnya udh well known bgt. Skrg jnt mulai lama kirimnya, dan sicepat sm anteraja mulai bersaing sama 2 j-j ichuu</t>
  </si>
  <si>
    <t>(bersama anjing bernama "Bagus"), dr. Nauta, Letnan Aldewereld van Rozenburg, dan Letnan ten Seldam. 
2. Januari 1896: Pos militer Belanda di Bilul
3. Pos militer Belanda di Lambaro
4. 12 April 1896: Pos militer Belanda di Bilul
•
📸: Atlas Van Stolk via Indonesia-zaman-doeloe</t>
  </si>
  <si>
    <t>@translate_n Yang Inggris atau yg Indonesia? 
DM nama, alamat lengkap (kecamatan, propinsi, kode pos) dan no HP ya</t>
  </si>
  <si>
    <t>Perkuat Layanan PosAja !, Pos Indonesia Gandeng Nujek dan Perkenalkan O-Ranger Mawar https://t.co/LSEetqovwh @PosIndonesia @KemenBUMN @kemkominfo</t>
  </si>
  <si>
    <t>Pos Indonesia Perkenalkan Wanita Kurir O-Ranger Mawar https://t.co/m1SAYax7Ik</t>
  </si>
  <si>
    <t>Pos Indonesia Kejar Target Pendistribusian BST di Wilayah Terluar yang Belum Selesai https://t.co/bdqUPJHg3y</t>
  </si>
  <si>
    <t>@BighitKantin Aku bisa tp dom sumatra ntar bisa ganti alamat koo,klo mau coba dm aja ,aku on nin jnt eco sama sicepat jg
Fee up to u aja xixi
Yu dm</t>
  </si>
  <si>
    <t>@3dhaTia Skrg mau jnt/sicepat tetep aja ancur2 juga pas dateng dusnya ka 🙃</t>
  </si>
  <si>
    <t>I NAK JUAL BARANG TAPI MAK I MALAS PERGI PEJABAT POS TAPI JNT DALAM TAMAN I DEKAT JE BOLEH JALAN KAKI TAPI KENA JOGING TAPI I MALAS NAK KELUAR RUMAH TAPI TAK TAHU NAK JUAL APA TAPI KALAU JUAL KAWAN BOLEH JUGAK TAPI HM TAPI NANTI MAK DIA MARAH TAPIII</t>
  </si>
  <si>
    <t>@Askrlfess Jnt sm sicepat</t>
  </si>
  <si>
    <t>@bukanfahiraa Kantor Pusat PT POS Indonesia, Jalan Cilaki no 73 Bandung, Jawa Barat https://t.co/JLXrsRGubQ</t>
  </si>
  <si>
    <t>@Askrlfess sicepat tp sejak dipilihin sm oren jd pake jnt</t>
  </si>
  <si>
    <t>@Askrlfess Sicepat sm jnt</t>
  </si>
  <si>
    <t>@Askrlfess Jnt jne oke, sicepat gkdlu</t>
  </si>
  <si>
    <t>Hallao mhs UMHT
Diharapkan dapat mengikuti kegiatan "Sosialisasi &amp;amp; Pembukaan POS SAPA UMHT"
*Pos Sahabat Perempuan dan Anak=POS SAPA*
Terimakasih @ M.H. Thamrin University Jakarta, Indonesia https://t.co/vEyfhnHMD1</t>
  </si>
  <si>
    <t>@justicefyingme undangannya lwt jne apa sicepat laa🤭</t>
  </si>
  <si>
    <t>@sunustm OALAH kayaknya boleh lain kali gue pake jnt dah, sicepat seru si CUMAN KURIRNYA KAYAK CUEK BGTZZZ tau tau depan rumah</t>
  </si>
  <si>
    <t>wts unsealed digipack blue ver
rm 30 
all inclusion 
postage rm 8 jnt (pos using box)
freebies will given 🤍 
can reserve 🥰 
- bole dm for more detail 🦋 #pasarexomy #pasarexo @pasar_EXO @KogiEXOrealPC https://t.co/d9HCkSLd1L</t>
  </si>
  <si>
    <t>maybe time ni rasa simpati dah hilang yelah awal awal i kesian jugak tapi lama lama hilang sabar i desak at last dia post album tu guna pos laju i tak tau mana dia dapat stock pb1 (2) tu yelah sbab dia kata parcel yg dia dah hantar kat jnt tu hilang tapi i peduli apa asal i dapat</t>
  </si>
  <si>
    <t>@om_hendri @JNECare @TokopediaCare kalo ada jasa pengiriman yg lain mending yg lain deh gan, kecuali mmg gk ada pilihan lain, saya beli 4 barang 2 dari @JNECare @JNE_ID dan 2 dari sicepat estimasi hari ini sampa, 2 barang diterima kemaren dan dari jne sampai sekarang belum ada update, parah sih pelayanannya.</t>
  </si>
  <si>
    <t>@aaariniii @JNECare kalo ada jasa pengiriman yg lain mending yg lain deh gan, kecuali mmg gk ada pilihan lain, saya beli 4 barang 2 dari @JNECare @JNE_ID dan 2 dari sicepat estimasi hari ini sampa, 2 barang diterima kemaren dan dari jne sampai sekarang belum ada update, parah sih pelayanannya.</t>
  </si>
  <si>
    <t>@jeneralkenobii @JNECare kalo ada jasa pengiriman yg lain mending yg lain deh gan, kecuali mmg gk ada pilihan lain, saya beli 4 barang 2 dari @JNECare @JNE_ID dan 2 dari sicepat estimasi hari ini sampa, 2 barang diterima kemaren dan dari jne sampai sekarang belum ada update, parah sih pelayanannya.</t>
  </si>
  <si>
    <t>@UncleMuthu05 @JNECare @JNE_ID wkwkwk asli, sekarang mah bagusan anteraja, sicepat, dll. tapi seller gaada alternatif laen selain jne, mau gamau dah. emang udh ketinggalan jauh kurir ekspedisi satu ini ketimbang kompetitor lainnya🤣</t>
  </si>
  <si>
    <t>lembab nyo pos laju ni.. kalu. seller guna jnt mesti harini dah sampai parcel</t>
  </si>
  <si>
    <t>Dari awal udah curiga kenapa tokonya ga ngaktifin sicepat halu (ekonomi). Kayanya yg punya wahana juga.
Terjawab sudah, print resi tokped pun di label yg sama. Terus labelnya sisaan J&amp;amp;T lagi (atau jangan2 yg punya J&amp;amp;t juga 😂) @txtdarionlshop @txtdrikurir https://t.co/1Atbal6akN</t>
  </si>
  <si>
    <t>Mungkin persetase ini berdasarkan pemaparan dari Dirjen Penyelenggaraan Pos dan Informatika @kemkominfo  Ahmad M Ramli
yang menyatakan pengguna smartphone 89% atau 167 juta.
entah darimana datanya, tetapi ada yang aneh sih.🤣
https://t.co/azmWUoJi9o https://t.co/4dxG46DPCw</t>
  </si>
  <si>
    <t>Sekarang JNT lemot banget dah, enakan pake sicepat sama idexpress</t>
  </si>
  <si>
    <t>@anlmsraa Saya jarang pos barang. Tapi range RM 10 je rasanya. Susu ni total berat sekali kotak dalam 1.5kg. Sini ada JnT, pos laju, ninja van. Nanti saya try search kat google harga. PM la alamat nama and num. Kalau sempat esok lepas habis kerja kat PPV, saya pos.</t>
  </si>
  <si>
    <t>https://t.co/baurEn5spd https://t.co/bAC9D6Bx71</t>
  </si>
  <si>
    <t>Saat ini Pos Indonesia menyediakan pelayanan syariah dalam aplikasi Pospay. https://t.co/TYNHjUWnuI</t>
  </si>
  <si>
    <t>Pos Indonesia menyebut pendistribusian BST ditarget selesai pekan ketiga September https://t.co/JvvgEOwdEg</t>
  </si>
  <si>
    <t>Poltekpos yang masuk dalam jaringan 68 Perguruan Tinggi yang tergabung Pusat ASEAN  https://t.co/oaQ25Zo0RR</t>
  </si>
  <si>
    <t>Laju ye jnt ni. Semalam aku pos harini dah sampai hahahahaana🤣</t>
  </si>
  <si>
    <t>Currently there few items that stuck at JnT agents, Pos Laju Bintulu and otw to Belaga.</t>
  </si>
  <si>
    <t>@ruangaleeya jnt ke pos laju?</t>
  </si>
  <si>
    <t>@yewdams LEWAT JNE JNT ATAU SICEPAT BIASA GA MAS ? 🥺</t>
  </si>
  <si>
    <t>ajg lah shopee ga enak bgt milih kurirnya belakangan jd suka lupa hHhhHhh mending otomatis milih jnt atau sicepat, ini pake kurirnya sendiri si idexpress 😪 gimana ye kadang gaje aja gt trackingnya dan ga secepat yg dua tadi🙃</t>
  </si>
  <si>
    <t>Gerai jne jnt sicepat https://t.co/bhrfXX7MBz</t>
  </si>
  <si>
    <t>@kalonamuse Sicepat emg beneran cepat si, kalo jne sehari checkout beneran besok sampe? dulu jnt gtu, sekarang malah lama:(</t>
  </si>
  <si>
    <t>@tdcwonwoo askdjak sicepat di dom ka yaya adalah jnt di domku slalu telat dn bkin susah klo pickup</t>
  </si>
  <si>
    <t>@JapanMerchFess mungkin bisa pake ems..?
aku biasanya kalo mau kirim barang ke luar negri selain perkertasan/dokumen gitu pake ems, tapi kalo barang ringan kaya kertas/dokumen gt baru pake pos indonesia</t>
  </si>
  <si>
    <t>Ehh..pembetulan, jumaat dpt surprise dm, smlm dia pos, hari ni sampai. cepat betul servis jnt ni. Padu jnt padu !</t>
  </si>
  <si>
    <t>Lowongan Kerja PT POS Indonesia (Persero) ditempatkan diwilayah kerja kantor pos palembang https://t.co/8zG6UCBU2q https://t.co/lN2nx7onqY</t>
  </si>
  <si>
    <t>Lowongan Kerja PT POS Indonesia (Persero)
untuk wilayah nusa tenggara timur https://t.co/wEiylaLK65 https://t.co/5wJqYNzEVy</t>
  </si>
  <si>
    <t>@ctbzale hai nder, aku bisa bantu packing. dom pemalang, jateng. deket sama ekspedisi jne jnt sicepat, bisa komunikasi sama kurirnya juga</t>
  </si>
  <si>
    <t>@bertanyarl Fedex? Pos indonesia?</t>
  </si>
  <si>
    <t>Tak hanya itu, masih ada layanan “Pos Lelaki” yang merupakan hasil kerjasama dengan PT.Pos Indonesia.," ungkapnya.
Dengan moto MASAGI (Mastikein Sakabeh Amanah teu GIwar), BKIPM Bandung akan terus berupaya memberikan pelayanan terbaik, bebas dari korupsi.</t>
  </si>
  <si>
    <t>kalau ada GO atau olshopnya butuh admin packing daerah jawa timur bisa dm aku yaa, udah berpengalaman setahunan, deket sama ekspedisi kaya jnt, jne, pos, id express sama sicepat</t>
  </si>
  <si>
    <t>@txtdariolshop_ Anda expressn👍 pos 👌 jnt ❤️ sicepat 👌</t>
  </si>
  <si>
    <t>📢 barang co 25.9 udh dikirim semua yaaa ke jnt sama sicepat. untuk yzy dan soljack lg otw rumah udah dico. makasiii</t>
  </si>
  <si>
    <t>Sudah saatnya bangsa Indonesia menuju era digital
Selamat Hari Bhakti Pos dan Telekomunikasi tahun 2021
#BersihNarkobaBersihCovid19
#WarOnDrugs 
#indonesiabersinar 
#indonesiatangguhindonesiatumbuh 
#hidup100persen https://t.co/xRUBklRlHi</t>
  </si>
  <si>
    <t>@syazkurus Selalu dekat shopee laju je kalau guna jnt. Hari ni orang tu pos, esok sampai</t>
  </si>
  <si>
    <t>untuk ekspedisinya kalian bisa pakai ekspedisi terdekat kalian seperti: paxel, JNE, J&amp;amp;T, pos, sicepat juga anteraja! 
“Bi, nanti cara tau kita dapet voucher/free productnya gimana ya?”
nanti akan ada notifikasi masuk ke akunmu mengenai reward yang kamu dapat!</t>
  </si>
  <si>
    <t>Politeknik Pos Indonesia dan Kemenlu RI Teken MoU Pusat Studi ASEAN https://t.co/yRTd9HjBYm</t>
  </si>
  <si>
    <t>@syazkurus sama je macam kau hantar kat jnt tu, time kau hantar kalau awal, so petang jnt tu dah gerak, tapi tulah benda pos ni mcm2 boleh jadi. try je la dulu guna shopee tu nk biasakan. kl area aku volunteer jadi bahan ujikaji kakakaka</t>
  </si>
  <si>
    <t>@MohdRuzainii @MamatDinzz Baik. Pos bayaq jnt okay. Boy dua kala tu nak rambut atas bawah ka. Atas saja ?</t>
  </si>
  <si>
    <t>@MohdRuzainii @MamatDinzz Baik boleh. Pos bayaq jnt mcm biasa. Pilihan bijak. Size sempit lg. barang baru belum diteroka.</t>
  </si>
  <si>
    <t>OPEN/BUKA JASA ADMIN PACKING
•Dom Bandung
•Dekat Ekspedisi (JNE, J&amp;amp;T, TIKI, SiCepat)
•🍊 belom freeong
•Alat &amp;amp; bahan packing bisa dari aku/kalian
•Fee bisa dibicarakan
yg lg cari admin packing bisa langsung dm aku yaa^^
tags dicari need butuh admin packing dom Bandung</t>
  </si>
  <si>
    <t>Jadi males deh pake sicepat &amp;amp; id express, ini udah keberapa kali ya mau anter paket di atas jam 9 malem…..ganggu tau ga😩 pake jnt atau jne ga pernah tuh ada kurir yg mo nganter paket lewat dr jam 6 sore</t>
  </si>
  <si>
    <t>tangan Jepang oleh angkatan muda PTT pada tanggal 27 September 1945, kemudian dari peristiwa itulah tanggal 27 September ditetapkan sebagai Hari Pos Telekomunikasi Telegraf (PTT). Kini Pos Indonesia telah mampu menunjukkan inovasi dan kreatifitasnya dalam pengembangan pos di</t>
  </si>
  <si>
    <t>Indonesia ditunjang oleh insfrastruktur jejaring yang dimilikinya. 
Selamat Hari Pos Telekomunikasi Telegraf!
Mari bersama-sama kita wujudkan komunikasi yang baik, karena komunikasi menjadi pondasi utama dalam bersosialisasi.</t>
  </si>
  <si>
    <t>https://t.co/bLH6zPpPBi - The Day of the Republic of Indonesia Telecommunications Telecommunications Post is often referred to as PT Pos Indonesia. The flow of telephone and telegraph technology developments that entered Indonesia also changed the postal
https://t.co/JNoQTiNC3d https://t.co/sK6hG5EP55</t>
  </si>
  <si>
    <t>Peristiwa tersebut diperingati menjadi hari bakti PTT atau Hari Pos Telekomunikasi Telegraf Indonesia, yang diperingati setiap tanggal 27 September.
#haripostelekomunikasitelegraf #ptt #haribaktipos #rsupelitahusada #gunungkidul</t>
  </si>
  <si>
    <t>Selamat Hari Bhakti Postel ke-76! Tanggal ini menjadi tanggal bersejarah karena pos, telegraf, dan telepon yang semula di bawah pemerintahan Jepang, berhasil direbut oleh putra putri Indonesia. 
Yuk simak sejarah singkatnya 👇🏻 https://t.co/mjQErzAiWV</t>
  </si>
  <si>
    <t>Memperingati Hari Bakti Postel Indonesia ke 76. Kantor Pos Mojokerto mengadakan pemeriksaan mata gratis &amp;amp; kegiatan donor darah, bekerjasama dengan Palang Merah Indonesia. 
Senin 27 September 2021.
Info lengkap cek poster
#infomjkt 
#eventmjkt
#infomojokerto
#eventmojokerto https://t.co/NyGgLByLkE</t>
  </si>
  <si>
    <t>#SahabatBawaslu sejarah Hari Bhakti Postel 27 September adalah  dilatarbelakangi peristiwa perebutan kantor Jawatan Pos, Telegraf, dan Telepon, pada era pemerintah Jepang. Peristiwa itu terjadi sesaat setelah deklarasi kemerdekaan Indonesia.
#BawasluTanaToraja
#CegahAwasiTindak https://t.co/2XHTI8lZUK</t>
  </si>
  <si>
    <t>@squidwrd__ @Relyourbae2 Ready Stock
Obat telat bulan / Pelancar haid
( Cytotec Misoprostol )
100 % Aman &amp;amp; Resmi
Terdaftar di BPOM &amp;amp; DINKES
More info pemesanan
☎ Wa: 081 329 689 666
HOTLINE 24 JAM
Pemesanan kami kirim via
Jne.Pos.Tiki
Pembayaran via bank
Bri.Bca.Mandiri
Free ongkir seluruh indonesia</t>
  </si>
  <si>
    <t>@bdngfess Ready Stock
Obat telat bulan / Pelancar haid
( Cytotec Misoprostol )
100 % Aman &amp;amp; Resmi
Terdaftar di BPOM &amp;amp; DINKES
More info pemesanan
☎ Wa: 081 329 689 666
HOTLINE 24 JAM
Pemesanan kami kirim via
Jne.Pos.Tiki
Pembayaran via bank
Bri.Bca.Mandiri
Free ongkir seluruh indonesia</t>
  </si>
  <si>
    <t>@Geboyy__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</si>
  <si>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@masgah_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</si>
  <si>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@ayydafryanti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</si>
  <si>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@lindrayyy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</si>
  <si>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@ngalamfess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</si>
  <si>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@diaryfirda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</si>
  <si>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@ayubsr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</si>
  <si>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@morethanurbby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</si>
  <si>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@MUTUALLANDFESS @Deviinaja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</si>
  <si>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@billaameliaa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</si>
  <si>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@chitaglorya @noviadmyy @KingNFTPromoter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</si>
  <si>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@JBArtSpace_NFT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</si>
  <si>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@rindubeneran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</si>
  <si>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Hari Bhakti Postel 27 September jadi momentum peringatan pengambilalihan Kantor Pusat Jawatan Pos, Telegraf, dan Telepon (PTT) di Bandung oleh pemuda Indonesia dari kekuasaan kekuasaan Jepang. Perebutan kendali Jawatan PTT itu dipelopori oleh Angkatan Muda Pos, Telegrap, dan</t>
  </si>
  <si>
    <t>Semoga PT Pos indonesia bisa terus berkembang, dan juga dapat memberikan manfaat berkelanjutan bagi masyarakat Indonesia.
#SmartPeople
#PerpustakaanAlFalaahiyyah https://t.co/ZUzO2TNfcu</t>
  </si>
  <si>
    <t>Sejarahnya tanggal 27 September setiap tahunnya diperingati sebagai Hari Bhakti Postel bertolak dari diambil-alihnya Jawatan Pos Telegraf &amp;amp; Telepon dari kekuasaan pemerintahan Jepang oleh putra putri Indonesia yg tergabung dlm Angkatan Muda PTT yg disingkat AMPTT pada 27/09/1945.</t>
  </si>
  <si>
    <t>[ HIMAFI UPDATE : HARI BHAKTI POS DAN TELEKOMUNIKASI ]
Pekanbaru, 27 September 2021 
السَّلاَمُ عَلَيْكُمْ وَرَحْمَةُ اللهِ وَبَرَكَاتُهُ 
بِسْــــــــــــــــــمِ اﷲِالرَّحْمَن اارَّحِيم 
HIDUP MAHASISWA !
HIDUP RAKYAT INDONESIA !
SALAM SAHABAT FISIKAWAN  👋 https://t.co/vpwugRZ6Xg</t>
  </si>
  <si>
    <t>Sebagai contoh, PT Pos Indonesia menghentikan Hari Bhakti Postel ke-76 dengan mengadakan acara "Online Tour Museum Pos Indonesia" pada Senin, 27 September 2021. Acara tur virtual untuk Museum Pos Indonesia tersebut dibuka untuk masyarakat umum secara gratis.</t>
  </si>
  <si>
    <t>Pos hadir sebagai sarana komunikasi dan informasi yang mempunyai peran penting dan strategis dalam kehidupan masyarakat. Banyak kenangan yang tersimpan bersama Pos Indonesia.
Selamat memperingati Hari Pos Telekomunikasi Telegraf. 
#CoklatKita #HariPosTelekomunikasiTelegraf https://t.co/l0ZnDRGmb2</t>
  </si>
  <si>
    <t>Selamat Hari Bhakti Postel ke 76
Semoga PT Pos Indonesia (Persero) makin maju dan sejahtera.
@posindonesia.ig 
@poltekposindonesia 
#d4mbpoltekpos https://t.co/0hd6czYKV1</t>
  </si>
  <si>
    <t>Lowongan Kerja Kantor PT Pos Indonesia (Persero) Tingkat SMA Bulan September 2021
Tenaga Oranger Loket 
Persyaratan/Kualifikasi :
Laki-laki/Wanita berpenampilan menarik
Ijazah terakhir min SLTA
Usia per 01 September 2021 Maksimal…https://t.co/tW6LQOepFe https://t.co/vwrzhYwmPz</t>
  </si>
  <si>
    <t>Lowongan Kerja Kantor Cabang Pos Indonesia Bulan September 2021
Oranger Loket
Persyaratan Umum :
Pria / wanita
Pendidikan terakhir minimal D3
Usia maksimal 25 tahun
Berpenampilan menarik
Mampu berkomunikasi dengan baik
Disiplin da…https://t.co/fFmXECE0Tz https://t.co/vPJsW69fqc</t>
  </si>
  <si>
    <t>Lowongan Kerja Kantor Pos Indonesia Tingkat SMA Bulan September 2021
Satpam
Persyaratan
Pria Diutamakan berusia maksimal 30 tahun
Pendidikan min SMA Sederajat
Berkelakuan baik (dilampirkan Surat Keterangan Polisi (SKCK) dari Polre…https://t.co/3ayYLcJFnX https://t.co/e7ow4OyHO1</t>
  </si>
  <si>
    <t>Lowongan Kerja SPG pospay PT Pos Indonesia (Persero) Tingkat SMA Sederajat
SPG pospay
Kualifikasi :
Wanita usia maksimal 27 tahun
Minimal SMA
Berpenampilan menarik (good looking)
Kirim lamaran anda paling lambat 24 september 2021…https://t.co/bHXp1pweZE https://t.co/INSeil3HjW</t>
  </si>
  <si>
    <t>Lowongan Kerja Tenaga Frontliner Kantor Pos Indonesia (Persero) Tahun 2021
Tenaga Frontliner
Persyaratan:
Warga Negara Indonesia
Pendidikan minimal D3
Pria &amp;amp; Wanita umur maksimal 27 tahun per 1 september 2021
Berbadan sehat, dibuk…https://t.co/M1AtOj41pt https://t.co/0ElF4yjH3z</t>
  </si>
  <si>
    <t>Lowongan Kerja SMA Sederajat Kantor Pos Indonesia 
Oranger Loket
Kualifikasi :
Diutamakan Berpenampilan menarik, Sopan &amp;amp; Rapi
Belum menikah, Usia minimal 18-35 tahun
Pendidikan minimal SLTA atau sederajat
Menguasai komputer (Micro…https://t.co/pbIeDo2E2t https://t.co/9H19CZ8Z6a</t>
  </si>
  <si>
    <t>Hai #TemanPemilih, tahukah kalian jika hari ini tanggal 27 September diperingati sebagai Hari Bhakti Pos dan Telekomunikasi yang ke- 76 dengan mengusung tema "Semakin Digital, Indonesia semakin Tangguh dan Tumbuh". https://t.co/wDklmg7S9W</t>
  </si>
  <si>
    <t>Selamat Hari Bhakti Pos dan Telekomunikasi 2021.
Mari bersama kita dukung perkembangan industri telekomunikasi Indonesia agar semakin tangguh dan semakin bertumbuh.
#KPUMelayani
#HariBhaktiPosTel2021</t>
  </si>
  <si>
    <t>https://t.co/o0T12typlI Kejaksaan Negeri Indramayu Denny Achmad, S.H.,M.H Mengucapkan Selamat Hari Pos Telekomunikasi Telegraf (PTT) 2021.
"Pos mempunyai pengaruh besar dalam sejarah bangsa Indonesia"
posindonesia.ig
kejaksaan.ri
jaksa_agungri
kejaksaanrb
kejati_jabar
das https://t.co/ToZrNcXscm</t>
  </si>
  <si>
    <t>76 Tahun Hari Bhakti
Pos &amp;amp; Telekomunikasi
#Indonesia #Postel
#PosTelekomunikasi
#KemenKominfo #Pos
#KementerianKominfo
#Telekomunikasi #Info
#Kominfo #Komunikasi</t>
  </si>
  <si>
    <t>#CHENLE #PASARNCT
🖇 Chenle boring pc 
- RM30 wm / RM40 em
- price already incpos &amp;gt;&amp;lt;
- use jnt , will pos out the day u make the payment 
- no backout buyer ❌
- dm me for more pic / vid https://t.co/Dtb9rcDRhU</t>
  </si>
  <si>
    <t>Kepala Perwakilan Konsulat Jenderal Republik Indonesia (KJRI) Kuching, Yonny Tri Prayitno melakukan silaturahmi dengan Pemerintah Kabupaten Sambas di Pos Lintas Batas Negara (PLBN) Aruk, Kecamatan Sajingan Besar. Sabtu, 27 September 2021 https://t.co/Bu03eWr2nZ</t>
  </si>
  <si>
    <t>#PatriaToday ► Ahmad melalui WhatsApp berbagi informasi kami @radiopatria di 081334256006 mengharapkan pihak #PTKAI (Kereta Api Indonesia) untuk mengfungsikan lagi petugas pos jaga di perlintasan Kereta Api (KA) di perlintasan KA Garum tepatnya selatan perempatan Garum #Blitar. https://t.co/UQiQpMfF3Z</t>
  </si>
  <si>
    <t>Selamat hari Pos Telekomunikasi Telegraf ke -76 tahun 2021
' Semakin Digital , Indonesia Semakin Tangguh Dan Tumbuh '
#HariPosTelekomunikasiTelegraf
#HariPTT76
#HariBhaktiPostel
#MediaPemersatuBangsa https://t.co/3wdcb6qNIW</t>
  </si>
  <si>
    <t>Paxel berkolaborasi dengan SiCepat sebagai partner last mile dan PT Logitek Digital Nusantara (LDN), anak perusahaan PT Telefast Indonesia Tbk (TFAS) sebagai penyedia sistem di 10 kota 
Selengkapnya 
https://t.co/2bFZdNqgNc</t>
  </si>
  <si>
    <t>𝐇𝐚𝐫𝐢 𝐏𝐨𝐬 𝐓𝐞𝐥𝐞𝐤𝐨𝐦𝐮𝐧𝐢𝐤𝐚𝐬𝐢 𝐓𝐞𝐥𝐞𝐠𝐫𝐚𝐟
Senin (27/09/2021) - Hari Pos Telekomunikasi Telegraf Republik Indonesia sering disebut dengan PT Pos Indonesia. Arus perkembangan teknologi telepon dan https://t.co/wNzuMimAHR</t>
  </si>
  <si>
    <t>telegraf yang masuk ke Indonesia pun mengubah sistem pelayanan pos di Indonesia. Pada Tahun 1906, pos di Indonesia pun akhirnya berubah menjadi Jawatan Pos, Telegraf, dan Telepon (PTT ). Pada saat pendudukan Jepang di Indonesia, Jawatan PTT dikuasai oleh militer Jepang.</t>
  </si>
  <si>
    <t>Peristiwa bersejarah atas pengambilalihan Jawatan PTT dari kekuasaan pemerintahan Jepang oleh putra putri Indonesia yang tergabung dalam Angkatan Muda Pos Telegrap dan Telepon (AMPTT) pada tanggal 27 September 1945.</t>
  </si>
  <si>
    <t>Kemudian PTT dirubah namanya menjadi “Jawatan PTT Republik Indonesia”. Peristiwa tersebut diperingati sebagai Hari Bhakti PTT atau Hari Bhakti Parpostel. Setelah Indonesia memproklamasikan kemerdekaan, maka perjalanan dan perkembangan pos selanjutnya diatur oleh negara.</t>
  </si>
  <si>
    <t>Hai #TemanPemilih, KPU Kabupaten Berau mengucapkan Selamat Hari Bhakti Pos dan Telekomunikasi Nasional. 
Semakin Digital Indonesia, Semakin Tangguh dan Tumbuh. https://t.co/J2wRZnfMAc</t>
  </si>
  <si>
    <t>Hari Bakti Pos dan Telekomunikasi dilatarbelakangi oleh keberhasilan putra putri Indonesia yang tergabung dalam Angkatan Muda Pos Telegrap dan Telepon (AMPTT) mengambil alih Jawatan Pos, Telegraf, dan Telepon dari kekuasaan Jepang.</t>
  </si>
  <si>
    <t>Teman Antara ada yang punya pengalaman berkesan selama menggunakan jasa dan layanan Pos Indonesia tidak? Ceritakan pengalaman kalian dengan membalas tweet di bawah ini ya!</t>
  </si>
  <si>
    <t>@sorceressmyr weleh, aku kaya gt sama JNT dan JNE mbak..kalau si cepat mesti selalu gercep. Mana aku lupa ngubah ekspedisi ke sicepat pula buat pesanannya mb Myr 😭</t>
  </si>
  <si>
    <t>Selamat memperingati Hari Pos Telekomunikasi Telegraf 2021.
Pertama kali transaksi lewat Pos tahun berapa sahabat Zi bellian?
●●●
Share jawaban masing masing dikolom komentar yuk 
#haripos
#informasi
#indonesia
#haripostelekomikasitelegraf
#skincareindonesia
#skincarezibelle https://t.co/I9xlCTXRI0</t>
  </si>
  <si>
    <t>Perjalanan NFTku salah satunya dimulai dari karyawisata SD ke Museum Pos Indonesia dan I'm excited to see where they're going now https://t.co/h4iE91w0Lz via @YouTube</t>
  </si>
  <si>
    <t>Selamat Hari Pos Telekomunikasi Telegraf (PTT) Sobat Data. Semoga perhubungan komunikasi dapat memberikan manfaat yang berkelanjutan untuk kesejahteraan masyarakat Indonesia. #KalenderStatistikMuba https://t.co/xhCFf2LQJ6</t>
  </si>
  <si>
    <t>SiCepat is still the worst expedition for me. NGL but they services are really slow.... the customer service is not kind and proper. Yeahh better they named as SiLambat than SiCepat. Pfftt, one again of public fraud. USE JNT YALL</t>
  </si>
  <si>
    <t>PLISS SICEPAT LAMA BANGET BUSET. SILAMBAT SIH HARUSNYA. MEMANG TETAP JOSS PAKE JNT. SICEPAT ARE SUCKS</t>
  </si>
  <si>
    <t>#SobatJatim tahukah kamu bahwa hari ini diperingati sebagai Hari Bhakti Pos dan Telegraf (POSTEL) ke-76? Tahun ini tema yang diangkat adalah "Semakin Digital, Indonesia Semakin Tangguh dan Tumbuh". https://t.co/GBahoP6axd</t>
  </si>
  <si>
    <t>Halo #Rekanhumas di Seluruh Indonesia, setiap tanggal 27 September diperingati sebagai Hari Bhakti Pos dan Telekomunikasi, semakin digital Indonesia semakin tangguh dan tumbuh.
#Pranatahumas
#IprahumasIndonesia
#haribaktipostel2021 https://t.co/Y3LzYopovQ</t>
  </si>
  <si>
    <t>Lowongan Kerja Tamatan S1 Di PT. Sicepat Ekspres Indonesia Penempatan: Sumatera Utara September 2021
Posisi ibutuhkan:
1. STAFF HUMAN RESOURCE BUSINESS PARTNER (HRBP)
Info lengkap klik link dibawah
https://t.co/FVJK9oy1UK
Tgl. Loker : 27 September 2021
#LokerMedan #MedanLoker</t>
  </si>
  <si>
    <t>@IdTiki PERCUMA PUNYA MEDSOS TAPI NO RESPON!!  BEDA AMA JNE,SICEPAT,J&amp;amp;T YANG QUICK RESPOND!!!</t>
  </si>
  <si>
    <t>God is alive in you💕
Good books menginspirasi &amp;amp; memberikan kebenaran yg memerdekakan Anda💖Terima kasih utk pemesanannya🙏Delivery Malang kota 10K (spd mtr), luar Kota Malang via JNE, J&amp;amp;T, POS
WA/Line: +6282143502209
IG: tarbantinbookstoremalang
MAKE GREAT GENERATION
#bukubagus https://t.co/49E0PAAFfm</t>
  </si>
  <si>
    <t>Living under blessing💕
Anda sudah diberkati Tuhan! Segera temukan kunci-kuncinya dalam kedua buku ini 👍Delivery Malang kota 10K (spd mtr), luar Kota Malang via JNE, J&amp;amp;T, POS
WA/Line: +6282143502209
☎ : +62341 573887
IG: tarbantinbookstoremalang
MAKE GREAT GENERATION
#bukubagus https://t.co/lrGGeAWk8G</t>
  </si>
  <si>
    <t>Temukan kunci2 keberhasilan utk hidup Anda di setiap buku bagus yg anda baca✨Terima kasih untuk pemesanannya🙏Delivery Malang kota 10K (spd mtr), luar Kota Malang via JNE, J&amp;amp;T, POS
WA/Line: +6282143502209
IG: tarbantinbookstoremalang
MAKE GREAT GENERATION
#bukubagus #goobooks https://t.co/Td9uiaxq6Q</t>
  </si>
  <si>
    <t>Be happy all the time💕
A to Z Happy Habits akan menolong Anda menyebarkan kebahagiaan kepada segenap keluarga dan teman-teman👍Delivery Malang kota 10K (spd mtr), luar Kota Malang via JNE, J&amp;amp;T, POS
WA/Line: +6282143502209
IG: tarbantinbookstoremalang
MAKE GREAT GENERATION https://t.co/2m6s8J9ptW</t>
  </si>
  <si>
    <t>Found your true self in Christ💕Diorderin terus good books, untuk membantu pembentukan kerohanian✨Terima kasih buat pemesanannya🙏Delivery Malang kota 10K (spd mtr), luar Kota Malang via JNE, J&amp;amp;T, POS
WA/Line: +6282143502209
IG: tarbantinbookstoremalang
MAKE GREAT GENERATION https://t.co/SIk30kjUy3</t>
  </si>
  <si>
    <t>Pewahyuan tentang kekuasaan dan ketaatan yg harus anda ketahui utk mendapatkan perkenanan Allah dlm hidup anda👍Delivery Malang kota 10K (spd mtr), luar Kota Malang via JNE, J&amp;amp;T, POS
WA/Line: +6282143502209
IG: tarbantinbookstoremalang
MAKE GREAT GENERATION
#bukubagus #goodbooks https://t.co/LjacnnFF5I</t>
  </si>
  <si>
    <t>@busifess Langsung aja ke pos Indonesia kayanya (?)</t>
  </si>
  <si>
    <t>KPU Donggala mengucapkan Selamat Hari Bakti Pos, Telegraph, dan Telekomunikasi ke 76 Tahun 2021.
Dengan berjalannya waktu, Pos Indonesia kini telah mampu menunjukkan kreatifitasnya dalam pengembangan pos di Indonesia.
#HariPTT2021
#KPUDonggala
#KPUMelayani https://t.co/ATpl5M4En0</t>
  </si>
  <si>
    <t>Selamat Hari Bhakti Postel (Pos dan Telekomunikasi), 27 September 2021.
"Semakin Digital Indonesia semakin Tangguh dan Tumbuh". https://t.co/uzwTtK5bwH</t>
  </si>
  <si>
    <t>Lagi berak tiba2 denger lagu mars Pos Indonesia 🥲 nangisss</t>
  </si>
  <si>
    <t>RANDOM BGT ANYINGG ngapaiinn coba muter lagu mars Pos Indonesia jam segini 😭😭</t>
  </si>
  <si>
    <t>@rmdhntyamanda19 ku kirim pake jnt apa jne? apa pake pos indonesia🤔</t>
  </si>
  <si>
    <t>(2) Saat ini ada 4000 kantor pos dan 28000 Agen Pos yang tersebar di seluruh wilayah Indonesia. #27Sept @PosIndonesia</t>
  </si>
  <si>
    <t>#LAPORANREPORTER
Hari Bakti Postel transportasi digital menjadi langkah PT Pos Indonesia untuk menjawab tantangan zaman. Reporter RRI (B)
Selengkapnya di 88,8FM PRO 3 RRI. -AMD</t>
  </si>
  <si>
    <t>Republik Indonesia sering disebut dengan PT Pos Indonesia. Arus perkembangan Teknologi Telepon dan Telegraf yang masuk ke Indonesia pun mengubah sistem pelayanan pos di Indonesia. Untuk itu, kami segenap Himpunan Mahasiswa Pendidikan Matematika mengucapkan :</t>
  </si>
  <si>
    <t>Sobat, peringatan Hari Bakti Postel dilatari sejarah perjuangan pahlawan Angkatan Muda Pos, Telegrap dan Telepon (AMPTT) yang merebut jawatan PTT dari tentara Jepang saat itu, yang membuat Pos dan Telekomunikasi Indonesia dapat berjalan dan berkembang hingga hari ini. https://t.co/X2R9DcN1Q1</t>
  </si>
  <si>
    <t>Parah banget sih pos indonesia, instansi pemerintah tp ga memadai. Gabisa bayar pake kartu 🙄 cashless dong, dunia udah maju</t>
  </si>
  <si>
    <t>Adapun pada agenda tersebut, dilakukan pula penandatanganan kerjasama antara Dinas Koperasi dan UKM DIY dengan PT. Pos Indonesia terkait siskon dan gratis ongkos kirim ke luar negeri bagi UKM DIY. 
#SriSultanHBX
#GKRHemas
#UMKMNaikKelas
#Sibakul
#DinkopDIY
#PosIndonesia https://t.co/lO1d3Atd54</t>
  </si>
  <si>
    <t>KPU Kota Denpasar mengucapkan Selamat Hari Bakti Pos &amp;amp; Telekomunikasi. Semakin Digital Indonesia, Semakin Tangguh dan Tumbuh.
"Ngulati Denpasar Shanti"
@kpu_ri @kpu_bali
https://t.co/LLo45VTjjX https://t.co/fbTmtVLzoM</t>
  </si>
  <si>
    <t>Pos kawalan sempadan Malaysia – Indonesia akan dibina di Simanggaris, Kalabakan
@DeasokaNews
#Deasoka #pos #sempadan #pm #kalabakan #sabah
#BreakingNews https://t.co/Xj7onKVbX0</t>
  </si>
  <si>
    <t>why jnt never reply our dm? pos laju rajin je reply dm</t>
  </si>
  <si>
    <t>Lowongan BUMN SMA SMK D3 S1 PT. Pos Indonesia (Persero) Bulan September Tahun 2021 https://t.co/m4BJ4R4n7j</t>
  </si>
  <si>
    <t>Lowongan Kerja BUMN SMA SMK D3 S1 PT. Pos Indonesia (Persero) September 2021 https://t.co/ZL95qeMP27</t>
  </si>
  <si>
    <t>@jongseongcarts Betuuul..soalnya demi allah skrg ekspedisi aduh susah banget kak
skedar saran dr semua ekspedisi plg better JNE...mungkin krn udah perusahaan lama jadi lebih stabil
rata" yg damage itu pake sicepat :"D parah bgt</t>
  </si>
  <si>
    <t>@jongseongcarts iyaa emang kalau jne kayak gitu kekurangannya, tp itu di shopeenyaa
kalau di cek di web aman kokk
tapi, kalau untuk dateng box mulus atau engga dijamin jne paling mulus kataku wkkwkw klo kayak anteraja/sicepat masih suka penyok
kalau jnt okelah tapi aku prnah kasus ilang</t>
  </si>
  <si>
    <t>Selamat Hari Pos Telekomunikasi Telegraf (PTT) - 27 September 2021.
“Semoga Pos Indonesia dapat meningkatkan kualitas pelayanan menjadi lebih baik.”
#haripostelekomunikasitelegraf #legalcentric https://t.co/HZ759WpEqc</t>
  </si>
  <si>
    <t>Bawaslu Kota Depok mengucapkan Selamat Hari Bakti Pos dan Telekomunikasi ke-76! Tanggal ini menjadi tanggal bersejarah karena pos, telegraf, dan telepon yang semula di bawah pemerintahan Jepang, berhasil direbut oleh putra putri Indonesia.
@bawaslu_RI @Bawaslu_Jabar https://t.co/xnR0ZP8aDo</t>
  </si>
  <si>
    <t>[HARI POS TELEKOMUNIKASI TELEGRAF]
•
Assalamu'alaikum warahmatullahi wabarakatuh
•
Hidup Mahasiswa!!!
Hidup Rakyat Indonesia!!
•
[27 September 2021] https://t.co/QGBfBk64y2</t>
  </si>
  <si>
    <t>Hari Postel (Pos dan Telekomunikasi). Tanggal tersebut selalu diperingati oleh masyarakat Indonesia setiap tahunnya, khususnya mereka yang tergabung dalam Komunitas Pos dan Telekomunikasi yang terdiri dari</t>
  </si>
  <si>
    <t>dari para pendahulu. Berkat perjuangannya, Pos dan Telekomunikasi atau Postel Indonesia dapat berjalan dan berkembang hingga hari ini
Ditetapkannya 27 September sebagai Hari Postel adalah hasil dari perjuangan para putra-putri Indonesia yang tergabung dalam</t>
  </si>
  <si>
    <t>Selamat Hari Pos Telekomunikasi Telegraf Nasional, Sobatika!👋 Jadikan momentum ini sebagai bentuk penghargaan kita kepada penyebar Informasi kepada masyarakat di Indonesia.
https://t.co/i8MQ9MM4Eg
•
HIMASKA?
Selalu Solid untuk Matematika Jaya!
•
- CENTROID GENERATION -</t>
  </si>
  <si>
    <t>Lowongan Kerja BUMN Lulusan SMA/SMK di Pos Indonesia, Apa Persyaratannya? https://t.co/3Hfp0dyO8H</t>
  </si>
  <si>
    <t>Lowongan Kerja BUMN Lulusan SMA di Pos Indonesia Timor Tengah Utara https://t.co/fvtMvupoSo</t>
  </si>
  <si>
    <t>jnt x antaraja x sicepat
ya gini dah sesama ekspedisi ngupi ngudud wkwkwk https://t.co/xtUKnrbR8D</t>
  </si>
  <si>
    <t>WTS SKZ  🇲🇾 ONLY 
 • I.N Jewel Pc - RM23
 • I.N Red Frame - RM10
 - BUY BOTH RM30 -
 • Seungmin Red Frame - RM12 
🖇 Exc pos (jnt)
🖇 shopeepay/online banking 
❌ NO rush postage 
📩DM if interested 
#pasarskz https://t.co/PGp3cqcYxI</t>
  </si>
  <si>
    <t>Hari Bakti Postel diperingati pada tanggal 27 September setiap tahunnya. Pada tahun 2021 ini, Hari Bakti Postel (Pos Telekomunikasi Telegraf) memperingati ulang tahunnya yang ke-76.  Semakin digital Indonesia, Semakin tangguh dan tumbuh!
#hariptt #moestopo https://t.co/pNK9dMAEks</t>
  </si>
  <si>
    <t>Sat lantas Polres Mesuji Memberikan Bansos Berupa Paket Sembako Kepada Petugas Pos/Kurir Pos Indonesia Di Simpang Pematang Mesuji Dalam rangka Hut Pos Indonesia Ke 75 https://t.co/gd9T7MYOp4</t>
  </si>
  <si>
    <t>Awal mula hari peringatan ini karena peristiwa Angkatan Muda Pos Telekomunikasi Telegraf mengambil alih kekuasaan PTT di Bandung dari kekuasaan Jepang dan secara resmi berubah menjadi PTT Republik Indonesia. Lalu mengalami beberapa perubahan hingga menjadi PT. Pos Indonesia. https://t.co/tNdnW24ZFi</t>
  </si>
  <si>
    <t>SELAMAT HARI POS TELEKOMUNIKASI TELEGRAF (PTT) 2021.
Pada saat pemerintahan Jepang di Indonesia, jawatan PTT dikuasai oleh militer Jepang. Angkatan Muda PTT kemudian mengambil alih kekuasaan jawatan PTT tersebut dan kemudian secara resmi berubah https://t.co/6CioruGxQc</t>
  </si>
  <si>
    <t>SELAMAT HARI POS TELEKOMUNIKASI TELEGRAF (PTT) 2021.
Pada saat pemerintahan Jepang di Indonesia, jawatan PTT dikuasai oleh militer Jepang. Angkatan Muda PTT kemudian mengambil alih kekuasaan jawatan PTT tersebut dan kemudian secara resmi berubah menjadi https://t.co/N0tQbp6tJD</t>
  </si>
  <si>
    <t>[ MALAM PUNCAK DIESNATALIS ]
BEM POLTEKPOS proudly present 
DIES NATALIS 2018
"Peace Of Heart Join Harmony"
Tuesday, 16 Oct 2018
Auditorium Politeknik Pos Indonesia
Contact Person :
089644237901 (Anggita)
081615923775 (Faqih) https://t.co/aQoEWKIeOU</t>
  </si>
  <si>
    <t>Penandatanganan MoU Kerjasama Kamadjaja Logistics dengan PoltekPos (Politeknik Pos Indonesia) yang diwakili oleh Direktur PoltekPos Bpk. Agus Purnomo https://t.co/CjKWlZsNdy</t>
  </si>
  <si>
    <t>Bacaan senin pagi minggu ini
https://t.co/6QUf51swdH
#POLTEKPOS
#STIMLOG</t>
  </si>
  <si>
    <t>(2) https://t.co/DxX6Co7ZKX
#POLTEKPOS
#STIMLOG
#PosIndonesia
#YPBPI</t>
  </si>
  <si>
    <t>(10) https://t.co/QOUc1AAfXk
#POLTEKPOS
#STIMLOG</t>
  </si>
  <si>
    <t>(12) https://t.co/xiaN9xvs1I
#POLTEKPOS
#STIMLOG</t>
  </si>
  <si>
    <t>(13) https://t.co/UGBrTnhyJN
#POLTEKPOS
#STIMLOG</t>
  </si>
  <si>
    <t>#SobatKampusOrange #Logisticians &amp;amp; #Transporters
Selamat Hari Bhakti Postel Ke-76 Tahun
Ambil Kesempatan Beasiswa Ikatan Dinas PT Pos Indonesia
#YPBPI
#POLTEKPOS
#STIMLOG
#KeluargaPosIndonesia https://t.co/a8VKXGVM6S</t>
  </si>
  <si>
    <t>Selamat Hari Pos Telekomunikasi Telegraf (PTT). Semoga perhubungan komunikasi dapat memberikan manfaat yang berkelanjutan untuk kesejahteraan masyarakat Indonesia. https://t.co/YxV2ZM2bxD</t>
  </si>
  <si>
    <t>Kirim pake pos indonesia dri awal september sampai sekarang blm nyampe-nyampe 🤦 pake ekspedisi swasta kirim tgl 21 dah sampe hari ini. Emg harga ga pernah boong 😅</t>
  </si>
  <si>
    <t>Kepolisian Negara Republik Indonesia Mengucapkan Selamat Memperingati Hari Bhakti Pos dan Telekomunikasi (Postel) ke-76
27 September 2021
"Semakin Digital, Indonesia Semakin Tangguh dan Tumbuh" https://t.co/ICfk4Eejq6</t>
  </si>
  <si>
    <t>Hai, Pefsier! Wah, ada perayaan Hari Pos Telekomunikasi Telegraf nih. Teman-teman Pefsier pasti belum pada tahu tentang Hari Pos Telekomunikasi Telegraf, yuk kita bahas.
Pada zaman pemerintahan kolonial Jepang di Indonesia, Pos Telekomunikasi Telegraf yang disingkat PTT, ⤵️</t>
  </si>
  <si>
    <t>Hari Bakti Pos Telekomunikasi Telegraf Indonesia.
Sejalan dengan perkembangan ilmu pengetahuan dan teknologi pengertian surat saat ini beraneka ragam, selain surat tradisional (fisik) juga surat elektronik, faksimil, surat hibrida, dan pelayanan jasa internet.</t>
  </si>
  <si>
    <t>Pos hadir sebagai sarana komunikasi dan informasi. Pos sebagai jaminan hak setiap warga Negara untuk berkomunikasi dan memperoleh informasi sesuai dengan Undang-Undang Dasar Negara Republik Indonesia Tahun 1945.
Selamat Hari Pos Telekomunikasi Telegraf, Pefsier!</t>
  </si>
  <si>
    <t>Lalu setelah melakukan pembayaran, tinggal tunggu aja dokumen TBPKP baru kamu dikirimkan melalui PT. Pos Indonesia dengan estimasi 7 hari kerja sampai ke alamat domisilimu.
#JadiLebihAman #JadiLebihMudah #BayarPajakPakaiSIGNAL #SamsatDigitalNasional</t>
  </si>
  <si>
    <t>Karena Aplikasi SIGNAL telah bekerja sama dengan PT. Pos Indonesia sebagai jasa pengiriman terpercaya untuk pengiriman dokumen kamu.</t>
  </si>
  <si>
    <t>@SamsatDigital mana follow up nya ya min ? udah di kasih emailnya, udah di chat di live chat, udah di reply email sebelum nya .. ga dapat tanggapan.. di sini aja deh saya attach jawaban dari pihak POS INDONESIA nya ya. https://t.co/bd3oi0Fi5g</t>
  </si>
  <si>
    <t>Korang ok ke kalau aku enable jnt je kat kedai shopee aku? Sebab jnt kalau pos harini, esok terus sampai. Kalau lain2, 2-3 hari baru sampai.</t>
  </si>
  <si>
    <t>[PBSI UR_UPDATE] 
Salam Pendidikan. Jayalah!
Salam Bahasa dan Budaya 💪
✨HARI POS TELEKOMUNIKASI TELEGRAF ✨
Pekanbaru (27/9/2021) - Haloo sobat! Setiap tanggal 27 September, Indonesia memperingati Hari Postel (Pos dan Telekomunikasi Telegraf).</t>
  </si>
  <si>
    <t>Tanggal tersebut selalu diperingati oleh masyarakat Indonesia setiap tahunnya, khususnya mereka yang tergabung dalam Komunitas Pos dan Telekomunikasi yang terdiri dari lembaga pemerintah, penyelenggara layanan telekomunikasi, dan para pejuang Pos Telegraf dan Telepon (PTT).</t>
  </si>
  <si>
    <t>[PBSI UR_INFO]
Salam Sejahtera
Salam Pendidikan. Jayalah!
Salam Bahasa dan Budaya 💪
✨HARI POS TELEKOMUNIKASI TELEGRAF ✨
Pekanbaru (27/9/2021) - Haloo sobat! Setiap tanggal 27 September, Indonesia memperingati Hari Postel (Pos dan Telekomunikasi Telegraf). https://t.co/asb9470UjD</t>
  </si>
  <si>
    <t>Ditetapkannya 27 September sebagai Hari Postel adalah hasil dari perjuangan para putra-putri Indonesia yang tergabung dalam Angkatan Muda Pos Telegraf dan Telepon yang (AMPTT)  dari kekuasaan pemerintahan Jepang. Kejadian tersebut berlangsung hanya dalam kurun waktu satu bulan.</t>
  </si>
  <si>
    <t>Badan usaha milik negara yang bergerak dalam bidang pos dan telekomunikasi adalah PN Postel yang sejak 1965 telah dipecah dan saat ini dikenal sebagai PT Pos Indonesia (Persero) serta PT Telkom Indonesia (Persero) Tbk di bawah koordinasi Kementerian BUMN RI</t>
  </si>
  <si>
    <t>GUYS PENGIRIMAN BISA JNT JNE SICEPAT JUGA YAKKK, GAAA CUMA ANTERAJA AJAAA</t>
  </si>
  <si>
    <t>Laju kalini jnt smpai. Pos smlm pg ni terus delivered</t>
  </si>
  <si>
    <t>Jnt scam ke harini pos kasut smpai rm16?!</t>
  </si>
  <si>
    <t>#BeritaBUMN
Poltekpos melakukan penandatanganan MoU dengan Ditjen Kerja Sama ASEAN Kementerian Luar Negeri Republik Indonesia, sebagai Pusat Studi ASEAN dalam bidang Logistics, Supply Chain Management and E-Commerce.
https://t.co/d3xDpXopUh https://t.co/KkmnaIy3JV</t>
  </si>
  <si>
    <t>Selamat Hari Bakti PT Pos Indonesia 
Hari Bhakti Postel pada 27 September jadi momentum peringatan sejarah pengambilalihan Kantor Pusat Jawatan Pos, Telegraf, dan Telepon (PTT) di Bandung oleh pemuda Indonesia dari kekuasaan penjajah Jepang. Perebutan kendali Jawatan PTT itu</t>
  </si>
  <si>
    <t>Sobat, peringatan Hari Bakti Postel dilatari sejarah perjuangan pahlawan Angkatan Muda Pos, Telegrap dan Telepon (AMPTT) yang merebut jawatan PTT dari tentara Jepang saat itu, yang membuat Pos dan Telekomunikasi Indonesia dapat berjalan dan berkembang hingga hari ini. https://t.co/cJhosI8kVH</t>
  </si>
  <si>
    <t>Sampurasun sobatnet istimewa..
Pada tahun 1906, pos di Indonesia berubah menjadi Post Telegraaf en Telefoon Dienst atau Dinas Pos, Telegraf, dan Telepon (PTT). Layanan pos yang awalnya berpusat di Weltevreden (Gambir) berpindah ke Dinas Pekerjaan Umum atau</t>
  </si>
  <si>
    <t>Selamat Hari Pos, Telekomunikasi, dan Telegraf Republik Indonesia yang ke-76.
Semakin Digital Indonesia Semakin Tangguh dan Tumbuh.
#haripostelekomunikasitelegraf
#DiskominfoPurwakarta
#Purwakarta
#JawaBarat
#Kominfo https://t.co/Zl2JZOXrGd</t>
  </si>
  <si>
    <t>Menjelajahi Era Surat Menyurat di Museum Pos Indonesia https://t.co/N2lK1GM55o #infoBDG https://t.co/atqTPRi7AN</t>
  </si>
  <si>
    <t>Kerapatan Indonesia Tanah Air
Selamat Hari Pos Telekomunikasi ke-73 -Maman Imanulhaq-. Semakin digital Indonesia semakin Tangguh dan Tumbuh
#postelekomunikasi 
#kita 
#Indonesia 
#COVID19 https://t.co/5F6qiPn6u0</t>
  </si>
  <si>
    <t>Kerapatan Indonesia Tanah Air
27 September, Selamat Hari Bakti Pos Telekomunikasi (POSTEL) ke-76 -Ayep Zaki-
KITA Sehat
KITA Kuat
KITA Bangkit
#haripostel 
#COVID19 
#ColdplayXBTS 
#cryptocurrency https://t.co/nZSTIqASn0</t>
  </si>
  <si>
    <t>Kerapatan Indonesia Tanah Air
Selamat Hari Bakti Pos Telekomunikasi 27 September
KITA Sehat
KITA Kuat
KITA Bangkit
#POSTEL https://t.co/TYeTaC0pTG</t>
  </si>
  <si>
    <t>OPEN/BUKA JASA ADMIN PACKING
•Dom Bekasi
•Dekat Ekspedisi (JNE, J&amp;amp;T, TIKI, SiCepat)
•🍊 belom freeong
•Alat &amp;amp; bahan packing bisa dari aku/kalian
•Fee bisa dibicarakan
yg lg cari admin packing bisa langsung dm aku yaa^^
tag dicari need butuh admin packing dom bekasi/jakarta</t>
  </si>
  <si>
    <t>@jualanengene Tergantung ekspedisi, kalo sicepat biasanya pick up jari yg sama. Kalo jnt harus chat kurirnya sih, itupun kadang bisa nunggu beberapa hari</t>
  </si>
  <si>
    <t>berteman baik dengan kurir jnt sicepat id express jne dan tukang roti keliling🥴</t>
  </si>
  <si>
    <t>Tumben JNE kosong.. Jd bisa foto dulu 😅. Beres JNE lanjut kantor pos sama J&amp;amp;T.. https://t.co/ChNOHqQ1ZS</t>
  </si>
  <si>
    <t>wts 🇲🇾
jeongin appmus RM30
jeongin nasific RM30
changbin appmus RM30
changbin std pc RM20
exc pos 🚚
poslaju/jnt RM14 WM RM8 EM
xpress poslaju RM6 EM/WM https://t.co/8UnfkEuDW6</t>
  </si>
  <si>
    <t>Selamat Hari Bakti Pos dan Telekomunikasi. 
Teruslah berinovasi, berkreasi dan bersama-sama mengambil peran untuk kemajuan transformasi digital Indonesia. https://t.co/fSJ1NakDkF</t>
  </si>
  <si>
    <t>Kalau aku buat rank delivery based on experience kan between jnt, shopee dengan pos…..
 1) jnt
2) pos
3) ninja dll
10) shopee express bapak lembab</t>
  </si>
  <si>
    <t>Selamat Hari Pos Telekomunikasi Telegragf yang ke 76 tahun 27 September 2021, Semakin Digital Indonesia Semakin Tangguh Dan Tumbuh. 
#jdihkpukabmagelang 
#kpukabmagelang 
#haripostelekomunikasitelegraf https://t.co/lETmtAGIO1</t>
  </si>
  <si>
    <t>Tinggal kenalan sama abang jnt aja
Sicepat udah kenal
Pos ems kenal
Anteraha kenal</t>
  </si>
  <si>
    <t>Agenda transformatif tidak hanya ditujukan agar sektor pos dan telekomunikasi Indonesia dapat semakin maju, tetapi juga untuk mendorong perluasan akses dan kebermanfaatan teknologi digital, agar dpt dirasakan secara nyata oleh seluruh lapisan masyarakat Indonesia tanpa terkecuali https://t.co/iXjbYlRh8Z</t>
  </si>
  <si>
    <t>Jnt mmg ada masalah ke skrg? Barang aku pos sampai skrg stuck dah nk dekat seminggu 🥲</t>
  </si>
  <si>
    <t>Bagusan pake sicepat atau jnt?? Bingung</t>
  </si>
  <si>
    <t>@swoozidk aku skrg pake sicepat soalnya udh 2 kali ada masalah sama jnt</t>
  </si>
  <si>
    <t>Selamat Hari Bhakti Pos &amp;amp; Telekomunikasi (Postel) Ke-76 🥳
@PosIndonesia 
“Semakin Digital Indonesia”
Semakin Tangguh &amp;amp; Tumbuh”
#HUTBhaktiPos #HariBhaktiPos #JaBarSehatLahirBatin #Silihtulungan https://t.co/ywu7LcVriw</t>
  </si>
  <si>
    <t>@ckinoza Ak dlu msa boleh plih. 2 jer. X pos laju, jnt. Dhl ecommerce pn lmbt. Dh la x taw rmh ak. Mklum la kg. Ssh la nk cri. Tp rider jnt boleh jer cri. Poslaju tolak tepi la. Mmg expert dh haha. Ptut shopee kne bt rating utk delivery partner jgak. Snb. Agak lmbt sgt. 1* je. Brg lain.+</t>
  </si>
  <si>
    <t>cassete dah sampai. rim pos dalam kuantan pun slow jnt ni. biasa laju je</t>
  </si>
  <si>
    <t>@beacukaiRI Punten, ingin tanya, Kak.
Kalau impor barang harga &amp;gt;50$ dari aliexpress, apakah biaya bea cukai nya dibayar ke kurir POS Indonesia saat antar barangnya?
Terimakasih.</t>
  </si>
  <si>
    <t>@bravobeacukai Punten ingin tanya, Kak.
Kalau impor barang harga &amp;gt;50$ dari aliexpress, biaya bea cukai nya dibayar ke kurir POS Indonesia saat antar barangnya?
Terimakasih.</t>
  </si>
  <si>
    <t>Selamat Hari Bhakti Postel ke-76.
Ayo! Dengan adanya hari bhakti postel kita teruskan perjuangan para veteran postel dalam memajukan pos dan telekomunikasi di Indonesia.
“Semakin Digital, Indonesia Semakin Tangguh dan Tumbuh”
#Haribhaktipostel #sobatppi #ditjenppi https://t.co/WqtQELcUJi</t>
  </si>
  <si>
    <t>Postage
📬 RM6 wm/em (flexi)
📬 RM8 wm (JnT, Pos Laju, Pgeon)</t>
  </si>
  <si>
    <t>Kepolisian Negara Republik Indonesia Mengucapkan Selamat Memperingati Hari Bhakti Pos dan Telekomunikasi (Postel) ke-76
27 September 2021
"Semakin Digital, Indonesia Semakin Tangguh dan Tumbuh" https://t.co/6ngJOBCy6U</t>
  </si>
  <si>
    <t>@justlilbitchy jnt apa sicepat nic</t>
  </si>
  <si>
    <t>2 to 3 weeks onward, memang berderet la ni parcel dtg rumah. Mmng abg jnt atau lgi2 pos laju bosan sdh dtg rumah 😂😭 my wallet is crying :')</t>
  </si>
  <si>
    <t>[ help rt pls 💗 ]
hiiii. helping my friend to clear slot for slow acid! Only johnny slot available! Please dm me if youre interested! ^🥰💗
WTS NCT127 SLOW ACID (JOHNNY PC) - RM35 exc pos!
📫 + Rm7 postage (jnt WM/ Flexiprepaid EM)
#pasarNCT https://t.co/3zIgBkReZy</t>
  </si>
  <si>
    <t>Museum Pos Indonesia pun menjadi salah satu pilihan wisata Bandung yang bisa menambah wawasan Anda, Traveler. Seru! https://t.co/w4xOFeH5VE</t>
  </si>
  <si>
    <t>by @PMI_KabSemarang
#StokDarah 
Senin 27 Sept 2021
Pkl 20.20 WIB
MOBILE UNIT
Selasa 28 Sept 2021
PT Pos Indonesia Ungaran
Pkl 09.00 WIB
INFO LAYANAN 
-Darah Pasien 24 Jam
-Donor Darah di PMI Pkl 08.00-20.00 WIB
Visit https://t.co/SWiQS1roBk
#DonorDong 
#PMISelaluBantu https://t.co/wtYEFIpnVR</t>
  </si>
  <si>
    <t>Selamat Hari Bhakti Postel ke-76 27 September 2021 mjd tgl bersejarah karena pos, telegraf, dan telepon yang semula di bawah pemerintahan Jepang, berhasil direbut oleh putra putri Indonesia. 
#HariBhaktiPostel2021 #HariBhaktiPostel76 https://t.co/hz0VYQguZb</t>
  </si>
  <si>
    <t>@nanjirouechizen jnt ada. pos hrini esk smpai. 😂</t>
  </si>
  <si>
    <t>Kepolisian Negara Republik Indonesia Mengucapkan Selamat Memperingati Hari Bhakti Pos dan Telekomunikasi (Postel) ke-76
27 September 2021
"Semakin Digital, Indonesia Semakin Tangguh dan Tumbuh" https://t.co/YDIwbh7YMx</t>
  </si>
  <si>
    <t>@erickthohir Waktu 2 tahun lagi, apakah ada perubahan pada PT. POS INDONESIA ?</t>
  </si>
  <si>
    <t>Pemerintah Kota Bengkulu mengucapkan selamat Hari Bhakti Pos dan Telekomunikasi ke 76 Tahun 
"Semakin Digital Indonesia, Semakin Tangguh dan Tumbuh"
.
.
.
#bengkulubahagia
#helmihasan
#dedywahyudi
#bengkulukotahadits
#hd #insyaallah
#bahagiadanreligius
#bengkulubisa https://t.co/flX3OXbXP1</t>
  </si>
  <si>
    <t>@cisska_rahayu Si owen fpl62 jg 6gw pertama msh di 1jutaan musim lalu klo ga salah, pda akhirnya pos 2 indonesia😁</t>
  </si>
  <si>
    <t>owner GO INA yang cari admin packing aku ready bgt✋🏻✋🏻✋🏻
dom : bks
🍊 : bisa freeong
ekspedisi : jnt (ada kurir yg bisa pickup), sicepat jne deket bgt
packing bisa dari aku/bebas
fee bs didiskusikan😉
t. butuh need admin packing go jkt bks depok bu</t>
  </si>
  <si>
    <t>WTS SKZ PC 🇲🇾 ONLY 
• DS Pc - RM26
• Lee Know Beret - RM22
• Han Red - RM20
• Chan, Changbin, I.N Std PC - RM18 
🖇 Exc pos jnt/flexi
🖇 shopeepay/online banking 
❌ NO rush postage 
📩DM if interested 
#pasarskz https://t.co/AfDTajoVDq</t>
  </si>
  <si>
    <t>Selamat Hari Pos Telekomunikasi Telegraf
Semakin digital, Indonesia semakin Tangguh dan Tumbuh
#bbplkserang 
#kemnakerri 
#kemnaker https://t.co/gjg3Dts0Wt</t>
  </si>
  <si>
    <t>@rekkaal Yang lebih kirim lewat pos aja yaa atau ngga jnt 🙏🏼</t>
  </si>
  <si>
    <t>@MinangGermanic How is catholic church, a mere part of the whole system, a successor of Rome? Like if Indonesia dissolve and the only thing that survive is Kantor Pos that doesn't mean it is its succesor. Its just a vestigial part of it that somehow survive the cataclysm.</t>
  </si>
  <si>
    <t>Kantor Pos is the Second Indonesia confirmed(they're staffed by pureblood Javanese) https://t.co/efkMfOBuzn</t>
  </si>
  <si>
    <t>@ABSetyono @PlateJohnny @kemkominfo @henrysubiakto @KSPgoid @setkabgoid @KemensetnegRI @BAKTIKominfo @Dennysiregar7 @tb_aank @Aryprasetyo85 Menurut Johnny G Plate, upaya itu sama seperti perjuangan Soetoko bersama para pahlawan Angkatan Muda Pos, Telegraf dan Telepon (AMPTT), di mana AMPTT membebaskan jawatan PTT yang sekaligus merintis awal mula sektor pos dan telekomunikasi Indonesia.
@kemkominfo 
@Aryprasetyo85</t>
  </si>
  <si>
    <t>MN90 for sale
Remote dumborc 6 channel
ESC hobbywing 1060
Servo 3kg
Axle metal
Stering link metal
Get all accessories dalam gambar.
RC dalam keadaan sangat baik
Baru sekali je main panjat bukit.
Harga dipinta rm500. Boleh nego lagi sampai jadi.
pos bayar sendiri JNT#bantu rt 🙇‍♂️ https://t.co/LTYW7wWkha</t>
  </si>
  <si>
    <t>41. https://t.co/0FoOOGr9pS
42. https://t.co/VGnVNTlEsD
43. https://t.co/Zy0yvWTf3M
44. https://t.co/HJgngs31hg
45. https://t.co/cRRV7J2yA6
#Lokershareinone #Lokerinone #LokerMedan #KarirMedan #LowonganKerjaMedan #LokerSumut #KarirSumut #JobMedan 
#J…https://t.co/VyOUEm6rxx</t>
  </si>
  <si>
    <t>Tujuan ngirim pesan singkat kek chat atao SMS gtu supaya cepet dapat balasan dalam hitungan menit. Tau km gini lama balasnya mending pake jasa pos, jnt, JNE dsbg.</t>
  </si>
  <si>
    <t>@_Mrs_CemplooooN @zomet13 @Queen__Lagi @nitarose38 Soalnya Mak itu toko keluarga , konveksi, gudang untuk pesanan ada 4 agen, JNE, j&amp;amp;t, sicepat sama antar raja jadi sore datang sapa duluan setiap hari gitu</t>
  </si>
  <si>
    <t>kantor pos di UK ternyata kaya jne yaa.. kaga sempet foto2 soalnya udah bingung sndiri wkkwk. Td sih lbh jelek dr ini wkwkwk, trs sbelahnya ada yg jual ATK gtu https://t.co/AAmt3eIMaV</t>
  </si>
  <si>
    <t>[HELP RT] WTS MY 🇲🇾
WTS JIMIN SET BTS BUTTER WEVERSE POB
🪄JIMIN POB PC(❌tin case) AND JIMIN FILM STRIP 
RM100 include pos
🍭loose -(pc rm38) (film strip rm62)
✅ Condition pc 9/10,film strip 10/10
will use JnT
DM for close up of interested @BTSMarketMY @pasarBTS @BTStrading_MY https://t.co/7ao7UUHvAy</t>
  </si>
  <si>
    <t>#StokDarah 
Senin 27 Sept 2021
Pkl 20.20 WIB
MOBILE UNIT
Selasa 28 Sept 2021
PT Pos Indonesia Ungaran
Pkl 09.00 WIB
INFO LAYANAN 
-Darah Pasien 24 Jam
-Donor Darah di PMI Pkl 08.00-20.00 WIB
Visit https://t.co/cCFb9wyKIP
@PMIJawaTengah @palangmerah @InfoUngaran @Blood4LifeID https://t.co/0qtYfRB9kv</t>
  </si>
  <si>
    <t>#StokDarah 
Selasa 28 Sept 2021
Pkl 07.10 WIB
MOBILE UNIT
Selasa 28 Sept 2021
PT Pos Indonesia Ungaran
Pkl 09.00 WIB
INFO LAYANAN 
-Darah Pasien 24 Jam
-Donor Darah di PMI Pkl 08.00-20.00 WIB
Visit https://t.co/cCFb9wyKIP
@PMIJawaTengah @palangmerah @InfoUngaran @Blood4LifeID https://t.co/DchubjeCnJ</t>
  </si>
  <si>
    <t>@jualanengene Halo,Barangkali kk masih bth bantuan,udh biasa pegang sps, gdoc, gform, sklh di administrasi juga. Rmh dkt jnt,jne, sicepat, anteraja. biasa packing pc juga.ada alat packing. Shopee freeong. Fast respon wa, line, serius bukan cm lg senggang. Barangkali masih butuh bantuan hmu ya</t>
  </si>
  <si>
    <t>@jaywones @dagangkr Halo,Barangkali kk masih bth bantuan,udh biasa pegang sps, gdoc, gform, sklh di administrasi juga. Rmh dkt jnt,jne, sicepat, anteraja. biasa packing pc juga.ada alat packing. Shopee freeong. Fast respon wa, line, serius bukan cm lg senggang. Barangkali masih butuh bantuan hmu ya</t>
  </si>
  <si>
    <t>@jualanlabels Halo,Barangkali kk masih bth bantuan,udh biasa pegang sps, gdoc, gform, sklh di administrasi juga. Rmh dkt jnt,jne, sicepat, anteraja. biasa packing pc juga.ada alat packing. Shopee freeong. Fast respon wa, line, serius bukan cm lg senggang. Barangkali masih butuh bantuan hmu ya</t>
  </si>
  <si>
    <t>@lariesmanis Halo,Barangkali kk masih bth bantuan,udh biasa pegang sps, gdoc, gform, sklh di administrasi juga. Rmh dkt jnt,jne, sicepat, anteraja. biasa packing pc juga.ada alat packing. Shopee freeong. Fast respon wa, line, serius bukan cm lg senggang. Barangkali masih butuh bantuan hmu ya</t>
  </si>
  <si>
    <t>@wh_nini Halo,Barangkali kk masih bth bantuan,udh biasa pegang sps, gdoc, gform, sklh di administrasi juga. Rmh dkt jnt,jne, sicepat, anteraja. biasa packing pc juga.ada alat packing. Shopee freeong. Fast respon wa, line, serius bukan cm lg senggang. Barangkali masih butuh bantuan hmu ya</t>
  </si>
  <si>
    <t>@myxiaodejun Halo,Barangkali kk masih bth bantuan,udh biasa pegang sps, gdoc, gform, sklh di administrasi juga. Rmh dkt jnt,jne, sicepat, anteraja. biasa packing pc juga.ada alat packing. Shopee freeong. Fast respon wa, line, serius bukan cm lg senggang. Barangkali masih butuh bantuan hmu ya</t>
  </si>
  <si>
    <t>@whdksskosh @dagangkr Halo,Barangkali kk masih bth bantuan,udh biasa pegang sps, gdoc, gform, sklh di administrasi juga. Rmh dkt jnt,jne, sicepat, anteraja. biasa packing pc juga.ada alat packing. Shopee freeong. Fast respon wa, line, serius bukan cm lg senggang. Barangkali masih butuh bantuan hmu ya</t>
  </si>
  <si>
    <t>@jajanbhlabels Halo,Barangkali kk masih bth bantuan,udh biasa pegang sps, gdoc, gform, sklh di administrasi juga. Rmh dkt jnt,jne, sicepat, anteraja. biasa packing pc juga.ada alat packing. Shopee freeong. Fast respon wa, line, serius bukan cm lg senggang. Barangkali masih butuh bantuan hmu ya</t>
  </si>
  <si>
    <t>@ctbzale Barangkali masih bth bantuan, udh biasa pegang sps, gdoc, gform, sklh di administrasi. Rmh dkt jnt,jne , sicepat, anter aja. biasa packing pc juga. Ada alat packing. Shopee freeong. Fastrespon wa,line, serius bukan cm lagi senggang hehe. Barangkali masih butuh bantuan hmu ya hehe</t>
  </si>
  <si>
    <t>@ctbzale Halo,Barangkali kk masih bth bantuan,udh biasa pegang sps, gdoc, gform, sklh di administrasi juga. Rmh dkt jnt,jne, sicepat, anteraja. biasa packing pc juga.ada alat packing. Shopee freeong. Fast respon wa, line, serius bukan cm lg senggang. Barangkali masih butuh bantuan hmu ya</t>
  </si>
  <si>
    <t>@dagangkr Halo,Barangkali kk masih bth bantuan,udh biasa pegang sps, gdoc, gform, sklh di administrasi juga. Rmh dkt jnt,jne, sicepat, anteraja. biasa packing pc juga.ada alat packing. Shopee freeong. Fast respon wa, line, serius bukan cm lg senggang. Barangkali masih butuh bantuan hmu ya</t>
  </si>
  <si>
    <t>@kpopstorefess Halo,Barangkali kk masih bth bantuan,udh biasa pegang sps, gdoc, gform, sklh di administrasi juga. Rmh dkt jnt,jne, sicepat, anteraja. biasa packing pc juga.ada alat packing. Shopee freeong. Fast respon wa, line, serius bukan cm lg senggang. Barangkali masih butuh bantuan hmu ya</t>
  </si>
  <si>
    <t>@pacarnyabh Halo,Barangkali kk masih bth bantuan,udh biasa pegang sps, gdoc, gform, sklh di administrasi juga. Rmh dkt jnt,jne, sicepat, anteraja. biasa packing pc juga.ada alat packing. Shopee freeong. Fast respon wa, line, serius bukan cm lg senggang. Barangkali masih butuh bantuan hmu ya</t>
  </si>
  <si>
    <t>@deyyoongi_ Halo,Barangkali kk masih bth bantuan,udh biasa pegang sps, gdoc, gform, sklh di administrasi juga. Rmh dkt jnt,jne, sicepat, anteraja. biasa packing pc juga.ada alat packing. Shopee freeong. Fast respon wa, line, serius bukan cm lg senggang. Barangkali masih butuh bantuan hmu ya</t>
  </si>
  <si>
    <t>@dagangkorea Barangkali kk masih butih bantuan, udh biasa pegang sps, gdoc, gform, sklh di administrasi. Rmh deket jnt,jne, sicepat, anter aja. biasa packing pc juga.ada alat packing. Shopeefreeong. Fast respon wa, line,serius bukan cuma lagi senggang. Barangkali masih butuh bantuan hmu ya</t>
  </si>
  <si>
    <t>@dagangkorea Halo,Barangkali kk masih bth bantuan,udh biasa pegang sps, gdoc, gform, sklh di administrasi juga. Rmh dkt jnt,jne, sicepat, anteraja. biasa packing pc juga.ada alat packing. Shopee freeong. Fast respon wa, line, serius bukan cm lg senggang. Barangkali masih butuh bantuan hmu ya</t>
  </si>
  <si>
    <t>@sellkpopfess Halo,Barangkali kk masih bth bantuan,udh biasa pegang sps, gdoc, gform, sklh di administrasi juga. Rmh dkt jnt,jne, sicepat, anteraja. biasa packing pc juga.ada alat packing. Shopee freeong. Fast respon wa, line, serius bukan cm lg senggang. Barangkali masih butuh bantuan hmu ya</t>
  </si>
  <si>
    <t>By @PMI_KabSemarang: #StokDarah 
Selasa 28 Sept 2021
Pkl 07.10 WIB
MOBILE UNIT
Selasa 28 Sept 2021
PT Pos Indonesia Ungaran
Pkl 09.00 WIB
INFO LAYANAN 
-Darah Pasien 24 Jam
-Donor Darah di PMI Pkl 08.00-20.00 WIB
Visit https://t.co/SWiQS1roBk
#DonorDong https://t.co/UpBLQ1ELco</t>
  </si>
  <si>
    <t>@taetaelvly Km naik jnt aja ak sicepat</t>
  </si>
  <si>
    <t>Lowongan Kerja Kantor Pos Indonesia (Min. SMA/SMK Sederajat)
Posisi, Lokasi, Kualifikasi dan Panduan melamar buka link: https://t.co/SKiGXXW4ht
•
"GABUNG DI CHANNEL TELEGRAM 👉 https://t.co/SfaaWgxZ1h (GRATIS)"</t>
  </si>
  <si>
    <t>Lowongan Kerja Kantor Pos Indonesia
Posisi, Lokasi, Kualifikasi dan Panduan melamar buka link: https://t.co/SKiGXXW4ht
•
"GABUNG DI CHANNEL TELEGRAM 👉 https://t.co/SfaaWgxZ1h (GRATIS)"</t>
  </si>
  <si>
    <t>Lowongan Kerja PT Pos Logistik Indonesia
Posisi, Lokasi, Kualifikasi dan Panduan melamar buka link: https://t.co/8ZF6jYQRHe
Batas Lamaran: 27 September 2021
•
"GABUNG DI CHANNEL TELEGRAM 👉 https://t.co/SfaaWgxZ1h (GRATIS)"</t>
  </si>
  <si>
    <t>Lowongan Kerja PT Sicepat Ekspres Indonesia
Posisi, Lokasi, Kualifikasi dan Panduan melamar buka link: https://t.co/wzZqhQtVkR
•
"GABUNG DI CHANNEL TELEGRAM 👉 https://t.co/SfaaWgxZ1h (GRATIS)"</t>
  </si>
  <si>
    <t>Lowongan Kerja Kantor Pos Indonesia
Batas Lamaran: 30 September 2021
Posisi, Lokasi, Kualifikasi dan Panduan melamar buka link: https://t.co/SKiGXXW4ht
•
"GABUNG DI CHANNEL TELEGRAM 👉 https://t.co/SfaaWgxZ1h (GRATIS)"</t>
  </si>
  <si>
    <t>@gldenvnte pake pos indonesia aja sya:')</t>
  </si>
  <si>
    <t>Something good is coming today💕
Keramik dgn motif2 cantik &amp;amp; berbagai bentuk tersedia utk special gift atau melengkapi koleksi di rumah💕gercep duluuuu yaaa, chat wa langsung💖Delivery Malang kota 10k (spd mtr), luar Kota Malang via JNE, J&amp;amp;T, POS
WA/Line: +6282143502209
#keramik https://t.co/Hn4j6d4Xfh</t>
  </si>
  <si>
    <t>Rangkaian Anggreknya sdh berangkat ke rumah customer Tarbantin💕Terima kasih utk pemesanannya💖Mau mendekorasi rumah?Pilih2 aja di Tarbantin 😍Delivery Malang kota 10k (spd mtr), luar Kota Malang via JNE, J&amp;amp;T, POS
WA/Line: +6282143502209
IG: tarbantinsouvenir
#rangkaian #bunga https://t.co/4u3kx3o5S9</t>
  </si>
  <si>
    <t>Tatanan meja atau ruangan jadi makin menarik ditambahkan dgn souvenir2 pilihan dari Tarbantin, langsung chat aja untuk cek harga💖Delivery Malang kota 10k (spd mtr), luar Kota Malang via JNE, J&amp;amp;T, POS
WA/Line: +6282143502209
IG: tarbantinsouvenir
#dekorasi #decoration #homedecor https://t.co/9btJKWd865</t>
  </si>
  <si>
    <t>Rangkaian Anggrek cantik baru datang, siap mendekorasi ruangan Anda 💓merapat yuuuuks cek harga😍Delivery Malang kota 10k (spd mtr), luar Kota Malang via JNE, J&amp;amp;T, POS
WA/Line: +6282143502209
☎ : +62341 573887
IG: tarbantinsouvenir
#rangkaian #arrangement #bunga #flower #anggrek https://t.co/qW4qg9JNcY</t>
  </si>
  <si>
    <t>💖Pelanggan setia Tarbantin dgn bunga imut pilihan💞Terima kasih utk pemesanannya🙏Delivery Malang kota 10k (spd mtr), luar Kota Malang via JNE, J&amp;amp;T, POS
WA/Line: +6282143502209
IG: tarbantinsouvenir
#flower #bunga
#dekorasi #decoration #homedecor #roomdecor #hadiah #rumah https://t.co/tVtvb5nrf5</t>
  </si>
  <si>
    <t>Stand elegan ready, dgn paduan warna gold &amp;amp; white, bisa mempercantik penataan hidangan atau dekorasi ruangan Anda, cek harga langsung yuuk😍Delivery Malang kota 10k (spd mtr), luar Kota Malang via JNE, J&amp;amp;T, POS
WA/Line: +6282143502209
IG: tarbantinsouvenir
#standgold #jar #toples https://t.co/tNWW0CtBkU</t>
  </si>
  <si>
    <t>Terima kasih utk pemesanannya &amp;amp; kepercayaannya 😍 telah memilih Tarbantin Souvenir utk mendekorasi rumahnya👭, yg mau mendekorasi rumah, langsung meluncur ke Tarbantin yaaaaa💕Delivery Malang kota 10k (spd mtr), luar Kota Malang via JNE, J&amp;amp;T, POS
WA/Line: +6282143502209 https://t.co/RcFOC933sw</t>
  </si>
  <si>
    <t>Beautiful Vintage Frame😍baru datang yaaaa💖cantik utk foto2 spesial anda atau kado spesial buat orang terdekat 💕tinggal diorderin ajaaaa💞Delivery Malang kota 10k (spd mtr), luar Kota Malang via JNE, J&amp;amp;T, POS
WA/Line: +6282143502209
IG: tarbantinsouvenir
#frame #pigura #vintage https://t.co/v6ZP5IhIwf</t>
  </si>
  <si>
    <t>Rangkaian Anggrek Putih cantik, dipadukan dgn vas warna gold yg elegan, siap ditambahkan dlm dekorasi ruangan Anda💕langsung meluncur ke Tarbantin💞Delivery Malang kota 10k (spd mtr), luar Kota Malang via JNE, J&amp;amp;T, POS
WA/Line: +6282143502209
IG: tarbantinsouvenir
#bunga #flower https://t.co/FO6MgUbi6m</t>
  </si>
  <si>
    <t>Be blessed wherever you are💖Hiasan dinding cantiknya siap dibawa pulang for special gift untuk orang terkasih💗Terima kasih buat pemesanannya🙏Delivery Malang kota 10k (spd mtr), luar Kota Malang via JNE, J&amp;amp;T, POS.
WA/Line: +6282143502209
IG: tarbantinsouvenir
#flower #bunga https://t.co/nppTx45c6r</t>
  </si>
  <si>
    <t>You are the perfection of God💕Nampan cantiknya ready utk penyajian hidangan makin menawan, buruan gercep yaaaa😍Limited Edition💞Delivery Malang kota 10k (spd mtr), luar Kota Malang via JNE, J&amp;amp;T, POS
WA/Line: +6282143502209
IG: tarbantinsouvenir
#tray #nampan #baki #penyajian https://t.co/mTIu3FiXNO</t>
  </si>
  <si>
    <t>Lowongan Kerja Semua Jurusan PT Pos Logistik Indonesia September 2021 https://t.co/p0EqDXuDjk</t>
  </si>
  <si>
    <t>Lowongan Kerja BUMN PT Pos Indonesia (Persero) Oktober 2021 https://t.co/K4oPkvOHxS</t>
  </si>
  <si>
    <t>Lowongan Kerja D3 S1 PT Sicepat Ekspres Indonesia September 2021 https://t.co/5Gd5F85h1K</t>
  </si>
  <si>
    <t>Lowongan Kerja Tenaga Frontliner Pos Indonesia September 2021 https://t.co/EAAys9tNMV</t>
  </si>
  <si>
    <t>Lowongan Kerja PT Pos Logistik Indonesia https://t.co/X37Q6W2aQ8</t>
  </si>
  <si>
    <t>Lowongan Kerja Semua Jurusan PT Pos Logistik Indonesia September 2021 https://t.co/MqkuyVovgj</t>
  </si>
  <si>
    <t>Lowongan Kerja BUMN PT Pos Indonesia (Persero) Oktober 2021 https://t.co/EY7KWkCu8f</t>
  </si>
  <si>
    <t>Lowongan Kerja D3 S1 PT Sicepat Ekspres Indonesia September 2021 https://t.co/oUzjJ77rUS</t>
  </si>
  <si>
    <t>Trimakasih @korlantasid sim c saya sudah jadi. Penantian ( 07 Sept - 24 Sept ) serta trimakasih Pos Indonesia yang sudah mengantarkan. https://t.co/LrN8U3e6xt</t>
  </si>
  <si>
    <t>jujur capek banget di daerahku gaad pos indonesia</t>
  </si>
  <si>
    <t>Halo admin @bravobeacukai ini apa benar? Dan apa ini berlaku untuk semua perusahaan pengiriman seperti misalnya Pos Indonesia/DHL juga? https://t.co/9bMLtaTv2p</t>
  </si>
  <si>
    <t>@sitimaharani39 Hai kak, iya kak hal tsb juga berlaku untuk DHL dan Pos Indonesia ya, ketentuan terkait bisa di cek di PMK 97 tahun 2020 ya kak ~boy</t>
  </si>
  <si>
    <t>@Stephanus168 kami cek paket UF541064724SE dikembalikan karena pajak tidak dibayar/ tidak berhasil dikirim oleh kurir kak. apakah sudah konfirmasi pihak pos indonesia call center 1500161 kak? ~dnp</t>
  </si>
  <si>
    <t>@ichihoony Hai kak, untuk no AWB tsb sudah rilis dari bea cukai per tgl 17/09 ya kak, terkait proses pengiriman ke alamat penerima silakan konfirmasi ke pihak pos Indonesia langsung ya kak ~boy</t>
  </si>
  <si>
    <t>@alphinside atas resi tsb. silahkan mengonfirmasi pada pihak pos indonesia ya kak ~ jun</t>
  </si>
  <si>
    <t>@meily1106 Hai kak, terkait status pengiriman di web pos indonesia silakan konfirmasi ke pihak pos indonesia nya langsung ya kak, untuk status kepabeanannya bisa di cek di web https://t.co/SyYmBnP3YE ya ~boy</t>
  </si>
  <si>
    <t>@for__DY jika menggunakan jasa EMS/ pos indonesia silakan konfirmasi ke call center 1500161 kak, karena mereka yg menentukan akan proses clearence ke kantor beacukai yg mana. ~dnp</t>
  </si>
  <si>
    <t>Peringati Postel, PT Pos Indonesia Bertransformasi ke Arah Digital https://t.co/UKrsug08eR</t>
  </si>
  <si>
    <t>KantorPos KarangSatria 
Menyediakan Materai 6000 dan 10000
Ingin Bayar Tagihan - Cicilan - Iuran BPJS pakai POS INDONESIA sedia POSFIN untuk melayani segala pembayaran
Pengiriman Tetap Jalan KilatKhusus- Ekonomi- Express
https://t.co/4uGxkk6vVU https://t.co/wrLnWyU3A3</t>
  </si>
  <si>
    <t>BAYAR PLN, INDIHOME, BPJS, TAGIHAN KREDIT/ CICILAN KENDARAAN ?
POSFIN di Pos Indonesia Bisa
Melayani banyak pembayaran-pembayaran umun
Melayani Pengiriman Paket serta Dokumen
Melayani pembelian Materai 10rb dan 6rb
KantorPos KarangSatriaBISA #posfin #Posindonesia https://t.co/sLuC5pejJY</t>
  </si>
  <si>
    <t>KantorPos KarangSatria 
Menyediakan Materai 6000 dan 10000
Ingin Bayar Tagihan - Cicilan - Iuran BPJS pakai POS INDONESIA sedia POSFIN untuk melayani segala pembayaran
Pengiriman Tetap Jalan KilatKhusus- Ekonomi- Express
https://t.co/4uGxkk6vVU https://t.co/D7wv91aftN</t>
  </si>
  <si>
    <t>jnt seberang perai selatan ni problem ka stuck since 26 tak gerak gerak padahal brg aku pos semalam elok ja dah sampai selangor</t>
  </si>
  <si>
    <t>WTS 
-jb mirror card RM 10 exc pos
-youngjae bookmark RM 7
-buy both RM 15 exc pos
-use jnt RM8 wm// em dm
- no backout seller // time waster will be block 
- rts: need money for studies 
#pasarGOT7 https://t.co/LDhmV2m0Sz</t>
  </si>
  <si>
    <t>@PlateJohnny : Agenda transformatif ini tidak hanya ditujukan agar sektor pos dan telekomunikasi Indonesia dapat semakin maju, tetapi juga untuk mendorong perluasan akses dan kebermanfaatan teknologi digital
https://t.co/OjrOyYQORs</t>
  </si>
  <si>
    <t>BARANG PACKING!! SIAP KIRIM! TRUSTED OLSHOP! Pengiriman dengan JNE/POS. PIN:778B048 WA:081322071239 https://t.co/WWQWwj0YJO</t>
  </si>
  <si>
    <t>BARANG PACKING!! SIAP KIRIM! TRUSTED OLSHOP! Pengiriman dengan JNE/POS. PIN:778B048 WA:081322071239 https://t.co/LxDiEPgvGR</t>
  </si>
  <si>
    <t>BARANG PACKING!! SIAP KIRIM! TRUSTED OLSHOP! Pengiriman dengan JNE/POS. PIN:778B048 WA:081322071239 https://t.co/4ZiyfqDC8s</t>
  </si>
  <si>
    <t>BARANG PACKING!! SIAP KIRIM! TRUSTED OLSHOP! Pengiriman dengan JNE/POS. PIN:778B048 WA:081322071239 https://t.co/x2P4aq4s4V</t>
  </si>
  <si>
    <t>BARANG PACKING!! SIAP KIRIM! TRUSTED OLSHOP! Pengiriman dengan JNE/POS. PIN:778B048 WA:081322071239 https://t.co/4WJtdN8cGq</t>
  </si>
  <si>
    <t>BARANG PACKING!! SIAP KIRIM! TRUSTED OLSHOP! Pengiriman dengan JNE/POS. PIN:778B048 WA:081322071239 https://t.co/FDn7rQy9kh</t>
  </si>
  <si>
    <t>BARANG PACKING!! SIAP KIRIM! TRUSTED OLSHOP! Pengiriman dengan JNE/POS. PIN:778B048 WA:081322071239 https://t.co/l9u07oCz8O</t>
  </si>
  <si>
    <t>BARANG PACKING!! SIAP KIRIM! TRUSTED OLSHOP! Pengiriman dengan JNE/POS. PIN:778B048 WA:081322071239 https://t.co/CTNw1fhp0i</t>
  </si>
  <si>
    <t>BARANG PACKING!! SIAP KIRIM! TRUSTED OLSHOP! Pengiriman dengan JNE/POS. PIN:778B048 WA:081322071239 https://t.co/v2dg3e1RH6</t>
  </si>
  <si>
    <t>BARANG PACKING!! SIAP KIRIM! TRUSTED OLSHOP! Pengiriman dengan JNE/POS. PIN:778B048 WA:081322071239 https://t.co/YAweyQPETT</t>
  </si>
  <si>
    <t>Kembangkan Tri Dharma Perguruan Tinggi, Rektor UIM – PT Pos Indonesia Regional II Jakarta Teken MoU https://t.co/6QlJN54f11</t>
  </si>
  <si>
    <t>Twitternya pos indonesia apasi</t>
  </si>
  <si>
    <t>@Askrlfess sicepat atau jnt</t>
  </si>
  <si>
    <t>@Askrlfess sicepat/jnt</t>
  </si>
  <si>
    <t>@Askrlfess Kota besar pilih jnt / sicepat</t>
  </si>
  <si>
    <t>@Askrlfess aku prefer sicepat &amp;amp; jnt, btw yg cari jasa hapus akun bisa di aku yaa, tanpa email &amp;amp; password, payment setelah akun berhasil terhapus😍</t>
  </si>
  <si>
    <t>@Askrlfess Sicepat/jnt</t>
  </si>
  <si>
    <t>@Askrlfess Jnt/sicepat</t>
  </si>
  <si>
    <t>@sobatmkji jnt emang biasanya gitu. mending sicepat tapi kurirnya biasanya keliling dulu</t>
  </si>
  <si>
    <t>@Askrlfess Sicepat jnt</t>
  </si>
  <si>
    <t>@skizfm Kmaren pas co ga ku cek, kirain dapet jnt tau nya sicepat, mau di ubah udah gabisa huhu</t>
  </si>
  <si>
    <t>@seelaaa_ Eh aku pake sicepat malah cepet bgt daripada jnt</t>
  </si>
  <si>
    <t>@yvelixie_bang28 Kata seller nya sicepat di daerah dia emang jelek rating nya 🥺 di daerah aku nya mah suka cepet emang, tapi lebih cepet jnt</t>
  </si>
  <si>
    <t>Buat yang mau ngirim barang ke pos/JNE dan sebagainya, sebaiknya dipacking dari rumah. Atau minimal ditulis alamat tujuan dan pengirim dulu ya dari rumah</t>
  </si>
  <si>
    <t>in South Waigeo District, Raja Ampat Regency, West Papua Province - Kode POS Indonesia https://t.co/d9W2QIonaZ @free_west_papua</t>
  </si>
  <si>
    <t>Postal code of West Papua province - sorted by Regency / City - page 1 - Kode POS Indonesia https://t.co/Be9JLpKKLH @free_west_papua</t>
  </si>
  <si>
    <t>Kegiatan ini dibuka oleh Kakancab ASABRI Madiun Hery Nurdi dan dihadiri oleh perwakilan Bank Mantap, Bank Bukopin, BRI, BNI, BPD JATIM, BTN, BWS, dan PT Pos Indonesia.
#kegiatanAsabri #Asabrievents https://t.co/6cIqZsTq4x</t>
  </si>
  <si>
    <t>@Askrlfess sicepat/jnt jos gandos</t>
  </si>
  <si>
    <t>@Askrlfess Jnt, sicepat</t>
  </si>
  <si>
    <t>@dagangkorea aku bisa nderr, aku dom jatim. packingku rapi kokk, bisa di cek di testi shopeeku. rumahku deket ekspedisi jnt, jne, tiki, indah logistik sama sicepat ^^</t>
  </si>
  <si>
    <t>@Askrlfess Kalo aku sih seringnya sicepat, kalo gada sicepat baru jnt</t>
  </si>
  <si>
    <t>PT Pos Indonesia kembali membuka lowongan kerja, minimal lulusan SMA dengan batas waktu penerimaan lamaran sampai 30 September 2021.
https://t.co/kI3zEKjoEQ</t>
  </si>
  <si>
    <t>@sellkpopfess aku dom jakarta nder, deket juga sama ekspedisi kaya j&amp;amp;t, sicepat, jne, anteraja. aku sering packing buat barang wtsan pribadi, dan alhamdulillah customer selalu puas sama hasil packing ku. shopee ku juga bisa freeong, dan kebetulan lagi bu juga karena abis di scam. hmu ya nder:(</t>
  </si>
  <si>
    <t>@RDSandyUtama Baik kak, terkait dengan pertanyaan ataupun keinginan kakak untuk bergabung menjadi Agent PT. SiCepat Ekspres Indonesia, mohon maaf untuk saat ini pihak management kami belum menginformasikan adanya peluang kerjasama tersebut. Terimakasih ^</t>
  </si>
  <si>
    <t>Yuk kita menebar berkah dengan bersedekah di Jum’at Berkah bersama SiCepat Syariah dan Dompet Dhuafa. 
Kamu bisa menyumbangkan 2,5% dari potongan ongkir yang kamu terima untuk disalurkan kepada anak-anak sekolah literasi Indonesia dan Pondok Pesantren Wilayah Lombok dan Cilacap. https://t.co/fNiWOKSU2T</t>
  </si>
  <si>
    <t>Dibalik efisiennya dan ongkos transportasi yang lebih murah dari yang lainnya, teryata sejarah perkeretaapian di Indonesia lumayan Panjang loh.
Yuk disimak info selengkapnya 😉
Selamat Hari Kereta Api Nasional Sahabat 😊
#HariKeretaApiNasional
#SiCepatEkspres
#BersatuUntukMudah https://t.co/xmYNJFAOaW</t>
  </si>
  <si>
    <t>BEST(Besok Sampai Tujuan) mengutamakan kecepatan, kepastian dan keamanan pengiriman dengan jangkauan pengiriman ke  kota-kota besar di Indonesia. Kirim paket kamu sebelum pukul 18:00 dengan BEST, paket akan sampai diesok hari, termasuk hari minggu dan hari libur nasional. https://t.co/0cFevE0XKV</t>
  </si>
  <si>
    <t>Trust in the LORD with all your heart and lean not on your own understanding; in all your ways acknowledge Him, and He will make your paths straight.</t>
  </si>
  <si>
    <t>“The crisis of today is the joke of tomorrow.” - H. G. Wells</t>
  </si>
  <si>
    <t>The name of the LORD is a strong tower; the righteous run to it and are safe.</t>
  </si>
  <si>
    <t>If you want a guarantee, buy a toaster.</t>
  </si>
  <si>
    <t>A coward gets scared and quits. A hero gets scared, but still goes on.</t>
  </si>
  <si>
    <t>Nothing will work unless you do - John Wooden</t>
  </si>
  <si>
    <t>Even in darkness light dawns for the upright, for the gracious and compassionate and righteous man</t>
  </si>
  <si>
    <t>Though I speak with the tongues of men and of angels, and have not charity, I am become as sounding brass, or a tinkling cymbal.</t>
  </si>
  <si>
    <t>Has not my soul grieved for the poor?</t>
  </si>
  <si>
    <t>I can do everything through him who gives me strength.</t>
  </si>
  <si>
    <t>Opportunities mutiply as they are seized. - Sun Tzu</t>
  </si>
  <si>
    <t>Try not to become a man of success but a man of value.</t>
  </si>
  <si>
    <t>Every great dream begins with a dreamer.</t>
  </si>
  <si>
    <t>“Limitations live only in our minds. But if we use our imaginations, our possibilities become limitless.” - Jamie Paolinetti</t>
  </si>
  <si>
    <t>Polished brass will pass upon more people than rough gold.</t>
  </si>
  <si>
    <t>“Being happy doesn't mean that everything is perfect. It means that you've decided to look beyond the imperfections.”</t>
  </si>
  <si>
    <t>“If you only do what you know you can do- you never do very much.” -  Tom Krause</t>
  </si>
  <si>
    <t>Do not anxiously hope for that which is not yet come; do not vainly regret what is already past.</t>
  </si>
  <si>
    <t>To be nobody but yourself in a world that's doing its best to make you somebody else, is to fight the hardest battle you are ever going to fight.</t>
  </si>
  <si>
    <t>I say to you today, my friends, that in spite of the difficulties and frustrations of the moment, I still have a dream - Dr. Martin Luther King Jr.</t>
  </si>
  <si>
    <t>Obviously, I’m not trying to win the approval of people, but of God.</t>
  </si>
  <si>
    <t>In seeking wisdom thou art wise; in imagining that thou hast attained it - thou art a fool. - Lord Chesterfield</t>
  </si>
  <si>
    <t>PROMO: Jasa pembuatan toko online murah harga mulai 499ribu info https://t.co/psDSmL5HzO, CP: contactpaketonlinestore/085213681027</t>
  </si>
  <si>
    <t>“Everybody's friend is true to none.” - Norwegian Proverb</t>
  </si>
  <si>
    <t>Be nice to nerds. Chances are you’ll end up working with one. - Bill Gates</t>
  </si>
  <si>
    <t>"Insurance is like marriage. You pay, pay, pay, and you never get anything back." - Al Bundy</t>
  </si>
  <si>
    <t>The basis of optimism is sheer terror. - Oscar Wilde</t>
  </si>
  <si>
    <t>Love does not consist in gazing at each other, but in looking outward in the same direction.</t>
  </si>
  <si>
    <t>Work spares us from three evils: boredom, vice, and need - Voltaire</t>
  </si>
  <si>
    <t>If your lens is prejudice, you're wearing the wrong prescription.</t>
  </si>
  <si>
    <t>A ship is safe in harbor, but that’s not what ships are for.</t>
  </si>
  <si>
    <t>Keep away from people who try to belittle your ambitions. Small people always do that, but the really great make you feel that you, too, can become great</t>
  </si>
  <si>
    <t>Do not be misled: "Bad company corrupts good character."</t>
  </si>
  <si>
    <t>It is double pleasure to deceive the deceiver. - Jean de la Fontaine</t>
  </si>
  <si>
    <t>Patriotism, the virtue of the vicious.  ~Oscar Wilde</t>
  </si>
  <si>
    <t>An eye for an eye makes us all blind.</t>
  </si>
  <si>
    <t>“I believe that every person is born with talent.” Maya Angelou</t>
  </si>
  <si>
    <t>“The pessimist sees difficulty in every opportunity. The optimist sees the opportunity in every difficulty.” Winston Churchill</t>
  </si>
  <si>
    <t>“A bad wound heals but a bad word doesn't.” - Persian Proverb</t>
  </si>
  <si>
    <t>Never despair, but if you do, work on in despair. - Edmund Burke</t>
  </si>
  <si>
    <t>Blessed are they which do hunger and thirst after righteousness: for they shall be filled.</t>
  </si>
  <si>
    <t>I'm sick and tired of being sick and tired. - Fannie Lou Hamer</t>
  </si>
  <si>
    <t>Reach high, for stars lie hidden in your soul. Dream deep, for every dream precedes the goal.</t>
  </si>
  <si>
    <t>Give a man a fish and you feed him for a day. Teach a man to fish and you feed him for a lifetime. - Chinese Proverb</t>
  </si>
  <si>
    <t>One man will do anything to tell the world everything</t>
  </si>
  <si>
    <t>Great things are done by a series of small things brought together - Vincent van Gogh</t>
  </si>
  <si>
    <t>Reality is merely an illusion, albeit a very persistent one.</t>
  </si>
  <si>
    <t>“When all's said and done, all roads lead to the same end. So it's not so much which road you take, as how you take it.”</t>
  </si>
  <si>
    <t>Happiness is not a station you arrive at, but a manner of traveling.</t>
  </si>
  <si>
    <t>The quality of a person's life is in direct proportion to their commitment to excellence, regardless of their chosen field of endeavor.</t>
  </si>
  <si>
    <t>Courage is going from failure to failure without losing enthusiasm.</t>
  </si>
  <si>
    <t>With men all is impossible; but with God all things are possible.</t>
  </si>
  <si>
    <t>Whoever said anybody has a right to give up?</t>
  </si>
  <si>
    <t>Heaven ne'er helps the man who will not help himself. - Sophocles</t>
  </si>
  <si>
    <t>“Sanity may be madness but the maddest of all is to see life as it is and not as it should be.” Don Quixote</t>
  </si>
  <si>
    <t>“If you want a thing done well, do it yourself.” - Japanese Proverb</t>
  </si>
  <si>
    <t>“The prince of darkness is a gentleman” William Shakespeare</t>
  </si>
  <si>
    <t>Your current safe boundaries were once unknown frontiers.</t>
  </si>
  <si>
    <t>A happy family is but an earlier heaven. - George Bernard Shaw</t>
  </si>
  <si>
    <t>Education's purpose is to replace an empty mind with an open one.</t>
  </si>
  <si>
    <t>Clocks slay time... time is dead as long as it is being clicked off by little wheels; only when the clock stops does time come to life.</t>
  </si>
  <si>
    <t>All philosophy in two words, - sustain and abstain.  ~Epictetus</t>
  </si>
  <si>
    <t>A computer once beat me at chess, but it was no match for me at kick boxing.</t>
  </si>
  <si>
    <t>Everyone is a prisoner of his own experiences.  No one can eliminate prejudices - just recognize them.</t>
  </si>
  <si>
    <t>“Somewhere over the rainbow, skies are blue, and the dreams that you dare to dream really do come true” Lyman Frank Baum</t>
  </si>
  <si>
    <t>A flatterer is a secret enemy. - Hungarian Proverbs</t>
  </si>
  <si>
    <t>“You haven't lost your smile at all, it's right under your nose. You just forgot it was there.”</t>
  </si>
  <si>
    <t>One hundred percent of the shots you don't take don't go in.</t>
  </si>
  <si>
    <t>Never take life seriously. Nobody gets out alive anyway.</t>
  </si>
  <si>
    <t>Keep your feet on the ground and your thoughts at lofty heights - Peace Pilgrim</t>
  </si>
  <si>
    <t>Many men go fishing all their lives not knowing it is not fish they are after.</t>
  </si>
  <si>
    <t>You change your life by changing your heart.</t>
  </si>
  <si>
    <t>Love keeps the cold out better than a cloak. - H.D. Longfellow</t>
  </si>
  <si>
    <t>Originality is nothing but judicious imitation - Voltaire</t>
  </si>
  <si>
    <t>“Life is never easy for those who dream.” Robert James Waller</t>
  </si>
  <si>
    <t>A wise man makes his own decisions, an ignorant man follows the public opinion.</t>
  </si>
  <si>
    <t>I won't take my religion from any man who never works except with his mouth. - Carl Sandburg</t>
  </si>
  <si>
    <t>“Rather free in a foreign place than a slave back home.” - Norwegian Proverb</t>
  </si>
  <si>
    <t>“If the eye do not admire, the heart will not desire.” - Senegalese Proverb</t>
  </si>
  <si>
    <t>We are all inventors, each sailing out on a voyage of discovery, guided each by a private chart, of which there is no duplicate.</t>
  </si>
  <si>
    <t>“If you wait to do everything until you're sure it's right, you'll probably never do much of anything." - Win Borden</t>
  </si>
  <si>
    <t>Never trust people who tell you all their troubles but keep from you all their joys.</t>
  </si>
  <si>
    <t>Into each life some rain must fall, some days must be dark and dreary. - H.W. Longfellow</t>
  </si>
  <si>
    <t>Hope deferred maketh the heart sick: but when the desire cometh, it is a tree of life</t>
  </si>
  <si>
    <t>All happiness depends on courage and work - Honore de Balzac</t>
  </si>
  <si>
    <t>The nearer the dawn the darker the night - H.W. Longfellow</t>
  </si>
  <si>
    <t>Peace of mind makes the body healthy, but jealousy is like a cancer.</t>
  </si>
  <si>
    <t>Blessed be he who expects nothing, for he shall never be dissapointed. - Alexander Pope</t>
  </si>
  <si>
    <t>“For those who believe, no proof is necessary. For those who don't believe, no proof is possible.” -  Stuart Chase</t>
  </si>
  <si>
    <t>“It is a man's own mind, not his enemy or foe, that lures him to evil ways.” Buddha</t>
  </si>
  <si>
    <t>“Remember, people will judge you by your actions, not your intentions. You may have a heart of gold -- but so does a hard-boiled egg.”</t>
  </si>
  <si>
    <t>He who asks is a fool for five minutes, but he who does not ask remains a fool forever. - Chinese Proverb</t>
  </si>
  <si>
    <t>Do not be too moral. You may cheat yourself out of much life so. Aim above morality. Be not simply good; be good for something. - H.D. Thoreau</t>
  </si>
  <si>
    <t>“The only thing that will stop you from fulfilling your dreams is you.” Tom Bradley</t>
  </si>
  <si>
    <t>Don't you know that you yourselves are God's temple and that God's Spirit lives in you?</t>
  </si>
  <si>
    <t>A pessimist sees the difficulty in every opportunity; an optimist sees the opportunity in every difficulty. - Winston Churchill</t>
  </si>
  <si>
    <t>Where your treasure is, there will your heart be also</t>
  </si>
  <si>
    <t>“To wish you were someone else is to waste the person you are.”</t>
  </si>
  <si>
    <t>Love is a game in which one always cheats. - Honore de Balzac</t>
  </si>
  <si>
    <t>The biggest disease today is not leprosy or tubercolosis, but rather the feeling of being unwanted. - Mother Theresa</t>
  </si>
  <si>
    <t>“Little by little one walks far” - Peruvian Proverb</t>
  </si>
  <si>
    <t>“Fire in the heart sends smoke into the head.” - German Proverb</t>
  </si>
  <si>
    <t>"Imagine all the people living life in peace. You may say I'm a dreamer, but I'm not the only one." John Lennon</t>
  </si>
  <si>
    <t>“If you don't know where you are going, any road will get you there.” - Lewis Carroll</t>
  </si>
  <si>
    <t>Hide not your talents. They for use were made. What's a sundial in the shade? - Benjamin Franklin</t>
  </si>
  <si>
    <t>In order to succeed you must fail, so that you know what not to do the next time.</t>
  </si>
  <si>
    <t>Our greatest glory is not in never failing, but in rising up every time we fail.</t>
  </si>
  <si>
    <t>Nothing is easier than self-deceit. For what each man wishes, that he also believes to be true - Demosthenes</t>
  </si>
  <si>
    <t>I consider that our present sufferings are not worth comparing with the glory that will be revealed in us.</t>
  </si>
  <si>
    <t>“Many of the great achievements of the world were accomplished by tired and discouraged men who kept on working.”</t>
  </si>
  <si>
    <t>Faith consists in believing when it is beyond the power of reason to believe. It is not enough that a thing be possible for it to be believed.</t>
  </si>
  <si>
    <t>Everything has beauty, but not everyone sees it.</t>
  </si>
  <si>
    <t>“The hardest thing in the world to understand is income taxes.” - Albert Einstein</t>
  </si>
  <si>
    <t>A woman knows the face of the man she loves as a sailor knows the open sea.</t>
  </si>
  <si>
    <t>He who is kind to the poor lends to the LORD, and he will reward him for what he has done.</t>
  </si>
  <si>
    <t>“Be the change you want to see in the world.” Mahatma Gandhi</t>
  </si>
  <si>
    <t>Scared &amp;amp; sacred are spelled with the same letters. Awful proceeds from the same root word as awesome. Every negative experience holds the seed of transformation</t>
  </si>
  <si>
    <t>“He who prizes little things, is worthy of great ones.”</t>
  </si>
  <si>
    <t>A man of courage is also full of faith.</t>
  </si>
  <si>
    <t>Everybody wants to go to heaven; but nobody wants to die.</t>
  </si>
  <si>
    <t>“Do not spoil what you have by desiring what you have not; remember that what you now have was once among the things you only hoped for."</t>
  </si>
  <si>
    <t>There is time for everything.</t>
  </si>
  <si>
    <t>Success isn't a result of spontaneous combustion. You must set yourself on fire.</t>
  </si>
  <si>
    <t>To every thing there is a season, and a time to every purpose under the heaven</t>
  </si>
  <si>
    <t>“Time heals old pain, while it creates new ones.”</t>
  </si>
  <si>
    <t>Be the change you want to see in the world (Mahatma Gandhi)</t>
  </si>
  <si>
    <t>That everyone may eat and drink, and find satisfaction in all his toil-this is the gift of God.</t>
  </si>
  <si>
    <t>Without darkness Nothing comes to birth, As without light Nothing flowers. - May Sarton</t>
  </si>
  <si>
    <t>Time... is the life of the soul. - H.D. Longfellow</t>
  </si>
  <si>
    <t>A merry heart doeth good like a medicine: but a broken spirit drieth the bones.</t>
  </si>
  <si>
    <t>“The object of war is not to die for your country but to make the other bastard die for his.” - General George S. Patton</t>
  </si>
  <si>
    <t>If you wait until the wind and the weather are just right, you will never plant anything and never harvest anything.</t>
  </si>
  <si>
    <t>Worry weighs a person down; an encouraging word cheers a person up.</t>
  </si>
  <si>
    <t>I am not an Athenian or a Greek, I am a citizen of the world.  ~Socrates</t>
  </si>
  <si>
    <t>If love is blind, why is lingerie so popular?</t>
  </si>
  <si>
    <t>"Begin to weave and God will give you the thread." -German Proverb</t>
  </si>
  <si>
    <t>Be on your guard; stand firm in the faith; be men of courage; be strong.</t>
  </si>
  <si>
    <t>“Great acts are made up of small deeds.” Lao Tzu</t>
  </si>
  <si>
    <t>Anger is the enemy of nonviolence and pride is a monster that swallows it up - Mohandas K. Gandhi</t>
  </si>
  <si>
    <t>“If a centipede loses a leg, it does not prevent him from walking.” -  Senegalese Proverb</t>
  </si>
  <si>
    <t>JASA PEMBUATAN WEB TOKO ONLINE, harga mulai Rp.499.000 (Hosting &amp;amp; Domain included). Info: https://t.co/psDSmL5HzO #JasaPembuatan #iklan</t>
  </si>
  <si>
    <t>If you fear God, you won't fear humans.</t>
  </si>
  <si>
    <t>If men are so wicked with religion, what would they be without it? - Benjamin Franklin</t>
  </si>
  <si>
    <t>Never do anything when you are in a temper, for you will do everything wrong.</t>
  </si>
  <si>
    <t>All life is an experiment. The more experiments you make the better.</t>
  </si>
  <si>
    <t>A barking dog is often more useful than a sleeping lion - Washington Irving</t>
  </si>
  <si>
    <t>A day is Eternity's seed, and we are its Gardeners.</t>
  </si>
  <si>
    <t>I'm a great believer in luck and I find the harder I work, the more I have of it. - Thomas Jefferson</t>
  </si>
  <si>
    <t>Wrath is cruel, and anger is outrageous; but who is able to stand before envy? / Open rebuke is better than secret love.</t>
  </si>
  <si>
    <t>A contented mind is the greatest blessing a man can enjoy in this world. - Joseph Addison</t>
  </si>
  <si>
    <t>Knowing is not enough; we must apply. Willing is not enough; we must do - Johann Wolfgang von Goethe</t>
  </si>
  <si>
    <t>To understand the heart and mind of a person, look not at what he has already achieved, but at what he aspires to.</t>
  </si>
  <si>
    <t>For in much wisdom is much grief: and he that increaseth knowledge increaseth sorrow.</t>
  </si>
  <si>
    <t>Without change, something sleeps inside us, and seldom awakens. The sleeper must awaken.</t>
  </si>
  <si>
    <t>Heaven has a road, but no one travels it; Hell has no gate but men will dig to get there.</t>
  </si>
  <si>
    <t>Nothing is impossible, the word itself says 'I'm possible'!</t>
  </si>
  <si>
    <t>A man sooner or later discovers that he is the master-gardener of his soul, the director of his life.</t>
  </si>
  <si>
    <t>I'd rather have roses on my table than diamonds on my neck.</t>
  </si>
  <si>
    <t>The privilege of a lifetime is being who you are.</t>
  </si>
  <si>
    <t>“Time is the cruelest teacher; first she gives the test, then teaches the lesson.”</t>
  </si>
  <si>
    <t>“Every one is a moon, and has a dark side which he never shows to anybody” - Mark Twain</t>
  </si>
  <si>
    <t>"Judge not, and ye shall not be judged: condemn not, and ye shall not be condemned, forgive, and ye shall be forgiven."</t>
  </si>
  <si>
    <t>"Whosoever trusteth in the Lord, happy is he."</t>
  </si>
  <si>
    <t>Thinking is easy, acting is difficult, and to put one's thoughts into action is the most difficult thing in the world - Goethe</t>
  </si>
  <si>
    <t>Boast not thyself of tomorrow; for thou knowest not what a day may bring forth.</t>
  </si>
  <si>
    <t>It is during our darkest moments that we must focus to see the light.</t>
  </si>
  <si>
    <t>Judge not, that ye be not judged</t>
  </si>
  <si>
    <t>Better to reign in hell than serve in heaven. - John Milton</t>
  </si>
  <si>
    <t>“Better to remain silent and be thought a fool, than to speak and remove all doubt.” - Abraham Lincoln</t>
  </si>
  <si>
    <t>If you love something, set it free. If it comes back, it was, and always will be yours. If it never returns, it was never yours to begin with.</t>
  </si>
  <si>
    <t>It is good to have an end to journey toward; but it is the journey that matters, in the end - Ursula K. Le Guin</t>
  </si>
  <si>
    <t>The world hates change, yet it is the only thing that has brought progress.</t>
  </si>
  <si>
    <t>"The name of the LORD is a strong tower; the righteous run to it and are safe."</t>
  </si>
  <si>
    <t>"A man chooses, a slave obeys" - Andrew Ryan</t>
  </si>
  <si>
    <t>Don’t worry about the wicked or envy those who do wrong.</t>
  </si>
  <si>
    <t>Sail away from the safe harbor. Catch the trade winds in your sails. Explore. Dream. Discover.</t>
  </si>
  <si>
    <t>A joyful heart is good medicine, But a crushed spirit dries up the bones.</t>
  </si>
  <si>
    <t>“Ordinary riches can be stolen, real riches cannot. In your soul are infinitely precious things that cannot be taken from you.” Oscar Wilde</t>
  </si>
  <si>
    <t>A loving heart is the beginning of all knowledge.</t>
  </si>
  <si>
    <t>The bravest are the tenderest. The loving are the daring. - H.D. Longfellow</t>
  </si>
  <si>
    <t>Happiness resides not in possessions, and not in gold, happiness dwells in the soul.</t>
  </si>
  <si>
    <t>Nature never deceives us; it is we who deceive ourselves.</t>
  </si>
  <si>
    <t>Men's best successes come after their disappointments. - Henry Ward Beecher</t>
  </si>
  <si>
    <t>“The foundation of justice is good faith.” - Marcus Tullius Cicero</t>
  </si>
  <si>
    <t>Bitterness is like cancer. It eats upon the host. But anger is like fire. It burns it all clean.</t>
  </si>
  <si>
    <t>Jikalau bukan Tuhan yang membangun rumah, sia-sialah usaha orang yang membangunnya; jikalau bukan Tuhan yang mengawal kota, sia-sialah pengawal berjaga-jaga.</t>
  </si>
  <si>
    <t>Fear not: believe only</t>
  </si>
  <si>
    <t>Be of good courage, and he shall strengthen your heart, all ye that hope in the Lord</t>
  </si>
  <si>
    <t>Men in general judge more from appearances than from reality.  All men have eyes, but few have the gift of penetration.  ~Niccolo Machiavelli</t>
  </si>
  <si>
    <t>A gem is not polished without rubbing, nor a man perfected without trials - Chinese Proverb</t>
  </si>
  <si>
    <t>The power of imagination makes us infinite.</t>
  </si>
  <si>
    <t>The smallest act of kindness is worth more than the grandest intention.</t>
  </si>
  <si>
    <t>Marriage is a three ring circus: engagement ring, wedding ring, and suffering.</t>
  </si>
  <si>
    <t>Sooner or later, those who win are those who think they can. - Richard Bach</t>
  </si>
  <si>
    <t>Nature creates ability; luck provides it with opportunity. - Francois de La Rochefoucauld</t>
  </si>
  <si>
    <t>“Time heals what reason cannot” - Seneca</t>
  </si>
  <si>
    <t>Do good, reap good; do evil, reap evil.</t>
  </si>
  <si>
    <t>“If you only do what you know you can do- you never do very much.” Tom Krause</t>
  </si>
  <si>
    <t>In this world a man must either be anvil or hammer. - H.D. Longfellow</t>
  </si>
  <si>
    <t>Time is but the stream I go a-fishing in. - Henry David Thoreau</t>
  </si>
  <si>
    <t>"Sorry, I’m allergic to bullshit." - Will Smith</t>
  </si>
  <si>
    <t>Dari TUHAN datang pertolongan. Berkat-Mu atas umat-Mu</t>
  </si>
  <si>
    <t>A big shot is a little shot that kept shooting.</t>
  </si>
  <si>
    <t>True love never lives happily ever after - true love has no ending.</t>
  </si>
  <si>
    <t>“We all have our time machines. Some take us back, they're called memories. Some take us forward, they're called dreams.”</t>
  </si>
  <si>
    <t>“A thief knows a thief as a wolf knows a wolf.” - Persian Proverb</t>
  </si>
  <si>
    <t>The one who pursues revenge should dig two graves.</t>
  </si>
  <si>
    <t>Hope is like the sun, which, as we journey toward it, casts the shadow of our burden behind us. Samuel Smiles</t>
  </si>
  <si>
    <t>When love is not madness, it is not love.</t>
  </si>
  <si>
    <t>Commit to the LORD whatever you do, and your plans will succeed.</t>
  </si>
  <si>
    <t>Iklan_Kamu Kami adalah spesialis jasa pembuatan website toko online harga mulai 499rb, more info: https://t.co/psDSmL5HzO</t>
  </si>
  <si>
    <t>“A man's errors are his portals of discovery.” -  James Joyce</t>
  </si>
  <si>
    <t>Quarreling is like cutting water with a sword.</t>
  </si>
  <si>
    <t>The mediocre teacher tells. The good teacher explains. The superior teacher demonstrates. The great teacher inspires.</t>
  </si>
  <si>
    <t>“A man is judged by his deeds, not by his words.” - Russian Proverb</t>
  </si>
  <si>
    <t>Be patient and you will finally win, for a soft tongue can break hard bones.</t>
  </si>
  <si>
    <t>The moral of the cinderella story is--don't run too fast in heels...or you'll lose a shoe! #salahbijak</t>
  </si>
  <si>
    <t>“Reach high, for stars lie hidden in your soul. Dream deep, for every dream precedes the goal.” - Pamela Vaull Starr</t>
  </si>
  <si>
    <t>“Better lady in a cottage than serving-woman in a castle.” - Darkovan Proverb</t>
  </si>
  <si>
    <t>Men of genius are often dull and inert in society; as the blazing meteor, when it descends to earth, is only a stone. - H.D. Longfellow</t>
  </si>
  <si>
    <t>Take a risk and you will get a reward, although it may not be a medal</t>
  </si>
  <si>
    <t>So don’t worry about tomorrow, for tomorrow will bring its own worries.</t>
  </si>
  <si>
    <t>No man succeeds without a good woman behind him. Wife or mother, if it is both, he is twice blessed indeed.</t>
  </si>
  <si>
    <t>Next to excellence, comes the appreciation of it.</t>
  </si>
  <si>
    <t>“The greatest barrier to success is the fear of failure.” - Sven Goran Eriksson</t>
  </si>
  <si>
    <t>A wise son heeds his father's instruction, but a mocker does not listen to rebuke.</t>
  </si>
  <si>
    <t>Let us not grow weary while doing good, for in due season we shall reap if we do not lose heart</t>
  </si>
  <si>
    <t>Don’t put your confidence in powerful people; there is no help for you there.</t>
  </si>
  <si>
    <t>The mind is its own place, and in itself can make a heaven of hell, a hell of heaven. - John Milton</t>
  </si>
  <si>
    <t>“Without wood a fire goes out; without gossip a quarrel dies down”</t>
  </si>
  <si>
    <t>Don't compromise yourself.  You're all you've got.</t>
  </si>
  <si>
    <t>Imagination is the eye of the soul.</t>
  </si>
  <si>
    <t>“Even a small star shines in the darkness.” - Danish Proverb</t>
  </si>
  <si>
    <t>Faith is to believe what you do not see; the reward of this faith is to see what you believe.</t>
  </si>
  <si>
    <t>Better to light a candle than to curse the darkness.</t>
  </si>
  <si>
    <t>We have two kinds of morality side by side:  one which we preach but do not practice and another which we practice but seldom preach.</t>
  </si>
  <si>
    <t>Reckless words pierce like a sword, but the tongue of the wise brings healing.</t>
  </si>
  <si>
    <t>Giving up doesn't always mean you are weak.  Sometimes it means that you are strong enough to let go.</t>
  </si>
  <si>
    <t>To succeed, we must first believe that we can. - Michael Korda</t>
  </si>
  <si>
    <t>Bread of deceit is sweet to a man; but afterwards his mouth shall be filled with gravel.</t>
  </si>
  <si>
    <t>“Goodness shouts. Evil whispers.”</t>
  </si>
  <si>
    <t>You really can change the world if you care enough - Marian Wright Edelman</t>
  </si>
  <si>
    <t>Men grow old, pearls grow yellow, there is no cure for it. -Chinese proverb.</t>
  </si>
  <si>
    <t>Solitude is fine, but you need someone to tell you that solitude is fine. - Honore de Balzac</t>
  </si>
  <si>
    <t>Aim at heaven and you get earth thrown in; aim at earth and you get neither. - C.S Lewis</t>
  </si>
  <si>
    <t>A man of courage is also full of faith</t>
  </si>
  <si>
    <t>In order to change we must be sick and tired of being sick and tired.</t>
  </si>
  <si>
    <t>Almost all of our sorrows spring out of our relations with other people. - Arthur Schopenhauer</t>
  </si>
  <si>
    <t>Many are the sorrows of the wicked, but he who trusts in the LORD, lovingkindness shall surround him.</t>
  </si>
  <si>
    <t>I don't care what is written about me so long as it isn't true. - Dorothy parker</t>
  </si>
  <si>
    <t>The LORD is my light and my salvation- whom shall I fear? The LORD is the stronghold of my life- of whom shall I be afraid?</t>
  </si>
  <si>
    <t>“Promises make debts.”</t>
  </si>
  <si>
    <t>“Some are weather-wise, some are otherwise.” Benjamin Franklin</t>
  </si>
  <si>
    <t>It is better to light one candle than to curse the darkness.</t>
  </si>
  <si>
    <t>There's no such thing as no such thing</t>
  </si>
  <si>
    <t>“A ship is safe in harbor, but that's not what ships are for.” -  William Shedd</t>
  </si>
  <si>
    <t>Love is a game that two can play and both win.</t>
  </si>
  <si>
    <t>With courage you will dare to take risks, have the strength to be compassionate, and the wisdom to be humble. Courage is the foundation of integrity.</t>
  </si>
  <si>
    <t>Never interrupt your enemy when he is making a mistake. - John Milton</t>
  </si>
  <si>
    <t>A small body of determined spirits fired by an unquenchable faith in their mission can alter the course of history.</t>
  </si>
  <si>
    <t>“Dreams are illustrations... from the book your soul is writing about you.” - Marsha Norman</t>
  </si>
  <si>
    <t>Cleverness is not wisdom. - Euripides</t>
  </si>
  <si>
    <t>“A broken hand works, but not a broken heart.” - Persian Proverb</t>
  </si>
  <si>
    <t>So is cheerfulness, or a good temper, the more it is spent, the more remains - Ralph Waldo Emerson</t>
  </si>
  <si>
    <t>You lift me, and I'll lift you, and we'll ascend together.</t>
  </si>
  <si>
    <t>“When it is darkest, men see the stars.” Ralph Waldo Emerson</t>
  </si>
  <si>
    <t>The most successful people are those who are good at plan B - James Yorke</t>
  </si>
  <si>
    <t>While seeking revenge, dig two graves - one for yourself.</t>
  </si>
  <si>
    <t>We walk by faith, not by sight</t>
  </si>
  <si>
    <t>It does not matter how slowly you go, so long as you do not stop. - Confucius</t>
  </si>
  <si>
    <t>Never explain.  Your friends do not need it and your enemies will not believe it anyway.</t>
  </si>
  <si>
    <t>“You can't change the past, but you can ruin the present by worrying about the future”</t>
  </si>
  <si>
    <t>dulu jnt laju, pos laju lembab.. skng dah terbalik pulak</t>
  </si>
  <si>
    <t>Rektor UIM Teken MOU PT Pos Indonesia Regional II Jakarta - https://t.co/C7v8HOM6gy https://t.co/kCg8aQzuj9</t>
  </si>
  <si>
    <t>https://www.google.com/url?rct=j&amp;sa=t&amp;url=https%3A%2F%2Fm.tribunnews.com%2Fnasional%2F2021%2F09%2F23%2Flowongan-kerja-pt-pos-indonesia-persero-makassar-2021-frontliner-dibuka-hingga-24-september-2021&amp;ct=ga&amp;cd=CAIyGjJiMmE5MjhmODMwMjFjNzI6Y29tOmlkOlVT&amp;usg=AFQjCNEU5BB7QgR2kc_9NC1JiBDqEd_IJw&amp;utm_source=dlvr.it&amp;utm_medium=twitter</t>
  </si>
  <si>
    <t>https://www.google.com/url?rct=j&amp;sa=t&amp;url=https%3A%2F%2Fbekasi.pikiran-rakyat.com%2Fbelia%2Fpr-122662628%2Finfo-loker-pt-sicepat-ekspres-indonesia-buka-lowongan-kerja-untuk-lulusan-minimal-d3&amp;ct=ga&amp;cd=CAIyGjJiMmE5MjhmODMwMjFjNzI6Y29tOmlkOlVT&amp;usg=AFQjCNGcJrUBHz067ZWt38LBsVdDx8qM5Q&amp;utm_source=dlvr.it&amp;utm_medium=twitter</t>
  </si>
  <si>
    <t>https://www.google.com/url?rct=j&amp;sa=t&amp;url=https%3A%2F%2Fkodepos.nomor.net%2F_kodepos.php%3F_i%3Dpulau-kodepos%26BK_HP%3DHP%26sby%3D000000%26daerah%3DPulau-South%2520Waigeo-Kab.-Raja%2520Ampat%26jobs%3DYef%2520Kawuto%26_en%3DENGLISH&amp;ct=ga&amp;cd=CAIyGmVlY2VkYTlmYzNhYjU3ZWM6Y29tOmVuOlVT&amp;usg=AFQjCNHIqyqGN66dQ2cJr9BWvOs-WbzTRQ&amp;utm_source=dlvr.it&amp;utm_medium=twitter</t>
  </si>
  <si>
    <t>https://www.google.com/url?rct=j&amp;sa=t&amp;url=https%3A%2F%2Fkodepos.nomor.net%2F_kodepos.php%3F_i%3Dkota-kodepos%26daerah%3DProvinsi%26jobs%3D60113%26urut%3D%26asc%3D000101%26sby%3D000000%26no1%3D2%26prov%3DWest%2BPapua%26_en%3DENGLISH&amp;ct=ga&amp;cd=CAIyGmVlY2VkYTlmYzNhYjU3ZWM6Y29tOmVuOlVT&amp;usg=AFQjCNF9MQc-fHYmfA0DnGaUWxooG07icw&amp;utm_source=dlvr.it&amp;utm_medium=twitter</t>
  </si>
  <si>
    <t>https://t.tiktok.com/i18n/share/video/7010973843724487963/?_d=secCgYIASAHKAESPgo84uWc5F1BLopXPHPJUCXc%2BQWHPqir34HJLhTK3WWcB92WdhIOYrz%2BaCs5FQMazv3HM9mrjg5POiKi2VB%2BGgA%3D&amp;checksum=11699cb7019b25c24892f41ee5c8f30f0b3b9ec2b7a6d9e68a334b39a1b146e9&amp;language=en&amp;mid=7007073788295415809&amp;preview_pb=0&amp;region=ID&amp;sec_user_id=MS4wLjABAAAAAY3iv3Q8rlTdpeqovGow5VZDdpuihrQLCRYwp5T3_qoqmHv3JixTMlfVfRRrKioX&amp;share_app_id=1233&amp;share_item_id=7010973843724487963&amp;share_link_id=6F386736-FD4A-4A30-901A-65D983BF9FA0&amp;source=h5_t&amp;timestamp=1632369750&amp;tt_from=copy&amp;u_code=dcaak9f2khje3a&amp;user_id=6825427340403868678&amp;utm_campaign=client_share&amp;utm_medium=ios&amp;utm_source=copy https://www.instagram.com/p/CUJmPFChqEL/?utm_medium=copy_link</t>
  </si>
  <si>
    <t>https://mediaindonesia.com/humaniora/389057/kemenkominfo-89-penduduk-indonesia-gunakan-smartphone https://twitter.com/ballambinlove/status/1441939603619938308</t>
  </si>
  <si>
    <t>https://helloindonesia.id/ https://helloindonesia.id/2021/09/27/hari-pos-telekomunikasi-telegraf/</t>
  </si>
  <si>
    <t>https://www.linkedin.com/slink?code=gVDF48tC https://www.linkedin.com/slink?code=gqKTQGcV</t>
  </si>
  <si>
    <t>https://www.linkedin.com/slink?code=gZsyV75F https://www.linkedin.com/slink?code=gyt-VRK5</t>
  </si>
  <si>
    <t>https://www.linkedin.com/slink?code=ggZR4eGR https://www.linkedin.com/slink?code=gv7CUHMc</t>
  </si>
  <si>
    <t>https://www.linkedin.com/slink?code=gaw7tsmQ https://www.linkedin.com/slink?code=gh6h9GFJ</t>
  </si>
  <si>
    <t>https://www.linkedin.com/slink?code=gD4BdwRT https://www.linkedin.com/slink?code=gXyNc2yT</t>
  </si>
  <si>
    <t>https://www.linkedin.com/slink?code=eUA-mueH https://www.linkedin.com/slink?code=etP9_DYg</t>
  </si>
  <si>
    <t>https://www.linkedin.com/slink?code=gq7ZhJE https://www.linkedin.com/slink?code=gY7kGuTk https://www.linkedin.com/slink?code=gtsx7gN https://www.linkedin.com/slink?code=dTKjJcP https://www.linkedin.com/slink?code=geR9QTb https://www.linkedin.com/slink?code=gcW2UC3V</t>
  </si>
  <si>
    <t>https://www.openkerja.id/2020/10/lowongan-kerja-kantor-pos-indonesia.html https://t.me/openkerjaid</t>
  </si>
  <si>
    <t>https://www.openkerja.id/2020/09/lowongan-kerja-pt-pos-logistik-indonesia.html https://t.me/openkerjaid</t>
  </si>
  <si>
    <t>https://www.openkerja.id/2020/04/lowongan-kerja-pt-sicepat-ekspres.html https://t.me/openkerjaid</t>
  </si>
  <si>
    <t>kerjha.com</t>
  </si>
  <si>
    <t>detik.com</t>
  </si>
  <si>
    <t>twitter.com</t>
  </si>
  <si>
    <t>co.id</t>
  </si>
  <si>
    <t>tribunnews.com</t>
  </si>
  <si>
    <t>lowkerid.xyz</t>
  </si>
  <si>
    <t>bicara.news</t>
  </si>
  <si>
    <t>voi.id</t>
  </si>
  <si>
    <t>transonlinewatch.com</t>
  </si>
  <si>
    <t>jobtripper.com</t>
  </si>
  <si>
    <t>inews.id</t>
  </si>
  <si>
    <t>whatsapp.com</t>
  </si>
  <si>
    <t>jobsid.co</t>
  </si>
  <si>
    <t>smi-news.com</t>
  </si>
  <si>
    <t>padangjobs.co</t>
  </si>
  <si>
    <t>kompaskerja.com</t>
  </si>
  <si>
    <t>gesuri.id</t>
  </si>
  <si>
    <t>go.id</t>
  </si>
  <si>
    <t>sdna.gr</t>
  </si>
  <si>
    <t>pikiran-rakyat.com</t>
  </si>
  <si>
    <t>aikerja.com</t>
  </si>
  <si>
    <t>tvstv.my</t>
  </si>
  <si>
    <t>lokersumatera.com</t>
  </si>
  <si>
    <t>benarnews.org</t>
  </si>
  <si>
    <t>curiouscat.qa</t>
  </si>
  <si>
    <t>tiktok.com instagram.com</t>
  </si>
  <si>
    <t>the-ken.com</t>
  </si>
  <si>
    <t>disnakerja.com</t>
  </si>
  <si>
    <t>suara.com</t>
  </si>
  <si>
    <t>tempo.co</t>
  </si>
  <si>
    <t>bisnis.com</t>
  </si>
  <si>
    <t>pks.id</t>
  </si>
  <si>
    <t>gudangloker.com</t>
  </si>
  <si>
    <t>lokernesia.id</t>
  </si>
  <si>
    <t>akurat.co</t>
  </si>
  <si>
    <t>kaginado.com</t>
  </si>
  <si>
    <t>rekrutmen.net</t>
  </si>
  <si>
    <t>bursakerjadepnaker.com</t>
  </si>
  <si>
    <t>openkerja.id</t>
  </si>
  <si>
    <t>google.com</t>
  </si>
  <si>
    <t>instagram.com</t>
  </si>
  <si>
    <t>batarapos.com</t>
  </si>
  <si>
    <t>infolokerserang.com</t>
  </si>
  <si>
    <t>depokpos.com</t>
  </si>
  <si>
    <t>koranbumn.com</t>
  </si>
  <si>
    <t>mediaindonesia.com twitter.com</t>
  </si>
  <si>
    <t>bandungnews.id</t>
  </si>
  <si>
    <t>portalkalbar.com</t>
  </si>
  <si>
    <t>fokussatu.id</t>
  </si>
  <si>
    <t>helloindonesia.id helloindonesia.id</t>
  </si>
  <si>
    <t>linkedin.com linkedin.com</t>
  </si>
  <si>
    <t>theiconomics.com</t>
  </si>
  <si>
    <t>youtube.com</t>
  </si>
  <si>
    <t>carilokermedan.com</t>
  </si>
  <si>
    <t>deasoka.com</t>
  </si>
  <si>
    <t>lowongankerjasmk.com</t>
  </si>
  <si>
    <t>tirto.id</t>
  </si>
  <si>
    <t>parapuan.co</t>
  </si>
  <si>
    <t>cakrawalajabar.com</t>
  </si>
  <si>
    <t>dobrak.co</t>
  </si>
  <si>
    <t>cutt.ly</t>
  </si>
  <si>
    <t>pmikabupatensemarang.com</t>
  </si>
  <si>
    <t>linkedin.com linkedin.com linkedin.com linkedin.com linkedin.com linkedin.com</t>
  </si>
  <si>
    <t>openkerja.id t.me</t>
  </si>
  <si>
    <t>jawapos.com</t>
  </si>
  <si>
    <t>indonesiatech.id</t>
  </si>
  <si>
    <t>rakyatsulsel.co</t>
  </si>
  <si>
    <t>blogspot.com</t>
  </si>
  <si>
    <t>paketonlinestore.com</t>
  </si>
  <si>
    <t>berita-sulsel.com</t>
  </si>
  <si>
    <t>etdorongdigitalisasibumn</t>
  </si>
  <si>
    <t>bumnmaju</t>
  </si>
  <si>
    <t>lokerpam</t>
  </si>
  <si>
    <t>arti kbbi</t>
  </si>
  <si>
    <t>pasarstraykids pasarskz</t>
  </si>
  <si>
    <t>lowkerid jobs lowongankerja lowongan lowker_indonesia waspadakovidvarianbaru</t>
  </si>
  <si>
    <t>lowkerid jobs lowongankerja lowongan lowker_indonesia</t>
  </si>
  <si>
    <t>bicaranews</t>
  </si>
  <si>
    <t>prabowojawabancamanchina</t>
  </si>
  <si>
    <t>remote projectmanagement job remotework remotejobs</t>
  </si>
  <si>
    <t>flagamediaasia digitalmarketing eventorganizer</t>
  </si>
  <si>
    <t>pasarskz</t>
  </si>
  <si>
    <t>magetan</t>
  </si>
  <si>
    <t>digitalbisa untukindonesialebihbaik</t>
  </si>
  <si>
    <t>specialtalkshow</t>
  </si>
  <si>
    <t>santrisiagajiwaraga</t>
  </si>
  <si>
    <t>grabexpress gosend shopee anteraja ninjaexpress jne jnt sicepat tiki kantorpos kurir</t>
  </si>
  <si>
    <t>pdiperjuangan</t>
  </si>
  <si>
    <t>indonesiauntukdunia inidiplomasi</t>
  </si>
  <si>
    <t>pasarsvt pasarkpop</t>
  </si>
  <si>
    <t>postcrossing</t>
  </si>
  <si>
    <t>tvs tvsmy beinformed mindef</t>
  </si>
  <si>
    <t>pasarnct pasarnctmy mynctjual nct</t>
  </si>
  <si>
    <t>bumnbangkrut</t>
  </si>
  <si>
    <t>lokersumatera lowongankerja kurir palembang lokerpalembang</t>
  </si>
  <si>
    <t>speziajuve forzajuve</t>
  </si>
  <si>
    <t>pasartheboyz pasartbz</t>
  </si>
  <si>
    <t>pks pkb swdkllj pnbp</t>
  </si>
  <si>
    <t>pasarsf9</t>
  </si>
  <si>
    <t>bansoslanjutterus</t>
  </si>
  <si>
    <t>kemenkumhamri kumhampasti</t>
  </si>
  <si>
    <t>lowongan</t>
  </si>
  <si>
    <t>loker lowongankerja</t>
  </si>
  <si>
    <t>sinergi pajakkitauntukkita pajakkuatindonesiamaju</t>
  </si>
  <si>
    <t>shopeeexpress</t>
  </si>
  <si>
    <t>pasarexomy pasarexo</t>
  </si>
  <si>
    <t>bersihnarkobabersihcovid19 warondrugs indonesiabersinar indonesiatangguhindonesiatumbuh hidup100persen</t>
  </si>
  <si>
    <t>haripostelekomunikasitelegraf ptt haribaktipos rsupelitahusada gunungkidul</t>
  </si>
  <si>
    <t>infomjkt eventmjkt infomojokerto eventmojokerto</t>
  </si>
  <si>
    <t>sahabatbawaslu bawaslutanatoraja cegahawasitindak</t>
  </si>
  <si>
    <t>smartpeople perpustakaanalfalaahiyyah</t>
  </si>
  <si>
    <t>coklatkita haripostelekomunikasitelegraf</t>
  </si>
  <si>
    <t>temanpemilih</t>
  </si>
  <si>
    <t>kpumelayani haribhaktipostel2021</t>
  </si>
  <si>
    <t>indonesia postel postelekomunikasi kemenkominfo pos kementeriankominfo telekomunikasi info kominfo komunikasi</t>
  </si>
  <si>
    <t>chenle pasarnct</t>
  </si>
  <si>
    <t>patriatoday ptkai blitar</t>
  </si>
  <si>
    <t>haripostelekomunikasitelegraf hariptt76 haribhaktipostel mediapemersatubangsa</t>
  </si>
  <si>
    <t>haripos informasi indonesia haripostelekomikasitelegraf skincareindonesia skincarezibelle</t>
  </si>
  <si>
    <t>kalenderstatistikmuba</t>
  </si>
  <si>
    <t>sobatjatim</t>
  </si>
  <si>
    <t>rekanhumas pranatahumas iprahumasindonesia haribaktipostel2021</t>
  </si>
  <si>
    <t>lokermedan medanloker</t>
  </si>
  <si>
    <t>bukubagus</t>
  </si>
  <si>
    <t>bukubagus goobooks</t>
  </si>
  <si>
    <t>bukubagus goodbooks</t>
  </si>
  <si>
    <t>hariptt2021 kpudonggala kpumelayani</t>
  </si>
  <si>
    <t>27sept</t>
  </si>
  <si>
    <t>laporanreporter</t>
  </si>
  <si>
    <t>srisultanhbx gkrhemas umkmnaikkelas sibakul dinkopdiy posindonesia</t>
  </si>
  <si>
    <t>deasoka pos sempadan pm kalabakan sabah breakingnews</t>
  </si>
  <si>
    <t>haripostelekomunikasitelegraf legalcentric</t>
  </si>
  <si>
    <t>hariptt moestopo</t>
  </si>
  <si>
    <t>poltekpos stimlog</t>
  </si>
  <si>
    <t>poltekpos stimlog posindonesia ypbpi</t>
  </si>
  <si>
    <t>sobatkampusorange logisticians transporters ypbpi poltekpos stimlog keluargaposindonesia</t>
  </si>
  <si>
    <t>jadilebihaman jadilebihmudah bayarpajakpakaisignal samsatdigitalnasional</t>
  </si>
  <si>
    <t>beritabumn</t>
  </si>
  <si>
    <t>haripostelekomunikasitelegraf diskominfopurwakarta purwakarta jawabarat kominfo</t>
  </si>
  <si>
    <t>postelekomunikasi kita indonesia covid19</t>
  </si>
  <si>
    <t>haripostel covid19 coldplayxbts cryptocurrency</t>
  </si>
  <si>
    <t>postel</t>
  </si>
  <si>
    <t>jdihkpukabmagelang kpukabmagelang haripostelekomunikasitelegraf</t>
  </si>
  <si>
    <t>hutbhaktipos haribhaktipos jabarsehatlahirbatin silihtulungan</t>
  </si>
  <si>
    <t>haribhaktipostel sobatppi ditjenppi</t>
  </si>
  <si>
    <t>stokdarah donordong pmiselalubantu</t>
  </si>
  <si>
    <t>haribhaktipostel2021 haribhaktipostel76</t>
  </si>
  <si>
    <t>bengkulubahagia helmihasan dedywahyudi bengkulukotahadits hd insyaallah bahagiadanreligius bengkulubisa</t>
  </si>
  <si>
    <t>bbplkserang kemnakerri kemnaker</t>
  </si>
  <si>
    <t>lokershareinone lokerinone lokermedan karirmedan lowongankerjamedan lokersumut karirsumut jobmedan j</t>
  </si>
  <si>
    <t>stokdarah</t>
  </si>
  <si>
    <t>stokdarah donordong</t>
  </si>
  <si>
    <t>keramik</t>
  </si>
  <si>
    <t>rangkaian bunga</t>
  </si>
  <si>
    <t>dekorasi decoration homedecor</t>
  </si>
  <si>
    <t>rangkaian arrangement bunga flower anggrek</t>
  </si>
  <si>
    <t>flower bunga dekorasi decoration homedecor roomdecor hadiah rumah</t>
  </si>
  <si>
    <t>standgold jar toples</t>
  </si>
  <si>
    <t>frame pigura vintage</t>
  </si>
  <si>
    <t>bunga flower</t>
  </si>
  <si>
    <t>flower bunga</t>
  </si>
  <si>
    <t>tray nampan baki penyajian</t>
  </si>
  <si>
    <t>posfin posindonesia</t>
  </si>
  <si>
    <t>pasargot7</t>
  </si>
  <si>
    <t>kegiatanasabri asabrievents</t>
  </si>
  <si>
    <t>harikeretaapinasional sicepatekspres bersatuuntukmudah</t>
  </si>
  <si>
    <t>jasapembuatan iklan</t>
  </si>
  <si>
    <t>salahbijak</t>
  </si>
  <si>
    <t>https://pbs.twimg.com/media/E98VTZTVcA49Ysa.jpg https://pbs.twimg.com/media/E98TkHUVkAgHAfb.jpg</t>
  </si>
  <si>
    <t>18:34:24</t>
  </si>
  <si>
    <t>20:13:25</t>
  </si>
  <si>
    <t>20:13:29</t>
  </si>
  <si>
    <t>20:31:21</t>
  </si>
  <si>
    <t>22:47:05</t>
  </si>
  <si>
    <t>23:28:13</t>
  </si>
  <si>
    <t>00:06:17</t>
  </si>
  <si>
    <t>00:56:45</t>
  </si>
  <si>
    <t>01:21:17</t>
  </si>
  <si>
    <t>01:22:41</t>
  </si>
  <si>
    <t>01:44:36</t>
  </si>
  <si>
    <t>01:58:23</t>
  </si>
  <si>
    <t>02:26:28</t>
  </si>
  <si>
    <t>03:02:32</t>
  </si>
  <si>
    <t>02:51:20</t>
  </si>
  <si>
    <t>04:26:30</t>
  </si>
  <si>
    <t>04:41:16</t>
  </si>
  <si>
    <t>04:45:15</t>
  </si>
  <si>
    <t>04:48:08</t>
  </si>
  <si>
    <t>04:58:51</t>
  </si>
  <si>
    <t>05:06:03</t>
  </si>
  <si>
    <t>05:06:08</t>
  </si>
  <si>
    <t>05:23:48</t>
  </si>
  <si>
    <t>05:26:06</t>
  </si>
  <si>
    <t>05:29:01</t>
  </si>
  <si>
    <t>05:33:56</t>
  </si>
  <si>
    <t>04:53:36</t>
  </si>
  <si>
    <t>05:37:11</t>
  </si>
  <si>
    <t>06:09:43</t>
  </si>
  <si>
    <t>06:22:57</t>
  </si>
  <si>
    <t>07:05:21</t>
  </si>
  <si>
    <t>07:10:18</t>
  </si>
  <si>
    <t>14:25:21</t>
  </si>
  <si>
    <t>07:12:19</t>
  </si>
  <si>
    <t>07:12:58</t>
  </si>
  <si>
    <t>06:43:58</t>
  </si>
  <si>
    <t>06:44:23</t>
  </si>
  <si>
    <t>06:45:34</t>
  </si>
  <si>
    <t>07:13:43</t>
  </si>
  <si>
    <t>07:37:04</t>
  </si>
  <si>
    <t>07:50:45</t>
  </si>
  <si>
    <t>07:52:18</t>
  </si>
  <si>
    <t>07:58:36</t>
  </si>
  <si>
    <t>09:08:34</t>
  </si>
  <si>
    <t>10:01:50</t>
  </si>
  <si>
    <t>09:22:43</t>
  </si>
  <si>
    <t>10:08:34</t>
  </si>
  <si>
    <t>10:20:37</t>
  </si>
  <si>
    <t>03:01:36</t>
  </si>
  <si>
    <t>10:22:55</t>
  </si>
  <si>
    <t>10:36:42</t>
  </si>
  <si>
    <t>11:06:15</t>
  </si>
  <si>
    <t>11:07:49</t>
  </si>
  <si>
    <t>12:02:59</t>
  </si>
  <si>
    <t>12:20:00</t>
  </si>
  <si>
    <t>10:34:10</t>
  </si>
  <si>
    <t>10:34:11</t>
  </si>
  <si>
    <t>12:37:06</t>
  </si>
  <si>
    <t>12:37:09</t>
  </si>
  <si>
    <t>12:51:17</t>
  </si>
  <si>
    <t>13:29:06</t>
  </si>
  <si>
    <t>13:49:17</t>
  </si>
  <si>
    <t>14:08:26</t>
  </si>
  <si>
    <t>14:08:44</t>
  </si>
  <si>
    <t>14:15:19</t>
  </si>
  <si>
    <t>14:20:06</t>
  </si>
  <si>
    <t>14:56:59</t>
  </si>
  <si>
    <t>15:06:42</t>
  </si>
  <si>
    <t>15:09:41</t>
  </si>
  <si>
    <t>15:11:08</t>
  </si>
  <si>
    <t>15:15:41</t>
  </si>
  <si>
    <t>15:18:44</t>
  </si>
  <si>
    <t>15:18:00</t>
  </si>
  <si>
    <t>15:18:40</t>
  </si>
  <si>
    <t>15:19:04</t>
  </si>
  <si>
    <t>15:19:43</t>
  </si>
  <si>
    <t>15:23:32</t>
  </si>
  <si>
    <t>15:26:45</t>
  </si>
  <si>
    <t>15:30:34</t>
  </si>
  <si>
    <t>15:31:41</t>
  </si>
  <si>
    <t>15:33:02</t>
  </si>
  <si>
    <t>15:35:39</t>
  </si>
  <si>
    <t>15:35:48</t>
  </si>
  <si>
    <t>15:38:01</t>
  </si>
  <si>
    <t>15:38:04</t>
  </si>
  <si>
    <t>15:38:19</t>
  </si>
  <si>
    <t>15:38:20</t>
  </si>
  <si>
    <t>15:42:23</t>
  </si>
  <si>
    <t>16:00:18</t>
  </si>
  <si>
    <t>16:04:07</t>
  </si>
  <si>
    <t>16:04:58</t>
  </si>
  <si>
    <t>16:08:15</t>
  </si>
  <si>
    <t>16:09:29</t>
  </si>
  <si>
    <t>16:13:28</t>
  </si>
  <si>
    <t>16:19:17</t>
  </si>
  <si>
    <t>16:24:02</t>
  </si>
  <si>
    <t>16:24:38</t>
  </si>
  <si>
    <t>16:30:01</t>
  </si>
  <si>
    <t>16:32:19</t>
  </si>
  <si>
    <t>16:39:19</t>
  </si>
  <si>
    <t>16:47:40</t>
  </si>
  <si>
    <t>17:01:21</t>
  </si>
  <si>
    <t>17:12:37</t>
  </si>
  <si>
    <t>17:18:13</t>
  </si>
  <si>
    <t>17:31:16</t>
  </si>
  <si>
    <t>18:00:33</t>
  </si>
  <si>
    <t>18:06:38</t>
  </si>
  <si>
    <t>18:44:00</t>
  </si>
  <si>
    <t>20:05:23</t>
  </si>
  <si>
    <t>20:18:31</t>
  </si>
  <si>
    <t>22:24:10</t>
  </si>
  <si>
    <t>22:51:29</t>
  </si>
  <si>
    <t>22:52:19</t>
  </si>
  <si>
    <t>22:54:56</t>
  </si>
  <si>
    <t>22:55:51</t>
  </si>
  <si>
    <t>23:30:06</t>
  </si>
  <si>
    <t>23:44:49</t>
  </si>
  <si>
    <t>00:08:20</t>
  </si>
  <si>
    <t>00:10:05</t>
  </si>
  <si>
    <t>00:19:52</t>
  </si>
  <si>
    <t>00:30:22</t>
  </si>
  <si>
    <t>00:43:42</t>
  </si>
  <si>
    <t>01:34:20</t>
  </si>
  <si>
    <t>02:00:21</t>
  </si>
  <si>
    <t>02:01:33</t>
  </si>
  <si>
    <t>02:05:43</t>
  </si>
  <si>
    <t>00:06:37</t>
  </si>
  <si>
    <t>02:05:54</t>
  </si>
  <si>
    <t>02:08:47</t>
  </si>
  <si>
    <t>02:41:36</t>
  </si>
  <si>
    <t>02:49:20</t>
  </si>
  <si>
    <t>02:51:58</t>
  </si>
  <si>
    <t>03:01:15</t>
  </si>
  <si>
    <t>03:08:25</t>
  </si>
  <si>
    <t>03:08:42</t>
  </si>
  <si>
    <t>03:14:31</t>
  </si>
  <si>
    <t>03:07:35</t>
  </si>
  <si>
    <t>03:15:26</t>
  </si>
  <si>
    <t>03:47:53</t>
  </si>
  <si>
    <t>04:16:03</t>
  </si>
  <si>
    <t>04:19:50</t>
  </si>
  <si>
    <t>04:23:32</t>
  </si>
  <si>
    <t>04:27:47</t>
  </si>
  <si>
    <t>04:29:11</t>
  </si>
  <si>
    <t>10:35:48</t>
  </si>
  <si>
    <t>04:40:19</t>
  </si>
  <si>
    <t>04:43:50</t>
  </si>
  <si>
    <t>04:46:28</t>
  </si>
  <si>
    <t>05:19:18</t>
  </si>
  <si>
    <t>05:32:14</t>
  </si>
  <si>
    <t>14:03:21</t>
  </si>
  <si>
    <t>05:42:10</t>
  </si>
  <si>
    <t>05:44:58</t>
  </si>
  <si>
    <t>05:46:46</t>
  </si>
  <si>
    <t>05:46:03</t>
  </si>
  <si>
    <t>05:49:03</t>
  </si>
  <si>
    <t>06:08:09</t>
  </si>
  <si>
    <t>06:31:45</t>
  </si>
  <si>
    <t>06:51:05</t>
  </si>
  <si>
    <t>17:47:23</t>
  </si>
  <si>
    <t>07:09:47</t>
  </si>
  <si>
    <t>07:15:11</t>
  </si>
  <si>
    <t>07:15:55</t>
  </si>
  <si>
    <t>07:16:04</t>
  </si>
  <si>
    <t>07:18:35</t>
  </si>
  <si>
    <t>07:19:10</t>
  </si>
  <si>
    <t>07:21:27</t>
  </si>
  <si>
    <t>07:24:12</t>
  </si>
  <si>
    <t>07:32:30</t>
  </si>
  <si>
    <t>07:50:50</t>
  </si>
  <si>
    <t>07:53:32</t>
  </si>
  <si>
    <t>08:08:20</t>
  </si>
  <si>
    <t>08:15:11</t>
  </si>
  <si>
    <t>08:15:17</t>
  </si>
  <si>
    <t>08:15:43</t>
  </si>
  <si>
    <t>08:25:31</t>
  </si>
  <si>
    <t>08:35:21</t>
  </si>
  <si>
    <t>08:36:28</t>
  </si>
  <si>
    <t>08:37:59</t>
  </si>
  <si>
    <t>08:40:15</t>
  </si>
  <si>
    <t>08:45:46</t>
  </si>
  <si>
    <t>08:47:37</t>
  </si>
  <si>
    <t>08:58:09</t>
  </si>
  <si>
    <t>09:04:43</t>
  </si>
  <si>
    <t>09:05:17</t>
  </si>
  <si>
    <t>08:30:11</t>
  </si>
  <si>
    <t>09:21:55</t>
  </si>
  <si>
    <t>09:32:30</t>
  </si>
  <si>
    <t>09:32:36</t>
  </si>
  <si>
    <t>09:56:03</t>
  </si>
  <si>
    <t>09:57:09</t>
  </si>
  <si>
    <t>10:35:23</t>
  </si>
  <si>
    <t>10:37:57</t>
  </si>
  <si>
    <t>10:39:47</t>
  </si>
  <si>
    <t>10:42:51</t>
  </si>
  <si>
    <t>10:55:48</t>
  </si>
  <si>
    <t>07:29:40</t>
  </si>
  <si>
    <t>15:02:02</t>
  </si>
  <si>
    <t>10:58:59</t>
  </si>
  <si>
    <t>11:03:00</t>
  </si>
  <si>
    <t>11:03:37</t>
  </si>
  <si>
    <t>11:04:11</t>
  </si>
  <si>
    <t>11:05:55</t>
  </si>
  <si>
    <t>11:12:58</t>
  </si>
  <si>
    <t>11:14:54</t>
  </si>
  <si>
    <t>11:17:52</t>
  </si>
  <si>
    <t>11:19:19</t>
  </si>
  <si>
    <t>11:22:32</t>
  </si>
  <si>
    <t>11:22:33</t>
  </si>
  <si>
    <t>11:24:42</t>
  </si>
  <si>
    <t>11:27:09</t>
  </si>
  <si>
    <t>11:28:02</t>
  </si>
  <si>
    <t>11:28:15</t>
  </si>
  <si>
    <t>11:28:22</t>
  </si>
  <si>
    <t>10:39:46</t>
  </si>
  <si>
    <t>10:50:52</t>
  </si>
  <si>
    <t>11:28:42</t>
  </si>
  <si>
    <t>07:20:59</t>
  </si>
  <si>
    <t>07:26:50</t>
  </si>
  <si>
    <t>14:48:21</t>
  </si>
  <si>
    <t>15:00:32</t>
  </si>
  <si>
    <t>11:35:19</t>
  </si>
  <si>
    <t>11:35:48</t>
  </si>
  <si>
    <t>11:36:33</t>
  </si>
  <si>
    <t>11:36:43</t>
  </si>
  <si>
    <t>11:37:02</t>
  </si>
  <si>
    <t>11:37:03</t>
  </si>
  <si>
    <t>11:37:39</t>
  </si>
  <si>
    <t>11:38:14</t>
  </si>
  <si>
    <t>11:41:16</t>
  </si>
  <si>
    <t>11:41:32</t>
  </si>
  <si>
    <t>11:46:42</t>
  </si>
  <si>
    <t>11:48:11</t>
  </si>
  <si>
    <t>11:56:35</t>
  </si>
  <si>
    <t>15:26:36</t>
  </si>
  <si>
    <t>12:11:16</t>
  </si>
  <si>
    <t>12:17:42</t>
  </si>
  <si>
    <t>12:27:16</t>
  </si>
  <si>
    <t>12:31:56</t>
  </si>
  <si>
    <t>12:42:25</t>
  </si>
  <si>
    <t>12:56:05</t>
  </si>
  <si>
    <t>12:57:59</t>
  </si>
  <si>
    <t>13:12:33</t>
  </si>
  <si>
    <t>13:18:15</t>
  </si>
  <si>
    <t>13:46:56</t>
  </si>
  <si>
    <t>13:53:52</t>
  </si>
  <si>
    <t>13:54:29</t>
  </si>
  <si>
    <t>14:17:08</t>
  </si>
  <si>
    <t>14:31:00</t>
  </si>
  <si>
    <t>14:32:43</t>
  </si>
  <si>
    <t>14:33:58</t>
  </si>
  <si>
    <t>14:35:33</t>
  </si>
  <si>
    <t>14:36:04</t>
  </si>
  <si>
    <t>14:56:01</t>
  </si>
  <si>
    <t>14:57:32</t>
  </si>
  <si>
    <t>15:01:06</t>
  </si>
  <si>
    <t>15:01:08</t>
  </si>
  <si>
    <t>15:03:12</t>
  </si>
  <si>
    <t>10:10:20</t>
  </si>
  <si>
    <t>15:17:46</t>
  </si>
  <si>
    <t>15:23:46</t>
  </si>
  <si>
    <t>15:24:12</t>
  </si>
  <si>
    <t>15:29:31</t>
  </si>
  <si>
    <t>15:57:59</t>
  </si>
  <si>
    <t>16:05:24</t>
  </si>
  <si>
    <t>16:14:35</t>
  </si>
  <si>
    <t>16:27:12</t>
  </si>
  <si>
    <t>16:32:29</t>
  </si>
  <si>
    <t>16:44:50</t>
  </si>
  <si>
    <t>16:58:48</t>
  </si>
  <si>
    <t>16:59:02</t>
  </si>
  <si>
    <t>17:38:16</t>
  </si>
  <si>
    <t>17:57:48</t>
  </si>
  <si>
    <t>18:02:53</t>
  </si>
  <si>
    <t>19:07:46</t>
  </si>
  <si>
    <t>22:01:39</t>
  </si>
  <si>
    <t>22:20:06</t>
  </si>
  <si>
    <t>23:10:28</t>
  </si>
  <si>
    <t>00:00:37</t>
  </si>
  <si>
    <t>00:26:48</t>
  </si>
  <si>
    <t>00:54:15</t>
  </si>
  <si>
    <t>01:11:12</t>
  </si>
  <si>
    <t>02:12:35</t>
  </si>
  <si>
    <t>02:14:30</t>
  </si>
  <si>
    <t>02:25:08</t>
  </si>
  <si>
    <t>02:33:31</t>
  </si>
  <si>
    <t>02:36:41</t>
  </si>
  <si>
    <t>02:52:28</t>
  </si>
  <si>
    <t>03:01:38</t>
  </si>
  <si>
    <t>03:02:29</t>
  </si>
  <si>
    <t>03:02:31</t>
  </si>
  <si>
    <t>03:02:56</t>
  </si>
  <si>
    <t>03:03:49</t>
  </si>
  <si>
    <t>03:03:59</t>
  </si>
  <si>
    <t>03:05:37</t>
  </si>
  <si>
    <t>03:13:39</t>
  </si>
  <si>
    <t>03:18:18</t>
  </si>
  <si>
    <t>03:19:41</t>
  </si>
  <si>
    <t>03:21:04</t>
  </si>
  <si>
    <t>03:22:00</t>
  </si>
  <si>
    <t>03:46:16</t>
  </si>
  <si>
    <t>03:48:02</t>
  </si>
  <si>
    <t>04:17:46</t>
  </si>
  <si>
    <t>14:54:06</t>
  </si>
  <si>
    <t>15:00:09</t>
  </si>
  <si>
    <t>15:03:10</t>
  </si>
  <si>
    <t>15:08:46</t>
  </si>
  <si>
    <t>04:19:05</t>
  </si>
  <si>
    <t>04:25:14</t>
  </si>
  <si>
    <t>04:31:20</t>
  </si>
  <si>
    <t>04:35:17</t>
  </si>
  <si>
    <t>04:46:58</t>
  </si>
  <si>
    <t>03:01:24</t>
  </si>
  <si>
    <t>05:00:41</t>
  </si>
  <si>
    <t>05:42:25</t>
  </si>
  <si>
    <t>06:09:03</t>
  </si>
  <si>
    <t>06:09:08</t>
  </si>
  <si>
    <t>06:53:38</t>
  </si>
  <si>
    <t>06:55:11</t>
  </si>
  <si>
    <t>06:55:40</t>
  </si>
  <si>
    <t>06:58:20</t>
  </si>
  <si>
    <t>07:01:00</t>
  </si>
  <si>
    <t>07:19:35</t>
  </si>
  <si>
    <t>07:40:17</t>
  </si>
  <si>
    <t>08:01:27</t>
  </si>
  <si>
    <t>07:44:57</t>
  </si>
  <si>
    <t>08:19:48</t>
  </si>
  <si>
    <t>08:42:17</t>
  </si>
  <si>
    <t>08:53:00</t>
  </si>
  <si>
    <t>09:05:25</t>
  </si>
  <si>
    <t>09:35:22</t>
  </si>
  <si>
    <t>09:38:37</t>
  </si>
  <si>
    <t>10:01:24</t>
  </si>
  <si>
    <t>10:12:15</t>
  </si>
  <si>
    <t>02:18:30</t>
  </si>
  <si>
    <t>10:29:05</t>
  </si>
  <si>
    <t>10:52:46</t>
  </si>
  <si>
    <t>10:52:47</t>
  </si>
  <si>
    <t>10:52:52</t>
  </si>
  <si>
    <t>11:11:39</t>
  </si>
  <si>
    <t>07:49:10</t>
  </si>
  <si>
    <t>11:18:09</t>
  </si>
  <si>
    <t>11:05:59</t>
  </si>
  <si>
    <t>11:33:21</t>
  </si>
  <si>
    <t>11:34:05</t>
  </si>
  <si>
    <t>11:35:54</t>
  </si>
  <si>
    <t>12:13:28</t>
  </si>
  <si>
    <t>12:25:24</t>
  </si>
  <si>
    <t>12:54:23</t>
  </si>
  <si>
    <t>13:01:40</t>
  </si>
  <si>
    <t>13:43:30</t>
  </si>
  <si>
    <t>13:47:39</t>
  </si>
  <si>
    <t>13:57:40</t>
  </si>
  <si>
    <t>13:57:44</t>
  </si>
  <si>
    <t>14:13:44</t>
  </si>
  <si>
    <t>14:44:56</t>
  </si>
  <si>
    <t>15:20:36</t>
  </si>
  <si>
    <t>15:37:59</t>
  </si>
  <si>
    <t>15:50:15</t>
  </si>
  <si>
    <t>17:14:08</t>
  </si>
  <si>
    <t>09:42:12</t>
  </si>
  <si>
    <t>09:42:36</t>
  </si>
  <si>
    <t>09:42:51</t>
  </si>
  <si>
    <t>09:45:14</t>
  </si>
  <si>
    <t>13:46:27</t>
  </si>
  <si>
    <t>05:12:29</t>
  </si>
  <si>
    <t>05:27:09</t>
  </si>
  <si>
    <t>15:59:29</t>
  </si>
  <si>
    <t>06:06:21</t>
  </si>
  <si>
    <t>16:22:16</t>
  </si>
  <si>
    <t>16:23:20</t>
  </si>
  <si>
    <t>17:11:11</t>
  </si>
  <si>
    <t>18:11:58</t>
  </si>
  <si>
    <t>18:50:45</t>
  </si>
  <si>
    <t>19:08:51</t>
  </si>
  <si>
    <t>22:40:11</t>
  </si>
  <si>
    <t>23:22:53</t>
  </si>
  <si>
    <t>23:53:52</t>
  </si>
  <si>
    <t>00:11:23</t>
  </si>
  <si>
    <t>08:16:52</t>
  </si>
  <si>
    <t>01:27:27</t>
  </si>
  <si>
    <t>01:37:00</t>
  </si>
  <si>
    <t>01:39:32</t>
  </si>
  <si>
    <t>01:39:33</t>
  </si>
  <si>
    <t>01:40:28</t>
  </si>
  <si>
    <t>01:52:07</t>
  </si>
  <si>
    <t>02:20:14</t>
  </si>
  <si>
    <t>02:55:12</t>
  </si>
  <si>
    <t>02:56:50</t>
  </si>
  <si>
    <t>03:11:03</t>
  </si>
  <si>
    <t>03:20:36</t>
  </si>
  <si>
    <t>03:30:21</t>
  </si>
  <si>
    <t>03:47:11</t>
  </si>
  <si>
    <t>06:02:16</t>
  </si>
  <si>
    <t>06:12:22</t>
  </si>
  <si>
    <t>06:54:31</t>
  </si>
  <si>
    <t>11:39:54</t>
  </si>
  <si>
    <t>08:07:54</t>
  </si>
  <si>
    <t>08:08:40</t>
  </si>
  <si>
    <t>08:09:12</t>
  </si>
  <si>
    <t>08:10:08</t>
  </si>
  <si>
    <t>14:30:09</t>
  </si>
  <si>
    <t>18:15:40</t>
  </si>
  <si>
    <t>08:10:11</t>
  </si>
  <si>
    <t>08:10:19</t>
  </si>
  <si>
    <t>08:11:29</t>
  </si>
  <si>
    <t>08:11:32</t>
  </si>
  <si>
    <t>11:38:31</t>
  </si>
  <si>
    <t>08:12:19</t>
  </si>
  <si>
    <t>08:13:16</t>
  </si>
  <si>
    <t>08:14:42</t>
  </si>
  <si>
    <t>08:14:51</t>
  </si>
  <si>
    <t>08:25:08</t>
  </si>
  <si>
    <t>08:26:47</t>
  </si>
  <si>
    <t>08:27:15</t>
  </si>
  <si>
    <t>08:28:55</t>
  </si>
  <si>
    <t>08:29:42</t>
  </si>
  <si>
    <t>08:29:58</t>
  </si>
  <si>
    <t>08:38:12</t>
  </si>
  <si>
    <t>08:43:37</t>
  </si>
  <si>
    <t>08:45:49</t>
  </si>
  <si>
    <t>08:56:39</t>
  </si>
  <si>
    <t>09:01:35</t>
  </si>
  <si>
    <t>09:04:00</t>
  </si>
  <si>
    <t>12:34:28</t>
  </si>
  <si>
    <t>09:10:21</t>
  </si>
  <si>
    <t>09:12:47</t>
  </si>
  <si>
    <t>09:13:32</t>
  </si>
  <si>
    <t>09:13:38</t>
  </si>
  <si>
    <t>09:21:09</t>
  </si>
  <si>
    <t>09:30:13</t>
  </si>
  <si>
    <t>09:31:08</t>
  </si>
  <si>
    <t>09:34:04</t>
  </si>
  <si>
    <t>09:42:24</t>
  </si>
  <si>
    <t>10:20:01</t>
  </si>
  <si>
    <t>10:27:56</t>
  </si>
  <si>
    <t>10:31:41</t>
  </si>
  <si>
    <t>10:53:28</t>
  </si>
  <si>
    <t>11:02:34</t>
  </si>
  <si>
    <t>11:06:02</t>
  </si>
  <si>
    <t>11:25:20</t>
  </si>
  <si>
    <t>11:30:45</t>
  </si>
  <si>
    <t>11:40:30</t>
  </si>
  <si>
    <t>11:44:02</t>
  </si>
  <si>
    <t>12:10:37</t>
  </si>
  <si>
    <t>12:10:55</t>
  </si>
  <si>
    <t>12:24:02</t>
  </si>
  <si>
    <t>13:12:06</t>
  </si>
  <si>
    <t>13:19:10</t>
  </si>
  <si>
    <t>13:34:29</t>
  </si>
  <si>
    <t>13:39:10</t>
  </si>
  <si>
    <t>14:47:51</t>
  </si>
  <si>
    <t>14:53:32</t>
  </si>
  <si>
    <t>15:22:48</t>
  </si>
  <si>
    <t>15:35:34</t>
  </si>
  <si>
    <t>15:44:12</t>
  </si>
  <si>
    <t>15:50:18</t>
  </si>
  <si>
    <t>16:05:38</t>
  </si>
  <si>
    <t>16:56:26</t>
  </si>
  <si>
    <t>17:41:04</t>
  </si>
  <si>
    <t>21:06:46</t>
  </si>
  <si>
    <t>22:01:14</t>
  </si>
  <si>
    <t>22:04:38</t>
  </si>
  <si>
    <t>22:17:02</t>
  </si>
  <si>
    <t>22:35:09</t>
  </si>
  <si>
    <t>22:35:48</t>
  </si>
  <si>
    <t>22:37:43</t>
  </si>
  <si>
    <t>22:37:58</t>
  </si>
  <si>
    <t>22:44:25</t>
  </si>
  <si>
    <t>22:44:29</t>
  </si>
  <si>
    <t>22:44:58</t>
  </si>
  <si>
    <t>22:45:59</t>
  </si>
  <si>
    <t>22:50:22</t>
  </si>
  <si>
    <t>23:08:56</t>
  </si>
  <si>
    <t>23:11:24</t>
  </si>
  <si>
    <t>23:14:42</t>
  </si>
  <si>
    <t>23:15:36</t>
  </si>
  <si>
    <t>13:31:34</t>
  </si>
  <si>
    <t>23:17:33</t>
  </si>
  <si>
    <t>23:20:31</t>
  </si>
  <si>
    <t>23:46:33</t>
  </si>
  <si>
    <t>23:50:40</t>
  </si>
  <si>
    <t>23:51:07</t>
  </si>
  <si>
    <t>23:59:09</t>
  </si>
  <si>
    <t>00:09:42</t>
  </si>
  <si>
    <t>00:14:40</t>
  </si>
  <si>
    <t>00:15:29</t>
  </si>
  <si>
    <t>00:15:59</t>
  </si>
  <si>
    <t>00:17:01</t>
  </si>
  <si>
    <t>00:24:16</t>
  </si>
  <si>
    <t>00:26:35</t>
  </si>
  <si>
    <t>00:39:33</t>
  </si>
  <si>
    <t>00:48:20</t>
  </si>
  <si>
    <t>00:49:21</t>
  </si>
  <si>
    <t>00:59:36</t>
  </si>
  <si>
    <t>01:00:20</t>
  </si>
  <si>
    <t>01:08:18</t>
  </si>
  <si>
    <t>01:18:26</t>
  </si>
  <si>
    <t>01:20:12</t>
  </si>
  <si>
    <t>01:26:06</t>
  </si>
  <si>
    <t>01:34:02</t>
  </si>
  <si>
    <t>01:40:13</t>
  </si>
  <si>
    <t>01:45:49</t>
  </si>
  <si>
    <t>01:49:23</t>
  </si>
  <si>
    <t>02:20:01</t>
  </si>
  <si>
    <t>02:24:22</t>
  </si>
  <si>
    <t>02:27:39</t>
  </si>
  <si>
    <t>02:44:01</t>
  </si>
  <si>
    <t>02:44:18</t>
  </si>
  <si>
    <t>02:46:41</t>
  </si>
  <si>
    <t>03:00:46</t>
  </si>
  <si>
    <t>03:04:45</t>
  </si>
  <si>
    <t>03:06:07</t>
  </si>
  <si>
    <t>03:10:13</t>
  </si>
  <si>
    <t>03:11:55</t>
  </si>
  <si>
    <t>03:19:01</t>
  </si>
  <si>
    <t>03:21:56</t>
  </si>
  <si>
    <t>03:32:10</t>
  </si>
  <si>
    <t>03:33:29</t>
  </si>
  <si>
    <t>03:50:16</t>
  </si>
  <si>
    <t>04:04:21</t>
  </si>
  <si>
    <t>04:11:03</t>
  </si>
  <si>
    <t>04:12:22</t>
  </si>
  <si>
    <t>04:14:18</t>
  </si>
  <si>
    <t>04:17:07</t>
  </si>
  <si>
    <t>04:21:24</t>
  </si>
  <si>
    <t>04:21:45</t>
  </si>
  <si>
    <t>04:27:05</t>
  </si>
  <si>
    <t>04:31:33</t>
  </si>
  <si>
    <t>04:37:51</t>
  </si>
  <si>
    <t>04:45:08</t>
  </si>
  <si>
    <t>05:12:12</t>
  </si>
  <si>
    <t>05:19:13</t>
  </si>
  <si>
    <t>05:35:02</t>
  </si>
  <si>
    <t>05:38:57</t>
  </si>
  <si>
    <t>05:45:06</t>
  </si>
  <si>
    <t>08:38:55</t>
  </si>
  <si>
    <t>05:52:20</t>
  </si>
  <si>
    <t>05:55:47</t>
  </si>
  <si>
    <t>06:05:08</t>
  </si>
  <si>
    <t>06:14:36</t>
  </si>
  <si>
    <t>06:29:03</t>
  </si>
  <si>
    <t>04:15:35</t>
  </si>
  <si>
    <t>06:54:15</t>
  </si>
  <si>
    <t>07:16:02</t>
  </si>
  <si>
    <t>07:39:30</t>
  </si>
  <si>
    <t>07:41:33</t>
  </si>
  <si>
    <t>01:11:28</t>
  </si>
  <si>
    <t>07:51:07</t>
  </si>
  <si>
    <t>08:28:01</t>
  </si>
  <si>
    <t>08:51:50</t>
  </si>
  <si>
    <t>09:05:32</t>
  </si>
  <si>
    <t>09:07:47</t>
  </si>
  <si>
    <t>09:16:23</t>
  </si>
  <si>
    <t>09:24:11</t>
  </si>
  <si>
    <t>09:25:39</t>
  </si>
  <si>
    <t>09:48:27</t>
  </si>
  <si>
    <t>22:26:21</t>
  </si>
  <si>
    <t>09:53:11</t>
  </si>
  <si>
    <t>09:55:08</t>
  </si>
  <si>
    <t>10:06:42</t>
  </si>
  <si>
    <t>10:08:25</t>
  </si>
  <si>
    <t>10:08:41</t>
  </si>
  <si>
    <t>10:09:34</t>
  </si>
  <si>
    <t>10:11:26</t>
  </si>
  <si>
    <t>10:11:28</t>
  </si>
  <si>
    <t>10:15:02</t>
  </si>
  <si>
    <t>10:15:05</t>
  </si>
  <si>
    <t>10:19:45</t>
  </si>
  <si>
    <t>10:19:55</t>
  </si>
  <si>
    <t>10:19:43</t>
  </si>
  <si>
    <t>10:23:26</t>
  </si>
  <si>
    <t>10:23:24</t>
  </si>
  <si>
    <t>10:23:28</t>
  </si>
  <si>
    <t>10:24:55</t>
  </si>
  <si>
    <t>10:28:00</t>
  </si>
  <si>
    <t>10:29:09</t>
  </si>
  <si>
    <t>10:38:56</t>
  </si>
  <si>
    <t>10:40:03</t>
  </si>
  <si>
    <t>10:45:16</t>
  </si>
  <si>
    <t>10:45:20</t>
  </si>
  <si>
    <t>10:54:48</t>
  </si>
  <si>
    <t>10:32:02</t>
  </si>
  <si>
    <t>10:55:53</t>
  </si>
  <si>
    <t>11:08:43</t>
  </si>
  <si>
    <t>11:09:01</t>
  </si>
  <si>
    <t>11:15:48</t>
  </si>
  <si>
    <t>11:20:36</t>
  </si>
  <si>
    <t>11:23:53</t>
  </si>
  <si>
    <t>11:36:57</t>
  </si>
  <si>
    <t>11:40:57</t>
  </si>
  <si>
    <t>06:45:53</t>
  </si>
  <si>
    <t>10:05:28</t>
  </si>
  <si>
    <t>10:05:32</t>
  </si>
  <si>
    <t>10:08:53</t>
  </si>
  <si>
    <t>10:08:58</t>
  </si>
  <si>
    <t>11:48:27</t>
  </si>
  <si>
    <t>11:49:02</t>
  </si>
  <si>
    <t>11:52:22</t>
  </si>
  <si>
    <t>12:04:15</t>
  </si>
  <si>
    <t>12:05:18</t>
  </si>
  <si>
    <t>12:59:26</t>
  </si>
  <si>
    <t>13:15:52</t>
  </si>
  <si>
    <t>13:57:43</t>
  </si>
  <si>
    <t>14:00:16</t>
  </si>
  <si>
    <t>14:02:28</t>
  </si>
  <si>
    <t>10:17:51</t>
  </si>
  <si>
    <t>14:10:23</t>
  </si>
  <si>
    <t>14:44:32</t>
  </si>
  <si>
    <t>00:20:40</t>
  </si>
  <si>
    <t>07:27:57</t>
  </si>
  <si>
    <t>05:00:23</t>
  </si>
  <si>
    <t>06:00:48</t>
  </si>
  <si>
    <t>15:18:23</t>
  </si>
  <si>
    <t>15:46:38</t>
  </si>
  <si>
    <t>15:51:10</t>
  </si>
  <si>
    <t>16:34:25</t>
  </si>
  <si>
    <t>16:39:04</t>
  </si>
  <si>
    <t>16:53:04</t>
  </si>
  <si>
    <t>17:45:04</t>
  </si>
  <si>
    <t>18:01:24</t>
  </si>
  <si>
    <t>18:07:23</t>
  </si>
  <si>
    <t>18:34:06</t>
  </si>
  <si>
    <t>00:58:09</t>
  </si>
  <si>
    <t>19:47:06</t>
  </si>
  <si>
    <t>01:01:43</t>
  </si>
  <si>
    <t>01:34:11</t>
  </si>
  <si>
    <t>01:36:32</t>
  </si>
  <si>
    <t>01:56:46</t>
  </si>
  <si>
    <t>02:03:32</t>
  </si>
  <si>
    <t>02:12:10</t>
  </si>
  <si>
    <t>02:24:29</t>
  </si>
  <si>
    <t>03:02:09</t>
  </si>
  <si>
    <t>03:00:00</t>
  </si>
  <si>
    <t>16:00:02</t>
  </si>
  <si>
    <t>03:20:00</t>
  </si>
  <si>
    <t>02:30:00</t>
  </si>
  <si>
    <t>03:30:00</t>
  </si>
  <si>
    <t>03:30:44</t>
  </si>
  <si>
    <t>03:35:00</t>
  </si>
  <si>
    <t>03:51:45</t>
  </si>
  <si>
    <t>04:17:34</t>
  </si>
  <si>
    <t>04:17:40</t>
  </si>
  <si>
    <t>04:18:39</t>
  </si>
  <si>
    <t>04:20:05</t>
  </si>
  <si>
    <t>04:20:12</t>
  </si>
  <si>
    <t>04:31:19</t>
  </si>
  <si>
    <t>04:32:21</t>
  </si>
  <si>
    <t>04:45:41</t>
  </si>
  <si>
    <t>04:56:38</t>
  </si>
  <si>
    <t>04:57:46</t>
  </si>
  <si>
    <t>05:01:24</t>
  </si>
  <si>
    <t>05:12:23</t>
  </si>
  <si>
    <t>05:33:04</t>
  </si>
  <si>
    <t>05:55:15</t>
  </si>
  <si>
    <t>06:28:04</t>
  </si>
  <si>
    <t>06:30:21</t>
  </si>
  <si>
    <t>06:47:32</t>
  </si>
  <si>
    <t>06:04:54</t>
  </si>
  <si>
    <t>06:47:30</t>
  </si>
  <si>
    <t>06:47:52</t>
  </si>
  <si>
    <t>06:54:19</t>
  </si>
  <si>
    <t>06:58:25</t>
  </si>
  <si>
    <t>07:05:38</t>
  </si>
  <si>
    <t>07:06:31</t>
  </si>
  <si>
    <t>07:08:21</t>
  </si>
  <si>
    <t>09:18:37</t>
  </si>
  <si>
    <t>07:15:15</t>
  </si>
  <si>
    <t>12:44:39</t>
  </si>
  <si>
    <t>07:15:44</t>
  </si>
  <si>
    <t>09:18:52</t>
  </si>
  <si>
    <t>07:18:05</t>
  </si>
  <si>
    <t>07:18:08</t>
  </si>
  <si>
    <t>07:18:15</t>
  </si>
  <si>
    <t>07:20:00</t>
  </si>
  <si>
    <t>00:23:50</t>
  </si>
  <si>
    <t>07:21:17</t>
  </si>
  <si>
    <t>07:35:49</t>
  </si>
  <si>
    <t>05:26:02</t>
  </si>
  <si>
    <t>08:11:03</t>
  </si>
  <si>
    <t>08:58:27</t>
  </si>
  <si>
    <t>09:43:59</t>
  </si>
  <si>
    <t>10:00:27</t>
  </si>
  <si>
    <t>10:09:01</t>
  </si>
  <si>
    <t>11:19:46</t>
  </si>
  <si>
    <t>11:43:16</t>
  </si>
  <si>
    <t>12:08:19</t>
  </si>
  <si>
    <t>07:26:22</t>
  </si>
  <si>
    <t>12:21:13</t>
  </si>
  <si>
    <t>12:25:16</t>
  </si>
  <si>
    <t>12:25:55</t>
  </si>
  <si>
    <t>12:36:50</t>
  </si>
  <si>
    <t>13:10:31</t>
  </si>
  <si>
    <t>13:14:09</t>
  </si>
  <si>
    <t>13:42:27</t>
  </si>
  <si>
    <t>13:42:44</t>
  </si>
  <si>
    <t>13:59:55</t>
  </si>
  <si>
    <t>14:23:27</t>
  </si>
  <si>
    <t>14:34:47</t>
  </si>
  <si>
    <t>14:49:21</t>
  </si>
  <si>
    <t>14:46:11</t>
  </si>
  <si>
    <t>14:50:00</t>
  </si>
  <si>
    <t>15:23:26</t>
  </si>
  <si>
    <t>15:28:16</t>
  </si>
  <si>
    <t>09:03:15</t>
  </si>
  <si>
    <t>07:08:42</t>
  </si>
  <si>
    <t>07:18:41</t>
  </si>
  <si>
    <t>14:36:17</t>
  </si>
  <si>
    <t>15:31:04</t>
  </si>
  <si>
    <t>15:54:54</t>
  </si>
  <si>
    <t>16:02:11</t>
  </si>
  <si>
    <t>07:59:30</t>
  </si>
  <si>
    <t>16:08:53</t>
  </si>
  <si>
    <t>16:54:14</t>
  </si>
  <si>
    <t>19:04:46</t>
  </si>
  <si>
    <t>17:09:55</t>
  </si>
  <si>
    <t>18:05:06</t>
  </si>
  <si>
    <t>18:05:09</t>
  </si>
  <si>
    <t>18:05:13</t>
  </si>
  <si>
    <t>18:05:15</t>
  </si>
  <si>
    <t>18:05:18</t>
  </si>
  <si>
    <t>03:16:45</t>
  </si>
  <si>
    <t>05:39:55</t>
  </si>
  <si>
    <t>18:07:29</t>
  </si>
  <si>
    <t>18:02:16</t>
  </si>
  <si>
    <t>18:06:34</t>
  </si>
  <si>
    <t>18:07:15</t>
  </si>
  <si>
    <t>18:07:25</t>
  </si>
  <si>
    <t>18:08:26</t>
  </si>
  <si>
    <t>18:13:18</t>
  </si>
  <si>
    <t>18:16:10</t>
  </si>
  <si>
    <t>18:22:43</t>
  </si>
  <si>
    <t>18:38:54</t>
  </si>
  <si>
    <t>18:44:09</t>
  </si>
  <si>
    <t>19:34:45</t>
  </si>
  <si>
    <t>19:58:56</t>
  </si>
  <si>
    <t>19:59:03</t>
  </si>
  <si>
    <t>19:59:18</t>
  </si>
  <si>
    <t>23:25:45</t>
  </si>
  <si>
    <t>12:18:31</t>
  </si>
  <si>
    <t>23:29:04</t>
  </si>
  <si>
    <t>17:47:17</t>
  </si>
  <si>
    <t>00:54:24</t>
  </si>
  <si>
    <t>00:54:59</t>
  </si>
  <si>
    <t>01:06:23</t>
  </si>
  <si>
    <t>01:08:13</t>
  </si>
  <si>
    <t>01:12:44</t>
  </si>
  <si>
    <t>01:15:22</t>
  </si>
  <si>
    <t>02:01:09</t>
  </si>
  <si>
    <t>02:46:29</t>
  </si>
  <si>
    <t>03:03:13</t>
  </si>
  <si>
    <t>03:17:02</t>
  </si>
  <si>
    <t>03:31:34</t>
  </si>
  <si>
    <t>03:31:44</t>
  </si>
  <si>
    <t>03:34:56</t>
  </si>
  <si>
    <t>03:36:30</t>
  </si>
  <si>
    <t>03:18:31</t>
  </si>
  <si>
    <t>03:37:07</t>
  </si>
  <si>
    <t>03:15:46</t>
  </si>
  <si>
    <t>03:58:12</t>
  </si>
  <si>
    <t>10:54:52</t>
  </si>
  <si>
    <t>12:06:54</t>
  </si>
  <si>
    <t>03:18:54</t>
  </si>
  <si>
    <t>05:42:01</t>
  </si>
  <si>
    <t>09:23:41</t>
  </si>
  <si>
    <t>03:39:31</t>
  </si>
  <si>
    <t>04:09:18</t>
  </si>
  <si>
    <t>04:13:40</t>
  </si>
  <si>
    <t>04:33:20</t>
  </si>
  <si>
    <t>04:45:35</t>
  </si>
  <si>
    <t>05:02:06</t>
  </si>
  <si>
    <t>05:09:15</t>
  </si>
  <si>
    <t>05:30:03</t>
  </si>
  <si>
    <t>05:30:16</t>
  </si>
  <si>
    <t>05:30:40</t>
  </si>
  <si>
    <t>05:32:24</t>
  </si>
  <si>
    <t>05:32:37</t>
  </si>
  <si>
    <t>05:41:55</t>
  </si>
  <si>
    <t>06:05:12</t>
  </si>
  <si>
    <t>05:28:05</t>
  </si>
  <si>
    <t>05:28:22</t>
  </si>
  <si>
    <t>06:16:00</t>
  </si>
  <si>
    <t>06:16:43</t>
  </si>
  <si>
    <t>09:12:22</t>
  </si>
  <si>
    <t>06:18:00</t>
  </si>
  <si>
    <t>06:18:35</t>
  </si>
  <si>
    <t>06:19:06</t>
  </si>
  <si>
    <t>06:24:29</t>
  </si>
  <si>
    <t>06:27:54</t>
  </si>
  <si>
    <t>06:38:16</t>
  </si>
  <si>
    <t>18:20:37</t>
  </si>
  <si>
    <t>19:41:59</t>
  </si>
  <si>
    <t>06:44:40</t>
  </si>
  <si>
    <t>06:49:25</t>
  </si>
  <si>
    <t>12:17:23</t>
  </si>
  <si>
    <t>02:59:13</t>
  </si>
  <si>
    <t>06:49:33</t>
  </si>
  <si>
    <t>06:49:39</t>
  </si>
  <si>
    <t>06:54:50</t>
  </si>
  <si>
    <t>05:40:04</t>
  </si>
  <si>
    <t>06:56:18</t>
  </si>
  <si>
    <t>06:57:09</t>
  </si>
  <si>
    <t>07:24:58</t>
  </si>
  <si>
    <t>07:26:15</t>
  </si>
  <si>
    <t>07:32:13</t>
  </si>
  <si>
    <t>07:44:12</t>
  </si>
  <si>
    <t>07:44:16</t>
  </si>
  <si>
    <t>08:03:10</t>
  </si>
  <si>
    <t>08:05:51</t>
  </si>
  <si>
    <t>08:16:10</t>
  </si>
  <si>
    <t>08:28:28</t>
  </si>
  <si>
    <t>09:05:00</t>
  </si>
  <si>
    <t>09:05:38</t>
  </si>
  <si>
    <t>09:31:27</t>
  </si>
  <si>
    <t>18:42:18</t>
  </si>
  <si>
    <t>09:34:56</t>
  </si>
  <si>
    <t>10:43:12</t>
  </si>
  <si>
    <t>10:45:35</t>
  </si>
  <si>
    <t>21:59:52</t>
  </si>
  <si>
    <t>10:46:43</t>
  </si>
  <si>
    <t>10:47:26</t>
  </si>
  <si>
    <t>10:55:43</t>
  </si>
  <si>
    <t>11:05:53</t>
  </si>
  <si>
    <t>11:13:58</t>
  </si>
  <si>
    <t>11:16:58</t>
  </si>
  <si>
    <t>11:13:46</t>
  </si>
  <si>
    <t>11:25:00</t>
  </si>
  <si>
    <t>11:31:36</t>
  </si>
  <si>
    <t>11:44:10</t>
  </si>
  <si>
    <t>11:53:08</t>
  </si>
  <si>
    <t>12:06:56</t>
  </si>
  <si>
    <t>12:08:28</t>
  </si>
  <si>
    <t>12:10:15</t>
  </si>
  <si>
    <t>12:32:36</t>
  </si>
  <si>
    <t>08:43:24</t>
  </si>
  <si>
    <t>12:56:12</t>
  </si>
  <si>
    <t>12:51:06</t>
  </si>
  <si>
    <t>14:15:31</t>
  </si>
  <si>
    <t>14:31:01</t>
  </si>
  <si>
    <t>14:31:06</t>
  </si>
  <si>
    <t>14:43:14</t>
  </si>
  <si>
    <t>14:43:28</t>
  </si>
  <si>
    <t>14:44:41</t>
  </si>
  <si>
    <t>14:44:44</t>
  </si>
  <si>
    <t>14:44:48</t>
  </si>
  <si>
    <t>15:06:54</t>
  </si>
  <si>
    <t>15:32:10</t>
  </si>
  <si>
    <t>15:54:45</t>
  </si>
  <si>
    <t>16:45:08</t>
  </si>
  <si>
    <t>16:45:42</t>
  </si>
  <si>
    <t>16:53:24</t>
  </si>
  <si>
    <t>16:58:12</t>
  </si>
  <si>
    <t>23:02:46</t>
  </si>
  <si>
    <t>23:03:04</t>
  </si>
  <si>
    <t>23:02:38</t>
  </si>
  <si>
    <t>23:03:47</t>
  </si>
  <si>
    <t>00:03:00</t>
  </si>
  <si>
    <t>08:01:57</t>
  </si>
  <si>
    <t>01:08:37</t>
  </si>
  <si>
    <t>01:54:26</t>
  </si>
  <si>
    <t>01:58:54</t>
  </si>
  <si>
    <t>02:09:48</t>
  </si>
  <si>
    <t>04:10:39</t>
  </si>
  <si>
    <t>04:19:15</t>
  </si>
  <si>
    <t>05:50:09</t>
  </si>
  <si>
    <t>10:29:24</t>
  </si>
  <si>
    <t>08:39:37</t>
  </si>
  <si>
    <t>05:58:35</t>
  </si>
  <si>
    <t>06:00:06</t>
  </si>
  <si>
    <t>06:13:41</t>
  </si>
  <si>
    <t>06:18:53</t>
  </si>
  <si>
    <t>06:55:52</t>
  </si>
  <si>
    <t>07:07:54</t>
  </si>
  <si>
    <t>07:15:32</t>
  </si>
  <si>
    <t>07:17:44</t>
  </si>
  <si>
    <t>08:20:26</t>
  </si>
  <si>
    <t>08:27:55</t>
  </si>
  <si>
    <t>09:06:46</t>
  </si>
  <si>
    <t>09:40:26</t>
  </si>
  <si>
    <t>10:07:31</t>
  </si>
  <si>
    <t>07:24:59</t>
  </si>
  <si>
    <t>10:26:44</t>
  </si>
  <si>
    <t>11:07:10</t>
  </si>
  <si>
    <t>11:08:24</t>
  </si>
  <si>
    <t>15:13:35</t>
  </si>
  <si>
    <t>11:12:54</t>
  </si>
  <si>
    <t>11:17:24</t>
  </si>
  <si>
    <t>11:20:34</t>
  </si>
  <si>
    <t>17:58:07</t>
  </si>
  <si>
    <t>18:02:08</t>
  </si>
  <si>
    <t>18:02:24</t>
  </si>
  <si>
    <t>18:02:39</t>
  </si>
  <si>
    <t>18:02:55</t>
  </si>
  <si>
    <t>11:29:23</t>
  </si>
  <si>
    <t>11:31:03</t>
  </si>
  <si>
    <t>13:22:22</t>
  </si>
  <si>
    <t>14:34:56</t>
  </si>
  <si>
    <t>15:02:00</t>
  </si>
  <si>
    <t>15:22:33</t>
  </si>
  <si>
    <t>15:29:24</t>
  </si>
  <si>
    <t>15:41:01</t>
  </si>
  <si>
    <t>15:44:46</t>
  </si>
  <si>
    <t>16:22:20</t>
  </si>
  <si>
    <t>16:25:56</t>
  </si>
  <si>
    <t>17:44:25</t>
  </si>
  <si>
    <t>18:22:14</t>
  </si>
  <si>
    <t>23:12:09</t>
  </si>
  <si>
    <t>23:12:27</t>
  </si>
  <si>
    <t>23:35:29</t>
  </si>
  <si>
    <t>23:55:51</t>
  </si>
  <si>
    <t>01:05:35</t>
  </si>
  <si>
    <t>01:28:03</t>
  </si>
  <si>
    <t>01:07:03</t>
  </si>
  <si>
    <t>01:30:17</t>
  </si>
  <si>
    <t>01:38:50</t>
  </si>
  <si>
    <t>14:01:18</t>
  </si>
  <si>
    <t>14:01:12</t>
  </si>
  <si>
    <t>00:08:32</t>
  </si>
  <si>
    <t>00:08:39</t>
  </si>
  <si>
    <t>00:10:00</t>
  </si>
  <si>
    <t>11:59:37</t>
  </si>
  <si>
    <t>01:37:03</t>
  </si>
  <si>
    <t>01:38:37</t>
  </si>
  <si>
    <t>01:42:58</t>
  </si>
  <si>
    <t>01:43:37</t>
  </si>
  <si>
    <t>01:43:53</t>
  </si>
  <si>
    <t>01:45:02</t>
  </si>
  <si>
    <t>01:45:23</t>
  </si>
  <si>
    <t>01:46:45</t>
  </si>
  <si>
    <t>01:47:04</t>
  </si>
  <si>
    <t>01:57:50</t>
  </si>
  <si>
    <t>02:19:31</t>
  </si>
  <si>
    <t>02:40:00</t>
  </si>
  <si>
    <t>02:40:28</t>
  </si>
  <si>
    <t>02:50:33</t>
  </si>
  <si>
    <t>03:00:15</t>
  </si>
  <si>
    <t>03:00:17</t>
  </si>
  <si>
    <t>03:00:18</t>
  </si>
  <si>
    <t>03:00:53</t>
  </si>
  <si>
    <t>03:04:22</t>
  </si>
  <si>
    <t>07:18:50</t>
  </si>
  <si>
    <t>08:08:53</t>
  </si>
  <si>
    <t>05:58:52</t>
  </si>
  <si>
    <t>04:45:33</t>
  </si>
  <si>
    <t>11:04:03</t>
  </si>
  <si>
    <t>03:05:19</t>
  </si>
  <si>
    <t>03:06:58</t>
  </si>
  <si>
    <t>03:06:59</t>
  </si>
  <si>
    <t>03:07:14</t>
  </si>
  <si>
    <t>03:10:42</t>
  </si>
  <si>
    <t>03:10:09</t>
  </si>
  <si>
    <t>03:10:55</t>
  </si>
  <si>
    <t>03:16:40</t>
  </si>
  <si>
    <t>03:33:52</t>
  </si>
  <si>
    <t>14:55:12</t>
  </si>
  <si>
    <t>03:34:42</t>
  </si>
  <si>
    <t>03:50:08</t>
  </si>
  <si>
    <t>03:54:10</t>
  </si>
  <si>
    <t>03:54:16</t>
  </si>
  <si>
    <t>03:59:19</t>
  </si>
  <si>
    <t>04:09:03</t>
  </si>
  <si>
    <t>04:09:04</t>
  </si>
  <si>
    <t>04:18:08</t>
  </si>
  <si>
    <t>04:21:42</t>
  </si>
  <si>
    <t>04:22:17</t>
  </si>
  <si>
    <t>04:24:18</t>
  </si>
  <si>
    <t>04:29:20</t>
  </si>
  <si>
    <t>04:39:50</t>
  </si>
  <si>
    <t>04:41:51</t>
  </si>
  <si>
    <t>12:00:24</t>
  </si>
  <si>
    <t>04:47:51</t>
  </si>
  <si>
    <t>04:51:34</t>
  </si>
  <si>
    <t>04:52:33</t>
  </si>
  <si>
    <t>04:51:47</t>
  </si>
  <si>
    <t>04:54:09</t>
  </si>
  <si>
    <t>04:57:31</t>
  </si>
  <si>
    <t>11:15:26</t>
  </si>
  <si>
    <t>05:17:11</t>
  </si>
  <si>
    <t>10:43:50</t>
  </si>
  <si>
    <t>05:03:08</t>
  </si>
  <si>
    <t>10:27:09</t>
  </si>
  <si>
    <t>05:10:08</t>
  </si>
  <si>
    <t>05:13:10</t>
  </si>
  <si>
    <t>05:22:15</t>
  </si>
  <si>
    <t>05:30:17</t>
  </si>
  <si>
    <t>05:31:21</t>
  </si>
  <si>
    <t>05:33:24</t>
  </si>
  <si>
    <t>05:36:49</t>
  </si>
  <si>
    <t>05:41:13</t>
  </si>
  <si>
    <t>05:42:07</t>
  </si>
  <si>
    <t>05:49:01</t>
  </si>
  <si>
    <t>05:52:23</t>
  </si>
  <si>
    <t>06:23:59</t>
  </si>
  <si>
    <t>06:33:35</t>
  </si>
  <si>
    <t>06:35:16</t>
  </si>
  <si>
    <t>06:36:26</t>
  </si>
  <si>
    <t>06:46:05</t>
  </si>
  <si>
    <t>06:52:58</t>
  </si>
  <si>
    <t>06:53:32</t>
  </si>
  <si>
    <t>06:54:24</t>
  </si>
  <si>
    <t>06:57:43</t>
  </si>
  <si>
    <t>21:44:50</t>
  </si>
  <si>
    <t>07:00:55</t>
  </si>
  <si>
    <t>07:04:14</t>
  </si>
  <si>
    <t>07:07:20</t>
  </si>
  <si>
    <t>07:19:17</t>
  </si>
  <si>
    <t>07:21:43</t>
  </si>
  <si>
    <t>03:15:07</t>
  </si>
  <si>
    <t>07:24:06</t>
  </si>
  <si>
    <t>07:32:04</t>
  </si>
  <si>
    <t>07:32:06</t>
  </si>
  <si>
    <t>07:32:07</t>
  </si>
  <si>
    <t>03:49:02</t>
  </si>
  <si>
    <t>07:33:32</t>
  </si>
  <si>
    <t>07:40:33</t>
  </si>
  <si>
    <t>07:54:07</t>
  </si>
  <si>
    <t>07:54:53</t>
  </si>
  <si>
    <t>11:36:39</t>
  </si>
  <si>
    <t>07:55:20</t>
  </si>
  <si>
    <t>07:55:54</t>
  </si>
  <si>
    <t>07:57:25</t>
  </si>
  <si>
    <t>07:58:49</t>
  </si>
  <si>
    <t>07:59:04</t>
  </si>
  <si>
    <t>08:00:47</t>
  </si>
  <si>
    <t>08:03:57</t>
  </si>
  <si>
    <t>08:20:43</t>
  </si>
  <si>
    <t>08:04:20</t>
  </si>
  <si>
    <t>07:42:00</t>
  </si>
  <si>
    <t>08:06:04</t>
  </si>
  <si>
    <t>08:14:23</t>
  </si>
  <si>
    <t>08:16:27</t>
  </si>
  <si>
    <t>08:17:32</t>
  </si>
  <si>
    <t>05:23:37</t>
  </si>
  <si>
    <t>06:46:26</t>
  </si>
  <si>
    <t>09:28:12</t>
  </si>
  <si>
    <t>07:01:04</t>
  </si>
  <si>
    <t>02:39:00</t>
  </si>
  <si>
    <t>02:40:13</t>
  </si>
  <si>
    <t>02:47:23</t>
  </si>
  <si>
    <t>02:48:26</t>
  </si>
  <si>
    <t>02:48:58</t>
  </si>
  <si>
    <t>08:18:08</t>
  </si>
  <si>
    <t>08:22:38</t>
  </si>
  <si>
    <t>08:23:49</t>
  </si>
  <si>
    <t>08:30:19</t>
  </si>
  <si>
    <t>08:35:49</t>
  </si>
  <si>
    <t>08:36:25</t>
  </si>
  <si>
    <t>08:47:45</t>
  </si>
  <si>
    <t>08:48:51</t>
  </si>
  <si>
    <t>08:50:58</t>
  </si>
  <si>
    <t>08:52:57</t>
  </si>
  <si>
    <t>08:53:40</t>
  </si>
  <si>
    <t>08:54:11</t>
  </si>
  <si>
    <t>08:54:16</t>
  </si>
  <si>
    <t>08:54:46</t>
  </si>
  <si>
    <t>08:56:43</t>
  </si>
  <si>
    <t>04:15:01</t>
  </si>
  <si>
    <t>04:30:02</t>
  </si>
  <si>
    <t>08:57:06</t>
  </si>
  <si>
    <t>08:57:42</t>
  </si>
  <si>
    <t>12:36:11</t>
  </si>
  <si>
    <t>13:29:21</t>
  </si>
  <si>
    <t>08:58:06</t>
  </si>
  <si>
    <t>09:06:01</t>
  </si>
  <si>
    <t>11:28:47</t>
  </si>
  <si>
    <t>09:06:32</t>
  </si>
  <si>
    <t>09:06:33</t>
  </si>
  <si>
    <t>09:07:31</t>
  </si>
  <si>
    <t>09:12:54</t>
  </si>
  <si>
    <t>03:58:41</t>
  </si>
  <si>
    <t>09:22:38</t>
  </si>
  <si>
    <t>03:47:13</t>
  </si>
  <si>
    <t>09:25:45</t>
  </si>
  <si>
    <t>04:44:40</t>
  </si>
  <si>
    <t>09:29:56</t>
  </si>
  <si>
    <t>09:36:42</t>
  </si>
  <si>
    <t>09:38:45</t>
  </si>
  <si>
    <t>09:48:58</t>
  </si>
  <si>
    <t>09:55:32</t>
  </si>
  <si>
    <t>09:55:35</t>
  </si>
  <si>
    <t>09:56:27</t>
  </si>
  <si>
    <t>10:07:04</t>
  </si>
  <si>
    <t>10:12:07</t>
  </si>
  <si>
    <t>05:32:00</t>
  </si>
  <si>
    <t>05:41:26</t>
  </si>
  <si>
    <t>10:12:53</t>
  </si>
  <si>
    <t>10:15:50</t>
  </si>
  <si>
    <t>10:16:20</t>
  </si>
  <si>
    <t>10:19:26</t>
  </si>
  <si>
    <t>10:35:34</t>
  </si>
  <si>
    <t>10:36:31</t>
  </si>
  <si>
    <t>10:33:22</t>
  </si>
  <si>
    <t>10:38:32</t>
  </si>
  <si>
    <t>10:49:12</t>
  </si>
  <si>
    <t>10:51:01</t>
  </si>
  <si>
    <t>10:58:10</t>
  </si>
  <si>
    <t>10:59:57</t>
  </si>
  <si>
    <t>02:21:37</t>
  </si>
  <si>
    <t>11:05:37</t>
  </si>
  <si>
    <t>11:15:12</t>
  </si>
  <si>
    <t>11:17:29</t>
  </si>
  <si>
    <t>11:27:26</t>
  </si>
  <si>
    <t>11:29:14</t>
  </si>
  <si>
    <t>11:43:39</t>
  </si>
  <si>
    <t>11:46:58</t>
  </si>
  <si>
    <t>04:06:15</t>
  </si>
  <si>
    <t>11:52:16</t>
  </si>
  <si>
    <t>12:02:17</t>
  </si>
  <si>
    <t>12:04:34</t>
  </si>
  <si>
    <t>12:07:30</t>
  </si>
  <si>
    <t>12:09:46</t>
  </si>
  <si>
    <t>12:24:10</t>
  </si>
  <si>
    <t>11:43:51</t>
  </si>
  <si>
    <t>12:27:48</t>
  </si>
  <si>
    <t>12:28:02</t>
  </si>
  <si>
    <t>12:39:55</t>
  </si>
  <si>
    <t>13:02:29</t>
  </si>
  <si>
    <t>13:03:34</t>
  </si>
  <si>
    <t>13:03:44</t>
  </si>
  <si>
    <t>13:04:54</t>
  </si>
  <si>
    <t>13:05:54</t>
  </si>
  <si>
    <t>08:46:40</t>
  </si>
  <si>
    <t>13:08:23</t>
  </si>
  <si>
    <t>13:12:04</t>
  </si>
  <si>
    <t>23:14:24</t>
  </si>
  <si>
    <t>13:27:02</t>
  </si>
  <si>
    <t>13:27:04</t>
  </si>
  <si>
    <t>13:27:25</t>
  </si>
  <si>
    <t>13:28:22</t>
  </si>
  <si>
    <t>13:30:12</t>
  </si>
  <si>
    <t>13:33:45</t>
  </si>
  <si>
    <t>13:36:06</t>
  </si>
  <si>
    <t>13:37:54</t>
  </si>
  <si>
    <t>13:45:37</t>
  </si>
  <si>
    <t>13:45:46</t>
  </si>
  <si>
    <t>13:46:59</t>
  </si>
  <si>
    <t>13:52:09</t>
  </si>
  <si>
    <t>14:00:56</t>
  </si>
  <si>
    <t>14:03:23</t>
  </si>
  <si>
    <t>14:04:23</t>
  </si>
  <si>
    <t>14:07:30</t>
  </si>
  <si>
    <t>14:07:54</t>
  </si>
  <si>
    <t>14:09:57</t>
  </si>
  <si>
    <t>14:16:00</t>
  </si>
  <si>
    <t>11:57:39</t>
  </si>
  <si>
    <t>08:06:46</t>
  </si>
  <si>
    <t>08:04:00</t>
  </si>
  <si>
    <t>14:16:25</t>
  </si>
  <si>
    <t>14:24:47</t>
  </si>
  <si>
    <t>14:30:57</t>
  </si>
  <si>
    <t>14:30:59</t>
  </si>
  <si>
    <t>14:33:32</t>
  </si>
  <si>
    <t>14:36:01</t>
  </si>
  <si>
    <t>14:43:29</t>
  </si>
  <si>
    <t>01:00:17</t>
  </si>
  <si>
    <t>14:44:37</t>
  </si>
  <si>
    <t>01:14:15</t>
  </si>
  <si>
    <t>14:47:38</t>
  </si>
  <si>
    <t>15:08:35</t>
  </si>
  <si>
    <t>15:10:07</t>
  </si>
  <si>
    <t>15:16:44</t>
  </si>
  <si>
    <t>15:36:19</t>
  </si>
  <si>
    <t>15:48:28</t>
  </si>
  <si>
    <t>16:13:52</t>
  </si>
  <si>
    <t>13:00:47</t>
  </si>
  <si>
    <t>16:26:41</t>
  </si>
  <si>
    <t>16:26:59</t>
  </si>
  <si>
    <t>15:08:02</t>
  </si>
  <si>
    <t>16:56:03</t>
  </si>
  <si>
    <t>17:02:29</t>
  </si>
  <si>
    <t>17:08:27</t>
  </si>
  <si>
    <t>07:31:06</t>
  </si>
  <si>
    <t>17:10:11</t>
  </si>
  <si>
    <t>17:23:16</t>
  </si>
  <si>
    <t>04:31:04</t>
  </si>
  <si>
    <t>04:28:58</t>
  </si>
  <si>
    <t>19:11:15</t>
  </si>
  <si>
    <t>19:27:51</t>
  </si>
  <si>
    <t>22:30:27</t>
  </si>
  <si>
    <t>22:40:07</t>
  </si>
  <si>
    <t>09:52:07</t>
  </si>
  <si>
    <t>22:50:39</t>
  </si>
  <si>
    <t>23:47:29</t>
  </si>
  <si>
    <t>13:28:43</t>
  </si>
  <si>
    <t>00:15:17</t>
  </si>
  <si>
    <t>00:22:04</t>
  </si>
  <si>
    <t>06:28:18</t>
  </si>
  <si>
    <t>12:10:44</t>
  </si>
  <si>
    <t>15:33:38</t>
  </si>
  <si>
    <t>07:27:59</t>
  </si>
  <si>
    <t>00:14:35</t>
  </si>
  <si>
    <t>00:16:50</t>
  </si>
  <si>
    <t>10:03:50</t>
  </si>
  <si>
    <t>12:14:02</t>
  </si>
  <si>
    <t>01:05:37</t>
  </si>
  <si>
    <t>04:56:56</t>
  </si>
  <si>
    <t>06:44:26</t>
  </si>
  <si>
    <t>06:45:31</t>
  </si>
  <si>
    <t>04:23:58</t>
  </si>
  <si>
    <t>01:06:50</t>
  </si>
  <si>
    <t>00:32:56</t>
  </si>
  <si>
    <t>00:33:44</t>
  </si>
  <si>
    <t>08:49:55</t>
  </si>
  <si>
    <t>08:52:15</t>
  </si>
  <si>
    <t>00:54:23</t>
  </si>
  <si>
    <t>08:10:56</t>
  </si>
  <si>
    <t>12:22:11</t>
  </si>
  <si>
    <t>06:49:12</t>
  </si>
  <si>
    <t>01:06:26</t>
  </si>
  <si>
    <t>13:32:42</t>
  </si>
  <si>
    <t>00:48:11</t>
  </si>
  <si>
    <t>00:55:24</t>
  </si>
  <si>
    <t>02:30:46</t>
  </si>
  <si>
    <t>12:58:01</t>
  </si>
  <si>
    <t>14:38:46</t>
  </si>
  <si>
    <t>05:59:52</t>
  </si>
  <si>
    <t>01:04:36</t>
  </si>
  <si>
    <t>01:21:05</t>
  </si>
  <si>
    <t>02:48:28</t>
  </si>
  <si>
    <t>02:24:15</t>
  </si>
  <si>
    <t>10:20:00</t>
  </si>
  <si>
    <t>02:25:26</t>
  </si>
  <si>
    <t>10:22:17</t>
  </si>
  <si>
    <t>02:44:33</t>
  </si>
  <si>
    <t>02:46:05</t>
  </si>
  <si>
    <t>02:13:17</t>
  </si>
  <si>
    <t>10:19:21</t>
  </si>
  <si>
    <t>01:27:20</t>
  </si>
  <si>
    <t>01:29:58</t>
  </si>
  <si>
    <t>02:12:06</t>
  </si>
  <si>
    <t>01:33:02</t>
  </si>
  <si>
    <t>01:33:04</t>
  </si>
  <si>
    <t>11:10:32</t>
  </si>
  <si>
    <t>01:42:50</t>
  </si>
  <si>
    <t>01:48:45</t>
  </si>
  <si>
    <t>09:09:53</t>
  </si>
  <si>
    <t>10:00:24</t>
  </si>
  <si>
    <t>03:54:53</t>
  </si>
  <si>
    <t>02:18:36</t>
  </si>
  <si>
    <t>02:16:34</t>
  </si>
  <si>
    <t>09:55:25</t>
  </si>
  <si>
    <t>02:01:54</t>
  </si>
  <si>
    <t>02:07:11</t>
  </si>
  <si>
    <t>02:15:53</t>
  </si>
  <si>
    <t>01:39:24</t>
  </si>
  <si>
    <t>02:01:24</t>
  </si>
  <si>
    <t>02:21:40</t>
  </si>
  <si>
    <t>02:34:34</t>
  </si>
  <si>
    <t>02:44:15</t>
  </si>
  <si>
    <t>02:51:42</t>
  </si>
  <si>
    <t>02:52:36</t>
  </si>
  <si>
    <t>02:56:55</t>
  </si>
  <si>
    <t>02:59:12</t>
  </si>
  <si>
    <t>02:59:14</t>
  </si>
  <si>
    <t>02:59:50</t>
  </si>
  <si>
    <t>02:59:32</t>
  </si>
  <si>
    <t>02:59:45</t>
  </si>
  <si>
    <t>03:00:06</t>
  </si>
  <si>
    <t>02:59:07</t>
  </si>
  <si>
    <t>03:00:16</t>
  </si>
  <si>
    <t>02:59:22</t>
  </si>
  <si>
    <t>03:00:05</t>
  </si>
  <si>
    <t>03:20:52</t>
  </si>
  <si>
    <t>03:27:46</t>
  </si>
  <si>
    <t>03:53:45</t>
  </si>
  <si>
    <t>03:54:02</t>
  </si>
  <si>
    <t>03:54:39</t>
  </si>
  <si>
    <t>11:32:57</t>
  </si>
  <si>
    <t>07:51:41</t>
  </si>
  <si>
    <t>07:46:36</t>
  </si>
  <si>
    <t>14:14:12</t>
  </si>
  <si>
    <t>12:13:06</t>
  </si>
  <si>
    <t>02:44:40</t>
  </si>
  <si>
    <t>12:46:14</t>
  </si>
  <si>
    <t>03:54:42</t>
  </si>
  <si>
    <t>03:54:48</t>
  </si>
  <si>
    <t>03:54:52</t>
  </si>
  <si>
    <t>03:56:37</t>
  </si>
  <si>
    <t>04:01:28</t>
  </si>
  <si>
    <t>04:04:47</t>
  </si>
  <si>
    <t>04:01:33</t>
  </si>
  <si>
    <t>04:03:10</t>
  </si>
  <si>
    <t>04:04:57</t>
  </si>
  <si>
    <t>04:13:52</t>
  </si>
  <si>
    <t>22:43:04</t>
  </si>
  <si>
    <t>04:14:04</t>
  </si>
  <si>
    <t>04:19:08</t>
  </si>
  <si>
    <t>04:21:43</t>
  </si>
  <si>
    <t>06:21:08</t>
  </si>
  <si>
    <t>04:22:42</t>
  </si>
  <si>
    <t>13:41:40</t>
  </si>
  <si>
    <t>04:24:48</t>
  </si>
  <si>
    <t>04:25:28</t>
  </si>
  <si>
    <t>04:26:40</t>
  </si>
  <si>
    <t>04:28:40</t>
  </si>
  <si>
    <t>04:33:14</t>
  </si>
  <si>
    <t>04:48:18</t>
  </si>
  <si>
    <t>16:50:14</t>
  </si>
  <si>
    <t>04:00:05</t>
  </si>
  <si>
    <t>03:28:31</t>
  </si>
  <si>
    <t>05:00:05</t>
  </si>
  <si>
    <t>18:15:31</t>
  </si>
  <si>
    <t>18:45:28</t>
  </si>
  <si>
    <t>19:15:30</t>
  </si>
  <si>
    <t>19:45:29</t>
  </si>
  <si>
    <t>20:15:32</t>
  </si>
  <si>
    <t>20:45:30</t>
  </si>
  <si>
    <t>21:15:29</t>
  </si>
  <si>
    <t>21:45:29</t>
  </si>
  <si>
    <t>22:15:31</t>
  </si>
  <si>
    <t>22:45:29</t>
  </si>
  <si>
    <t>23:15:34</t>
  </si>
  <si>
    <t>23:45:29</t>
  </si>
  <si>
    <t>00:15:34</t>
  </si>
  <si>
    <t>00:45:29</t>
  </si>
  <si>
    <t>01:15:33</t>
  </si>
  <si>
    <t>01:45:29</t>
  </si>
  <si>
    <t>02:15:34</t>
  </si>
  <si>
    <t>02:45:30</t>
  </si>
  <si>
    <t>03:15:32</t>
  </si>
  <si>
    <t>03:45:30</t>
  </si>
  <si>
    <t>04:15:34</t>
  </si>
  <si>
    <t>04:45:29</t>
  </si>
  <si>
    <t>05:15:34</t>
  </si>
  <si>
    <t>05:45:29</t>
  </si>
  <si>
    <t>06:15:33</t>
  </si>
  <si>
    <t>06:45:29</t>
  </si>
  <si>
    <t>07:15:33</t>
  </si>
  <si>
    <t>07:45:29</t>
  </si>
  <si>
    <t>08:15:35</t>
  </si>
  <si>
    <t>09:15:33</t>
  </si>
  <si>
    <t>09:45:29</t>
  </si>
  <si>
    <t>10:15:33</t>
  </si>
  <si>
    <t>10:45:29</t>
  </si>
  <si>
    <t>11:15:35</t>
  </si>
  <si>
    <t>11:45:29</t>
  </si>
  <si>
    <t>12:15:33</t>
  </si>
  <si>
    <t>12:45:29</t>
  </si>
  <si>
    <t>13:45:30</t>
  </si>
  <si>
    <t>14:15:35</t>
  </si>
  <si>
    <t>14:45:30</t>
  </si>
  <si>
    <t>15:15:30</t>
  </si>
  <si>
    <t>15:45:28</t>
  </si>
  <si>
    <t>16:15:32</t>
  </si>
  <si>
    <t>16:45:28</t>
  </si>
  <si>
    <t>17:15:30</t>
  </si>
  <si>
    <t>17:45:30</t>
  </si>
  <si>
    <t>18:45:29</t>
  </si>
  <si>
    <t>19:45:28</t>
  </si>
  <si>
    <t>20:45:29</t>
  </si>
  <si>
    <t>21:45:28</t>
  </si>
  <si>
    <t>22:45:28</t>
  </si>
  <si>
    <t>23:15:33</t>
  </si>
  <si>
    <t>02:45:31</t>
  </si>
  <si>
    <t>03:15:33</t>
  </si>
  <si>
    <t>03:45:29</t>
  </si>
  <si>
    <t>05:15:33</t>
  </si>
  <si>
    <t>07:45:30</t>
  </si>
  <si>
    <t>08:45:30</t>
  </si>
  <si>
    <t>10:15:34</t>
  </si>
  <si>
    <t>11:15:34</t>
  </si>
  <si>
    <t>11:45:30</t>
  </si>
  <si>
    <t>12:15:34</t>
  </si>
  <si>
    <t>13:15:32</t>
  </si>
  <si>
    <t>13:45:29</t>
  </si>
  <si>
    <t>14:45:31</t>
  </si>
  <si>
    <t>15:15:29</t>
  </si>
  <si>
    <t>15:45:29</t>
  </si>
  <si>
    <t>16:15:31</t>
  </si>
  <si>
    <t>16:45:29</t>
  </si>
  <si>
    <t>17:15:29</t>
  </si>
  <si>
    <t>17:45:29</t>
  </si>
  <si>
    <t>20:45:32</t>
  </si>
  <si>
    <t>21:15:30</t>
  </si>
  <si>
    <t>22:45:30</t>
  </si>
  <si>
    <t>23:15:35</t>
  </si>
  <si>
    <t>00:15:33</t>
  </si>
  <si>
    <t>00:45:30</t>
  </si>
  <si>
    <t>02:15:35</t>
  </si>
  <si>
    <t>05:45:30</t>
  </si>
  <si>
    <t>06:15:34</t>
  </si>
  <si>
    <t>06:45:30</t>
  </si>
  <si>
    <t>07:15:34</t>
  </si>
  <si>
    <t>08:15:36</t>
  </si>
  <si>
    <t>10:45:30</t>
  </si>
  <si>
    <t>13:15:33</t>
  </si>
  <si>
    <t>17:15:31</t>
  </si>
  <si>
    <t>20:45:31</t>
  </si>
  <si>
    <t>00:15:35</t>
  </si>
  <si>
    <t>01:45:30</t>
  </si>
  <si>
    <t>05:15:36</t>
  </si>
  <si>
    <t>08:15:34</t>
  </si>
  <si>
    <t>08:45:31</t>
  </si>
  <si>
    <t>12:15:35</t>
  </si>
  <si>
    <t>20:15:31</t>
  </si>
  <si>
    <t>23:45:30</t>
  </si>
  <si>
    <t>02:15:38</t>
  </si>
  <si>
    <t>06:45:49</t>
  </si>
  <si>
    <t>09:15:32</t>
  </si>
  <si>
    <t>11:15:33</t>
  </si>
  <si>
    <t>12:45:30</t>
  </si>
  <si>
    <t>19:15:29</t>
  </si>
  <si>
    <t>03:15:34</t>
  </si>
  <si>
    <t>14:15:36</t>
  </si>
  <si>
    <t>16:45:31</t>
  </si>
  <si>
    <t>18:15:28</t>
  </si>
  <si>
    <t>18:45:32</t>
  </si>
  <si>
    <t>19:15:28</t>
  </si>
  <si>
    <t>19:45:30</t>
  </si>
  <si>
    <t>20:15:29</t>
  </si>
  <si>
    <t>20:45:34</t>
  </si>
  <si>
    <t>22:15:28</t>
  </si>
  <si>
    <t>00:15:32</t>
  </si>
  <si>
    <t>00:45:32</t>
  </si>
  <si>
    <t>01:15:32</t>
  </si>
  <si>
    <t>02:15:32</t>
  </si>
  <si>
    <t>02:45:32</t>
  </si>
  <si>
    <t>03:15:31</t>
  </si>
  <si>
    <t>04:15:31</t>
  </si>
  <si>
    <t>04:45:32</t>
  </si>
  <si>
    <t>05:45:31</t>
  </si>
  <si>
    <t>06:15:31</t>
  </si>
  <si>
    <t>07:45:32</t>
  </si>
  <si>
    <t>08:15:31</t>
  </si>
  <si>
    <t>08:45:33</t>
  </si>
  <si>
    <t>09:45:30</t>
  </si>
  <si>
    <t>10:15:32</t>
  </si>
  <si>
    <t>10:45:31</t>
  </si>
  <si>
    <t>11:45:31</t>
  </si>
  <si>
    <t>12:15:31</t>
  </si>
  <si>
    <t>12:45:32</t>
  </si>
  <si>
    <t>14:15:32</t>
  </si>
  <si>
    <t>14:45:32</t>
  </si>
  <si>
    <t>15:15:28</t>
  </si>
  <si>
    <t>15:45:30</t>
  </si>
  <si>
    <t>16:15:29</t>
  </si>
  <si>
    <t>16:45:32</t>
  </si>
  <si>
    <t>18:15:29</t>
  </si>
  <si>
    <t>18:45:31</t>
  </si>
  <si>
    <t>21:45:30</t>
  </si>
  <si>
    <t>22:15:29</t>
  </si>
  <si>
    <t>00:15:31</t>
  </si>
  <si>
    <t>00:45:31</t>
  </si>
  <si>
    <t>02:45:33</t>
  </si>
  <si>
    <t>06:45:32</t>
  </si>
  <si>
    <t>08:15:32</t>
  </si>
  <si>
    <t>08:45:32</t>
  </si>
  <si>
    <t>10:45:32</t>
  </si>
  <si>
    <t>12:45:33</t>
  </si>
  <si>
    <t>14:15:33</t>
  </si>
  <si>
    <t>15:15:59</t>
  </si>
  <si>
    <t>20:45:35</t>
  </si>
  <si>
    <t>01:15:31</t>
  </si>
  <si>
    <t>04:45:31</t>
  </si>
  <si>
    <t>06:15:32</t>
  </si>
  <si>
    <t>12:45:31</t>
  </si>
  <si>
    <t>14:45:33</t>
  </si>
  <si>
    <t>22:45:31</t>
  </si>
  <si>
    <t>05:17:01</t>
  </si>
  <si>
    <t>05:24:47</t>
  </si>
  <si>
    <t>1439296764700344322</t>
  </si>
  <si>
    <t>1439321684545359874</t>
  </si>
  <si>
    <t>1439321699283976194</t>
  </si>
  <si>
    <t>1439326199008796672</t>
  </si>
  <si>
    <t>1439360354258079744</t>
  </si>
  <si>
    <t>1439370706739875841</t>
  </si>
  <si>
    <t>1439380286953852931</t>
  </si>
  <si>
    <t>1439392988665286661</t>
  </si>
  <si>
    <t>1439399162479460357</t>
  </si>
  <si>
    <t>1439399512288628739</t>
  </si>
  <si>
    <t>1439405031376109573</t>
  </si>
  <si>
    <t>1439408496970113025</t>
  </si>
  <si>
    <t>1439415565618081793</t>
  </si>
  <si>
    <t>1439424640384847876</t>
  </si>
  <si>
    <t>1439421822395568130</t>
  </si>
  <si>
    <t>1439445773972692997</t>
  </si>
  <si>
    <t>1439449489199153158</t>
  </si>
  <si>
    <t>1439450489926533124</t>
  </si>
  <si>
    <t>1439451219085250566</t>
  </si>
  <si>
    <t>1439453915116834816</t>
  </si>
  <si>
    <t>1439455725231558658</t>
  </si>
  <si>
    <t>1439455747687936002</t>
  </si>
  <si>
    <t>1439460191230050306</t>
  </si>
  <si>
    <t>1439460772577378306</t>
  </si>
  <si>
    <t>1439461507700432899</t>
  </si>
  <si>
    <t>1439462744583913475</t>
  </si>
  <si>
    <t>1439452590937235460</t>
  </si>
  <si>
    <t>1439463562473181184</t>
  </si>
  <si>
    <t>1439471746445287426</t>
  </si>
  <si>
    <t>1439475078626902021</t>
  </si>
  <si>
    <t>1439485747044646919</t>
  </si>
  <si>
    <t>1439486995588333572</t>
  </si>
  <si>
    <t>1437422150508449794</t>
  </si>
  <si>
    <t>1439487502457311236</t>
  </si>
  <si>
    <t>1439487664051286016</t>
  </si>
  <si>
    <t>1439480368940285954</t>
  </si>
  <si>
    <t>1439480473110003713</t>
  </si>
  <si>
    <t>1439480768158306305</t>
  </si>
  <si>
    <t>1439487854409703427</t>
  </si>
  <si>
    <t>1439493731934085121</t>
  </si>
  <si>
    <t>1439497175604604932</t>
  </si>
  <si>
    <t>1439497563632115718</t>
  </si>
  <si>
    <t>1439499148537991176</t>
  </si>
  <si>
    <t>1439516757488586757</t>
  </si>
  <si>
    <t>1439530163700596740</t>
  </si>
  <si>
    <t>1439520318519853057</t>
  </si>
  <si>
    <t>1439531857742204933</t>
  </si>
  <si>
    <t>1439534890282676235</t>
  </si>
  <si>
    <t>1439424406422392841</t>
  </si>
  <si>
    <t>1439535467158917121</t>
  </si>
  <si>
    <t>1439538937836589064</t>
  </si>
  <si>
    <t>1439546374505123841</t>
  </si>
  <si>
    <t>1439546765892415493</t>
  </si>
  <si>
    <t>1439560648745119751</t>
  </si>
  <si>
    <t>1439564931871952899</t>
  </si>
  <si>
    <t>1438088747531132940</t>
  </si>
  <si>
    <t>1438088749875793924</t>
  </si>
  <si>
    <t>1439569234711826447</t>
  </si>
  <si>
    <t>1439569248892776449</t>
  </si>
  <si>
    <t>1439572806912512005</t>
  </si>
  <si>
    <t>1439582322550992898</t>
  </si>
  <si>
    <t>1439587401366597632</t>
  </si>
  <si>
    <t>1439592219292278786</t>
  </si>
  <si>
    <t>1439592297457340417</t>
  </si>
  <si>
    <t>1439593953330749445</t>
  </si>
  <si>
    <t>1439595157851033604</t>
  </si>
  <si>
    <t>1439604439686397953</t>
  </si>
  <si>
    <t>1439606885368299521</t>
  </si>
  <si>
    <t>1439607634923905033</t>
  </si>
  <si>
    <t>1439608001850068995</t>
  </si>
  <si>
    <t>1439609143371784197</t>
  </si>
  <si>
    <t>1439609914322604035</t>
  </si>
  <si>
    <t>1439609727206318084</t>
  </si>
  <si>
    <t>1439609896123580424</t>
  </si>
  <si>
    <t>1439609996472320000</t>
  </si>
  <si>
    <t>1439610160121450496</t>
  </si>
  <si>
    <t>1439611119102951432</t>
  </si>
  <si>
    <t>1439611930126139393</t>
  </si>
  <si>
    <t>1439612891351511041</t>
  </si>
  <si>
    <t>1439613170939666432</t>
  </si>
  <si>
    <t>1439613512142053378</t>
  </si>
  <si>
    <t>1439614171222446081</t>
  </si>
  <si>
    <t>1439614206546878464</t>
  </si>
  <si>
    <t>1439614765513396225</t>
  </si>
  <si>
    <t>1439614776275992578</t>
  </si>
  <si>
    <t>1439614840717279232</t>
  </si>
  <si>
    <t>1439614844899004421</t>
  </si>
  <si>
    <t>1439615862407778313</t>
  </si>
  <si>
    <t>1439620373213892614</t>
  </si>
  <si>
    <t>1439621334288326658</t>
  </si>
  <si>
    <t>1439621548487233541</t>
  </si>
  <si>
    <t>1439622372902924290</t>
  </si>
  <si>
    <t>1439622682413187074</t>
  </si>
  <si>
    <t>1439623686164647936</t>
  </si>
  <si>
    <t>1439625152270979078</t>
  </si>
  <si>
    <t>1439626343889596419</t>
  </si>
  <si>
    <t>1439626497526882304</t>
  </si>
  <si>
    <t>1439627851074998272</t>
  </si>
  <si>
    <t>1439628431344353284</t>
  </si>
  <si>
    <t>1439630191366590465</t>
  </si>
  <si>
    <t>1439632293006512141</t>
  </si>
  <si>
    <t>1439635736383221762</t>
  </si>
  <si>
    <t>1439638573158830087</t>
  </si>
  <si>
    <t>1439639979861237762</t>
  </si>
  <si>
    <t>1439643265104441347</t>
  </si>
  <si>
    <t>1439650636983726083</t>
  </si>
  <si>
    <t>1439652164750626821</t>
  </si>
  <si>
    <t>1439661568346656770</t>
  </si>
  <si>
    <t>1439682049019838468</t>
  </si>
  <si>
    <t>1439685355842641920</t>
  </si>
  <si>
    <t>1439716977795231747</t>
  </si>
  <si>
    <t>1439723851357704195</t>
  </si>
  <si>
    <t>1439724059298652162</t>
  </si>
  <si>
    <t>1439724719041773569</t>
  </si>
  <si>
    <t>1439724948671459329</t>
  </si>
  <si>
    <t>1439733570570895365</t>
  </si>
  <si>
    <t>1439737273675780097</t>
  </si>
  <si>
    <t>1439743192358924293</t>
  </si>
  <si>
    <t>1439743629870915586</t>
  </si>
  <si>
    <t>1439746092686475268</t>
  </si>
  <si>
    <t>1439748735001501700</t>
  </si>
  <si>
    <t>1439752093087141888</t>
  </si>
  <si>
    <t>1439764834531168262</t>
  </si>
  <si>
    <t>1439771379394498565</t>
  </si>
  <si>
    <t>1439771681929662464</t>
  </si>
  <si>
    <t>1439772730811953155</t>
  </si>
  <si>
    <t>1439742757812072448</t>
  </si>
  <si>
    <t>1439772777926443015</t>
  </si>
  <si>
    <t>1439773501276053504</t>
  </si>
  <si>
    <t>1439781761454469121</t>
  </si>
  <si>
    <t>1439783705816358912</t>
  </si>
  <si>
    <t>1439784371918032897</t>
  </si>
  <si>
    <t>1439786708225069066</t>
  </si>
  <si>
    <t>1439788509225652227</t>
  </si>
  <si>
    <t>1439788580532994055</t>
  </si>
  <si>
    <t>1439790047251681281</t>
  </si>
  <si>
    <t>1439788301188169736</t>
  </si>
  <si>
    <t>1439790277955239937</t>
  </si>
  <si>
    <t>1439798442495123460</t>
  </si>
  <si>
    <t>1439805532211007490</t>
  </si>
  <si>
    <t>1439806481667276803</t>
  </si>
  <si>
    <t>1439807414694408195</t>
  </si>
  <si>
    <t>1439808483751129088</t>
  </si>
  <si>
    <t>1439808834227245059</t>
  </si>
  <si>
    <t>1439538710513537029</t>
  </si>
  <si>
    <t>1439811638379515904</t>
  </si>
  <si>
    <t>1439812520974245891</t>
  </si>
  <si>
    <t>1439813186161577985</t>
  </si>
  <si>
    <t>1439821447195545605</t>
  </si>
  <si>
    <t>1439824702638149634</t>
  </si>
  <si>
    <t>1439590940331495426</t>
  </si>
  <si>
    <t>1439827202049073158</t>
  </si>
  <si>
    <t>1439827908130795522</t>
  </si>
  <si>
    <t>1439828359383453703</t>
  </si>
  <si>
    <t>1439828179779133444</t>
  </si>
  <si>
    <t>1439828934690938883</t>
  </si>
  <si>
    <t>1439833739882745859</t>
  </si>
  <si>
    <t>1439839680443273220</t>
  </si>
  <si>
    <t>1439844548096577543</t>
  </si>
  <si>
    <t>1424789420054499342</t>
  </si>
  <si>
    <t>1439849251698352129</t>
  </si>
  <si>
    <t>1439850609453133831</t>
  </si>
  <si>
    <t>1439850796628074498</t>
  </si>
  <si>
    <t>1439850834401980419</t>
  </si>
  <si>
    <t>1439851468358447105</t>
  </si>
  <si>
    <t>1439851613682683909</t>
  </si>
  <si>
    <t>1439852188000403460</t>
  </si>
  <si>
    <t>1439852881344020490</t>
  </si>
  <si>
    <t>1439854968593272844</t>
  </si>
  <si>
    <t>1439859583380381698</t>
  </si>
  <si>
    <t>1439860261259677701</t>
  </si>
  <si>
    <t>1439863988888616965</t>
  </si>
  <si>
    <t>1439865710361018370</t>
  </si>
  <si>
    <t>1439865734469849089</t>
  </si>
  <si>
    <t>1439865843534286856</t>
  </si>
  <si>
    <t>1439868312071016448</t>
  </si>
  <si>
    <t>1439870784869044232</t>
  </si>
  <si>
    <t>1439871068550823940</t>
  </si>
  <si>
    <t>1439871449070587909</t>
  </si>
  <si>
    <t>1439872017252028421</t>
  </si>
  <si>
    <t>1439873405726035968</t>
  </si>
  <si>
    <t>1439873873613180928</t>
  </si>
  <si>
    <t>1439876523616391180</t>
  </si>
  <si>
    <t>1439878177258569730</t>
  </si>
  <si>
    <t>1439878316819947522</t>
  </si>
  <si>
    <t>1439869487390412803</t>
  </si>
  <si>
    <t>1439882502882091016</t>
  </si>
  <si>
    <t>1439885166705582082</t>
  </si>
  <si>
    <t>1439885191816769538</t>
  </si>
  <si>
    <t>1439891096079716355</t>
  </si>
  <si>
    <t>1439891372941533184</t>
  </si>
  <si>
    <t>1439900992602992642</t>
  </si>
  <si>
    <t>1439901641013010436</t>
  </si>
  <si>
    <t>1439902098842263555</t>
  </si>
  <si>
    <t>1439902870468395012</t>
  </si>
  <si>
    <t>1439906130793091082</t>
  </si>
  <si>
    <t>1439491868769734658</t>
  </si>
  <si>
    <t>1439605709214085128</t>
  </si>
  <si>
    <t>1439906930613358593</t>
  </si>
  <si>
    <t>1439907942346731529</t>
  </si>
  <si>
    <t>1439908098764787716</t>
  </si>
  <si>
    <t>1439908239299153929</t>
  </si>
  <si>
    <t>1439908676731486213</t>
  </si>
  <si>
    <t>1439910450095820802</t>
  </si>
  <si>
    <t>1439910936844779526</t>
  </si>
  <si>
    <t>1439911684970201091</t>
  </si>
  <si>
    <t>1439912050474455040</t>
  </si>
  <si>
    <t>1439912858536402946</t>
  </si>
  <si>
    <t>1439912862105755649</t>
  </si>
  <si>
    <t>1439913402978111497</t>
  </si>
  <si>
    <t>1439914019565965313</t>
  </si>
  <si>
    <t>1439914244565131265</t>
  </si>
  <si>
    <t>1439914297589522434</t>
  </si>
  <si>
    <t>1439914325087457281</t>
  </si>
  <si>
    <t>1439902095369408514</t>
  </si>
  <si>
    <t>1439904891737047041</t>
  </si>
  <si>
    <t>1439914410831605769</t>
  </si>
  <si>
    <t>1439489683096932359</t>
  </si>
  <si>
    <t>1439491153120804865</t>
  </si>
  <si>
    <t>1439602267045257218</t>
  </si>
  <si>
    <t>1439605333488398337</t>
  </si>
  <si>
    <t>1439916077601869831</t>
  </si>
  <si>
    <t>1439916199534465029</t>
  </si>
  <si>
    <t>1439916387133054981</t>
  </si>
  <si>
    <t>1439916428195336199</t>
  </si>
  <si>
    <t>1439916505869611017</t>
  </si>
  <si>
    <t>1439916509514514432</t>
  </si>
  <si>
    <t>1439916511427129347</t>
  </si>
  <si>
    <t>1439916662443024384</t>
  </si>
  <si>
    <t>1439916811844145158</t>
  </si>
  <si>
    <t>1439917575052271618</t>
  </si>
  <si>
    <t>1439917640953188357</t>
  </si>
  <si>
    <t>1439918940310806528</t>
  </si>
  <si>
    <t>1439919312408481792</t>
  </si>
  <si>
    <t>1439921427017203717</t>
  </si>
  <si>
    <t>1439249503803133953</t>
  </si>
  <si>
    <t>1439925122140278784</t>
  </si>
  <si>
    <t>1439926742139826183</t>
  </si>
  <si>
    <t>1439929148911153153</t>
  </si>
  <si>
    <t>1439930323068805123</t>
  </si>
  <si>
    <t>1439932963710398489</t>
  </si>
  <si>
    <t>1439936401294995470</t>
  </si>
  <si>
    <t>1439936880775090179</t>
  </si>
  <si>
    <t>1439940546005327879</t>
  </si>
  <si>
    <t>1439941981879169030</t>
  </si>
  <si>
    <t>1439949200347779086</t>
  </si>
  <si>
    <t>1439950942405685251</t>
  </si>
  <si>
    <t>1439951098958147597</t>
  </si>
  <si>
    <t>1439956796580446220</t>
  </si>
  <si>
    <t>1439960288376201226</t>
  </si>
  <si>
    <t>1439960719982665737</t>
  </si>
  <si>
    <t>1439961033905348612</t>
  </si>
  <si>
    <t>1439961434125783044</t>
  </si>
  <si>
    <t>1439961564107481099</t>
  </si>
  <si>
    <t>1439966583435108352</t>
  </si>
  <si>
    <t>1439966963652956161</t>
  </si>
  <si>
    <t>1439967863050096648</t>
  </si>
  <si>
    <t>1439967872265064451</t>
  </si>
  <si>
    <t>1439968390882287619</t>
  </si>
  <si>
    <t>1439532303114399752</t>
  </si>
  <si>
    <t>1439972056733392901</t>
  </si>
  <si>
    <t>1439973567370698753</t>
  </si>
  <si>
    <t>1439973678049988613</t>
  </si>
  <si>
    <t>1439975016288845827</t>
  </si>
  <si>
    <t>1439982180164378631</t>
  </si>
  <si>
    <t>1439984042561134598</t>
  </si>
  <si>
    <t>1439986354545324038</t>
  </si>
  <si>
    <t>1439989530816233477</t>
  </si>
  <si>
    <t>1439990862260277250</t>
  </si>
  <si>
    <t>1439993966724726785</t>
  </si>
  <si>
    <t>1439997485175369729</t>
  </si>
  <si>
    <t>1439997541634826240</t>
  </si>
  <si>
    <t>1440007414221185024</t>
  </si>
  <si>
    <t>1440012330507505666</t>
  </si>
  <si>
    <t>1440013608738562051</t>
  </si>
  <si>
    <t>1440029940640931847</t>
  </si>
  <si>
    <t>1440073698858258432</t>
  </si>
  <si>
    <t>1440078340963004416</t>
  </si>
  <si>
    <t>1440091015952494600</t>
  </si>
  <si>
    <t>1440103635321450499</t>
  </si>
  <si>
    <t>1440110226141704195</t>
  </si>
  <si>
    <t>1440117132356845570</t>
  </si>
  <si>
    <t>1440121398827966470</t>
  </si>
  <si>
    <t>1440136845619187714</t>
  </si>
  <si>
    <t>1440137330807902221</t>
  </si>
  <si>
    <t>1440140006585106444</t>
  </si>
  <si>
    <t>1440142115082674186</t>
  </si>
  <si>
    <t>1440142913174847489</t>
  </si>
  <si>
    <t>1440146883591114754</t>
  </si>
  <si>
    <t>1440149189447483394</t>
  </si>
  <si>
    <t>1440149405500203014</t>
  </si>
  <si>
    <t>1440149412177534982</t>
  </si>
  <si>
    <t>1440149518234701828</t>
  </si>
  <si>
    <t>1440149740880990209</t>
  </si>
  <si>
    <t>1440149781829939204</t>
  </si>
  <si>
    <t>1440150193781964803</t>
  </si>
  <si>
    <t>1440152213481930764</t>
  </si>
  <si>
    <t>1440153387316617231</t>
  </si>
  <si>
    <t>1440153733115965441</t>
  </si>
  <si>
    <t>1440154083575271425</t>
  </si>
  <si>
    <t>1440154314882748420</t>
  </si>
  <si>
    <t>1440160422049431552</t>
  </si>
  <si>
    <t>1440160866796589064</t>
  </si>
  <si>
    <t>1440168351674683394</t>
  </si>
  <si>
    <t>1439603712679235588</t>
  </si>
  <si>
    <t>1439605235844976642</t>
  </si>
  <si>
    <t>1439605993155956740</t>
  </si>
  <si>
    <t>1439607404908269571</t>
  </si>
  <si>
    <t>1440168682747953155</t>
  </si>
  <si>
    <t>1440170228822904836</t>
  </si>
  <si>
    <t>1440171764231802891</t>
  </si>
  <si>
    <t>1440172760488022017</t>
  </si>
  <si>
    <t>1440175701051641860</t>
  </si>
  <si>
    <t>1440149131205353475</t>
  </si>
  <si>
    <t>1440179150141026312</t>
  </si>
  <si>
    <t>1440189652678316035</t>
  </si>
  <si>
    <t>1440196356572807171</t>
  </si>
  <si>
    <t>1440196376843874307</t>
  </si>
  <si>
    <t>1440207576222691340</t>
  </si>
  <si>
    <t>1440207966330703875</t>
  </si>
  <si>
    <t>1440208089479671814</t>
  </si>
  <si>
    <t>1440208760689942537</t>
  </si>
  <si>
    <t>1440209428704284672</t>
  </si>
  <si>
    <t>1440214104644349954</t>
  </si>
  <si>
    <t>1440219314934599684</t>
  </si>
  <si>
    <t>1431164947539447811</t>
  </si>
  <si>
    <t>1440220489763360768</t>
  </si>
  <si>
    <t>1440229258421358597</t>
  </si>
  <si>
    <t>1440234919389646849</t>
  </si>
  <si>
    <t>1440237614875889679</t>
  </si>
  <si>
    <t>1440240738822856709</t>
  </si>
  <si>
    <t>1440248279460048897</t>
  </si>
  <si>
    <t>1440249096783073283</t>
  </si>
  <si>
    <t>1440254827926220804</t>
  </si>
  <si>
    <t>1440257560309731333</t>
  </si>
  <si>
    <t>1438326397290758144</t>
  </si>
  <si>
    <t>1440261793650118656</t>
  </si>
  <si>
    <t>1440267756474040329</t>
  </si>
  <si>
    <t>1440267761129644035</t>
  </si>
  <si>
    <t>1440267782604476419</t>
  </si>
  <si>
    <t>1440272508461088772</t>
  </si>
  <si>
    <t>1431886631997374465</t>
  </si>
  <si>
    <t>1440274142893281295</t>
  </si>
  <si>
    <t>1440271081479172099</t>
  </si>
  <si>
    <t>1440277969964912645</t>
  </si>
  <si>
    <t>1440278154690527233</t>
  </si>
  <si>
    <t>1440278610158383118</t>
  </si>
  <si>
    <t>1440288065965092876</t>
  </si>
  <si>
    <t>1440291068386234371</t>
  </si>
  <si>
    <t>1440298360007651348</t>
  </si>
  <si>
    <t>1440300196538163200</t>
  </si>
  <si>
    <t>1440304366469091336</t>
  </si>
  <si>
    <t>1440310721401610242</t>
  </si>
  <si>
    <t>1440311767662432268</t>
  </si>
  <si>
    <t>1440314286090317825</t>
  </si>
  <si>
    <t>1440314304813694992</t>
  </si>
  <si>
    <t>1440318331072888852</t>
  </si>
  <si>
    <t>1440326182826696710</t>
  </si>
  <si>
    <t>1440335156657623044</t>
  </si>
  <si>
    <t>1440339534487515145</t>
  </si>
  <si>
    <t>1440342620379615233</t>
  </si>
  <si>
    <t>1440001343872135168</t>
  </si>
  <si>
    <t>1439525222428798980</t>
  </si>
  <si>
    <t>1439525319908618244</t>
  </si>
  <si>
    <t>1439525383754317824</t>
  </si>
  <si>
    <t>1439525985548791813</t>
  </si>
  <si>
    <t>1439586688443899925</t>
  </si>
  <si>
    <t>1439819732501209088</t>
  </si>
  <si>
    <t>1439823425464270855</t>
  </si>
  <si>
    <t>1440344942249840640</t>
  </si>
  <si>
    <t>1440195677804380160</t>
  </si>
  <si>
    <t>1440350676127682576</t>
  </si>
  <si>
    <t>1440350944491835392</t>
  </si>
  <si>
    <t>1440362988364464135</t>
  </si>
  <si>
    <t>1440378283279851523</t>
  </si>
  <si>
    <t>1440388043395846146</t>
  </si>
  <si>
    <t>1440392600435920897</t>
  </si>
  <si>
    <t>1440445782771978245</t>
  </si>
  <si>
    <t>1440456530529185796</t>
  </si>
  <si>
    <t>1440464326494547972</t>
  </si>
  <si>
    <t>1440468732715753478</t>
  </si>
  <si>
    <t>1439866135231426561</t>
  </si>
  <si>
    <t>1440487876278456325</t>
  </si>
  <si>
    <t>1440490280344453122</t>
  </si>
  <si>
    <t>1440490918461591558</t>
  </si>
  <si>
    <t>1440490920068071428</t>
  </si>
  <si>
    <t>1440491153174847492</t>
  </si>
  <si>
    <t>1440494083084939264</t>
  </si>
  <si>
    <t>1440501161044316165</t>
  </si>
  <si>
    <t>1440509958462656513</t>
  </si>
  <si>
    <t>1440510372331487233</t>
  </si>
  <si>
    <t>1440513947124203526</t>
  </si>
  <si>
    <t>1440516351869665282</t>
  </si>
  <si>
    <t>1440518805067685895</t>
  </si>
  <si>
    <t>1440523042262634504</t>
  </si>
  <si>
    <t>1440557036995964930</t>
  </si>
  <si>
    <t>1440559580509925379</t>
  </si>
  <si>
    <t>1440570185971236872</t>
  </si>
  <si>
    <t>1439917230318239744</t>
  </si>
  <si>
    <t>1440588654653566982</t>
  </si>
  <si>
    <t>1440588847461453825</t>
  </si>
  <si>
    <t>1440588981033312263</t>
  </si>
  <si>
    <t>1440589213615882242</t>
  </si>
  <si>
    <t>1439960073187442691</t>
  </si>
  <si>
    <t>1440016826436513792</t>
  </si>
  <si>
    <t>1440589228581142528</t>
  </si>
  <si>
    <t>1440589263649718273</t>
  </si>
  <si>
    <t>1440589554608525318</t>
  </si>
  <si>
    <t>1440589567787077641</t>
  </si>
  <si>
    <t>1439916881998082050</t>
  </si>
  <si>
    <t>1440589764386639879</t>
  </si>
  <si>
    <t>1440590003835334664</t>
  </si>
  <si>
    <t>1440590366793617412</t>
  </si>
  <si>
    <t>1440590402709426185</t>
  </si>
  <si>
    <t>1440592988627898371</t>
  </si>
  <si>
    <t>1440593405331980299</t>
  </si>
  <si>
    <t>1440593522961174529</t>
  </si>
  <si>
    <t>1440593941879877635</t>
  </si>
  <si>
    <t>1440594138244603909</t>
  </si>
  <si>
    <t>1440594208457302027</t>
  </si>
  <si>
    <t>1440596277914308612</t>
  </si>
  <si>
    <t>1440597642833129477</t>
  </si>
  <si>
    <t>1440598196355416077</t>
  </si>
  <si>
    <t>1440600921797390338</t>
  </si>
  <si>
    <t>1440602161444917255</t>
  </si>
  <si>
    <t>1440602772705984519</t>
  </si>
  <si>
    <t>1439930962972852228</t>
  </si>
  <si>
    <t>1440604369066463241</t>
  </si>
  <si>
    <t>1440604980004548614</t>
  </si>
  <si>
    <t>1440605172489539588</t>
  </si>
  <si>
    <t>1440605195373666308</t>
  </si>
  <si>
    <t>1440607088678367238</t>
  </si>
  <si>
    <t>1440609369935151113</t>
  </si>
  <si>
    <t>1440609600378576906</t>
  </si>
  <si>
    <t>1440610336281821187</t>
  </si>
  <si>
    <t>1440612433224081408</t>
  </si>
  <si>
    <t>1440621901609533446</t>
  </si>
  <si>
    <t>1440623892628869127</t>
  </si>
  <si>
    <t>1440624836544385031</t>
  </si>
  <si>
    <t>1440630318310969350</t>
  </si>
  <si>
    <t>1440632610334511105</t>
  </si>
  <si>
    <t>1440633480417669127</t>
  </si>
  <si>
    <t>1440638341301432331</t>
  </si>
  <si>
    <t>1440639703246458888</t>
  </si>
  <si>
    <t>1440642155337248771</t>
  </si>
  <si>
    <t>1440643047134416904</t>
  </si>
  <si>
    <t>1440649736592113673</t>
  </si>
  <si>
    <t>1440649809476546565</t>
  </si>
  <si>
    <t>1440653112016982019</t>
  </si>
  <si>
    <t>1440665207026507788</t>
  </si>
  <si>
    <t>1440666987848351744</t>
  </si>
  <si>
    <t>1440670842573115396</t>
  </si>
  <si>
    <t>1440672019939426321</t>
  </si>
  <si>
    <t>1440689304481660933</t>
  </si>
  <si>
    <t>1440690734978383878</t>
  </si>
  <si>
    <t>1440698098880106498</t>
  </si>
  <si>
    <t>1440701314099335177</t>
  </si>
  <si>
    <t>1440703485222158339</t>
  </si>
  <si>
    <t>1440705019452399621</t>
  </si>
  <si>
    <t>1440708877738135553</t>
  </si>
  <si>
    <t>1440721662626783237</t>
  </si>
  <si>
    <t>1440732896881299466</t>
  </si>
  <si>
    <t>1440784661676916740</t>
  </si>
  <si>
    <t>1440798369287344129</t>
  </si>
  <si>
    <t>1440799225235656705</t>
  </si>
  <si>
    <t>1440802344514383880</t>
  </si>
  <si>
    <t>1440806905123786756</t>
  </si>
  <si>
    <t>1440807065987870721</t>
  </si>
  <si>
    <t>1440807548370653188</t>
  </si>
  <si>
    <t>1440807611696226307</t>
  </si>
  <si>
    <t>1440809237605613582</t>
  </si>
  <si>
    <t>1440809251308376069</t>
  </si>
  <si>
    <t>1440809375166128138</t>
  </si>
  <si>
    <t>1440809631861776392</t>
  </si>
  <si>
    <t>1440810731612487683</t>
  </si>
  <si>
    <t>1440815407464476675</t>
  </si>
  <si>
    <t>1440816025943957505</t>
  </si>
  <si>
    <t>1440816856994963456</t>
  </si>
  <si>
    <t>1440817084376645633</t>
  </si>
  <si>
    <t>1440307720297463811</t>
  </si>
  <si>
    <t>1440817573231136768</t>
  </si>
  <si>
    <t>1440818320974835717</t>
  </si>
  <si>
    <t>1440824870950948869</t>
  </si>
  <si>
    <t>1440825908462452748</t>
  </si>
  <si>
    <t>1440826019879915525</t>
  </si>
  <si>
    <t>1440828041563807750</t>
  </si>
  <si>
    <t>1440830697606844421</t>
  </si>
  <si>
    <t>1440831948226654211</t>
  </si>
  <si>
    <t>1440832155274276864</t>
  </si>
  <si>
    <t>1440832279736061953</t>
  </si>
  <si>
    <t>1440832539757727745</t>
  </si>
  <si>
    <t>1440834365815017473</t>
  </si>
  <si>
    <t>1440834947380432896</t>
  </si>
  <si>
    <t>1440838208820944900</t>
  </si>
  <si>
    <t>1440840422683660294</t>
  </si>
  <si>
    <t>1440840676267081729</t>
  </si>
  <si>
    <t>1440843256678338572</t>
  </si>
  <si>
    <t>1440843440783171584</t>
  </si>
  <si>
    <t>1440845446709088265</t>
  </si>
  <si>
    <t>1440847997101756421</t>
  </si>
  <si>
    <t>1440848440330579974</t>
  </si>
  <si>
    <t>1440849925382631430</t>
  </si>
  <si>
    <t>1440851921888165899</t>
  </si>
  <si>
    <t>1440853476469141510</t>
  </si>
  <si>
    <t>1440854885130330121</t>
  </si>
  <si>
    <t>1440855785605517317</t>
  </si>
  <si>
    <t>1440863494824337413</t>
  </si>
  <si>
    <t>1440864587570581506</t>
  </si>
  <si>
    <t>1440865415479975937</t>
  </si>
  <si>
    <t>1440869531505680392</t>
  </si>
  <si>
    <t>1440869602821431302</t>
  </si>
  <si>
    <t>1440870203873583105</t>
  </si>
  <si>
    <t>1440873748677021702</t>
  </si>
  <si>
    <t>1440874753259020290</t>
  </si>
  <si>
    <t>1440875093706502152</t>
  </si>
  <si>
    <t>1440876127786913794</t>
  </si>
  <si>
    <t>1440876555069100037</t>
  </si>
  <si>
    <t>1440878339489615880</t>
  </si>
  <si>
    <t>1440879077167022084</t>
  </si>
  <si>
    <t>1440881651123318787</t>
  </si>
  <si>
    <t>1440881981571534851</t>
  </si>
  <si>
    <t>1440886207257329674</t>
  </si>
  <si>
    <t>1440889751758725120</t>
  </si>
  <si>
    <t>1440891437101375490</t>
  </si>
  <si>
    <t>1440891767633551366</t>
  </si>
  <si>
    <t>1440892255179460610</t>
  </si>
  <si>
    <t>1440892963169742848</t>
  </si>
  <si>
    <t>1440894041625808896</t>
  </si>
  <si>
    <t>1440894127848124416</t>
  </si>
  <si>
    <t>1440895470461542402</t>
  </si>
  <si>
    <t>1440896595239661570</t>
  </si>
  <si>
    <t>1440898178899791878</t>
  </si>
  <si>
    <t>1440900011558989833</t>
  </si>
  <si>
    <t>1440906823570132994</t>
  </si>
  <si>
    <t>1440908591301419021</t>
  </si>
  <si>
    <t>1440912569242427394</t>
  </si>
  <si>
    <t>1440913557877497856</t>
  </si>
  <si>
    <t>1440915105290416135</t>
  </si>
  <si>
    <t>1440596459716374531</t>
  </si>
  <si>
    <t>1440916922917294084</t>
  </si>
  <si>
    <t>1440917794367819779</t>
  </si>
  <si>
    <t>1440920144906055683</t>
  </si>
  <si>
    <t>1440922528050921472</t>
  </si>
  <si>
    <t>1440926163094827013</t>
  </si>
  <si>
    <t>1440892577113264136</t>
  </si>
  <si>
    <t>1440932508191780868</t>
  </si>
  <si>
    <t>1440937989081743363</t>
  </si>
  <si>
    <t>1440943895324487688</t>
  </si>
  <si>
    <t>1440944412192698372</t>
  </si>
  <si>
    <t>1440121466167578624</t>
  </si>
  <si>
    <t>1440946816229380097</t>
  </si>
  <si>
    <t>1440956102993084416</t>
  </si>
  <si>
    <t>1440962098855436288</t>
  </si>
  <si>
    <t>1440965544719491078</t>
  </si>
  <si>
    <t>1440966110061346820</t>
  </si>
  <si>
    <t>1440968274380877824</t>
  </si>
  <si>
    <t>1440970240381255680</t>
  </si>
  <si>
    <t>1440970606682333185</t>
  </si>
  <si>
    <t>1440976345220071425</t>
  </si>
  <si>
    <t>1436456033686212608</t>
  </si>
  <si>
    <t>1440977535676805120</t>
  </si>
  <si>
    <t>1440978028469755909</t>
  </si>
  <si>
    <t>1440980936481390600</t>
  </si>
  <si>
    <t>1440981371019661317</t>
  </si>
  <si>
    <t>1440981439135186944</t>
  </si>
  <si>
    <t>1440981658669182988</t>
  </si>
  <si>
    <t>1440982129911877632</t>
  </si>
  <si>
    <t>1440982139709755395</t>
  </si>
  <si>
    <t>1440983037420863493</t>
  </si>
  <si>
    <t>1440983048657408009</t>
  </si>
  <si>
    <t>1440984222815031300</t>
  </si>
  <si>
    <t>1440984263302660102</t>
  </si>
  <si>
    <t>1440984212874530825</t>
  </si>
  <si>
    <t>1440984264778993678</t>
  </si>
  <si>
    <t>1440985148829224961</t>
  </si>
  <si>
    <t>1440985142114222081</t>
  </si>
  <si>
    <t>1440985156655849475</t>
  </si>
  <si>
    <t>1440985522621403136</t>
  </si>
  <si>
    <t>1440986297250631683</t>
  </si>
  <si>
    <t>1440986588431798277</t>
  </si>
  <si>
    <t>1440989050173739011</t>
  </si>
  <si>
    <t>1440989331510870019</t>
  </si>
  <si>
    <t>1440990643153616897</t>
  </si>
  <si>
    <t>1440990660341821441</t>
  </si>
  <si>
    <t>1440993043562131458</t>
  </si>
  <si>
    <t>1440987313098551308</t>
  </si>
  <si>
    <t>1440993317446057985</t>
  </si>
  <si>
    <t>1440996547072696324</t>
  </si>
  <si>
    <t>1440996619101499395</t>
  </si>
  <si>
    <t>1440998329698029582</t>
  </si>
  <si>
    <t>1440999537846349831</t>
  </si>
  <si>
    <t>1441000361167233032</t>
  </si>
  <si>
    <t>1441003386933899266</t>
  </si>
  <si>
    <t>1441003649736445964</t>
  </si>
  <si>
    <t>1441004658026115072</t>
  </si>
  <si>
    <t>1440568012776505349</t>
  </si>
  <si>
    <t>1440980627927408644</t>
  </si>
  <si>
    <t>1440980645354766341</t>
  </si>
  <si>
    <t>1440981488330153988</t>
  </si>
  <si>
    <t>1440981509746270209</t>
  </si>
  <si>
    <t>1441006543562940421</t>
  </si>
  <si>
    <t>1441006691672150021</t>
  </si>
  <si>
    <t>1441007532047101962</t>
  </si>
  <si>
    <t>1441010522711740419</t>
  </si>
  <si>
    <t>1441010785719754753</t>
  </si>
  <si>
    <t>1441024408940736522</t>
  </si>
  <si>
    <t>1441028542846750724</t>
  </si>
  <si>
    <t>1441039074077278209</t>
  </si>
  <si>
    <t>1441039717298966537</t>
  </si>
  <si>
    <t>1441040272985452549</t>
  </si>
  <si>
    <t>1440983744546938883</t>
  </si>
  <si>
    <t>1441042265175035910</t>
  </si>
  <si>
    <t>1441050859027124227</t>
  </si>
  <si>
    <t>1439383905916776452</t>
  </si>
  <si>
    <t>1439853822390636551</t>
  </si>
  <si>
    <t>1440179075595735040</t>
  </si>
  <si>
    <t>1440556667309936648</t>
  </si>
  <si>
    <t>1441059376660246528</t>
  </si>
  <si>
    <t>1441066483547660290</t>
  </si>
  <si>
    <t>1441067626256474115</t>
  </si>
  <si>
    <t>1441078511259635720</t>
  </si>
  <si>
    <t>1441079682418429956</t>
  </si>
  <si>
    <t>1441083202798448644</t>
  </si>
  <si>
    <t>1441096288544575490</t>
  </si>
  <si>
    <t>1441100402548621320</t>
  </si>
  <si>
    <t>1441101904843476994</t>
  </si>
  <si>
    <t>1441108628904112128</t>
  </si>
  <si>
    <t>1441205279320723456</t>
  </si>
  <si>
    <t>1434241631708798980</t>
  </si>
  <si>
    <t>1441206175135985665</t>
  </si>
  <si>
    <t>1441214345422069760</t>
  </si>
  <si>
    <t>1441214937573978114</t>
  </si>
  <si>
    <t>1441220032344645636</t>
  </si>
  <si>
    <t>1441221732195471365</t>
  </si>
  <si>
    <t>1441223905859944455</t>
  </si>
  <si>
    <t>1441227006851444752</t>
  </si>
  <si>
    <t>1441236484246278149</t>
  </si>
  <si>
    <t>1439424006202052613</t>
  </si>
  <si>
    <t>1440707468519034896</t>
  </si>
  <si>
    <t>1441240975926509569</t>
  </si>
  <si>
    <t>1441228393303916544</t>
  </si>
  <si>
    <t>1441243493226229761</t>
  </si>
  <si>
    <t>1441243679591579653</t>
  </si>
  <si>
    <t>1441244751777255434</t>
  </si>
  <si>
    <t>1441248966910234634</t>
  </si>
  <si>
    <t>1441255465661308932</t>
  </si>
  <si>
    <t>1441255490940325894</t>
  </si>
  <si>
    <t>1441255738580504585</t>
  </si>
  <si>
    <t>1441256099210956802</t>
  </si>
  <si>
    <t>1441256124645183498</t>
  </si>
  <si>
    <t>1441258922384388106</t>
  </si>
  <si>
    <t>1441259184633253900</t>
  </si>
  <si>
    <t>1441262540797792275</t>
  </si>
  <si>
    <t>1441265296820486144</t>
  </si>
  <si>
    <t>1441265580091199493</t>
  </si>
  <si>
    <t>1441266494420054021</t>
  </si>
  <si>
    <t>1441269260496424975</t>
  </si>
  <si>
    <t>1441274466126811140</t>
  </si>
  <si>
    <t>1441280045943689218</t>
  </si>
  <si>
    <t>1441288306575089669</t>
  </si>
  <si>
    <t>1441288878065815556</t>
  </si>
  <si>
    <t>1441293203794128901</t>
  </si>
  <si>
    <t>1440920085388939271</t>
  </si>
  <si>
    <t>1441293196324003847</t>
  </si>
  <si>
    <t>1440920088471765004</t>
  </si>
  <si>
    <t>1441293287403311106</t>
  </si>
  <si>
    <t>1441294911718887426</t>
  </si>
  <si>
    <t>1441295944717246468</t>
  </si>
  <si>
    <t>1441297759680675844</t>
  </si>
  <si>
    <t>1441297980204613638</t>
  </si>
  <si>
    <t>1441298442249072646</t>
  </si>
  <si>
    <t>1440968837017440265</t>
  </si>
  <si>
    <t>1441300177906663426</t>
  </si>
  <si>
    <t>1441020686688866305</t>
  </si>
  <si>
    <t>1441300299314970624</t>
  </si>
  <si>
    <t>1439881737987837955</t>
  </si>
  <si>
    <t>1440213730441105416</t>
  </si>
  <si>
    <t>1441300903256985613</t>
  </si>
  <si>
    <t>1441300935381184515</t>
  </si>
  <si>
    <t>1441301373006462976</t>
  </si>
  <si>
    <t>1441196642254811136</t>
  </si>
  <si>
    <t>1441301697138024448</t>
  </si>
  <si>
    <t>1441305355414171658</t>
  </si>
  <si>
    <t>1440910307501608965</t>
  </si>
  <si>
    <t>1441314222202241035</t>
  </si>
  <si>
    <t>1441326149737480198</t>
  </si>
  <si>
    <t>1441337607372214272</t>
  </si>
  <si>
    <t>1441341752380588037</t>
  </si>
  <si>
    <t>1441343909376892929</t>
  </si>
  <si>
    <t>1441361713018724352</t>
  </si>
  <si>
    <t>1441367628434403330</t>
  </si>
  <si>
    <t>1441373932209074179</t>
  </si>
  <si>
    <t>1440940587176247296</t>
  </si>
  <si>
    <t>1441377177031753735</t>
  </si>
  <si>
    <t>1441378198634188813</t>
  </si>
  <si>
    <t>1441378362899918857</t>
  </si>
  <si>
    <t>1441381106494808073</t>
  </si>
  <si>
    <t>1441389584739303426</t>
  </si>
  <si>
    <t>1441390498879471621</t>
  </si>
  <si>
    <t>1441397622158204946</t>
  </si>
  <si>
    <t>1441397691037016067</t>
  </si>
  <si>
    <t>1441402015922282502</t>
  </si>
  <si>
    <t>1441407938480902152</t>
  </si>
  <si>
    <t>1441410791974998022</t>
  </si>
  <si>
    <t>1441414457331093517</t>
  </si>
  <si>
    <t>1441413661726162945</t>
  </si>
  <si>
    <t>1441414622536298512</t>
  </si>
  <si>
    <t>1441423036658294785</t>
  </si>
  <si>
    <t>1441424251475546116</t>
  </si>
  <si>
    <t>1440964970536058881</t>
  </si>
  <si>
    <t>1441298531675901958</t>
  </si>
  <si>
    <t>1441301044726665223</t>
  </si>
  <si>
    <t>1441411168690573318</t>
  </si>
  <si>
    <t>1441424954927370245</t>
  </si>
  <si>
    <t>1441430952299823105</t>
  </si>
  <si>
    <t>1441432787039371268</t>
  </si>
  <si>
    <t>1436962662772985857</t>
  </si>
  <si>
    <t>1441434471425708034</t>
  </si>
  <si>
    <t>1441445887276818435</t>
  </si>
  <si>
    <t>1439304408454496257</t>
  </si>
  <si>
    <t>1441449832711741444</t>
  </si>
  <si>
    <t>1441463719179919365</t>
  </si>
  <si>
    <t>1441463731431436295</t>
  </si>
  <si>
    <t>1441463748288385024</t>
  </si>
  <si>
    <t>1441463756463038468</t>
  </si>
  <si>
    <t>1441463768282664962</t>
  </si>
  <si>
    <t>1440877770247053315</t>
  </si>
  <si>
    <t>1440913800148905984</t>
  </si>
  <si>
    <t>1441464318348853248</t>
  </si>
  <si>
    <t>1441463004491497479</t>
  </si>
  <si>
    <t>1441464088970739722</t>
  </si>
  <si>
    <t>1441464259385303047</t>
  </si>
  <si>
    <t>1441464304348196864</t>
  </si>
  <si>
    <t>1441464560175640584</t>
  </si>
  <si>
    <t>1441465782584549381</t>
  </si>
  <si>
    <t>1441466502784249860</t>
  </si>
  <si>
    <t>1441468152496357378</t>
  </si>
  <si>
    <t>1441472227623378955</t>
  </si>
  <si>
    <t>1441473545796669445</t>
  </si>
  <si>
    <t>1441486279678431235</t>
  </si>
  <si>
    <t>1441492364632068097</t>
  </si>
  <si>
    <t>1441492394722017280</t>
  </si>
  <si>
    <t>1441492456923484165</t>
  </si>
  <si>
    <t>1441544413067415555</t>
  </si>
  <si>
    <t>1413110244587102208</t>
  </si>
  <si>
    <t>1441545247251521536</t>
  </si>
  <si>
    <t>1440372072937525251</t>
  </si>
  <si>
    <t>1441566724713709572</t>
  </si>
  <si>
    <t>1441566871124205568</t>
  </si>
  <si>
    <t>1441569737071153154</t>
  </si>
  <si>
    <t>1441570200671817728</t>
  </si>
  <si>
    <t>1441571336967520263</t>
  </si>
  <si>
    <t>1441571999004823567</t>
  </si>
  <si>
    <t>1441583523060609025</t>
  </si>
  <si>
    <t>1441594928392327170</t>
  </si>
  <si>
    <t>1441599141499396097</t>
  </si>
  <si>
    <t>1441602618854297604</t>
  </si>
  <si>
    <t>1441606275373035520</t>
  </si>
  <si>
    <t>1441606317609684998</t>
  </si>
  <si>
    <t>1441607124904079362</t>
  </si>
  <si>
    <t>1441607516903727105</t>
  </si>
  <si>
    <t>1441602992726179842</t>
  </si>
  <si>
    <t>1441607673175162882</t>
  </si>
  <si>
    <t>1439427973455638533</t>
  </si>
  <si>
    <t>1439438652581441545</t>
  </si>
  <si>
    <t>1439905897120092164</t>
  </si>
  <si>
    <t>1439924025560494080</t>
  </si>
  <si>
    <t>1440153537170665472</t>
  </si>
  <si>
    <t>1440551942309113863</t>
  </si>
  <si>
    <t>1440607726464163845</t>
  </si>
  <si>
    <t>1441608276337065990</t>
  </si>
  <si>
    <t>1441615769859608578</t>
  </si>
  <si>
    <t>1441616872147881989</t>
  </si>
  <si>
    <t>1441621820512243714</t>
  </si>
  <si>
    <t>1441624902079971336</t>
  </si>
  <si>
    <t>1441629057750208524</t>
  </si>
  <si>
    <t>1441630858490777602</t>
  </si>
  <si>
    <t>1441636094844407808</t>
  </si>
  <si>
    <t>1441636148846100483</t>
  </si>
  <si>
    <t>1441636249047998471</t>
  </si>
  <si>
    <t>1441636685356273666</t>
  </si>
  <si>
    <t>1441636738737184769</t>
  </si>
  <si>
    <t>1441639077195902978</t>
  </si>
  <si>
    <t>1441644939318751236</t>
  </si>
  <si>
    <t>1441635596514910210</t>
  </si>
  <si>
    <t>1441635670108246017</t>
  </si>
  <si>
    <t>1441647656439144448</t>
  </si>
  <si>
    <t>1441647836039315460</t>
  </si>
  <si>
    <t>1440604876136869893</t>
  </si>
  <si>
    <t>1441648159638228997</t>
  </si>
  <si>
    <t>1441648306526949377</t>
  </si>
  <si>
    <t>1441648434839101440</t>
  </si>
  <si>
    <t>1441649790689820672</t>
  </si>
  <si>
    <t>1441650651784613904</t>
  </si>
  <si>
    <t>1441653258955595780</t>
  </si>
  <si>
    <t>1441467624718618627</t>
  </si>
  <si>
    <t>1441488102518784003</t>
  </si>
  <si>
    <t>1441654871183147012</t>
  </si>
  <si>
    <t>1441656068090646535</t>
  </si>
  <si>
    <t>1441376213688205315</t>
  </si>
  <si>
    <t>1441598132769341445</t>
  </si>
  <si>
    <t>1441656098386182156</t>
  </si>
  <si>
    <t>1441656123333828612</t>
  </si>
  <si>
    <t>1441657429305950211</t>
  </si>
  <si>
    <t>1441638614023114752</t>
  </si>
  <si>
    <t>1441657797288992771</t>
  </si>
  <si>
    <t>1441658013945786368</t>
  </si>
  <si>
    <t>1441662551167627267</t>
  </si>
  <si>
    <t>1441665012087410693</t>
  </si>
  <si>
    <t>1441665334478446594</t>
  </si>
  <si>
    <t>1441666836416765952</t>
  </si>
  <si>
    <t>1441669853174136834</t>
  </si>
  <si>
    <t>1441669871259906048</t>
  </si>
  <si>
    <t>1441674626317238282</t>
  </si>
  <si>
    <t>1441675302405476353</t>
  </si>
  <si>
    <t>1441677898474131459</t>
  </si>
  <si>
    <t>1441680994797428742</t>
  </si>
  <si>
    <t>1441690186623041539</t>
  </si>
  <si>
    <t>1441690346426023939</t>
  </si>
  <si>
    <t>1441696843558096897</t>
  </si>
  <si>
    <t>1441473079809478657</t>
  </si>
  <si>
    <t>1441697721211973640</t>
  </si>
  <si>
    <t>1441714898518503437</t>
  </si>
  <si>
    <t>1441715498035519490</t>
  </si>
  <si>
    <t>1440798025639555074</t>
  </si>
  <si>
    <t>1441715786066718722</t>
  </si>
  <si>
    <t>1441715964765036544</t>
  </si>
  <si>
    <t>1441718051229954056</t>
  </si>
  <si>
    <t>1441720607213645831</t>
  </si>
  <si>
    <t>1441722640486391813</t>
  </si>
  <si>
    <t>1441723397491200009</t>
  </si>
  <si>
    <t>1441722592046424074</t>
  </si>
  <si>
    <t>1441725418906611725</t>
  </si>
  <si>
    <t>1441727081906278404</t>
  </si>
  <si>
    <t>1441730242268184576</t>
  </si>
  <si>
    <t>1441732499311239169</t>
  </si>
  <si>
    <t>1441735973763571717</t>
  </si>
  <si>
    <t>1441736359165628421</t>
  </si>
  <si>
    <t>1441736806613929999</t>
  </si>
  <si>
    <t>1441742431947423753</t>
  </si>
  <si>
    <t>1439872811607023618</t>
  </si>
  <si>
    <t>1439574041921163267</t>
  </si>
  <si>
    <t>1441747088480505864</t>
  </si>
  <si>
    <t>1441768332412153858</t>
  </si>
  <si>
    <t>1441772232993169411</t>
  </si>
  <si>
    <t>1441772253201326085</t>
  </si>
  <si>
    <t>1441775306407170049</t>
  </si>
  <si>
    <t>1441775365853089795</t>
  </si>
  <si>
    <t>1441775671718526986</t>
  </si>
  <si>
    <t>1441775683445805056</t>
  </si>
  <si>
    <t>1441775698918600724</t>
  </si>
  <si>
    <t>1441781263761764352</t>
  </si>
  <si>
    <t>1441787621051490309</t>
  </si>
  <si>
    <t>1441793304425689095</t>
  </si>
  <si>
    <t>1441805982884003846</t>
  </si>
  <si>
    <t>1441806124013940745</t>
  </si>
  <si>
    <t>1441808065578164229</t>
  </si>
  <si>
    <t>1441809271830638604</t>
  </si>
  <si>
    <t>1441901015893098497</t>
  </si>
  <si>
    <t>1441901093806477315</t>
  </si>
  <si>
    <t>1441900982883930113</t>
  </si>
  <si>
    <t>1441901273414922240</t>
  </si>
  <si>
    <t>1441916175789682698</t>
  </si>
  <si>
    <t>1441674318493089801</t>
  </si>
  <si>
    <t>1441932690878435329</t>
  </si>
  <si>
    <t>1441944219191414784</t>
  </si>
  <si>
    <t>1441945343311036420</t>
  </si>
  <si>
    <t>1441948087019212808</t>
  </si>
  <si>
    <t>1441978498843697153</t>
  </si>
  <si>
    <t>1441980662219632641</t>
  </si>
  <si>
    <t>1442003539736207363</t>
  </si>
  <si>
    <t>1440624263598276608</t>
  </si>
  <si>
    <t>1441683797200629767</t>
  </si>
  <si>
    <t>1442005662590914562</t>
  </si>
  <si>
    <t>1442006042452262914</t>
  </si>
  <si>
    <t>1442009462055702528</t>
  </si>
  <si>
    <t>1442010770397560834</t>
  </si>
  <si>
    <t>1442020076731781130</t>
  </si>
  <si>
    <t>1442023107414282246</t>
  </si>
  <si>
    <t>1442025028132823045</t>
  </si>
  <si>
    <t>1442025582204698627</t>
  </si>
  <si>
    <t>1442041359737651204</t>
  </si>
  <si>
    <t>1442043243202375686</t>
  </si>
  <si>
    <t>1442053020640899086</t>
  </si>
  <si>
    <t>1442061490966593536</t>
  </si>
  <si>
    <t>1442068306798649347</t>
  </si>
  <si>
    <t>1440940240621891587</t>
  </si>
  <si>
    <t>1442073142558543878</t>
  </si>
  <si>
    <t>1442083318749483012</t>
  </si>
  <si>
    <t>1442083627983007747</t>
  </si>
  <si>
    <t>1440333391619002368</t>
  </si>
  <si>
    <t>1442084762512867332</t>
  </si>
  <si>
    <t>1442085894513590274</t>
  </si>
  <si>
    <t>1442086691896918030</t>
  </si>
  <si>
    <t>1441461960147488768</t>
  </si>
  <si>
    <t>1441462974925852681</t>
  </si>
  <si>
    <t>1441463042038910980</t>
  </si>
  <si>
    <t>1441463104949215232</t>
  </si>
  <si>
    <t>1441463169487028228</t>
  </si>
  <si>
    <t>1442088909148594185</t>
  </si>
  <si>
    <t>1442089330923622409</t>
  </si>
  <si>
    <t>1442117343392399363</t>
  </si>
  <si>
    <t>1442135605610123274</t>
  </si>
  <si>
    <t>1442142418074173446</t>
  </si>
  <si>
    <t>1442147586996011009</t>
  </si>
  <si>
    <t>1442149312360685568</t>
  </si>
  <si>
    <t>1442152234972680197</t>
  </si>
  <si>
    <t>1442153177827069976</t>
  </si>
  <si>
    <t>1442162631968624646</t>
  </si>
  <si>
    <t>1442163541050462215</t>
  </si>
  <si>
    <t>1442183290971062274</t>
  </si>
  <si>
    <t>1442192805007216640</t>
  </si>
  <si>
    <t>1442265768448512007</t>
  </si>
  <si>
    <t>1442265843379806210</t>
  </si>
  <si>
    <t>1442271637156417540</t>
  </si>
  <si>
    <t>1442276766349856770</t>
  </si>
  <si>
    <t>1442294313292079105</t>
  </si>
  <si>
    <t>1442299966295183360</t>
  </si>
  <si>
    <t>1442294682671726596</t>
  </si>
  <si>
    <t>1442300530416521218</t>
  </si>
  <si>
    <t>1442302682635534336</t>
  </si>
  <si>
    <t>1440315201350344704</t>
  </si>
  <si>
    <t>1440315175375032332</t>
  </si>
  <si>
    <t>1440843788021161992</t>
  </si>
  <si>
    <t>1441917570374799362</t>
  </si>
  <si>
    <t>1441917599248379908</t>
  </si>
  <si>
    <t>1441917938039099393</t>
  </si>
  <si>
    <t>1442096516647194629</t>
  </si>
  <si>
    <t>1442302230770552834</t>
  </si>
  <si>
    <t>1442302624749932554</t>
  </si>
  <si>
    <t>1442303722105688066</t>
  </si>
  <si>
    <t>1442303884714655745</t>
  </si>
  <si>
    <t>1442303950221312001</t>
  </si>
  <si>
    <t>1442304240706154497</t>
  </si>
  <si>
    <t>1442304331286417411</t>
  </si>
  <si>
    <t>1442304671318614018</t>
  </si>
  <si>
    <t>1442304672123867136</t>
  </si>
  <si>
    <t>1442304751937282049</t>
  </si>
  <si>
    <t>1442307462694985728</t>
  </si>
  <si>
    <t>1442312919526510594</t>
  </si>
  <si>
    <t>1442318075525623810</t>
  </si>
  <si>
    <t>1442318191183548418</t>
  </si>
  <si>
    <t>1442320727772782593</t>
  </si>
  <si>
    <t>1442323168463450122</t>
  </si>
  <si>
    <t>1442323179699986439</t>
  </si>
  <si>
    <t>1442323182749290503</t>
  </si>
  <si>
    <t>1442323328010625025</t>
  </si>
  <si>
    <t>1442324204112711680</t>
  </si>
  <si>
    <t>1439489143269040128</t>
  </si>
  <si>
    <t>1439864123571929097</t>
  </si>
  <si>
    <t>1440193793010008067</t>
  </si>
  <si>
    <t>1440537729675059206</t>
  </si>
  <si>
    <t>1440632981551345669</t>
  </si>
  <si>
    <t>1442324443959894020</t>
  </si>
  <si>
    <t>1442324861095845904</t>
  </si>
  <si>
    <t>1442324864082214917</t>
  </si>
  <si>
    <t>1442324928418754561</t>
  </si>
  <si>
    <t>1442325800418627589</t>
  </si>
  <si>
    <t>1442325661939486722</t>
  </si>
  <si>
    <t>1442325856236359683</t>
  </si>
  <si>
    <t>1442327301304172544</t>
  </si>
  <si>
    <t>1442331632103428103</t>
  </si>
  <si>
    <t>1441778317128974339</t>
  </si>
  <si>
    <t>1442331840467988482</t>
  </si>
  <si>
    <t>1442335722468372481</t>
  </si>
  <si>
    <t>1442336738140045326</t>
  </si>
  <si>
    <t>1442336764169895944</t>
  </si>
  <si>
    <t>1442338033479520263</t>
  </si>
  <si>
    <t>1442340484190375937</t>
  </si>
  <si>
    <t>1442340486488883202</t>
  </si>
  <si>
    <t>1442340488233635843</t>
  </si>
  <si>
    <t>1442340489907171333</t>
  </si>
  <si>
    <t>1442342769226240006</t>
  </si>
  <si>
    <t>1442343667532853249</t>
  </si>
  <si>
    <t>1442343815696687105</t>
  </si>
  <si>
    <t>1442344323048116228</t>
  </si>
  <si>
    <t>1442345588482199562</t>
  </si>
  <si>
    <t>1442348231418019844</t>
  </si>
  <si>
    <t>1442348737817300998</t>
  </si>
  <si>
    <t>1442096716455374856</t>
  </si>
  <si>
    <t>1442350249679343618</t>
  </si>
  <si>
    <t>1442351182828040194</t>
  </si>
  <si>
    <t>1442351431705526272</t>
  </si>
  <si>
    <t>1442351239593816065</t>
  </si>
  <si>
    <t>1442351834287382530</t>
  </si>
  <si>
    <t>1442352682895769605</t>
  </si>
  <si>
    <t>1439911072899555333</t>
  </si>
  <si>
    <t>1440545691273601026</t>
  </si>
  <si>
    <t>1440627896163340292</t>
  </si>
  <si>
    <t>1440904543110197248</t>
  </si>
  <si>
    <t>1441710860196474886</t>
  </si>
  <si>
    <t>1442355856239038469</t>
  </si>
  <si>
    <t>1442356620348968964</t>
  </si>
  <si>
    <t>1442358905183473666</t>
  </si>
  <si>
    <t>1442360927681081346</t>
  </si>
  <si>
    <t>1442361195751624710</t>
  </si>
  <si>
    <t>1442361710011039748</t>
  </si>
  <si>
    <t>1442362570900262915</t>
  </si>
  <si>
    <t>1442363679471591426</t>
  </si>
  <si>
    <t>1442363904860950528</t>
  </si>
  <si>
    <t>1442365642875621378</t>
  </si>
  <si>
    <t>1442366488099184649</t>
  </si>
  <si>
    <t>1442374439606259712</t>
  </si>
  <si>
    <t>1442376855688937477</t>
  </si>
  <si>
    <t>1442377280135725058</t>
  </si>
  <si>
    <t>1442377574420676610</t>
  </si>
  <si>
    <t>1442380001748217860</t>
  </si>
  <si>
    <t>1442381734012542980</t>
  </si>
  <si>
    <t>1442381877902393346</t>
  </si>
  <si>
    <t>1442382096161394695</t>
  </si>
  <si>
    <t>1442382931649912832</t>
  </si>
  <si>
    <t>1440794241182015492</t>
  </si>
  <si>
    <t>1442383734351740930</t>
  </si>
  <si>
    <t>1442384569047474177</t>
  </si>
  <si>
    <t>1442385350366674955</t>
  </si>
  <si>
    <t>1442386098492252160</t>
  </si>
  <si>
    <t>1442388357447708679</t>
  </si>
  <si>
    <t>1442388970587914241</t>
  </si>
  <si>
    <t>1442326911783358471</t>
  </si>
  <si>
    <t>1442389568758505479</t>
  </si>
  <si>
    <t>1442391574554365954</t>
  </si>
  <si>
    <t>1442391581999304709</t>
  </si>
  <si>
    <t>1442391585405079567</t>
  </si>
  <si>
    <t>1442391589733613569</t>
  </si>
  <si>
    <t>1440161118995902471</t>
  </si>
  <si>
    <t>1442391944122884097</t>
  </si>
  <si>
    <t>1442393709002170370</t>
  </si>
  <si>
    <t>1442397124491034624</t>
  </si>
  <si>
    <t>1442397318431461387</t>
  </si>
  <si>
    <t>1439916409383895042</t>
  </si>
  <si>
    <t>1442397428791975936</t>
  </si>
  <si>
    <t>1442397574913138691</t>
  </si>
  <si>
    <t>1442397953667203079</t>
  </si>
  <si>
    <t>1442398307821621251</t>
  </si>
  <si>
    <t>1442398368974606343</t>
  </si>
  <si>
    <t>1442398802149724161</t>
  </si>
  <si>
    <t>1442399600598339585</t>
  </si>
  <si>
    <t>1440591879477751815</t>
  </si>
  <si>
    <t>1442399696492785669</t>
  </si>
  <si>
    <t>1442394075714375684</t>
  </si>
  <si>
    <t>1442400132834594818</t>
  </si>
  <si>
    <t>1442402225620324355</t>
  </si>
  <si>
    <t>1442402742639628294</t>
  </si>
  <si>
    <t>1442403018910040070</t>
  </si>
  <si>
    <t>1051705129395675136</t>
  </si>
  <si>
    <t>1440568150873886721</t>
  </si>
  <si>
    <t>1002119545253851136</t>
  </si>
  <si>
    <t>1440571836022988800</t>
  </si>
  <si>
    <t>1442317820595826694</t>
  </si>
  <si>
    <t>1442318128713699328</t>
  </si>
  <si>
    <t>1442319930943098893</t>
  </si>
  <si>
    <t>1442320196799193088</t>
  </si>
  <si>
    <t>1442320332690317313</t>
  </si>
  <si>
    <t>1442403167837241345</t>
  </si>
  <si>
    <t>1442404299640688645</t>
  </si>
  <si>
    <t>1442404600120709121</t>
  </si>
  <si>
    <t>1442406233831616512</t>
  </si>
  <si>
    <t>1442407617603596290</t>
  </si>
  <si>
    <t>1442407769940930560</t>
  </si>
  <si>
    <t>1442410623090839556</t>
  </si>
  <si>
    <t>1442410900011380737</t>
  </si>
  <si>
    <t>1442411432176328709</t>
  </si>
  <si>
    <t>1442411928274362369</t>
  </si>
  <si>
    <t>1442412110911139843</t>
  </si>
  <si>
    <t>1442412241119182849</t>
  </si>
  <si>
    <t>1442412260647845890</t>
  </si>
  <si>
    <t>1442412385466142723</t>
  </si>
  <si>
    <t>1442412876216483840</t>
  </si>
  <si>
    <t>1440530047199158273</t>
  </si>
  <si>
    <t>1441620989071216644</t>
  </si>
  <si>
    <t>1442412974145032192</t>
  </si>
  <si>
    <t>1442413125051961344</t>
  </si>
  <si>
    <t>1440656168859275265</t>
  </si>
  <si>
    <t>1440669551063015429</t>
  </si>
  <si>
    <t>1442413228097617928</t>
  </si>
  <si>
    <t>1442415216537468934</t>
  </si>
  <si>
    <t>1439914431190683651</t>
  </si>
  <si>
    <t>1439914432784572426</t>
  </si>
  <si>
    <t>1442415349522046977</t>
  </si>
  <si>
    <t>1442415351912800260</t>
  </si>
  <si>
    <t>1442415353758244865</t>
  </si>
  <si>
    <t>1442415597837447170</t>
  </si>
  <si>
    <t>1442416951565766658</t>
  </si>
  <si>
    <t>1441250710503378947</t>
  </si>
  <si>
    <t>1442419400808665091</t>
  </si>
  <si>
    <t>1441610213459591172</t>
  </si>
  <si>
    <t>1442420183474192391</t>
  </si>
  <si>
    <t>1442349445996109825</t>
  </si>
  <si>
    <t>1442421238580711432</t>
  </si>
  <si>
    <t>1442422939559686144</t>
  </si>
  <si>
    <t>1442423454616064011</t>
  </si>
  <si>
    <t>1442426025195888643</t>
  </si>
  <si>
    <t>1442427680192819202</t>
  </si>
  <si>
    <t>1442427692410834945</t>
  </si>
  <si>
    <t>1442427909155684357</t>
  </si>
  <si>
    <t>1442430582063976448</t>
  </si>
  <si>
    <t>1442431853571366918</t>
  </si>
  <si>
    <t>1442361361112002563</t>
  </si>
  <si>
    <t>1442363732026269696</t>
  </si>
  <si>
    <t>1442432045414641669</t>
  </si>
  <si>
    <t>1442432789316472833</t>
  </si>
  <si>
    <t>1442432914285752323</t>
  </si>
  <si>
    <t>1442433693956468736</t>
  </si>
  <si>
    <t>1442437753375899650</t>
  </si>
  <si>
    <t>1442437992589631492</t>
  </si>
  <si>
    <t>1442437200616906753</t>
  </si>
  <si>
    <t>1442438501576822788</t>
  </si>
  <si>
    <t>1442441185834921991</t>
  </si>
  <si>
    <t>1442441642493890567</t>
  </si>
  <si>
    <t>1442443442232070159</t>
  </si>
  <si>
    <t>1442443889344847876</t>
  </si>
  <si>
    <t>1442313449694916611</t>
  </si>
  <si>
    <t>1442445315966050311</t>
  </si>
  <si>
    <t>1442447728160559105</t>
  </si>
  <si>
    <t>1442448302402727937</t>
  </si>
  <si>
    <t>1442450806217732098</t>
  </si>
  <si>
    <t>1442451259873652740</t>
  </si>
  <si>
    <t>1442454889225801743</t>
  </si>
  <si>
    <t>1442455724701802497</t>
  </si>
  <si>
    <t>1435816799421927424</t>
  </si>
  <si>
    <t>1442457057987227660</t>
  </si>
  <si>
    <t>1442459576800997378</t>
  </si>
  <si>
    <t>1442460150082641920</t>
  </si>
  <si>
    <t>1442460889253236747</t>
  </si>
  <si>
    <t>1442461458965536774</t>
  </si>
  <si>
    <t>1442465083129401348</t>
  </si>
  <si>
    <t>1442454937351245833</t>
  </si>
  <si>
    <t>1442465998649511945</t>
  </si>
  <si>
    <t>1442466055654305802</t>
  </si>
  <si>
    <t>1442469047640018944</t>
  </si>
  <si>
    <t>1442474725108711436</t>
  </si>
  <si>
    <t>1442475001144168451</t>
  </si>
  <si>
    <t>1442475042932080648</t>
  </si>
  <si>
    <t>1442475335295979521</t>
  </si>
  <si>
    <t>1442475585071042562</t>
  </si>
  <si>
    <t>1442410347839639559</t>
  </si>
  <si>
    <t>1442476213839151110</t>
  </si>
  <si>
    <t>1442477138972610566</t>
  </si>
  <si>
    <t>1439367228537724931</t>
  </si>
  <si>
    <t>1442477259873419271</t>
  </si>
  <si>
    <t>1442480906925600768</t>
  </si>
  <si>
    <t>1442480912474652680</t>
  </si>
  <si>
    <t>1442481001578438658</t>
  </si>
  <si>
    <t>1442481240985137161</t>
  </si>
  <si>
    <t>1442481700517212160</t>
  </si>
  <si>
    <t>1442482595091005450</t>
  </si>
  <si>
    <t>1442483187028881408</t>
  </si>
  <si>
    <t>1442483639959240704</t>
  </si>
  <si>
    <t>1442485582572048391</t>
  </si>
  <si>
    <t>1442485620354404357</t>
  </si>
  <si>
    <t>1442485924479127562</t>
  </si>
  <si>
    <t>1442487224231075841</t>
  </si>
  <si>
    <t>1442489437133307905</t>
  </si>
  <si>
    <t>1442490054589304838</t>
  </si>
  <si>
    <t>1442490305803022343</t>
  </si>
  <si>
    <t>1442491088904724495</t>
  </si>
  <si>
    <t>1442491191015010313</t>
  </si>
  <si>
    <t>1442491706172067843</t>
  </si>
  <si>
    <t>1442493226791759872</t>
  </si>
  <si>
    <t>1439921694924177413</t>
  </si>
  <si>
    <t>1440588367410827270</t>
  </si>
  <si>
    <t>1442399610689888264</t>
  </si>
  <si>
    <t>1442493333796839426</t>
  </si>
  <si>
    <t>1442495437835890694</t>
  </si>
  <si>
    <t>1442496990890319873</t>
  </si>
  <si>
    <t>1442496998733611014</t>
  </si>
  <si>
    <t>1442497642332778501</t>
  </si>
  <si>
    <t>1442498266197676035</t>
  </si>
  <si>
    <t>1442500146168664070</t>
  </si>
  <si>
    <t>1442292977544536068</t>
  </si>
  <si>
    <t>1442500429036732417</t>
  </si>
  <si>
    <t>1442296493407232004</t>
  </si>
  <si>
    <t>1442501190554583049</t>
  </si>
  <si>
    <t>1442506462891106306</t>
  </si>
  <si>
    <t>1442506849077522442</t>
  </si>
  <si>
    <t>1442508514031636500</t>
  </si>
  <si>
    <t>1442513439860035584</t>
  </si>
  <si>
    <t>1442516499135012875</t>
  </si>
  <si>
    <t>1442522891694665733</t>
  </si>
  <si>
    <t>1442474301081276423</t>
  </si>
  <si>
    <t>1442526114715353097</t>
  </si>
  <si>
    <t>1442526192637079554</t>
  </si>
  <si>
    <t>1442506321366958083</t>
  </si>
  <si>
    <t>1442533505443852290</t>
  </si>
  <si>
    <t>1442535124755570689</t>
  </si>
  <si>
    <t>1442536625041403905</t>
  </si>
  <si>
    <t>1441666556740521985</t>
  </si>
  <si>
    <t>1442537061924278273</t>
  </si>
  <si>
    <t>1442540353815396356</t>
  </si>
  <si>
    <t>1440534087328931849</t>
  </si>
  <si>
    <t>1440533555721867265</t>
  </si>
  <si>
    <t>1442567528660697089</t>
  </si>
  <si>
    <t>1442571708209123333</t>
  </si>
  <si>
    <t>1442617662320754690</t>
  </si>
  <si>
    <t>1442620093268066306</t>
  </si>
  <si>
    <t>1442426820138201096</t>
  </si>
  <si>
    <t>1442622742113624070</t>
  </si>
  <si>
    <t>1442637045956939779</t>
  </si>
  <si>
    <t>1442481328486694929</t>
  </si>
  <si>
    <t>1442644042181799938</t>
  </si>
  <si>
    <t>1442645750983192581</t>
  </si>
  <si>
    <t>1439476424583303169</t>
  </si>
  <si>
    <t>1439562602699313160</t>
  </si>
  <si>
    <t>1439613663267090440</t>
  </si>
  <si>
    <t>1439853832771493888</t>
  </si>
  <si>
    <t>1441292305810407431</t>
  </si>
  <si>
    <t>1441556704215199745</t>
  </si>
  <si>
    <t>1441557270463062022</t>
  </si>
  <si>
    <t>1441704990825877508</t>
  </si>
  <si>
    <t>1440650594792796163</t>
  </si>
  <si>
    <t>1442294323639316481</t>
  </si>
  <si>
    <t>1440178208217845760</t>
  </si>
  <si>
    <t>1441292426027552779</t>
  </si>
  <si>
    <t>1441292698476945408</t>
  </si>
  <si>
    <t>1441619464110235650</t>
  </si>
  <si>
    <t>1442294628468682758</t>
  </si>
  <si>
    <t>1442648482842480641</t>
  </si>
  <si>
    <t>1442648685150572544</t>
  </si>
  <si>
    <t>1439512064389632003</t>
  </si>
  <si>
    <t>1439512648958164998</t>
  </si>
  <si>
    <t>1440117165571538944</t>
  </si>
  <si>
    <t>1440951805228109827</t>
  </si>
  <si>
    <t>1441015034302255104</t>
  </si>
  <si>
    <t>1441293623652356100</t>
  </si>
  <si>
    <t>1442294527373414400</t>
  </si>
  <si>
    <t>1442482332959657985</t>
  </si>
  <si>
    <t>1442652320358178822</t>
  </si>
  <si>
    <t>1442654139763159045</t>
  </si>
  <si>
    <t>1439416646339219462</t>
  </si>
  <si>
    <t>1440661663921831936</t>
  </si>
  <si>
    <t>1441049404228571143</t>
  </si>
  <si>
    <t>1442368370754482177</t>
  </si>
  <si>
    <t>1442656454612111365</t>
  </si>
  <si>
    <t>1442660603642867716</t>
  </si>
  <si>
    <t>1439783488794677251</t>
  </si>
  <si>
    <t>1440139784832258050</t>
  </si>
  <si>
    <t>1440259510841458689</t>
  </si>
  <si>
    <t>1440492732833677323</t>
  </si>
  <si>
    <t>1440864857717231619</t>
  </si>
  <si>
    <t>1440984858545639425</t>
  </si>
  <si>
    <t>1441232053882654725</t>
  </si>
  <si>
    <t>1441594827829755905</t>
  </si>
  <si>
    <t>1442311351938940937</t>
  </si>
  <si>
    <t>1442433673446379525</t>
  </si>
  <si>
    <t>1442662174682275845</t>
  </si>
  <si>
    <t>1442662838489600007</t>
  </si>
  <si>
    <t>1441223890676502528</t>
  </si>
  <si>
    <t>1442663611189452801</t>
  </si>
  <si>
    <t>1442663616503685128</t>
  </si>
  <si>
    <t>1440589445414096900</t>
  </si>
  <si>
    <t>1440997004318965767</t>
  </si>
  <si>
    <t>1441223890819108866</t>
  </si>
  <si>
    <t>1442663611151761410</t>
  </si>
  <si>
    <t>1442663616608542721</t>
  </si>
  <si>
    <t>1442666074793594883</t>
  </si>
  <si>
    <t>1442667563310223362</t>
  </si>
  <si>
    <t>1439879475345252352</t>
  </si>
  <si>
    <t>1439892189085986819</t>
  </si>
  <si>
    <t>1440887366860763147</t>
  </si>
  <si>
    <t>1441225526245396480</t>
  </si>
  <si>
    <t>1441587399658598404</t>
  </si>
  <si>
    <t>1441702873402798087</t>
  </si>
  <si>
    <t>1442670871802306560</t>
  </si>
  <si>
    <t>1442672203347021826</t>
  </si>
  <si>
    <t>1442674394539560967</t>
  </si>
  <si>
    <t>1439766107355705344</t>
  </si>
  <si>
    <t>1441221196796727298</t>
  </si>
  <si>
    <t>1442675848591515652</t>
  </si>
  <si>
    <t>1442679093497978885</t>
  </si>
  <si>
    <t>1442681531047182339</t>
  </si>
  <si>
    <t>1442683404412067849</t>
  </si>
  <si>
    <t>1442683632292823041</t>
  </si>
  <si>
    <t>1442684719464804354</t>
  </si>
  <si>
    <t>1439423802581131270</t>
  </si>
  <si>
    <t>1439786199858749442</t>
  </si>
  <si>
    <t>1440148739310571525</t>
  </si>
  <si>
    <t>1440511049958977539</t>
  </si>
  <si>
    <t>1440873491864109056</t>
  </si>
  <si>
    <t>1441235969382895619</t>
  </si>
  <si>
    <t>1441598108853489664</t>
  </si>
  <si>
    <t>1441960786125934598</t>
  </si>
  <si>
    <t>1442322948359065600</t>
  </si>
  <si>
    <t>1442685516416274437</t>
  </si>
  <si>
    <t>1442690748323926017</t>
  </si>
  <si>
    <t>1442692482161127425</t>
  </si>
  <si>
    <t>1442699019814203392</t>
  </si>
  <si>
    <t>1442699091268435974</t>
  </si>
  <si>
    <t>1442699249121038342</t>
  </si>
  <si>
    <t>1439915481238958085</t>
  </si>
  <si>
    <t>1440584572043886602</t>
  </si>
  <si>
    <t>1442395231924613127</t>
  </si>
  <si>
    <t>1442492775157534723</t>
  </si>
  <si>
    <t>1439925584449007626</t>
  </si>
  <si>
    <t>1441232086908555266</t>
  </si>
  <si>
    <t>1442470636404629507</t>
  </si>
  <si>
    <t>1442699261825601543</t>
  </si>
  <si>
    <t>1442699287352070146</t>
  </si>
  <si>
    <t>1442699302745165824</t>
  </si>
  <si>
    <t>1442699742299914241</t>
  </si>
  <si>
    <t>1442700963224055808</t>
  </si>
  <si>
    <t>1442701796577738755</t>
  </si>
  <si>
    <t>1442700985831333889</t>
  </si>
  <si>
    <t>1442701391730933771</t>
  </si>
  <si>
    <t>1442701841154723845</t>
  </si>
  <si>
    <t>1442704083954008072</t>
  </si>
  <si>
    <t>1441896059509239813</t>
  </si>
  <si>
    <t>1442704134742839296</t>
  </si>
  <si>
    <t>1442705409127575560</t>
  </si>
  <si>
    <t>1442706061509545985</t>
  </si>
  <si>
    <t>1442373723781091330</t>
  </si>
  <si>
    <t>1442706307144773632</t>
  </si>
  <si>
    <t>1437773545434763271</t>
  </si>
  <si>
    <t>1442706834113003520</t>
  </si>
  <si>
    <t>1442707003076317184</t>
  </si>
  <si>
    <t>1442707303707275267</t>
  </si>
  <si>
    <t>1442707810769272833</t>
  </si>
  <si>
    <t>1442708959001931780</t>
  </si>
  <si>
    <t>1442712751177035780</t>
  </si>
  <si>
    <t>1442532043628244994</t>
  </si>
  <si>
    <t>1441251063244410880</t>
  </si>
  <si>
    <t>1442692673668894722</t>
  </si>
  <si>
    <t>1442715713047781378</t>
  </si>
  <si>
    <t>1439292012147007494</t>
  </si>
  <si>
    <t>1439299552503164930</t>
  </si>
  <si>
    <t>1439307108910911499</t>
  </si>
  <si>
    <t>1439314652890951680</t>
  </si>
  <si>
    <t>1439322217100181505</t>
  </si>
  <si>
    <t>1439329756416131073</t>
  </si>
  <si>
    <t>1439337305521618947</t>
  </si>
  <si>
    <t>1439344853649747969</t>
  </si>
  <si>
    <t>1439352411416457217</t>
  </si>
  <si>
    <t>1439359952057876483</t>
  </si>
  <si>
    <t>1439367524613718017</t>
  </si>
  <si>
    <t>1439375052558925824</t>
  </si>
  <si>
    <t>1439382623130845185</t>
  </si>
  <si>
    <t>1439390150509809667</t>
  </si>
  <si>
    <t>1439397718267367427</t>
  </si>
  <si>
    <t>1439405253351260163</t>
  </si>
  <si>
    <t>1439412823092719628</t>
  </si>
  <si>
    <t>1439420356146581506</t>
  </si>
  <si>
    <t>1439427914865553409</t>
  </si>
  <si>
    <t>1439435453527048192</t>
  </si>
  <si>
    <t>1439443019426516997</t>
  </si>
  <si>
    <t>1439450551750574082</t>
  </si>
  <si>
    <t>1439458120783175684</t>
  </si>
  <si>
    <t>1439465650318024705</t>
  </si>
  <si>
    <t>1439473217861656576</t>
  </si>
  <si>
    <t>1439480747484606469</t>
  </si>
  <si>
    <t>1439488316605276162</t>
  </si>
  <si>
    <t>1439495846517567490</t>
  </si>
  <si>
    <t>1439503424144297984</t>
  </si>
  <si>
    <t>1439518514868416513</t>
  </si>
  <si>
    <t>1439526046823374851</t>
  </si>
  <si>
    <t>1439533615235276801</t>
  </si>
  <si>
    <t>1439541149056704516</t>
  </si>
  <si>
    <t>1439548720815632390</t>
  </si>
  <si>
    <t>1439556248114917385</t>
  </si>
  <si>
    <t>1439563814815498240</t>
  </si>
  <si>
    <t>1439571347890339841</t>
  </si>
  <si>
    <t>1439586448844361731</t>
  </si>
  <si>
    <t>1439594018942316544</t>
  </si>
  <si>
    <t>1439601547504095234</t>
  </si>
  <si>
    <t>1439609097377103873</t>
  </si>
  <si>
    <t>1439616642439258113</t>
  </si>
  <si>
    <t>1439624204823916546</t>
  </si>
  <si>
    <t>1439631741627424769</t>
  </si>
  <si>
    <t>1439639296760180737</t>
  </si>
  <si>
    <t>1439646846469640196</t>
  </si>
  <si>
    <t>1439654402701213696</t>
  </si>
  <si>
    <t>1439661941950062594</t>
  </si>
  <si>
    <t>1439669495241445376</t>
  </si>
  <si>
    <t>1439677040270086147</t>
  </si>
  <si>
    <t>1439684604286300160</t>
  </si>
  <si>
    <t>1439692143509995520</t>
  </si>
  <si>
    <t>1439699693596860418</t>
  </si>
  <si>
    <t>1439707238017351681</t>
  </si>
  <si>
    <t>1439714798032220161</t>
  </si>
  <si>
    <t>1439722336844857344</t>
  </si>
  <si>
    <t>1439729909165744129</t>
  </si>
  <si>
    <t>1439737441665966081</t>
  </si>
  <si>
    <t>1439752538174083072</t>
  </si>
  <si>
    <t>1439760106955034628</t>
  </si>
  <si>
    <t>1439767640340238338</t>
  </si>
  <si>
    <t>1439775210962518022</t>
  </si>
  <si>
    <t>1439782745291456512</t>
  </si>
  <si>
    <t>1439790304983326724</t>
  </si>
  <si>
    <t>1439797836892098572</t>
  </si>
  <si>
    <t>1439805409489874944</t>
  </si>
  <si>
    <t>1439812938915729409</t>
  </si>
  <si>
    <t>1439820506375491590</t>
  </si>
  <si>
    <t>1439828039236345859</t>
  </si>
  <si>
    <t>1439835603760128004</t>
  </si>
  <si>
    <t>1439843136407150598</t>
  </si>
  <si>
    <t>1439850700628844550</t>
  </si>
  <si>
    <t>1439858238632071168</t>
  </si>
  <si>
    <t>1439865809786966020</t>
  </si>
  <si>
    <t>1439873339976151042</t>
  </si>
  <si>
    <t>1439880901178003458</t>
  </si>
  <si>
    <t>1439888435607584782</t>
  </si>
  <si>
    <t>1439896004220764164</t>
  </si>
  <si>
    <t>1439903534028234752</t>
  </si>
  <si>
    <t>1439911103941660675</t>
  </si>
  <si>
    <t>1439918636676747266</t>
  </si>
  <si>
    <t>1439926206493724675</t>
  </si>
  <si>
    <t>1439933732870230019</t>
  </si>
  <si>
    <t>1439941298312540165</t>
  </si>
  <si>
    <t>1439948832381366277</t>
  </si>
  <si>
    <t>1439956409127342084</t>
  </si>
  <si>
    <t>1439963941405278209</t>
  </si>
  <si>
    <t>1439971484466774018</t>
  </si>
  <si>
    <t>1439979032339103744</t>
  </si>
  <si>
    <t>1439986589493391361</t>
  </si>
  <si>
    <t>1439994132139708420</t>
  </si>
  <si>
    <t>1440001683338104833</t>
  </si>
  <si>
    <t>1440009231428513797</t>
  </si>
  <si>
    <t>1440016787819491328</t>
  </si>
  <si>
    <t>1440024326732849159</t>
  </si>
  <si>
    <t>1440031883463577608</t>
  </si>
  <si>
    <t>1440046992680316932</t>
  </si>
  <si>
    <t>1440054543413170184</t>
  </si>
  <si>
    <t>1440062085375807505</t>
  </si>
  <si>
    <t>1440069630903472131</t>
  </si>
  <si>
    <t>1440077188737343495</t>
  </si>
  <si>
    <t>1440084734348906496</t>
  </si>
  <si>
    <t>1440092303905812484</t>
  </si>
  <si>
    <t>1440099829321908229</t>
  </si>
  <si>
    <t>1440107395913449477</t>
  </si>
  <si>
    <t>1440114930129072132</t>
  </si>
  <si>
    <t>1440122494627631104</t>
  </si>
  <si>
    <t>1440130026578464770</t>
  </si>
  <si>
    <t>1440137603064352772</t>
  </si>
  <si>
    <t>1440145130304901129</t>
  </si>
  <si>
    <t>1440152693134135304</t>
  </si>
  <si>
    <t>1440160225558872069</t>
  </si>
  <si>
    <t>1440167798404120582</t>
  </si>
  <si>
    <t>1440175327217549312</t>
  </si>
  <si>
    <t>1440182896577241091</t>
  </si>
  <si>
    <t>1440190431090778118</t>
  </si>
  <si>
    <t>1440197995304087556</t>
  </si>
  <si>
    <t>1440205527703642131</t>
  </si>
  <si>
    <t>1440213093766680582</t>
  </si>
  <si>
    <t>1440220624484397058</t>
  </si>
  <si>
    <t>1440228202085978114</t>
  </si>
  <si>
    <t>1440235729141915654</t>
  </si>
  <si>
    <t>1440243291027488769</t>
  </si>
  <si>
    <t>1440250824534290436</t>
  </si>
  <si>
    <t>1440258393722146817</t>
  </si>
  <si>
    <t>1440265925865865232</t>
  </si>
  <si>
    <t>1440273499147304965</t>
  </si>
  <si>
    <t>1440281025607716866</t>
  </si>
  <si>
    <t>1440288594803904521</t>
  </si>
  <si>
    <t>1440296123323670531</t>
  </si>
  <si>
    <t>1440303688707285003</t>
  </si>
  <si>
    <t>1440326326427082754</t>
  </si>
  <si>
    <t>1440333876149116937</t>
  </si>
  <si>
    <t>1440341419554529289</t>
  </si>
  <si>
    <t>1440348978403446796</t>
  </si>
  <si>
    <t>1440356520881901575</t>
  </si>
  <si>
    <t>1440364077281275907</t>
  </si>
  <si>
    <t>1440371619457748993</t>
  </si>
  <si>
    <t>1440379178121981960</t>
  </si>
  <si>
    <t>1440386716754268160</t>
  </si>
  <si>
    <t>1440394271652077581</t>
  </si>
  <si>
    <t>1440401814776545306</t>
  </si>
  <si>
    <t>1440409380734705665</t>
  </si>
  <si>
    <t>1440416924479856657</t>
  </si>
  <si>
    <t>1440424467948130310</t>
  </si>
  <si>
    <t>1440432016688746497</t>
  </si>
  <si>
    <t>1440447114056589318</t>
  </si>
  <si>
    <t>1440454688751587337</t>
  </si>
  <si>
    <t>1440462217753739281</t>
  </si>
  <si>
    <t>1440469790972207110</t>
  </si>
  <si>
    <t>1440477314576388103</t>
  </si>
  <si>
    <t>1440492419787591680</t>
  </si>
  <si>
    <t>1440499990783094792</t>
  </si>
  <si>
    <t>1440507519214882817</t>
  </si>
  <si>
    <t>1440515081813463052</t>
  </si>
  <si>
    <t>1440522615920074761</t>
  </si>
  <si>
    <t>1440530185183395841</t>
  </si>
  <si>
    <t>1440545293154484231</t>
  </si>
  <si>
    <t>1440552815798063110</t>
  </si>
  <si>
    <t>1440560382561509384</t>
  </si>
  <si>
    <t>1440567913585332228</t>
  </si>
  <si>
    <t>1440575475386966016</t>
  </si>
  <si>
    <t>1440583013092319233</t>
  </si>
  <si>
    <t>1440590584603758593</t>
  </si>
  <si>
    <t>1440598119771623433</t>
  </si>
  <si>
    <t>1440605676602941441</t>
  </si>
  <si>
    <t>1440613211221356550</t>
  </si>
  <si>
    <t>1440620779876413457</t>
  </si>
  <si>
    <t>1440628311881752578</t>
  </si>
  <si>
    <t>1440635881816092681</t>
  </si>
  <si>
    <t>1440643414018564096</t>
  </si>
  <si>
    <t>1440650984934436870</t>
  </si>
  <si>
    <t>1440658510799200265</t>
  </si>
  <si>
    <t>1440666076182814736</t>
  </si>
  <si>
    <t>1440673609249296389</t>
  </si>
  <si>
    <t>1440681182748831752</t>
  </si>
  <si>
    <t>1440696261854695427</t>
  </si>
  <si>
    <t>1440703807004897287</t>
  </si>
  <si>
    <t>1440711367128801295</t>
  </si>
  <si>
    <t>1440718905039671302</t>
  </si>
  <si>
    <t>1440726461590106129</t>
  </si>
  <si>
    <t>1440734007461748747</t>
  </si>
  <si>
    <t>1440741564762910722</t>
  </si>
  <si>
    <t>1440749106935132162</t>
  </si>
  <si>
    <t>1440756659291246592</t>
  </si>
  <si>
    <t>1440764203820732417</t>
  </si>
  <si>
    <t>1440771765412663303</t>
  </si>
  <si>
    <t>1440779318053855236</t>
  </si>
  <si>
    <t>1440786858175176714</t>
  </si>
  <si>
    <t>1440794404696965130</t>
  </si>
  <si>
    <t>1440801962753081346</t>
  </si>
  <si>
    <t>1440809501033054210</t>
  </si>
  <si>
    <t>1440824607309647875</t>
  </si>
  <si>
    <t>1440832171548176388</t>
  </si>
  <si>
    <t>1440839704971137026</t>
  </si>
  <si>
    <t>1440847268643368969</t>
  </si>
  <si>
    <t>1440862389079998464</t>
  </si>
  <si>
    <t>1440869906199683075</t>
  </si>
  <si>
    <t>1440877469721001991</t>
  </si>
  <si>
    <t>1440885001348792323</t>
  </si>
  <si>
    <t>1440892571278983175</t>
  </si>
  <si>
    <t>1440900099958194186</t>
  </si>
  <si>
    <t>1440907670035132427</t>
  </si>
  <si>
    <t>1440915204892610573</t>
  </si>
  <si>
    <t>1440922766408970245</t>
  </si>
  <si>
    <t>1440930382455603200</t>
  </si>
  <si>
    <t>1440937864640884740</t>
  </si>
  <si>
    <t>1440945402996408326</t>
  </si>
  <si>
    <t>1440952976286228486</t>
  </si>
  <si>
    <t>1440960502654386186</t>
  </si>
  <si>
    <t>1440968063541600256</t>
  </si>
  <si>
    <t>1440975597790904321</t>
  </si>
  <si>
    <t>1440983166081110020</t>
  </si>
  <si>
    <t>1440990699374088193</t>
  </si>
  <si>
    <t>1440998264774402058</t>
  </si>
  <si>
    <t>1441005800579796993</t>
  </si>
  <si>
    <t>1441013367796166663</t>
  </si>
  <si>
    <t>1441020900917219335</t>
  </si>
  <si>
    <t>1441028463339606022</t>
  </si>
  <si>
    <t>1441035995269328897</t>
  </si>
  <si>
    <t>1441043570857635846</t>
  </si>
  <si>
    <t>1441051103617900549</t>
  </si>
  <si>
    <t>1441058646612328460</t>
  </si>
  <si>
    <t>1441066194874687496</t>
  </si>
  <si>
    <t>1441073758173753360</t>
  </si>
  <si>
    <t>1441081295426101250</t>
  </si>
  <si>
    <t>1441088852727189508</t>
  </si>
  <si>
    <t>1441096397667778570</t>
  </si>
  <si>
    <t>1441103953312108544</t>
  </si>
  <si>
    <t>1441111491827015686</t>
  </si>
  <si>
    <t>1441119046167003139</t>
  </si>
  <si>
    <t>1441126593900920836</t>
  </si>
  <si>
    <t>1441134154897244169</t>
  </si>
  <si>
    <t>1441141701804904455</t>
  </si>
  <si>
    <t>1441156793548238848</t>
  </si>
  <si>
    <t>1441164352384471048</t>
  </si>
  <si>
    <t>1441171891088072706</t>
  </si>
  <si>
    <t>1441179466663804928</t>
  </si>
  <si>
    <t>1441186995611394052</t>
  </si>
  <si>
    <t>1441194562572021764</t>
  </si>
  <si>
    <t>1441202094250151950</t>
  </si>
  <si>
    <t>1441209658161590276</t>
  </si>
  <si>
    <t>1441217190980505608</t>
  </si>
  <si>
    <t>1441224765474099208</t>
  </si>
  <si>
    <t>1441232293637414919</t>
  </si>
  <si>
    <t>1441239859956355072</t>
  </si>
  <si>
    <t>1441247390846046208</t>
  </si>
  <si>
    <t>1441254962575536129</t>
  </si>
  <si>
    <t>1441262489467908098</t>
  </si>
  <si>
    <t>1441270061189132295</t>
  </si>
  <si>
    <t>1441277593043365890</t>
  </si>
  <si>
    <t>1441292688880377862</t>
  </si>
  <si>
    <t>1441300255140560903</t>
  </si>
  <si>
    <t>1441307787066109952</t>
  </si>
  <si>
    <t>1441315364109832192</t>
  </si>
  <si>
    <t>1441322894559092736</t>
  </si>
  <si>
    <t>1441330455404376072</t>
  </si>
  <si>
    <t>1441337986663157762</t>
  </si>
  <si>
    <t>1441345558438809609</t>
  </si>
  <si>
    <t>1441353087248068621</t>
  </si>
  <si>
    <t>1441360658679828486</t>
  </si>
  <si>
    <t>1441368187853946881</t>
  </si>
  <si>
    <t>1441375759268921359</t>
  </si>
  <si>
    <t>1441383285267918859</t>
  </si>
  <si>
    <t>1441390849930104837</t>
  </si>
  <si>
    <t>1441398386633019393</t>
  </si>
  <si>
    <t>1441405964515565572</t>
  </si>
  <si>
    <t>1441413489839378443</t>
  </si>
  <si>
    <t>1441421040140255232</t>
  </si>
  <si>
    <t>1441428582857728010</t>
  </si>
  <si>
    <t>1441443693488062468</t>
  </si>
  <si>
    <t>1441451232934043648</t>
  </si>
  <si>
    <t>1441466329911808002</t>
  </si>
  <si>
    <t>1441473893194080269</t>
  </si>
  <si>
    <t>1441481429481758721</t>
  </si>
  <si>
    <t>1441488984924770304</t>
  </si>
  <si>
    <t>1441496532377767942</t>
  </si>
  <si>
    <t>1441504102790275073</t>
  </si>
  <si>
    <t>1441511629682667521</t>
  </si>
  <si>
    <t>1441519181988446209</t>
  </si>
  <si>
    <t>1441526726966661120</t>
  </si>
  <si>
    <t>1441541849068425220</t>
  </si>
  <si>
    <t>1441556940916551687</t>
  </si>
  <si>
    <t>1441564490579910658</t>
  </si>
  <si>
    <t>1441572040134168586</t>
  </si>
  <si>
    <t>1441579584546242571</t>
  </si>
  <si>
    <t>1441587142472265735</t>
  </si>
  <si>
    <t>1441594690067783694</t>
  </si>
  <si>
    <t>1441602237441064963</t>
  </si>
  <si>
    <t>1441609783702798344</t>
  </si>
  <si>
    <t>1441617334746030081</t>
  </si>
  <si>
    <t>1441624891195752450</t>
  </si>
  <si>
    <t>1441632444906545161</t>
  </si>
  <si>
    <t>1441639985451470849</t>
  </si>
  <si>
    <t>1441647535651573762</t>
  </si>
  <si>
    <t>1441655083838545927</t>
  </si>
  <si>
    <t>1441662637943578626</t>
  </si>
  <si>
    <t>1441670189444075522</t>
  </si>
  <si>
    <t>1441677735831609345</t>
  </si>
  <si>
    <t>1441685290490335238</t>
  </si>
  <si>
    <t>1441692838106828813</t>
  </si>
  <si>
    <t>1441700379478007809</t>
  </si>
  <si>
    <t>1441707935952867332</t>
  </si>
  <si>
    <t>1441715483837755400</t>
  </si>
  <si>
    <t>1441723041633898496</t>
  </si>
  <si>
    <t>1441730582392627200</t>
  </si>
  <si>
    <t>1441738133704364038</t>
  </si>
  <si>
    <t>1441745687234813952</t>
  </si>
  <si>
    <t>1441753234616426500</t>
  </si>
  <si>
    <t>1441760777216483333</t>
  </si>
  <si>
    <t>1441768336363122688</t>
  </si>
  <si>
    <t>1441775885703528449</t>
  </si>
  <si>
    <t>1441783419243884549</t>
  </si>
  <si>
    <t>1441790974863163394</t>
  </si>
  <si>
    <t>1441798522173472781</t>
  </si>
  <si>
    <t>1441806082007977984</t>
  </si>
  <si>
    <t>1441813622099886080</t>
  </si>
  <si>
    <t>1441821173231222790</t>
  </si>
  <si>
    <t>1441828721350959104</t>
  </si>
  <si>
    <t>1441836277406461952</t>
  </si>
  <si>
    <t>1441843816852426760</t>
  </si>
  <si>
    <t>1441851374606553094</t>
  </si>
  <si>
    <t>1441858917378654210</t>
  </si>
  <si>
    <t>1441866483269718018</t>
  </si>
  <si>
    <t>1441874019582574600</t>
  </si>
  <si>
    <t>1441881571418521602</t>
  </si>
  <si>
    <t>1441889117101387776</t>
  </si>
  <si>
    <t>1441896674129965059</t>
  </si>
  <si>
    <t>1441904236166406145</t>
  </si>
  <si>
    <t>1441911771682410506</t>
  </si>
  <si>
    <t>1441919325288292354</t>
  </si>
  <si>
    <t>1441926877254279170</t>
  </si>
  <si>
    <t>1441934430180818950</t>
  </si>
  <si>
    <t>1441941970180472838</t>
  </si>
  <si>
    <t>1441949529029234697</t>
  </si>
  <si>
    <t>1441957081637031943</t>
  </si>
  <si>
    <t>1441964629513572355</t>
  </si>
  <si>
    <t>1441972168452050947</t>
  </si>
  <si>
    <t>1441979725656715268</t>
  </si>
  <si>
    <t>1441987276884492288</t>
  </si>
  <si>
    <t>1441994830071033856</t>
  </si>
  <si>
    <t>1442002372448829441</t>
  </si>
  <si>
    <t>1442009922711871492</t>
  </si>
  <si>
    <t>1442017475604844546</t>
  </si>
  <si>
    <t>1442025026652237830</t>
  </si>
  <si>
    <t>1442040126322843649</t>
  </si>
  <si>
    <t>1442047676208451587</t>
  </si>
  <si>
    <t>1442055224642789381</t>
  </si>
  <si>
    <t>1442062766123085825</t>
  </si>
  <si>
    <t>1442070323952713729</t>
  </si>
  <si>
    <t>1442077873242656771</t>
  </si>
  <si>
    <t>1442085430669688832</t>
  </si>
  <si>
    <t>1442092967884251139</t>
  </si>
  <si>
    <t>1442100521179906052</t>
  </si>
  <si>
    <t>1442108075872174091</t>
  </si>
  <si>
    <t>1442115622872104968</t>
  </si>
  <si>
    <t>1442123164641755139</t>
  </si>
  <si>
    <t>1442130728750227464</t>
  </si>
  <si>
    <t>1442138272474406915</t>
  </si>
  <si>
    <t>1442145937044873218</t>
  </si>
  <si>
    <t>1442153363378896908</t>
  </si>
  <si>
    <t>1442160908831113222</t>
  </si>
  <si>
    <t>1442168469240176652</t>
  </si>
  <si>
    <t>1442176010317795330</t>
  </si>
  <si>
    <t>1442191106901360645</t>
  </si>
  <si>
    <t>1442198664718389248</t>
  </si>
  <si>
    <t>1442206203778457601</t>
  </si>
  <si>
    <t>1442213760513417216</t>
  </si>
  <si>
    <t>1442221306087297025</t>
  </si>
  <si>
    <t>1442228882313138183</t>
  </si>
  <si>
    <t>1442236405288103943</t>
  </si>
  <si>
    <t>1442243960328445953</t>
  </si>
  <si>
    <t>1442251504652410881</t>
  </si>
  <si>
    <t>1442259061303435272</t>
  </si>
  <si>
    <t>1442266624103387139</t>
  </si>
  <si>
    <t>1442274159346606080</t>
  </si>
  <si>
    <t>1442281715053957127</t>
  </si>
  <si>
    <t>1442289264889188353</t>
  </si>
  <si>
    <t>1442296813298487297</t>
  </si>
  <si>
    <t>1442304360566853633</t>
  </si>
  <si>
    <t>1442311917121392644</t>
  </si>
  <si>
    <t>1442319469355810818</t>
  </si>
  <si>
    <t>1442327014480904196</t>
  </si>
  <si>
    <t>1442334558360195077</t>
  </si>
  <si>
    <t>1442342111232229381</t>
  </si>
  <si>
    <t>1442349662027980804</t>
  </si>
  <si>
    <t>1442357219903766533</t>
  </si>
  <si>
    <t>1442364757755842561</t>
  </si>
  <si>
    <t>1442372313039532037</t>
  </si>
  <si>
    <t>1442379862811955201</t>
  </si>
  <si>
    <t>1442387413003767808</t>
  </si>
  <si>
    <t>1442394956677607425</t>
  </si>
  <si>
    <t>1442402514456879108</t>
  </si>
  <si>
    <t>1442410062559858689</t>
  </si>
  <si>
    <t>1442417612353277953</t>
  </si>
  <si>
    <t>1442425153963499520</t>
  </si>
  <si>
    <t>1442432712459972610</t>
  </si>
  <si>
    <t>1442440259757744129</t>
  </si>
  <si>
    <t>1442447816329084931</t>
  </si>
  <si>
    <t>1442462908022022155</t>
  </si>
  <si>
    <t>1442470459174375427</t>
  </si>
  <si>
    <t>1442478012646105102</t>
  </si>
  <si>
    <t>1442493116154466311</t>
  </si>
  <si>
    <t>1442500663548674050</t>
  </si>
  <si>
    <t>1442515748446879757</t>
  </si>
  <si>
    <t>1442523295253815297</t>
  </si>
  <si>
    <t>1442530856338280454</t>
  </si>
  <si>
    <t>1442538396270809093</t>
  </si>
  <si>
    <t>1442545952036777991</t>
  </si>
  <si>
    <t>1442553495312166916</t>
  </si>
  <si>
    <t>1442561053242449921</t>
  </si>
  <si>
    <t>1442568593401466885</t>
  </si>
  <si>
    <t>1442576146592264195</t>
  </si>
  <si>
    <t>1442583693420204041</t>
  </si>
  <si>
    <t>1442591259546185731</t>
  </si>
  <si>
    <t>1442598794542018560</t>
  </si>
  <si>
    <t>1442606348240240641</t>
  </si>
  <si>
    <t>1442613890085384200</t>
  </si>
  <si>
    <t>1442621453254287362</t>
  </si>
  <si>
    <t>1442629008722591745</t>
  </si>
  <si>
    <t>1442636549431062529</t>
  </si>
  <si>
    <t>1442644104467288064</t>
  </si>
  <si>
    <t>1442651656076754945</t>
  </si>
  <si>
    <t>1442659204498554885</t>
  </si>
  <si>
    <t>1442666746133897219</t>
  </si>
  <si>
    <t>1442674305049915395</t>
  </si>
  <si>
    <t>1442681855464009729</t>
  </si>
  <si>
    <t>1442689401163694086</t>
  </si>
  <si>
    <t>1442696942614548483</t>
  </si>
  <si>
    <t>1442704499362066437</t>
  </si>
  <si>
    <t>1442712052984737796</t>
  </si>
  <si>
    <t>1442719608608198661</t>
  </si>
  <si>
    <t>1442719974951251972</t>
  </si>
  <si>
    <t>1442721929224278018</t>
  </si>
  <si>
    <t>1439325240610357253</t>
  </si>
  <si>
    <t>1439243096403824647</t>
  </si>
  <si>
    <t>1439391890516758530</t>
  </si>
  <si>
    <t>1439394535335858181</t>
  </si>
  <si>
    <t>1437752175241805825</t>
  </si>
  <si>
    <t>1439134789844357120</t>
  </si>
  <si>
    <t>1439474728800903168</t>
  </si>
  <si>
    <t>1439485688798269444</t>
  </si>
  <si>
    <t>1439490382610370564</t>
  </si>
  <si>
    <t>1439516223511752706</t>
  </si>
  <si>
    <t>1439534477277995008</t>
  </si>
  <si>
    <t>1439579334772097027</t>
  </si>
  <si>
    <t>1439586150109224965</t>
  </si>
  <si>
    <t>1439585974212653056</t>
  </si>
  <si>
    <t>1439564906672525320</t>
  </si>
  <si>
    <t>1439633845716881408</t>
  </si>
  <si>
    <t>1439622134372790273</t>
  </si>
  <si>
    <t>1439734806821044228</t>
  </si>
  <si>
    <t>1439741095101882369</t>
  </si>
  <si>
    <t>1439744879534358530</t>
  </si>
  <si>
    <t>1439748628092833802</t>
  </si>
  <si>
    <t>1439596143583719424</t>
  </si>
  <si>
    <t>1439778841564639235</t>
  </si>
  <si>
    <t>1439794748571590658</t>
  </si>
  <si>
    <t>1439808121984012288</t>
  </si>
  <si>
    <t>1439538672857018377</t>
  </si>
  <si>
    <t>1439811578921029639</t>
  </si>
  <si>
    <t>1439859379340124164</t>
  </si>
  <si>
    <t>1439862703045025799</t>
  </si>
  <si>
    <t>1439870778598514694</t>
  </si>
  <si>
    <t>1439806872148537345</t>
  </si>
  <si>
    <t>1439842154151497732</t>
  </si>
  <si>
    <t>1439889572104585220</t>
  </si>
  <si>
    <t>1439896138493030403</t>
  </si>
  <si>
    <t>1439907243646873607</t>
  </si>
  <si>
    <t>1439910342511923204</t>
  </si>
  <si>
    <t>1439911244803174404</t>
  </si>
  <si>
    <t>1439911635997523968</t>
  </si>
  <si>
    <t>1439912234986061827</t>
  </si>
  <si>
    <t>1439917068602654727</t>
  </si>
  <si>
    <t>1439910982290001923</t>
  </si>
  <si>
    <t>1439960438960050182</t>
  </si>
  <si>
    <t>1439531351196143616</t>
  </si>
  <si>
    <t>1439927485169160200</t>
  </si>
  <si>
    <t>1439973461154156546</t>
  </si>
  <si>
    <t>1440142055833890827</t>
  </si>
  <si>
    <t>1440172436528381959</t>
  </si>
  <si>
    <t>1440175074389024774</t>
  </si>
  <si>
    <t>1440189064808853517</t>
  </si>
  <si>
    <t>1440196056910733322</t>
  </si>
  <si>
    <t>1440219033765236742</t>
  </si>
  <si>
    <t>1431164940849532934</t>
  </si>
  <si>
    <t>1440233675069612035</t>
  </si>
  <si>
    <t>1440240397310050307</t>
  </si>
  <si>
    <t>1440247269807169545</t>
  </si>
  <si>
    <t>1440176377941020676</t>
  </si>
  <si>
    <t>1440172729211047948</t>
  </si>
  <si>
    <t>1440234016452407306</t>
  </si>
  <si>
    <t>1440263288760070146</t>
  </si>
  <si>
    <t>1439905015909421056</t>
  </si>
  <si>
    <t>1440269359369187335</t>
  </si>
  <si>
    <t>1431884724914454529</t>
  </si>
  <si>
    <t>1440119631516082176</t>
  </si>
  <si>
    <t>1440297312568299527</t>
  </si>
  <si>
    <t>1440304218192035854</t>
  </si>
  <si>
    <t>1440309654387519492</t>
  </si>
  <si>
    <t>1440314105940701184</t>
  </si>
  <si>
    <t>1440322423493066753</t>
  </si>
  <si>
    <t>1440340293685968906</t>
  </si>
  <si>
    <t>1439995051237511174</t>
  </si>
  <si>
    <t>1439281826078486530</t>
  </si>
  <si>
    <t>1439466794931015690</t>
  </si>
  <si>
    <t>1439573078669815813</t>
  </si>
  <si>
    <t>1439790165946290180</t>
  </si>
  <si>
    <t>1440332492196573186</t>
  </si>
  <si>
    <t>1440193921359835156</t>
  </si>
  <si>
    <t>1440347931077328904</t>
  </si>
  <si>
    <t>1440350268093198342</t>
  </si>
  <si>
    <t>1440376573450878976</t>
  </si>
  <si>
    <t>1440345912073539592</t>
  </si>
  <si>
    <t>1440303454023389200</t>
  </si>
  <si>
    <t>1440429865283428353</t>
  </si>
  <si>
    <t>1440463015678124037</t>
  </si>
  <si>
    <t>1440300158240002063</t>
  </si>
  <si>
    <t>1440490180507435027</t>
  </si>
  <si>
    <t>1440490916809113603</t>
  </si>
  <si>
    <t>1440500015684673549</t>
  </si>
  <si>
    <t>1440509258831826954</t>
  </si>
  <si>
    <t>1440510368204292104</t>
  </si>
  <si>
    <t>1440475533238669314</t>
  </si>
  <si>
    <t>1440518424149389314</t>
  </si>
  <si>
    <t>1440499977608851457</t>
  </si>
  <si>
    <t>1440555504367849485</t>
  </si>
  <si>
    <t>1440552867253800966</t>
  </si>
  <si>
    <t>1440602098207387650</t>
  </si>
  <si>
    <t>1440620334873407497</t>
  </si>
  <si>
    <t>1440591711764238336</t>
  </si>
  <si>
    <t>1440500458355789830</t>
  </si>
  <si>
    <t>1440687472858447879</t>
  </si>
  <si>
    <t>1440707856106278912</t>
  </si>
  <si>
    <t>1440718904121200654</t>
  </si>
  <si>
    <t>1440888660849614856</t>
  </si>
  <si>
    <t>1440815896612655107</t>
  </si>
  <si>
    <t>1440944055848894465</t>
  </si>
  <si>
    <t>1440954121549344773</t>
  </si>
  <si>
    <t>1440977925902274563</t>
  </si>
  <si>
    <t>1440987541214154753</t>
  </si>
  <si>
    <t>1441004332858499080</t>
  </si>
  <si>
    <t>1441007523826266117</t>
  </si>
  <si>
    <t>1441005751066005505</t>
  </si>
  <si>
    <t>1441026489244258317</t>
  </si>
  <si>
    <t>1440903779273093121</t>
  </si>
  <si>
    <t>1440978626820849670</t>
  </si>
  <si>
    <t>1441038123434188800</t>
  </si>
  <si>
    <t>1441077318701641738</t>
  </si>
  <si>
    <t>1441050237485805575</t>
  </si>
  <si>
    <t>1441213023822094336</t>
  </si>
  <si>
    <t>1441214605460602884</t>
  </si>
  <si>
    <t>1441219609479188490</t>
  </si>
  <si>
    <t>1441242283311976449</t>
  </si>
  <si>
    <t>1441239387879079949</t>
  </si>
  <si>
    <t>1441255797233643533</t>
  </si>
  <si>
    <t>1441262203525484549</t>
  </si>
  <si>
    <t>1441221984927444995</t>
  </si>
  <si>
    <t>1441294443320016900</t>
  </si>
  <si>
    <t>1441247040189583364</t>
  </si>
  <si>
    <t>1441238875209277445</t>
  </si>
  <si>
    <t>1441324028610768898</t>
  </si>
  <si>
    <t>1441312250669584392</t>
  </si>
  <si>
    <t>1390341436608897031</t>
  </si>
  <si>
    <t>1441400796881379336</t>
  </si>
  <si>
    <t>1441414220558389252</t>
  </si>
  <si>
    <t>1441422191854186510</t>
  </si>
  <si>
    <t>1441430897014673412</t>
  </si>
  <si>
    <t>1441375237841436676</t>
  </si>
  <si>
    <t>1441571554907725832</t>
  </si>
  <si>
    <t>1441606314782724102</t>
  </si>
  <si>
    <t>1441602123276316674</t>
  </si>
  <si>
    <t>1441606609029926916</t>
  </si>
  <si>
    <t>1441635814916571140</t>
  </si>
  <si>
    <t>1440604512029265921</t>
  </si>
  <si>
    <t>1441654482866040833</t>
  </si>
  <si>
    <t>1441669651692277768</t>
  </si>
  <si>
    <t>1441714304324182016</t>
  </si>
  <si>
    <t>1441719786535149574</t>
  </si>
  <si>
    <t>1441337371539083270</t>
  </si>
  <si>
    <t>1441636810820501507</t>
  </si>
  <si>
    <t>1441716392512819206</t>
  </si>
  <si>
    <t>1441722892970913799</t>
  </si>
  <si>
    <t>1441726354660093961</t>
  </si>
  <si>
    <t>1441732175448076299</t>
  </si>
  <si>
    <t>1441736568083939330</t>
  </si>
  <si>
    <t>1441740726295879688</t>
  </si>
  <si>
    <t>1441767747701010434</t>
  </si>
  <si>
    <t>1441770213930831874</t>
  </si>
  <si>
    <t>1441774712007258119</t>
  </si>
  <si>
    <t>1441364404696584197</t>
  </si>
  <si>
    <t>1441803459498430468</t>
  </si>
  <si>
    <t>1441805454791753736</t>
  </si>
  <si>
    <t>1441808784024735749</t>
  </si>
  <si>
    <t>1441870350371868676</t>
  </si>
  <si>
    <t>1441829874675507214</t>
  </si>
  <si>
    <t>1441898218971820035</t>
  </si>
  <si>
    <t>1441973565562056710</t>
  </si>
  <si>
    <t>1442012294104317957</t>
  </si>
  <si>
    <t>1441808374367076355</t>
  </si>
  <si>
    <t>1442042108773236736</t>
  </si>
  <si>
    <t>1442052822917259266</t>
  </si>
  <si>
    <t>1442057614838272002</t>
  </si>
  <si>
    <t>1442051627423129604</t>
  </si>
  <si>
    <t>1442082441481502732</t>
  </si>
  <si>
    <t>1442077745194799104</t>
  </si>
  <si>
    <t>1440332831587065861</t>
  </si>
  <si>
    <t>1273990219570675717</t>
  </si>
  <si>
    <t>1442146515196080129</t>
  </si>
  <si>
    <t>1442148774378233862</t>
  </si>
  <si>
    <t>1442162357216575498</t>
  </si>
  <si>
    <t>1442163276285026311</t>
  </si>
  <si>
    <t>1442191333637038092</t>
  </si>
  <si>
    <t>1442265696725995524</t>
  </si>
  <si>
    <t>1442276165452906500</t>
  </si>
  <si>
    <t>1440312744683597827</t>
  </si>
  <si>
    <t>1440313817141891079</t>
  </si>
  <si>
    <t>1440315330455228423</t>
  </si>
  <si>
    <t>1441678156167933958</t>
  </si>
  <si>
    <t>1441903498405183493</t>
  </si>
  <si>
    <t>1441903395988656132</t>
  </si>
  <si>
    <t>1442081590750838791</t>
  </si>
  <si>
    <t>1442287874091544577</t>
  </si>
  <si>
    <t>1442292200566517761</t>
  </si>
  <si>
    <t>1442292766327771138</t>
  </si>
  <si>
    <t>1442294330404737029</t>
  </si>
  <si>
    <t>1442301163466944520</t>
  </si>
  <si>
    <t>1442291387651682307</t>
  </si>
  <si>
    <t>1442223271039012871</t>
  </si>
  <si>
    <t>1442298434602426368</t>
  </si>
  <si>
    <t>1442298627066523649</t>
  </si>
  <si>
    <t>1442318015912054784</t>
  </si>
  <si>
    <t>1442320725293993987</t>
  </si>
  <si>
    <t>1442323172511023104</t>
  </si>
  <si>
    <t>1442310300041027590</t>
  </si>
  <si>
    <t>1442343606459666432</t>
  </si>
  <si>
    <t>1442343739016441859</t>
  </si>
  <si>
    <t>1442343404487122949</t>
  </si>
  <si>
    <t>1442356134250119172</t>
  </si>
  <si>
    <t>1442361767926009862</t>
  </si>
  <si>
    <t>1442366485079359492</t>
  </si>
  <si>
    <t>1442377566883487751</t>
  </si>
  <si>
    <t>1442384265556029440</t>
  </si>
  <si>
    <t>1442385073253191686</t>
  </si>
  <si>
    <t>1442391580229308418</t>
  </si>
  <si>
    <t>1442391583744094214</t>
  </si>
  <si>
    <t>1442391587846189057</t>
  </si>
  <si>
    <t>1442392758765821954</t>
  </si>
  <si>
    <t>1442319780371959809</t>
  </si>
  <si>
    <t>1442320085742497793</t>
  </si>
  <si>
    <t>1442411928140140551</t>
  </si>
  <si>
    <t>1442412195174776832</t>
  </si>
  <si>
    <t>1442415508142256132</t>
  </si>
  <si>
    <t>1437631667808600065</t>
  </si>
  <si>
    <t>1442427683778924548</t>
  </si>
  <si>
    <t>1442432577378258945</t>
  </si>
  <si>
    <t>1442447617590398977</t>
  </si>
  <si>
    <t>1442450864556294156</t>
  </si>
  <si>
    <t>1442464836877578241</t>
  </si>
  <si>
    <t>1442473515492335616</t>
  </si>
  <si>
    <t>1442474466638925831</t>
  </si>
  <si>
    <t>1442489279347789826</t>
  </si>
  <si>
    <t>1442462224124051456</t>
  </si>
  <si>
    <t>1442478425675952129</t>
  </si>
  <si>
    <t>1442471216439193605</t>
  </si>
  <si>
    <t>1442432379038011394</t>
  </si>
  <si>
    <t>1441665313603391489</t>
  </si>
  <si>
    <t>1439473083526438915</t>
  </si>
  <si>
    <t>1439557530808508416</t>
  </si>
  <si>
    <t>1439575020687085577</t>
  </si>
  <si>
    <t>1439827929484062723</t>
  </si>
  <si>
    <t>1441261438836699141</t>
  </si>
  <si>
    <t>1441372630976643075</t>
  </si>
  <si>
    <t>1441399809907179531</t>
  </si>
  <si>
    <t>1441297699748286466</t>
  </si>
  <si>
    <t>1440645249064263697</t>
  </si>
  <si>
    <t>1440172693958000643</t>
  </si>
  <si>
    <t>1441207009286627336</t>
  </si>
  <si>
    <t>1440691103510921222</t>
  </si>
  <si>
    <t>1441607142033686528</t>
  </si>
  <si>
    <t>1441984637782282244</t>
  </si>
  <si>
    <t>1442407418462302208</t>
  </si>
  <si>
    <t>1442379729399549952</t>
  </si>
  <si>
    <t>1439482521683587076</t>
  </si>
  <si>
    <t>1440927668401172480</t>
  </si>
  <si>
    <t>1440989327878606855</t>
  </si>
  <si>
    <t>1442014455810781188</t>
  </si>
  <si>
    <t>1442654008129167369</t>
  </si>
  <si>
    <t>1442660473875288064</t>
  </si>
  <si>
    <t>1440876164931719169</t>
  </si>
  <si>
    <t>1441222095711571973</t>
  </si>
  <si>
    <t>1441360224955240454</t>
  </si>
  <si>
    <t>1441666527485317128</t>
  </si>
  <si>
    <t>1442670010342658051</t>
  </si>
  <si>
    <t>1439762839128866816</t>
  </si>
  <si>
    <t>1442698919792676864</t>
  </si>
  <si>
    <t>1442698232220450817</t>
  </si>
  <si>
    <t>1442700719979515906</t>
  </si>
  <si>
    <t>1442699059446222853</t>
  </si>
  <si>
    <t>1442705390660042755</t>
  </si>
  <si>
    <t>1442698100619968515</t>
  </si>
  <si>
    <t>1442709430177439746</t>
  </si>
  <si>
    <t>1442531045182611460</t>
  </si>
  <si>
    <t/>
  </si>
  <si>
    <t>1319581649139499008</t>
  </si>
  <si>
    <t>1082992095361609728</t>
  </si>
  <si>
    <t>1336224063224594432</t>
  </si>
  <si>
    <t>1315606766114144256</t>
  </si>
  <si>
    <t>1415616066554765318</t>
  </si>
  <si>
    <t>1116129122</t>
  </si>
  <si>
    <t>566151445</t>
  </si>
  <si>
    <t>1037908256356614144</t>
  </si>
  <si>
    <t>2277977551</t>
  </si>
  <si>
    <t>700496978</t>
  </si>
  <si>
    <t>955813307876704257</t>
  </si>
  <si>
    <t>705276546735407104</t>
  </si>
  <si>
    <t>81755703</t>
  </si>
  <si>
    <t>1433263907360047107</t>
  </si>
  <si>
    <t>1401705479936434178</t>
  </si>
  <si>
    <t>1335559700419473417</t>
  </si>
  <si>
    <t>1242738401410863106</t>
  </si>
  <si>
    <t>1245204982086774786</t>
  </si>
  <si>
    <t>740913957293068289</t>
  </si>
  <si>
    <t>1432251485266407427</t>
  </si>
  <si>
    <t>4766895456</t>
  </si>
  <si>
    <t>1180798752212144129</t>
  </si>
  <si>
    <t>1159400358482833408</t>
  </si>
  <si>
    <t>1080320434552205312</t>
  </si>
  <si>
    <t>1667478175</t>
  </si>
  <si>
    <t>1438011288882348037</t>
  </si>
  <si>
    <t>1245238594010091520</t>
  </si>
  <si>
    <t>1153611014421639169</t>
  </si>
  <si>
    <t>954279262617460737</t>
  </si>
  <si>
    <t>997732326858674177</t>
  </si>
  <si>
    <t>1022815758743613440</t>
  </si>
  <si>
    <t>1256106786915880960</t>
  </si>
  <si>
    <t>732768730569019394</t>
  </si>
  <si>
    <t>799791846079639552</t>
  </si>
  <si>
    <t>1249547255402483714</t>
  </si>
  <si>
    <t>1320207670675030016</t>
  </si>
  <si>
    <t>18249099</t>
  </si>
  <si>
    <t>1267360391891312641</t>
  </si>
  <si>
    <t>1371092915825483776</t>
  </si>
  <si>
    <t>2643905629</t>
  </si>
  <si>
    <t>2794339567</t>
  </si>
  <si>
    <t>1079621095731261447</t>
  </si>
  <si>
    <t>1334389129929363457</t>
  </si>
  <si>
    <t>1332497293551960066</t>
  </si>
  <si>
    <t>4417582514</t>
  </si>
  <si>
    <t>769912644610297856</t>
  </si>
  <si>
    <t>1262430436501753860</t>
  </si>
  <si>
    <t>1342426467704168455</t>
  </si>
  <si>
    <t>1139532279766609921</t>
  </si>
  <si>
    <t>571462311</t>
  </si>
  <si>
    <t>1372519440043053058</t>
  </si>
  <si>
    <t>160858057</t>
  </si>
  <si>
    <t>1266163382807224320</t>
  </si>
  <si>
    <t>2904688836</t>
  </si>
  <si>
    <t>2974910850</t>
  </si>
  <si>
    <t>258384272</t>
  </si>
  <si>
    <t>87642738</t>
  </si>
  <si>
    <t>713944844</t>
  </si>
  <si>
    <t>633016230</t>
  </si>
  <si>
    <t>1153617726625075201</t>
  </si>
  <si>
    <t>1333683367708041216</t>
  </si>
  <si>
    <t>1429237147</t>
  </si>
  <si>
    <t>742767561515761664</t>
  </si>
  <si>
    <t>1385520354664206339</t>
  </si>
  <si>
    <t>1244288919010607104</t>
  </si>
  <si>
    <t>1402527912029417480</t>
  </si>
  <si>
    <t>864753761792671744</t>
  </si>
  <si>
    <t>1343995409857871872</t>
  </si>
  <si>
    <t>1659948793</t>
  </si>
  <si>
    <t>1350447097670107136</t>
  </si>
  <si>
    <t>553058561</t>
  </si>
  <si>
    <t>914312904</t>
  </si>
  <si>
    <t>978846144804671489</t>
  </si>
  <si>
    <t>1160532100111466496</t>
  </si>
  <si>
    <t>2397676153</t>
  </si>
  <si>
    <t>1116378784960172033</t>
  </si>
  <si>
    <t>1432735723</t>
  </si>
  <si>
    <t>142559031</t>
  </si>
  <si>
    <t>1294822327671119873</t>
  </si>
  <si>
    <t>903408333222100993</t>
  </si>
  <si>
    <t>1004849437888221184</t>
  </si>
  <si>
    <t>976734429392470016</t>
  </si>
  <si>
    <t>1125363716</t>
  </si>
  <si>
    <t>1285985877177425920</t>
  </si>
  <si>
    <t>1184031349100777475</t>
  </si>
  <si>
    <t>1257824848534896640</t>
  </si>
  <si>
    <t>282006208</t>
  </si>
  <si>
    <t>1086554666987450368</t>
  </si>
  <si>
    <t>1314975287294083073</t>
  </si>
  <si>
    <t>1119816908113453058</t>
  </si>
  <si>
    <t>1197225394866282496</t>
  </si>
  <si>
    <t>1319206050512261121</t>
  </si>
  <si>
    <t>1312241748945498112</t>
  </si>
  <si>
    <t>1309959812</t>
  </si>
  <si>
    <t>1295950213199273984</t>
  </si>
  <si>
    <t>981988393</t>
  </si>
  <si>
    <t>1306637758127960064</t>
  </si>
  <si>
    <t>1422565775055851527</t>
  </si>
  <si>
    <t>1240627844868268033</t>
  </si>
  <si>
    <t>2495531468</t>
  </si>
  <si>
    <t>4214856850</t>
  </si>
  <si>
    <t>1352836359052959744</t>
  </si>
  <si>
    <t>1224673220407640070</t>
  </si>
  <si>
    <t>2983890506</t>
  </si>
  <si>
    <t>893020184134340608</t>
  </si>
  <si>
    <t>1136991951025164289</t>
  </si>
  <si>
    <t>1216254984209063937</t>
  </si>
  <si>
    <t>1303857367176495105</t>
  </si>
  <si>
    <t>187453050</t>
  </si>
  <si>
    <t>1377225805030285316</t>
  </si>
  <si>
    <t>1072715655835570176</t>
  </si>
  <si>
    <t>2814445920</t>
  </si>
  <si>
    <t>1418917440080199686</t>
  </si>
  <si>
    <t>1386905582322421761</t>
  </si>
  <si>
    <t>2270093233</t>
  </si>
  <si>
    <t>1423629209767874565</t>
  </si>
  <si>
    <t>1254993707167649793</t>
  </si>
  <si>
    <t>1364433736524197892</t>
  </si>
  <si>
    <t>928168055816859648</t>
  </si>
  <si>
    <t>1120979284074434560</t>
  </si>
  <si>
    <t>400467553</t>
  </si>
  <si>
    <t>1331862071273656320</t>
  </si>
  <si>
    <t>2805255902</t>
  </si>
  <si>
    <t>2392389834</t>
  </si>
  <si>
    <t>1404439108047368193</t>
  </si>
  <si>
    <t>1356643789876588547</t>
  </si>
  <si>
    <t>1117788322372263938</t>
  </si>
  <si>
    <t>1095911980936790016</t>
  </si>
  <si>
    <t>1435941523183472641</t>
  </si>
  <si>
    <t>1167729011184680961</t>
  </si>
  <si>
    <t>1279969387370303489</t>
  </si>
  <si>
    <t>1248335621988311041</t>
  </si>
  <si>
    <t>1108738876271517696</t>
  </si>
  <si>
    <t>871601382192578561</t>
  </si>
  <si>
    <t>310697035</t>
  </si>
  <si>
    <t>1069022039334313984</t>
  </si>
  <si>
    <t>1009694940404727808</t>
  </si>
  <si>
    <t>1374982143437197314</t>
  </si>
  <si>
    <t>1031198585801437184</t>
  </si>
  <si>
    <t>1383133274982154242</t>
  </si>
  <si>
    <t>1314114791636492288</t>
  </si>
  <si>
    <t>212225380</t>
  </si>
  <si>
    <t>1260810522976346112</t>
  </si>
  <si>
    <t>1020621170368864256</t>
  </si>
  <si>
    <t>1443648080</t>
  </si>
  <si>
    <t>1215637424916713472</t>
  </si>
  <si>
    <t>428365832</t>
  </si>
  <si>
    <t>52318427</t>
  </si>
  <si>
    <t>1008941689824731136</t>
  </si>
  <si>
    <t>1267751789811515392</t>
  </si>
  <si>
    <t>1335929088</t>
  </si>
  <si>
    <t>1045685436847284225</t>
  </si>
  <si>
    <t>1419286992601325568</t>
  </si>
  <si>
    <t>1416702481283706881</t>
  </si>
  <si>
    <t>1234739484954157056</t>
  </si>
  <si>
    <t>1348954540012261377</t>
  </si>
  <si>
    <t>859392858540789761</t>
  </si>
  <si>
    <t>2990465502</t>
  </si>
  <si>
    <t>281388053</t>
  </si>
  <si>
    <t>126835500</t>
  </si>
  <si>
    <t>1026351452761944064</t>
  </si>
  <si>
    <t>1055594166</t>
  </si>
  <si>
    <t>152568455</t>
  </si>
  <si>
    <t>1107532188231168002</t>
  </si>
  <si>
    <t>1362473591959261185</t>
  </si>
  <si>
    <t>1262982872207470593</t>
  </si>
  <si>
    <t>1325068002979504133</t>
  </si>
  <si>
    <t>1205386987621863425</t>
  </si>
  <si>
    <t>1250011483821359105</t>
  </si>
  <si>
    <t>1282194002725400576</t>
  </si>
  <si>
    <t>1061087853399105538</t>
  </si>
  <si>
    <t>1290178278393700357</t>
  </si>
  <si>
    <t>1261407231964258304</t>
  </si>
  <si>
    <t>1298627580996640769</t>
  </si>
  <si>
    <t>1334937336690327552</t>
  </si>
  <si>
    <t>2348394144</t>
  </si>
  <si>
    <t>1038942409</t>
  </si>
  <si>
    <t>1361779650179964932</t>
  </si>
  <si>
    <t>755673247660650497</t>
  </si>
  <si>
    <t>1247110849</t>
  </si>
  <si>
    <t>1419853523328507909</t>
  </si>
  <si>
    <t>348638455</t>
  </si>
  <si>
    <t>1267008173832994816</t>
  </si>
  <si>
    <t>356066252</t>
  </si>
  <si>
    <t>1156767330925330432</t>
  </si>
  <si>
    <t>775891037650718722</t>
  </si>
  <si>
    <t>1335180684759994370</t>
  </si>
  <si>
    <t>1131162587595280390</t>
  </si>
  <si>
    <t>1408442491955671043</t>
  </si>
  <si>
    <t>575312554</t>
  </si>
  <si>
    <t>804246011837190145</t>
  </si>
  <si>
    <t>1306245717418147840</t>
  </si>
  <si>
    <t>793118827</t>
  </si>
  <si>
    <t>753083526019514369</t>
  </si>
  <si>
    <t>1362217357729361923</t>
  </si>
  <si>
    <t>497965344</t>
  </si>
  <si>
    <t>1405122014076047360</t>
  </si>
  <si>
    <t>1356230115147960322</t>
  </si>
  <si>
    <t>481039005</t>
  </si>
  <si>
    <t>1275064538606391296</t>
  </si>
  <si>
    <t>1715572460</t>
  </si>
  <si>
    <t>373946658</t>
  </si>
  <si>
    <t>1372370360805388288</t>
  </si>
  <si>
    <t>38400817</t>
  </si>
  <si>
    <t>2940183750</t>
  </si>
  <si>
    <t>1153941188866482176</t>
  </si>
  <si>
    <t>1216437264269471744</t>
  </si>
  <si>
    <t>1541082236</t>
  </si>
  <si>
    <t>43088704</t>
  </si>
  <si>
    <t>232736087</t>
  </si>
  <si>
    <t>1285181380784078848</t>
  </si>
  <si>
    <t>1434103080144961536</t>
  </si>
  <si>
    <t>833172937</t>
  </si>
  <si>
    <t>1178125294219091968</t>
  </si>
  <si>
    <t>2783589385</t>
  </si>
  <si>
    <t>1279042914711003137</t>
  </si>
  <si>
    <t>1441258464647385090</t>
  </si>
  <si>
    <t>1208396563808235525</t>
  </si>
  <si>
    <t>1301066921526177792</t>
  </si>
  <si>
    <t>1151110183319289857</t>
  </si>
  <si>
    <t>1432885521336844293</t>
  </si>
  <si>
    <t>1234115406505205761</t>
  </si>
  <si>
    <t>1127960211015122945</t>
  </si>
  <si>
    <t>448381612</t>
  </si>
  <si>
    <t>123287115</t>
  </si>
  <si>
    <t>286541504</t>
  </si>
  <si>
    <t>439932960</t>
  </si>
  <si>
    <t>342799190</t>
  </si>
  <si>
    <t>1253194426676985856</t>
  </si>
  <si>
    <t>1274930949340315648</t>
  </si>
  <si>
    <t>1187281119978258432</t>
  </si>
  <si>
    <t>1416950714299928576</t>
  </si>
  <si>
    <t>1243008724395933698</t>
  </si>
  <si>
    <t>980329507742629888</t>
  </si>
  <si>
    <t>1315800638924570624</t>
  </si>
  <si>
    <t>872254095410642944</t>
  </si>
  <si>
    <t>570970928</t>
  </si>
  <si>
    <t>in</t>
  </si>
  <si>
    <t>en</t>
  </si>
  <si>
    <t>ja</t>
  </si>
  <si>
    <t>et</t>
  </si>
  <si>
    <t>da</t>
  </si>
  <si>
    <t>pt</t>
  </si>
  <si>
    <t>es</t>
  </si>
  <si>
    <t>und</t>
  </si>
  <si>
    <t>el</t>
  </si>
  <si>
    <t>fr</t>
  </si>
  <si>
    <t>pl</t>
  </si>
  <si>
    <t>lt</t>
  </si>
  <si>
    <t>1439455388387065859</t>
  </si>
  <si>
    <t>1400389233878044675</t>
  </si>
  <si>
    <t>1376374692789977089</t>
  </si>
  <si>
    <t>1439804066050101258</t>
  </si>
  <si>
    <t>1439802427524272133</t>
  </si>
  <si>
    <t>1439929396693909506</t>
  </si>
  <si>
    <t>1424315637615190019</t>
  </si>
  <si>
    <t>1441074519632842773</t>
  </si>
  <si>
    <t>1441407236698304521</t>
  </si>
  <si>
    <t>1441614639947599873</t>
  </si>
  <si>
    <t>1441393093085777922</t>
  </si>
  <si>
    <t>1441939603619938308</t>
  </si>
  <si>
    <t>1441688935957073928</t>
  </si>
  <si>
    <t>Twitter for Android</t>
  </si>
  <si>
    <t>Twitter for Mac</t>
  </si>
  <si>
    <t>Twitter for iPhone</t>
  </si>
  <si>
    <t>twittbot.net</t>
  </si>
  <si>
    <t>Twitter Web App</t>
  </si>
  <si>
    <t>Twitter for iPad</t>
  </si>
  <si>
    <t>IFTTT</t>
  </si>
  <si>
    <t>VOI.ID</t>
  </si>
  <si>
    <t>Test Retweet 1</t>
  </si>
  <si>
    <t>TweetDeck</t>
  </si>
  <si>
    <t>Echobox</t>
  </si>
  <si>
    <t>sosmed twitter</t>
  </si>
  <si>
    <t>dlvr.it</t>
  </si>
  <si>
    <t>Shopee_ID</t>
  </si>
  <si>
    <t>Buffer</t>
  </si>
  <si>
    <t>TweetCaster for Android</t>
  </si>
  <si>
    <t>Plume for Android</t>
  </si>
  <si>
    <t>Caratsmarket</t>
  </si>
  <si>
    <t>Hootsuite Inc.</t>
  </si>
  <si>
    <t>Unpadfess</t>
  </si>
  <si>
    <t>Instagram</t>
  </si>
  <si>
    <t>roltweet</t>
  </si>
  <si>
    <t>Blog2Social APP</t>
  </si>
  <si>
    <t>LinkedIn</t>
  </si>
  <si>
    <t>Zapier.com</t>
  </si>
  <si>
    <t>WordPress.com</t>
  </si>
  <si>
    <t>Postfity.com</t>
  </si>
  <si>
    <t>Twitter Web Client</t>
  </si>
  <si>
    <t>LEbotquiditTG</t>
  </si>
  <si>
    <t>Tweetbot for iΟS</t>
  </si>
  <si>
    <t>Jawapos.com auto tweet</t>
  </si>
  <si>
    <t>SocioMile.com</t>
  </si>
  <si>
    <t>berita-sulsel</t>
  </si>
  <si>
    <t>110,375056,-7,864901 
110,430984,-7,864901 
110,430984,-7,7825678 
110,375056,-7,7825678</t>
  </si>
  <si>
    <t>120,3182623,-5,661407 
120,4671198,-5,661407 
120,4671198,-5,4703338 
120,3182623,-5,4703338</t>
  </si>
  <si>
    <t>106,856047,-6,307236 
106,896311,-6,307236 
106,896311,-6,2443 
106,856047,-6,2443</t>
  </si>
  <si>
    <t>110,006125,-8,206926 
110,839469,-8,206926 
110,839469,-7,541778 
110,006125,-7,541778</t>
  </si>
  <si>
    <t>112,61637982036451,-7,972996222881634 
112,61637982036451,-7,972996222881634 
112,61637982036451,-7,972996222881634 
112,61637982036451,-7,972996222881634</t>
  </si>
  <si>
    <t>101,316109,0,386546 
101,44278,0,386546 
101,44278,0,563116 
101,316109,0,563116</t>
  </si>
  <si>
    <t>109,258001,-7,442257 
109,321378,-7,442257 
109,321378,-7,3876091 
109,258001,-7,3876091</t>
  </si>
  <si>
    <t>Indonesia</t>
  </si>
  <si>
    <t>Banguntapan, Indonesia</t>
  </si>
  <si>
    <t>Bontobahari, Indonesia</t>
  </si>
  <si>
    <t>Kramat Jati, Indonesia</t>
  </si>
  <si>
    <t>Yogyakarta, Indonesia</t>
  </si>
  <si>
    <t>Tarbantin Dining House</t>
  </si>
  <si>
    <t>Tampan, Indonesia</t>
  </si>
  <si>
    <t>Kembaran, Indonesia</t>
  </si>
  <si>
    <t>422231aacfa106f0</t>
  </si>
  <si>
    <t>31b52ffb0858efed</t>
  </si>
  <si>
    <t>0e960886390aa80d</t>
  </si>
  <si>
    <t>0101781eef585ee9</t>
  </si>
  <si>
    <t>0fc374080c942001</t>
  </si>
  <si>
    <t>32eb831712cde417</t>
  </si>
  <si>
    <t>04f4e198a524dc50</t>
  </si>
  <si>
    <t>Banguntapan</t>
  </si>
  <si>
    <t>Bontobahari</t>
  </si>
  <si>
    <t>Kramat Jati</t>
  </si>
  <si>
    <t>Yogyakarta</t>
  </si>
  <si>
    <t>Tampan</t>
  </si>
  <si>
    <t>Kembaran</t>
  </si>
  <si>
    <t>city</t>
  </si>
  <si>
    <t>admin</t>
  </si>
  <si>
    <t>poi</t>
  </si>
  <si>
    <t>Name</t>
  </si>
  <si>
    <t>User ID</t>
  </si>
  <si>
    <t>Followed</t>
  </si>
  <si>
    <t>Followers</t>
  </si>
  <si>
    <t>Tweets</t>
  </si>
  <si>
    <t>Favorites</t>
  </si>
  <si>
    <t>Time Zone UTC Offset (Seconds)</t>
  </si>
  <si>
    <t>Description</t>
  </si>
  <si>
    <t>Location</t>
  </si>
  <si>
    <t>Web</t>
  </si>
  <si>
    <t>Time Zone</t>
  </si>
  <si>
    <t>Joined Twitter Date (UTC)</t>
  </si>
  <si>
    <t>Profile Banner Url</t>
  </si>
  <si>
    <t>Default Profile</t>
  </si>
  <si>
    <t>Default Profile Image</t>
  </si>
  <si>
    <t>Geo Enabled</t>
  </si>
  <si>
    <t>Listed Count</t>
  </si>
  <si>
    <t>Profile Background Image Url</t>
  </si>
  <si>
    <t>Verified</t>
  </si>
  <si>
    <t>Custom Menu Item Text</t>
  </si>
  <si>
    <t>Custom Menu Item Action</t>
  </si>
  <si>
    <t>Tweeted Search Term?</t>
  </si>
  <si>
    <t>Erick Thohir</t>
  </si>
  <si>
    <t>Madelin</t>
  </si>
  <si>
    <t>sara</t>
  </si>
  <si>
    <t>Elisa Koraag</t>
  </si>
  <si>
    <t>ᴄʜᴇʀɪɪ ( ꈍᴗꈍ)</t>
  </si>
  <si>
    <t>Penikmat Alam</t>
  </si>
  <si>
    <t>IndonesiaToday</t>
  </si>
  <si>
    <t>Rania Fitri</t>
  </si>
  <si>
    <t>Mr.Joker 🃏</t>
  </si>
  <si>
    <t>`</t>
  </si>
  <si>
    <t>ON | New Trigger Check Likes</t>
  </si>
  <si>
    <t>Naaaa ✨</t>
  </si>
  <si>
    <t>waf ✨◡̈ br18 jimin 제발</t>
  </si>
  <si>
    <t>ON💌</t>
  </si>
  <si>
    <t>taetaebear</t>
  </si>
  <si>
    <t>Sunupinasti🌞</t>
  </si>
  <si>
    <t>ʀᴀɪʜᴀɴᴀ ⚡️</t>
  </si>
  <si>
    <t>Ivelisse</t>
  </si>
  <si>
    <t>Jasajokmebeljepara</t>
  </si>
  <si>
    <t>mai</t>
  </si>
  <si>
    <t>bigwinwinns</t>
  </si>
  <si>
    <t>Tokopedia WIB Waktu Indonesia Belanja Kursi Pijat</t>
  </si>
  <si>
    <t>のび太の単語＠インドネシア</t>
  </si>
  <si>
    <t>TonyL</t>
  </si>
  <si>
    <t>Gyorgy - Australian Citizen for Assange</t>
  </si>
  <si>
    <t>megumoon</t>
  </si>
  <si>
    <t>raa 🇵🇸🇲🇾</t>
  </si>
  <si>
    <t>Anko (thisforJSJMMM)</t>
  </si>
  <si>
    <t>moon_eunhye</t>
  </si>
  <si>
    <t>Stephanie</t>
  </si>
  <si>
    <t>hi</t>
  </si>
  <si>
    <t>Pamungkas Adiputra</t>
  </si>
  <si>
    <t>❖Flo_ || 'Mumumumuch'</t>
  </si>
  <si>
    <t>Nadya Azizah</t>
  </si>
  <si>
    <t>☻︎</t>
  </si>
  <si>
    <t>LadyFee</t>
  </si>
  <si>
    <t>Aida Odi</t>
  </si>
  <si>
    <t>BPOM Tanah Bumbu</t>
  </si>
  <si>
    <t>Kamus Besar Bahasa Indonesia KBBI</t>
  </si>
  <si>
    <t>easy</t>
  </si>
  <si>
    <t>mangib_com</t>
  </si>
  <si>
    <t>shafigh p. lontoh</t>
  </si>
  <si>
    <t>𝘼𝙣 𝙒𝙖𝙡𝙙𝙤𝙧𝙛🐚</t>
  </si>
  <si>
    <t>Malang</t>
  </si>
  <si>
    <t>Lily💔</t>
  </si>
  <si>
    <t>ᓚᘏᗢ 👑 K𝖎𝖓𝖌 𝖔𝖋 𝕽𝖔𝖓𝖌𝖘𝖔𝖐</t>
  </si>
  <si>
    <t>emaknya neo</t>
  </si>
  <si>
    <t>G҉O҉J҉E҉K ҉M҉I҉L҉iT҉A҉N҉ 🏳🏳🏳</t>
  </si>
  <si>
    <t>Reza</t>
  </si>
  <si>
    <t>Cece</t>
  </si>
  <si>
    <t>aisy ʕ•́ᴥ•̀ʔっ♡ haru</t>
  </si>
  <si>
    <t>sprinkle cupcake☀️</t>
  </si>
  <si>
    <t>shie ^^~</t>
  </si>
  <si>
    <t>Baby Shark Duu Duu Duu 🐷🐰</t>
  </si>
  <si>
    <t>ra 🐿 loco dance cover 📌</t>
  </si>
  <si>
    <t>Lowkerid</t>
  </si>
  <si>
    <t>lowkerid</t>
  </si>
  <si>
    <t>Dwi Wahyudi</t>
  </si>
  <si>
    <t>Bilal Javeid</t>
  </si>
  <si>
    <t>Sering pergi jarang pulang</t>
  </si>
  <si>
    <t>fir // help rt wts 📌</t>
  </si>
  <si>
    <t>Nusantara Maju</t>
  </si>
  <si>
    <t>Joko Widodo</t>
  </si>
  <si>
    <t>#BicaraNews</t>
  </si>
  <si>
    <t>Kejaksaan RI</t>
  </si>
  <si>
    <t>Kejaksaan Negeri Sungai Penuh</t>
  </si>
  <si>
    <t>malangsorn</t>
  </si>
  <si>
    <t>Kaito | Commission Open</t>
  </si>
  <si>
    <t>OPEN PO ENHYPEN</t>
  </si>
  <si>
    <t>ON | LAPAK ITS2 CHECK LIKES</t>
  </si>
  <si>
    <t>Ready/PO - Full/Sharing (cek likes)</t>
  </si>
  <si>
    <t>let's go go go! | PO ALBUM DILEMMA ENHYPEN SHARING</t>
  </si>
  <si>
    <t>Petualang semu</t>
  </si>
  <si>
    <t>-Kardo Van Sony</t>
  </si>
  <si>
    <t>📌</t>
  </si>
  <si>
    <t>M O M O G I</t>
  </si>
  <si>
    <t>notdatcute🦋</t>
  </si>
  <si>
    <t>🇮🇩INA🇮🇩 AKHIRI PANDEMI</t>
  </si>
  <si>
    <t>Pakcik 2 #RakyatJagaRakyat</t>
  </si>
  <si>
    <t>PENJUAL TEA DAN KOPI</t>
  </si>
  <si>
    <t>𝔷𝔦𝔡𝔞𝔫</t>
  </si>
  <si>
    <t>Oedjang Moekartho</t>
  </si>
  <si>
    <t>P W S</t>
  </si>
  <si>
    <t>Bini LISA✨</t>
  </si>
  <si>
    <t>𝒛𝒌𝒅𝒍𝒊𝒏 𝒄𝒓𝒖𝒔𝒉🐻</t>
  </si>
  <si>
    <t>slippy loop 🇲🇾</t>
  </si>
  <si>
    <t>Asraf</t>
  </si>
  <si>
    <t>iceraf</t>
  </si>
  <si>
    <t>Paten</t>
  </si>
  <si>
    <t>.</t>
  </si>
  <si>
    <t>Shxf</t>
  </si>
  <si>
    <t>lya lee</t>
  </si>
  <si>
    <t>f 🇲🇾</t>
  </si>
  <si>
    <t>Dika Pradana</t>
  </si>
  <si>
    <t>syaf🇵🇸🇲🇾</t>
  </si>
  <si>
    <t>arief skie</t>
  </si>
  <si>
    <t>August</t>
  </si>
  <si>
    <t>mira wan kenobi</t>
  </si>
  <si>
    <t>.ARA.</t>
  </si>
  <si>
    <t>Penny Pincher</t>
  </si>
  <si>
    <t>Suliza Yunus</t>
  </si>
  <si>
    <t>aria</t>
  </si>
  <si>
    <t>kobitajahan</t>
  </si>
  <si>
    <t>Qurhaetul🇲🇾</t>
  </si>
  <si>
    <t>serizawa</t>
  </si>
  <si>
    <t>@myLifeisGreat</t>
  </si>
  <si>
    <t>Aisyah Karin</t>
  </si>
  <si>
    <t>HOLLOW</t>
  </si>
  <si>
    <t>izzati looking for a cat</t>
  </si>
  <si>
    <t>ime✨✨</t>
  </si>
  <si>
    <t>Kratos the Great</t>
  </si>
  <si>
    <t>lol</t>
  </si>
  <si>
    <t>Aini 🏴</t>
  </si>
  <si>
    <t>hismoonlight🌙</t>
  </si>
  <si>
    <t>amber</t>
  </si>
  <si>
    <t>✨ 𝓂𝒾𝒶𝒶𝒶 ✨</t>
  </si>
  <si>
    <t>Shahzadnoor</t>
  </si>
  <si>
    <t>GSTORE JATIM - CB 75/40</t>
  </si>
  <si>
    <t>QA/ markettfess 🔆 base jualan</t>
  </si>
  <si>
    <t>fb-CEK PINNED-🤙</t>
  </si>
  <si>
    <t>Hooman.</t>
  </si>
  <si>
    <t>Adam......</t>
  </si>
  <si>
    <t>White Chocolate 🇲🇾 🇵🇸</t>
  </si>
  <si>
    <t>🍓🍞</t>
  </si>
  <si>
    <t>Kabar Baik</t>
  </si>
  <si>
    <t>먹고 싶어</t>
  </si>
  <si>
    <t>Manohara sekar</t>
  </si>
  <si>
    <t>Ust. Atik Liew</t>
  </si>
  <si>
    <t>Alifiah</t>
  </si>
  <si>
    <t>Gitcha</t>
  </si>
  <si>
    <t>Z🌻</t>
  </si>
  <si>
    <t>💸</t>
  </si>
  <si>
    <t>bakso ajaib</t>
  </si>
  <si>
    <t>ON┆Follow @tanyakanrl ✨</t>
  </si>
  <si>
    <t>Alif Muclisin A. A. E.</t>
  </si>
  <si>
    <t>hourly anargya</t>
  </si>
  <si>
    <t>عمیر</t>
  </si>
  <si>
    <t>Mohd Idzmi</t>
  </si>
  <si>
    <t>bobell</t>
  </si>
  <si>
    <t>nanik imuut</t>
  </si>
  <si>
    <t>TikiTeki</t>
  </si>
  <si>
    <t>NMS 🇵🇸🇲🇾</t>
  </si>
  <si>
    <t>Ahmad eL</t>
  </si>
  <si>
    <t>Bunda Aiz</t>
  </si>
  <si>
    <t>Wan</t>
  </si>
  <si>
    <t>ari</t>
  </si>
  <si>
    <t>KIRANA TECH. JASA RAKIT PC 🖥️</t>
  </si>
  <si>
    <t>Duta Thetering</t>
  </si>
  <si>
    <t>NGALAMFESS</t>
  </si>
  <si>
    <t>veni vidi vitri</t>
  </si>
  <si>
    <t>diva 📌</t>
  </si>
  <si>
    <t>°San°</t>
  </si>
  <si>
    <t>Atiqah Dalila</t>
  </si>
  <si>
    <t>҂aly ⚔️</t>
  </si>
  <si>
    <t>onewishaday</t>
  </si>
  <si>
    <t>sya</t>
  </si>
  <si>
    <t>VOI.id</t>
  </si>
  <si>
    <t>hawa ada jual chocolate</t>
  </si>
  <si>
    <t>Adam 🇲🇾 🇵🇸</t>
  </si>
  <si>
    <t>∘˚♡_.ᵐʸ._ʰᵃᵖᵖⁱⁿᵉˢˢ♡∘˚</t>
  </si>
  <si>
    <t>👑 Pusat Thrifting 👑</t>
  </si>
  <si>
    <t>Autobase for Jualan 🌟</t>
  </si>
  <si>
    <t>Nanya2 dm aja ya! rep ga bakal kenotice :(</t>
  </si>
  <si>
    <t>Nana inactive</t>
  </si>
  <si>
    <t>Aimer</t>
  </si>
  <si>
    <t>nel~ Mars 3rd comeback</t>
  </si>
  <si>
    <t>Ratna Pakaja ™️⚫</t>
  </si>
  <si>
    <t>AZZ ✨</t>
  </si>
  <si>
    <t>Rani soraya</t>
  </si>
  <si>
    <t>𝒇𝒐𝒍𝒌𝒍𝒐𝒓𝒆 ❤️💛🖤</t>
  </si>
  <si>
    <t>Lia</t>
  </si>
  <si>
    <t>ana</t>
  </si>
  <si>
    <t>MUHAMMADADAM👦🏻</t>
  </si>
  <si>
    <t>-----</t>
  </si>
  <si>
    <t>Tribun Medan</t>
  </si>
  <si>
    <t>gea (´∀`) || jasa packing, titip nitip paket Depok</t>
  </si>
  <si>
    <t>mon🧸rest</t>
  </si>
  <si>
    <t>Emyra</t>
  </si>
  <si>
    <t>Afiqqzaki (KEREPEK BY DINIE)</t>
  </si>
  <si>
    <t>Sunflower🌻</t>
  </si>
  <si>
    <t>Lepat Pisang ☄</t>
  </si>
  <si>
    <t>🇵🇸 TengkuHarry 🇵🇸</t>
  </si>
  <si>
    <t>Zie</t>
  </si>
  <si>
    <t>Hope y’all are doing great 📸</t>
  </si>
  <si>
    <t>s h a 🐙 bentar</t>
  </si>
  <si>
    <t>cek /mymenu</t>
  </si>
  <si>
    <t>wiona ;</t>
  </si>
  <si>
    <t>mina ☁️</t>
  </si>
  <si>
    <t>k.</t>
  </si>
  <si>
    <t>Qiu⁷🇲🇾 #MUDA 🏴</t>
  </si>
  <si>
    <t>Acha</t>
  </si>
  <si>
    <t>𝓁𝒾𝓁𝓎 | gift box n cookies</t>
  </si>
  <si>
    <t>cajeera ♡︎ frozen corndog murah &amp; lokching</t>
  </si>
  <si>
    <t>Kantor Imigrasi Kelas II TPI Entikong</t>
  </si>
  <si>
    <t>kamusiapaa?</t>
  </si>
  <si>
    <t>JobTripper.com - Remote Jobs</t>
  </si>
  <si>
    <t>#AntiBrekele</t>
  </si>
  <si>
    <t>🦈</t>
  </si>
  <si>
    <t>Intan 🇲🇾•IYLIAMALEK•BROWNIE COOKIES</t>
  </si>
  <si>
    <t>RMP</t>
  </si>
  <si>
    <t>Flaga Media Asia</t>
  </si>
  <si>
    <t>Rom</t>
  </si>
  <si>
    <t>anor</t>
  </si>
  <si>
    <t>Vanprob Solutions - Web, SEO</t>
  </si>
  <si>
    <t>Ehtesham bilal Raza</t>
  </si>
  <si>
    <t>Erase//Replace</t>
  </si>
  <si>
    <t>Anis AshBurn 🏴 🇲🇾</t>
  </si>
  <si>
    <t>Inchan</t>
  </si>
  <si>
    <t>OPEN DM - SUB BASE SAY</t>
  </si>
  <si>
    <t>kay-ra || P1HSD📌</t>
  </si>
  <si>
    <t>Karantina Pertanian Padang</t>
  </si>
  <si>
    <t>👋</t>
  </si>
  <si>
    <t>Automenfess Jualan</t>
  </si>
  <si>
    <t>Laila | Mellow Crunch|Mellow Cookies</t>
  </si>
  <si>
    <t>Muz </t>
  </si>
  <si>
    <t>Reshtu</t>
  </si>
  <si>
    <t>RENEE Antaresh®</t>
  </si>
  <si>
    <t>Regina Bonafida🌷🌷</t>
  </si>
  <si>
    <t>iNews.id</t>
  </si>
  <si>
    <t>Mirapizza 🏴 FreePalestine 🇵🇸</t>
  </si>
  <si>
    <t>peachyblossom🍑🌸</t>
  </si>
  <si>
    <t>put</t>
  </si>
  <si>
    <t>nurulafiqah</t>
  </si>
  <si>
    <t>Tuan 🇲🇾🏴 #FreePalestine 🇵🇸</t>
  </si>
  <si>
    <t>doycyjun.</t>
  </si>
  <si>
    <t>ON || BASE JAJAN</t>
  </si>
  <si>
    <t>Mbud #BakulSukun</t>
  </si>
  <si>
    <t>Tim Kardashian ™</t>
  </si>
  <si>
    <t>regii✨| wtb jin lights</t>
  </si>
  <si>
    <t>ON | WAJIB BACA RULES</t>
  </si>
  <si>
    <t>e</t>
  </si>
  <si>
    <t>🍃</t>
  </si>
  <si>
    <t>r e j a b</t>
  </si>
  <si>
    <t>ca has been vaccinated</t>
  </si>
  <si>
    <t>au ah gelap</t>
  </si>
  <si>
    <t>🇵🇸🇲🇾eymaiizeckae_🇲🇾🇵🇸</t>
  </si>
  <si>
    <t>Mun</t>
  </si>
  <si>
    <t>➷ hanee</t>
  </si>
  <si>
    <t>effa buying ban 💀</t>
  </si>
  <si>
    <t>Bubblestarnoona ||</t>
  </si>
  <si>
    <t>sya 🍞⚡️</t>
  </si>
  <si>
    <t>ain</t>
  </si>
  <si>
    <t>⚡️aisha is semi ia</t>
  </si>
  <si>
    <t>fatin 💌💫</t>
  </si>
  <si>
    <t>Alya Changbin🎭 stay stay</t>
  </si>
  <si>
    <t>eika // manifesting for surprise dm ✨</t>
  </si>
  <si>
    <t>LISA💛</t>
  </si>
  <si>
    <t>far hyunjin</t>
  </si>
  <si>
    <t>아이나🌞</t>
  </si>
  <si>
    <t>🦦🍀✌🏽✨</t>
  </si>
  <si>
    <t>kpopmart • PO aespa savage | enhypen dimension</t>
  </si>
  <si>
    <t>ᵔᴥᵔ</t>
  </si>
  <si>
    <t>teha ⚡</t>
  </si>
  <si>
    <t>Wanda RN</t>
  </si>
  <si>
    <t>jena :Þ</t>
  </si>
  <si>
    <t>Faistra ZeMohderneca 🏴</t>
  </si>
  <si>
    <t>mia ⛈ buying ban</t>
  </si>
  <si>
    <t>Alisya™</t>
  </si>
  <si>
    <t>Saif Ullah</t>
  </si>
  <si>
    <t>🍱🥢</t>
  </si>
  <si>
    <t>dayah</t>
  </si>
  <si>
    <t>fyfaa⚡</t>
  </si>
  <si>
    <t>CHS 💉</t>
  </si>
  <si>
    <t>Info Detoks Usus, Baca Pinned Tweet</t>
  </si>
  <si>
    <t>Fransisca R</t>
  </si>
  <si>
    <t>pecinta mtv ampuh</t>
  </si>
  <si>
    <t>Hamid Khan</t>
  </si>
  <si>
    <t>나디라 🤍</t>
  </si>
  <si>
    <t>hyunzales</t>
  </si>
  <si>
    <t>aida is on buying ban</t>
  </si>
  <si>
    <t>세상을 울리는⁸⚡</t>
  </si>
  <si>
    <t>yoshizawa ai⁺⁺⁺</t>
  </si>
  <si>
    <t>adekkk⁺⁺</t>
  </si>
  <si>
    <t>AbdulRehman</t>
  </si>
  <si>
    <t>Mina</t>
  </si>
  <si>
    <t>tiu</t>
  </si>
  <si>
    <t>nina</t>
  </si>
  <si>
    <t>wani 🍀 🐥</t>
  </si>
  <si>
    <t>ally.</t>
  </si>
  <si>
    <t>PT PLN (Persero)</t>
  </si>
  <si>
    <t>Anissa Herdian</t>
  </si>
  <si>
    <t>IndiHome</t>
  </si>
  <si>
    <t>J. Kusuma</t>
  </si>
  <si>
    <t>rifanti nadia</t>
  </si>
  <si>
    <t>liya👾</t>
  </si>
  <si>
    <t>PUAN SRI SHA °3°⛓️🦋</t>
  </si>
  <si>
    <t>Lia⁷• ᴗ •||♪ My Universe🌌🌟</t>
  </si>
  <si>
    <t>lysa ღ</t>
  </si>
  <si>
    <t>BursaKerja Nusantara</t>
  </si>
  <si>
    <t>Oyehero4200</t>
  </si>
  <si>
    <t>fatemeh</t>
  </si>
  <si>
    <t>qihachannies</t>
  </si>
  <si>
    <t>risa🍀❣️ NOEASY</t>
  </si>
  <si>
    <t>MiringKeKiriKanan</t>
  </si>
  <si>
    <t>é</t>
  </si>
  <si>
    <t>audhina</t>
  </si>
  <si>
    <t>dadal💙 || stay, atiny, nctzen, luvie, blink, etc.</t>
  </si>
  <si>
    <t>#AkuCahMagetan</t>
  </si>
  <si>
    <t>Mahdibagheli</t>
  </si>
  <si>
    <t>Yanuar Pradana</t>
  </si>
  <si>
    <t>POS INDONESIA</t>
  </si>
  <si>
    <t>Telkom Indonesia</t>
  </si>
  <si>
    <t>GP 🍃</t>
  </si>
  <si>
    <t>𝑰𝒌𝒆𝒓𝒕𝒙𝒖💢🤙</t>
  </si>
  <si>
    <t>Lee Aleppo ♐</t>
  </si>
  <si>
    <t>a</t>
  </si>
  <si>
    <t>🇵🇸🇲🇾</t>
  </si>
  <si>
    <t>Koko</t>
  </si>
  <si>
    <t>EL JOHN FM PEKANBARU</t>
  </si>
  <si>
    <t>HENDERY DAY ♡</t>
  </si>
  <si>
    <t>ً</t>
  </si>
  <si>
    <t>fi</t>
  </si>
  <si>
    <t>Deruko🐿 #BadLove is #Savage</t>
  </si>
  <si>
    <t>..</t>
  </si>
  <si>
    <t>SiCepat Ekspres</t>
  </si>
  <si>
    <t>Beanu going LOCO for ITZY 🔥💅💜</t>
  </si>
  <si>
    <t>Ainul Yakin</t>
  </si>
  <si>
    <t>A. Mustofa Bisri</t>
  </si>
  <si>
    <t>Yaqut Cholil Qoumas</t>
  </si>
  <si>
    <t>Irvan's Syam</t>
  </si>
  <si>
    <t>IG; amrudinnejad__</t>
  </si>
  <si>
    <t>Mahdi Kherid</t>
  </si>
  <si>
    <t>Eddy Onsirtus</t>
  </si>
  <si>
    <t>BANSER Kota Blitar</t>
  </si>
  <si>
    <t>Harir</t>
  </si>
  <si>
    <t>KARIADI TV</t>
  </si>
  <si>
    <t>Novi Sherliana</t>
  </si>
  <si>
    <t>Arif_Rahman</t>
  </si>
  <si>
    <t>mansoer ansoer</t>
  </si>
  <si>
    <t>JNE DEPOK</t>
  </si>
  <si>
    <t>Abdul kholiq</t>
  </si>
  <si>
    <t>AhmadZa'imuddinFaruq</t>
  </si>
  <si>
    <t>Farobi Zidan</t>
  </si>
  <si>
    <t>ansorkotakediri77</t>
  </si>
  <si>
    <t>a88ytjhan</t>
  </si>
  <si>
    <t>Kantor Pos Jak-Bar</t>
  </si>
  <si>
    <t>Padang Jobs</t>
  </si>
  <si>
    <t>N 471 EB</t>
  </si>
  <si>
    <t>N.A 🇲🇾</t>
  </si>
  <si>
    <t>Jaimah Membara</t>
  </si>
  <si>
    <t>#lowongankerja baca KOMPASKERJA.com</t>
  </si>
  <si>
    <t>sapi thekid</t>
  </si>
  <si>
    <t>GGSELL</t>
  </si>
  <si>
    <t>sara trying her best🤞🏻</t>
  </si>
  <si>
    <t>Gondronk</t>
  </si>
  <si>
    <t>Maw free tag</t>
  </si>
  <si>
    <t>Barr Barani</t>
  </si>
  <si>
    <t>jelita</t>
  </si>
  <si>
    <t>tanamanku duniaku 🇮🇩</t>
  </si>
  <si>
    <t>kantorpos</t>
  </si>
  <si>
    <t>PT Pos Indonesia</t>
  </si>
  <si>
    <t>Paket Online Store</t>
  </si>
  <si>
    <t>Biowan simping 山鳥毛</t>
  </si>
  <si>
    <t>♑</t>
  </si>
  <si>
    <t>αimie🍀</t>
  </si>
  <si>
    <t>Gesuri</t>
  </si>
  <si>
    <t>festi</t>
  </si>
  <si>
    <t>anteraja.id</t>
  </si>
  <si>
    <t>acha🪐 slow</t>
  </si>
  <si>
    <t>riqq~rest jajan</t>
  </si>
  <si>
    <t>MoFA Indonesia</t>
  </si>
  <si>
    <t>Rivaldi Zakie I</t>
  </si>
  <si>
    <t>ジャジャ 🇲🇾🇵🇸</t>
  </si>
  <si>
    <t>SDNA</t>
  </si>
  <si>
    <t>Gomaudino🇲🇨🌏🌲🌼🌿🍉🍇🍎🍅🍒</t>
  </si>
  <si>
    <t>Ferdinand Hutahaean</t>
  </si>
  <si>
    <t>Wa.</t>
  </si>
  <si>
    <t>Nanad 🍒</t>
  </si>
  <si>
    <t>Ajsksksnannd 🅙</t>
  </si>
  <si>
    <t>zœi</t>
  </si>
  <si>
    <t>Bea Cukai Pasar Baru</t>
  </si>
  <si>
    <t>Setiani</t>
  </si>
  <si>
    <t>Punk Rock Jajanan</t>
  </si>
  <si>
    <t>KAI Commuter</t>
  </si>
  <si>
    <t>Scralachtica</t>
  </si>
  <si>
    <t>Rizka Marhani</t>
  </si>
  <si>
    <t>Bravo Bea Cukai</t>
  </si>
  <si>
    <t>mahdi</t>
  </si>
  <si>
    <t>nm</t>
  </si>
  <si>
    <t>Suhada Hussin</t>
  </si>
  <si>
    <t>azure ||</t>
  </si>
  <si>
    <t>Yuju suka nyasar</t>
  </si>
  <si>
    <t>😡HARUS BACA RULES 😡</t>
  </si>
  <si>
    <t>Darel</t>
  </si>
  <si>
    <t>T y ö</t>
  </si>
  <si>
    <t>전넬리～♡ | ia</t>
  </si>
  <si>
    <t>SVT 🇲🇾 (kinda ia)</t>
  </si>
  <si>
    <t>𝕊𝕍𝕋 𝕄𝕐</t>
  </si>
  <si>
    <t>seventeen trading malaysia 🇲🇾</t>
  </si>
  <si>
    <t>SVTMARKETMY 🇲🇾</t>
  </si>
  <si>
    <t>GEROBOK SVT 🇲🇾 slow rt!</t>
  </si>
  <si>
    <t>RadioMasyarakat</t>
  </si>
  <si>
    <t>Ida Bagus Bajra</t>
  </si>
  <si>
    <t>Pendukung Senyap 🇮🇩 🇮🇩</t>
  </si>
  <si>
    <t>Dio</t>
  </si>
  <si>
    <t>tebtebo</t>
  </si>
  <si>
    <t>Akhmad Nizar</t>
  </si>
  <si>
    <t>`kiki rest</t>
  </si>
  <si>
    <t>nwa</t>
  </si>
  <si>
    <t>Shopee Malaysia</t>
  </si>
  <si>
    <t>🏴</t>
  </si>
  <si>
    <t>아카</t>
  </si>
  <si>
    <t>baby j</t>
  </si>
  <si>
    <t>Bang Djono</t>
  </si>
  <si>
    <t>Andri G-Plant</t>
  </si>
  <si>
    <t>OPEN DM - BASE RASA CRUSH</t>
  </si>
  <si>
    <t>ferin | #SAVELOONA</t>
  </si>
  <si>
    <t>zura</t>
  </si>
  <si>
    <t>P S J</t>
  </si>
  <si>
    <t>Kementerian Sosial RI</t>
  </si>
  <si>
    <t>Maktabah Bookstore</t>
  </si>
  <si>
    <t>Ping</t>
  </si>
  <si>
    <t>•</t>
  </si>
  <si>
    <t>1/2 ♥</t>
  </si>
  <si>
    <t>dre🕊️ | Jual app premium</t>
  </si>
  <si>
    <t>pepen rest buying</t>
  </si>
  <si>
    <t>서데빈. domino dc📌</t>
  </si>
  <si>
    <t>ON💌 POB ONLY / FS ALBUM ❌</t>
  </si>
  <si>
    <t>FH</t>
  </si>
  <si>
    <t>N.H.R. | Beautyvalley.co</t>
  </si>
  <si>
    <t>squisy</t>
  </si>
  <si>
    <t>Spareparthardtop</t>
  </si>
  <si>
    <t>Ale.</t>
  </si>
  <si>
    <t>OiI</t>
  </si>
  <si>
    <t>lake</t>
  </si>
  <si>
    <t>Shania Gracia グラシア</t>
  </si>
  <si>
    <t>Aikerja</t>
  </si>
  <si>
    <t>ش</t>
  </si>
  <si>
    <t>arep</t>
  </si>
  <si>
    <t>henritiawan caseba ASG</t>
  </si>
  <si>
    <t>Amni 🇲🇾</t>
  </si>
  <si>
    <t>Sigit Wibowo</t>
  </si>
  <si>
    <t>Ilham Dwiputranto R</t>
  </si>
  <si>
    <t>pwetty</t>
  </si>
  <si>
    <t>TM 💎</t>
  </si>
  <si>
    <t>🇵🇸 نرنشيخ</t>
  </si>
  <si>
    <t>nabiha</t>
  </si>
  <si>
    <t>Bea Cukai Banjarmasin</t>
  </si>
  <si>
    <t>kenapa aku</t>
  </si>
  <si>
    <t>🦈 SUROBOYOFESS 🐊</t>
  </si>
  <si>
    <t>puput</t>
  </si>
  <si>
    <t>aww</t>
  </si>
  <si>
    <t>Lampung Fess ON</t>
  </si>
  <si>
    <t>Liyana</t>
  </si>
  <si>
    <t>𝐚𝐞𝐫𝐢</t>
  </si>
  <si>
    <t>ig: ohmasgoff</t>
  </si>
  <si>
    <t>permen</t>
  </si>
  <si>
    <t>ditadittt</t>
  </si>
  <si>
    <t>Karawang Menfess</t>
  </si>
  <si>
    <t>Koswara, ɪᴊᴇʟ</t>
  </si>
  <si>
    <t>Anya</t>
  </si>
  <si>
    <t>Liao Ko Chun</t>
  </si>
  <si>
    <t>Mahfud MD</t>
  </si>
  <si>
    <t>Gopinda Dinsos Hadir</t>
  </si>
  <si>
    <t>lya ☾</t>
  </si>
  <si>
    <t>hani⚡</t>
  </si>
  <si>
    <t>hwang yin✨</t>
  </si>
  <si>
    <t>sofea ia exam</t>
  </si>
  <si>
    <t>ryuin || final exam</t>
  </si>
  <si>
    <t>s0fea.</t>
  </si>
  <si>
    <t>babystay🍀</t>
  </si>
  <si>
    <t>ija 🌙</t>
  </si>
  <si>
    <t>e | ××</t>
  </si>
  <si>
    <t>qy🧋</t>
  </si>
  <si>
    <t>nis ia🐣⚡️</t>
  </si>
  <si>
    <t>möng ❣️</t>
  </si>
  <si>
    <t>sya chan | kinda ia</t>
  </si>
  <si>
    <t>dal 🐿</t>
  </si>
  <si>
    <t>Anis Farhana⁷</t>
  </si>
  <si>
    <t>han's🍭</t>
  </si>
  <si>
    <t>TVS</t>
  </si>
  <si>
    <t>migcrab🦀</t>
  </si>
  <si>
    <t>`tyra` °waiting felix n wooyoung balik°</t>
  </si>
  <si>
    <t>aeeong-ee🍉</t>
  </si>
  <si>
    <t>ñ ∩^ω^∩ | 📌</t>
  </si>
  <si>
    <t>g.o sticker 📌</t>
  </si>
  <si>
    <t>GA 📌</t>
  </si>
  <si>
    <t>𝕟𝕚𝕟𝕘</t>
  </si>
  <si>
    <t>Couprang!</t>
  </si>
  <si>
    <t>JANNAH NAK HYUNJIN SUBK PC 🧎🏻‍♀️🧎🏻‍♀️🧎🏻‍♀️</t>
  </si>
  <si>
    <t>Khasana, Xell is 作曲家【♛】</t>
  </si>
  <si>
    <t>Rona Elektra</t>
  </si>
  <si>
    <t>julia⚡</t>
  </si>
  <si>
    <t>mellifluous 🐑🦦</t>
  </si>
  <si>
    <t>Wawa || Packing 📦</t>
  </si>
  <si>
    <t>Wirawan Krisna</t>
  </si>
  <si>
    <t>Kementerian BUMN</t>
  </si>
  <si>
    <t>디어시즈니 ♡</t>
  </si>
  <si>
    <t>Info Kuis</t>
  </si>
  <si>
    <t>niey</t>
  </si>
  <si>
    <t>anjay</t>
  </si>
  <si>
    <t>Adrian is プロデューサー【♕】</t>
  </si>
  <si>
    <t>𝐌, 𝐒𝐈𝐍𝐂𝐋𝐀𝐈𝐑</t>
  </si>
  <si>
    <t>amell</t>
  </si>
  <si>
    <t>NCTMYDream🌟</t>
  </si>
  <si>
    <t>Dhini</t>
  </si>
  <si>
    <t>ًslow</t>
  </si>
  <si>
    <t>vetia is</t>
  </si>
  <si>
    <t>💙 follow @musiconvo</t>
  </si>
  <si>
    <t>jeyazs</t>
  </si>
  <si>
    <t>Aliff</t>
  </si>
  <si>
    <t>Nabil 나빌라 ☀️</t>
  </si>
  <si>
    <t>aput</t>
  </si>
  <si>
    <t>trade buy sell MY 🇲🇾</t>
  </si>
  <si>
    <t>Tri.</t>
  </si>
  <si>
    <t>Ndukla🇮🇩</t>
  </si>
  <si>
    <t>Patih</t>
  </si>
  <si>
    <t>Tujuan.</t>
  </si>
  <si>
    <t>DePan</t>
  </si>
  <si>
    <t>𝓷𝓰𝓮𝓵 ⁷ ✨ | CEK 📌 JOKI TUGAS JASA CEK TURNITIN</t>
  </si>
  <si>
    <t>Askrlfess</t>
  </si>
  <si>
    <t>🪨🥀</t>
  </si>
  <si>
    <t>Loker Sumatera</t>
  </si>
  <si>
    <t>CLOSE DM. BACA RULES‼️</t>
  </si>
  <si>
    <t>INA GO | OPEN PO SEVENTEEN ATTACCA</t>
  </si>
  <si>
    <t>d.</t>
  </si>
  <si>
    <t>비차 ఌ rest</t>
  </si>
  <si>
    <t>rimma lee</t>
  </si>
  <si>
    <t>gema terecan ecan</t>
  </si>
  <si>
    <t>BenarNews Malaysia</t>
  </si>
  <si>
    <t>Cris Mer Cadona</t>
  </si>
  <si>
    <t>Alif Pribadi</t>
  </si>
  <si>
    <t>JuventusFC</t>
  </si>
  <si>
    <t>🇦 🇩 🇦 🇧</t>
  </si>
  <si>
    <t>Federico Chiesa</t>
  </si>
  <si>
    <t>JNE Customer Care</t>
  </si>
  <si>
    <t>JNE Express</t>
  </si>
  <si>
    <t>J&amp;T Express Indonesia</t>
  </si>
  <si>
    <t>Muhammad Afif Junaidi</t>
  </si>
  <si>
    <t>Muhammad Akbar</t>
  </si>
  <si>
    <t>Ahmad Ridwan</t>
  </si>
  <si>
    <t>Fajar Budiman</t>
  </si>
  <si>
    <t>tukang jasa BI cheking</t>
  </si>
  <si>
    <t>Salim Arifad</t>
  </si>
  <si>
    <t>roberto romani</t>
  </si>
  <si>
    <t>navri firays kamru</t>
  </si>
  <si>
    <t>krisna praditya</t>
  </si>
  <si>
    <t>Muhammad Faried</t>
  </si>
  <si>
    <t>Kozuki Yamato</t>
  </si>
  <si>
    <t>chiesa #1 lover🤍🖤</t>
  </si>
  <si>
    <t>Budi Ariyanto</t>
  </si>
  <si>
    <t>Dwi Cahya</t>
  </si>
  <si>
    <t>ian syah</t>
  </si>
  <si>
    <t>Handra Akbar</t>
  </si>
  <si>
    <t>Titan</t>
  </si>
  <si>
    <t>JRian</t>
  </si>
  <si>
    <t>Ndhan Boleh Midun Boleh</t>
  </si>
  <si>
    <t>khar..</t>
  </si>
  <si>
    <t>Sandi kurniawan hs</t>
  </si>
  <si>
    <t>JS</t>
  </si>
  <si>
    <t>DAP</t>
  </si>
  <si>
    <t>Muh Fajriyansyah</t>
  </si>
  <si>
    <t>Mohamed Khaled</t>
  </si>
  <si>
    <t>🌙</t>
  </si>
  <si>
    <t>Shinta25</t>
  </si>
  <si>
    <t>Ganda</t>
  </si>
  <si>
    <t>wiTo_sableng uzumaki</t>
  </si>
  <si>
    <t>Art SHS</t>
  </si>
  <si>
    <t>DINSOS_HADIR</t>
  </si>
  <si>
    <t>Akbar Darmawan</t>
  </si>
  <si>
    <t>asfa</t>
  </si>
  <si>
    <t>أردي ويدهانتينو</t>
  </si>
  <si>
    <t>𝓔𝓴𝓸 𝓓𝔀𝓲 𝓢𝓾𝓼𝓪𝓷𝓽𝓸 ▼△</t>
  </si>
  <si>
    <t>Nuy Tarigan 🇮🇩 🇵🇸 🇮🇹</t>
  </si>
  <si>
    <t>kira</t>
  </si>
  <si>
    <t>Prabhu Sin Dewa</t>
  </si>
  <si>
    <t>farid fadhil</t>
  </si>
  <si>
    <t>Henry Hardiyatno</t>
  </si>
  <si>
    <t>fauzi (๑˃ᴗ˂)ﻭ</t>
  </si>
  <si>
    <t>Hidayat Hedi P</t>
  </si>
  <si>
    <t>reza sinambayuga a</t>
  </si>
  <si>
    <t>tir</t>
  </si>
  <si>
    <t>Sat Lantas Polres DS</t>
  </si>
  <si>
    <t>teeenn</t>
  </si>
  <si>
    <t>Mirashi ;-;</t>
  </si>
  <si>
    <t>Lynn⁷ 💜 | 🧈</t>
  </si>
  <si>
    <t>PONG</t>
  </si>
  <si>
    <t>Yulian.</t>
  </si>
  <si>
    <t>lutfi</t>
  </si>
  <si>
    <t>☆ far ☆ || ia || want attacca album 🧘🏻‍♀️</t>
  </si>
  <si>
    <t>𝙘𝙤𝙘𝙤</t>
  </si>
  <si>
    <t>I D</t>
  </si>
  <si>
    <t>long hope philia</t>
  </si>
  <si>
    <t>Fredy</t>
  </si>
  <si>
    <t>keychu GO🇮🇩|| WEEKEND OFF~</t>
  </si>
  <si>
    <t>On</t>
  </si>
  <si>
    <t>xixixi</t>
  </si>
  <si>
    <t>CEK PINNED</t>
  </si>
  <si>
    <t>Reizaldy A.</t>
  </si>
  <si>
    <t>Penjara Tipiring Sukaramen</t>
  </si>
  <si>
    <t>AB.629 ⚖️</t>
  </si>
  <si>
    <t>Kurnia Yasin</t>
  </si>
  <si>
    <t>🧈 start streaming⁷</t>
  </si>
  <si>
    <t>Coldplay Indonesia</t>
  </si>
  <si>
    <t>j-hope Indonesia¹¹³🇮🇩 | #CNSTo300M</t>
  </si>
  <si>
    <t>이 | DAH HABIS REST!</t>
  </si>
  <si>
    <t>Rojèʳᵉⁿˡᵉ || Gak jd Rest Buy😭</t>
  </si>
  <si>
    <t>Ka Kay 🏴</t>
  </si>
  <si>
    <t>The Ken</t>
  </si>
  <si>
    <t>Jon Russell</t>
  </si>
  <si>
    <t>Nadine 🌏 🇩🇪🇮🇩</t>
  </si>
  <si>
    <t>Achmad Yasin</t>
  </si>
  <si>
    <t>Gio</t>
  </si>
  <si>
    <t>antashe⁷</t>
  </si>
  <si>
    <t>fullsun | hendery edit 📌</t>
  </si>
  <si>
    <t>nct wayv rt 🇲🇾</t>
  </si>
  <si>
    <t>Info BNNK Bantul</t>
  </si>
  <si>
    <t>IG: baleayuresto.id</t>
  </si>
  <si>
    <t>Pita Biru</t>
  </si>
  <si>
    <t>M.Maulana.F.R</t>
  </si>
  <si>
    <t>Jérôme Neuvéglise</t>
  </si>
  <si>
    <t>HIPMI Bantul</t>
  </si>
  <si>
    <t>Gojek Indonesia</t>
  </si>
  <si>
    <t>☕️</t>
  </si>
  <si>
    <t>bwin</t>
  </si>
  <si>
    <t>Bagus Fitrian</t>
  </si>
  <si>
    <t>Lowongan Kerja Indonesia</t>
  </si>
  <si>
    <t>Tribunnews.com</t>
  </si>
  <si>
    <t>Skrrt queen🎀</t>
  </si>
  <si>
    <t>𝑹𝑰𝒁𝑨𝑳</t>
  </si>
  <si>
    <t>𝙎𝙝𝙖𝙛𝙛.| slow</t>
  </si>
  <si>
    <t>Sil</t>
  </si>
  <si>
    <t>🚀DF🚀</t>
  </si>
  <si>
    <t>🇰🇷</t>
  </si>
  <si>
    <t>Septian Nurmandianto</t>
  </si>
  <si>
    <t>Yukkuriyu✨</t>
  </si>
  <si>
    <t>´･ᴗ･`</t>
  </si>
  <si>
    <t>alif🇲🇾</t>
  </si>
  <si>
    <t>najwa *.✧</t>
  </si>
  <si>
    <t>yena 🎢 ꔛ♡</t>
  </si>
  <si>
    <t>Jasa Raharja Aceh</t>
  </si>
  <si>
    <t>Anggita</t>
  </si>
  <si>
    <t>˗ˏˋstatye⁷ˎˊ˗</t>
  </si>
  <si>
    <t>PASAR SF9 🇲🇾</t>
  </si>
  <si>
    <t>jiha 🐝</t>
  </si>
  <si>
    <t>sukulentku_</t>
  </si>
  <si>
    <t>Awenk Bukar</t>
  </si>
  <si>
    <t>Tibot bukan Cimot</t>
  </si>
  <si>
    <t>aly ahmad</t>
  </si>
  <si>
    <t>PengejarMimpi</t>
  </si>
  <si>
    <t>Na</t>
  </si>
  <si>
    <t>Riest</t>
  </si>
  <si>
    <t>Gie Wahyudi</t>
  </si>
  <si>
    <t>Nama Tidak Boleh Kosong</t>
  </si>
  <si>
    <t>FloBerli</t>
  </si>
  <si>
    <t>♌️ 𝓛𝓸𝓾𝓲𝓼 🇲🇨</t>
  </si>
  <si>
    <t>ًaya</t>
  </si>
  <si>
    <t>TREASURE</t>
  </si>
  <si>
    <t>𝓫𝓮𝔂</t>
  </si>
  <si>
    <t>Brianna 💙</t>
  </si>
  <si>
    <t>☆Sins77☆</t>
  </si>
  <si>
    <t>𝗦 𝗵 𝗲 🦋</t>
  </si>
  <si>
    <t>🦄💜</t>
  </si>
  <si>
    <t>Shadowmoon</t>
  </si>
  <si>
    <t>Ade Putra</t>
  </si>
  <si>
    <t>Puti Andam Dewi</t>
  </si>
  <si>
    <t>dinta🍀</t>
  </si>
  <si>
    <t>Lik♡⚡</t>
  </si>
  <si>
    <t>ㄒ卄乇 爪ㄚㄒ卄</t>
  </si>
  <si>
    <t>Kementerian Hukum dan HAM Jawa Timur</t>
  </si>
  <si>
    <t>RBKUNWAS Kemenpanrb</t>
  </si>
  <si>
    <t>Relawan PKS Pekayon</t>
  </si>
  <si>
    <t>DPP PKS</t>
  </si>
  <si>
    <t>Domenico Bagas</t>
  </si>
  <si>
    <t>𝚙𝚘𝚗𝚊𝚔𝚊𝚗 𝚣𝚎𝚞𝚜 ⸸</t>
  </si>
  <si>
    <t>hani ♡</t>
  </si>
  <si>
    <t>LAPAK ATTACCA CEK LIKES</t>
  </si>
  <si>
    <t>kay</t>
  </si>
  <si>
    <t>j</t>
  </si>
  <si>
    <t>Gesa</t>
  </si>
  <si>
    <t>𝐑𝐢𝐳𝐚𝐥𝐝𝐲</t>
  </si>
  <si>
    <t>jakun baekhyun</t>
  </si>
  <si>
    <t>Shopee Indonesia</t>
  </si>
  <si>
    <t>N.R.S_J.O.K.E.R</t>
  </si>
  <si>
    <t>INFO LOWONGAN KERJA</t>
  </si>
  <si>
    <t>Imαn Hidαyαt</t>
  </si>
  <si>
    <t>are</t>
  </si>
  <si>
    <t>👽Arze</t>
  </si>
  <si>
    <t>ca</t>
  </si>
  <si>
    <t>☁︎ cales˚˖✧</t>
  </si>
  <si>
    <t>Ray Prakarsa</t>
  </si>
  <si>
    <t>🧚pia | WTB PC NANA PLIS</t>
  </si>
  <si>
    <t>Nugraha</t>
  </si>
  <si>
    <t>Reza Aditya</t>
  </si>
  <si>
    <t>Derry Aulia</t>
  </si>
  <si>
    <t>Sam S̶m̶i̶t̶h̶</t>
  </si>
  <si>
    <t>🐼</t>
  </si>
  <si>
    <t>Koran Tempo</t>
  </si>
  <si>
    <t>AdhiLoehoeng</t>
  </si>
  <si>
    <t>jee | rest buy 😈</t>
  </si>
  <si>
    <t>𝐚𝐮𝐥𝐥 𖤐 kinda ia</t>
  </si>
  <si>
    <t>ℛℴ𝑠𝔧ℯ🕊</t>
  </si>
  <si>
    <t>Edgar</t>
  </si>
  <si>
    <t>PASAR THE BOYZ MALAYSIA (slow)</t>
  </si>
  <si>
    <t>gudangloker</t>
  </si>
  <si>
    <t>Ξ alfا|💉💉</t>
  </si>
  <si>
    <t>Mel</t>
  </si>
  <si>
    <t>Lokernesia.id</t>
  </si>
  <si>
    <t>☾ vin.</t>
  </si>
  <si>
    <t>Akuratco</t>
  </si>
  <si>
    <t>Muse Indonesia</t>
  </si>
  <si>
    <t>Sha rest</t>
  </si>
  <si>
    <t>cham</t>
  </si>
  <si>
    <t>Sentot</t>
  </si>
  <si>
    <t>Nida</t>
  </si>
  <si>
    <t>‘-‘</t>
  </si>
  <si>
    <t>Mitra Loker</t>
  </si>
  <si>
    <t>♡</t>
  </si>
  <si>
    <t>🌞ᶠᵃᵗᶦⁿ🐇</t>
  </si>
  <si>
    <t>Alan Tang</t>
  </si>
  <si>
    <t>fan💃</t>
  </si>
  <si>
    <t>Dochil97</t>
  </si>
  <si>
    <t>Vano christyano</t>
  </si>
  <si>
    <t>✧ uti restbuy ✧</t>
  </si>
  <si>
    <t>fay ;</t>
  </si>
  <si>
    <t>Meisyarahma_</t>
  </si>
  <si>
    <t>ehjieya</t>
  </si>
  <si>
    <t>nat</t>
  </si>
  <si>
    <t>Nutritionist🍑</t>
  </si>
  <si>
    <t>Info Semarang Raya</t>
  </si>
  <si>
    <t>Kanwil DJP Bengkulu &amp; Lampung</t>
  </si>
  <si>
    <t>#PajakKitaUntukKita</t>
  </si>
  <si>
    <t>Sherlyn Zoe</t>
  </si>
  <si>
    <t>pineas</t>
  </si>
  <si>
    <t>dodotsky~</t>
  </si>
  <si>
    <t>ShaYangShukeBlockOrang!</t>
  </si>
  <si>
    <t>FZ</t>
  </si>
  <si>
    <t>caa</t>
  </si>
  <si>
    <t>DEOBI MARKET 🇲🇾 (slow)</t>
  </si>
  <si>
    <t>#PasarTBZ</t>
  </si>
  <si>
    <t>Coltliq Ekajaya #myBigBozz</t>
  </si>
  <si>
    <t>ness</t>
  </si>
  <si>
    <t>Cikgu Ainan 🇲🇾</t>
  </si>
  <si>
    <t>MILI 💙 Custom Giftbox</t>
  </si>
  <si>
    <t>j 💭</t>
  </si>
  <si>
    <t>Selamat Datang</t>
  </si>
  <si>
    <t>Lowongan Kerja</t>
  </si>
  <si>
    <t>妮塔</t>
  </si>
  <si>
    <t>Squidward</t>
  </si>
  <si>
    <t>bazaar deobi 🎢🌴</t>
  </si>
  <si>
    <t>park 🇵🇸</t>
  </si>
  <si>
    <t>alya</t>
  </si>
  <si>
    <t>s.</t>
  </si>
  <si>
    <t>Aazeez AG</t>
  </si>
  <si>
    <t>gÿu ◡̈</t>
  </si>
  <si>
    <t>Caca 아이 시아</t>
  </si>
  <si>
    <t>DPC PKS Pasar Rebo</t>
  </si>
  <si>
    <t>arisayang</t>
  </si>
  <si>
    <t>SEUNGMIN 1st OST</t>
  </si>
  <si>
    <t>weena ✿</t>
  </si>
  <si>
    <t>Widodo</t>
  </si>
  <si>
    <t>bibiie•</t>
  </si>
  <si>
    <t>önya</t>
  </si>
  <si>
    <t>shada</t>
  </si>
  <si>
    <t>aimi ⚡️</t>
  </si>
  <si>
    <t>wanna</t>
  </si>
  <si>
    <t>Paisal</t>
  </si>
  <si>
    <t>Intan</t>
  </si>
  <si>
    <t>Syasya ⚡</t>
  </si>
  <si>
    <t>️️ ️️️️</t>
  </si>
  <si>
    <t>horangi povver</t>
  </si>
  <si>
    <t>Hey Tayo</t>
  </si>
  <si>
    <t>ween || vaccinated💉</t>
  </si>
  <si>
    <t>Jeday🌟🐿`홉필´ sbt moa follback me🥰</t>
  </si>
  <si>
    <t>ON | OPEN DM</t>
  </si>
  <si>
    <t>Pasar P1Harmony 🇲🇾</t>
  </si>
  <si>
    <t>mahirah 🐧 exam ✨</t>
  </si>
  <si>
    <t>kalea.</t>
  </si>
  <si>
    <t>anggaputra.k (IG: titipbagus)</t>
  </si>
  <si>
    <t>Blue Bird</t>
  </si>
  <si>
    <t>agnes is busy</t>
  </si>
  <si>
    <t>Spartan Pariwisata</t>
  </si>
  <si>
    <t>🇲🇾BTS TRADE/SELL/BUY OFFICIAL MERCH</t>
  </si>
  <si>
    <t>kpop promote account</t>
  </si>
  <si>
    <t>Malaysian Trade Kpop</t>
  </si>
  <si>
    <t>#pasarBTS MY 🇲🇾</t>
  </si>
  <si>
    <t>aya⁷ ᵗᵃᵉ ᵗᵃᵉ</t>
  </si>
  <si>
    <t>fiy</t>
  </si>
  <si>
    <t>𝒀𝑨𝑯⁷🐯</t>
  </si>
  <si>
    <t>aimi ⁷</t>
  </si>
  <si>
    <t>mir ♡ﾐ ia</t>
  </si>
  <si>
    <t>Agibbang ⚡</t>
  </si>
  <si>
    <t>ite | 범규's bestie</t>
  </si>
  <si>
    <t>moon⁷</t>
  </si>
  <si>
    <t>tersunghoon-sunghoon ૮₍ ˃ ⤙ ˂ ₎ა</t>
  </si>
  <si>
    <t>ʕ•̀ᴥ̫•́ʔ♡̷♥ muna</t>
  </si>
  <si>
    <t>eun ⁷</t>
  </si>
  <si>
    <t>Hairul Pasya</t>
  </si>
  <si>
    <t>TPPLampung</t>
  </si>
  <si>
    <t>Dedy Sholikin</t>
  </si>
  <si>
    <t>Mashuri</t>
  </si>
  <si>
    <t>Brigade01Arwan1</t>
  </si>
  <si>
    <t>#SantriIndonesia</t>
  </si>
  <si>
    <t>TPP KEMENDES</t>
  </si>
  <si>
    <t>Yusra</t>
  </si>
  <si>
    <t>Ahmad Iman Sukri</t>
  </si>
  <si>
    <t>malikharamain</t>
  </si>
  <si>
    <t>ABDUL HALIM ISKANDAR</t>
  </si>
  <si>
    <t>Gus Din</t>
  </si>
  <si>
    <t>Batara</t>
  </si>
  <si>
    <t>husna ➳❥</t>
  </si>
  <si>
    <t>Ⓜ</t>
  </si>
  <si>
    <t>mijang</t>
  </si>
  <si>
    <t>Lana #HappyShindongDay💙</t>
  </si>
  <si>
    <t>mbang🐯</t>
  </si>
  <si>
    <t>Kendari Pos</t>
  </si>
  <si>
    <t>waa⁷</t>
  </si>
  <si>
    <t>yana⚡️✨</t>
  </si>
  <si>
    <t>Info Loker Serang</t>
  </si>
  <si>
    <t>𝘭𝘰𝘷𝘦𝘭𝘺 𝘫𝘶𝘣𝘣𝘭𝘺 ♡</t>
  </si>
  <si>
    <t>DRIPPIN SUPPORT TEAM INDONESIA</t>
  </si>
  <si>
    <t>sya ⁷🧸</t>
  </si>
  <si>
    <t>syiqin (d-12)</t>
  </si>
  <si>
    <t>anne | jasa co weverse - follback sender</t>
  </si>
  <si>
    <t>#JIMIN</t>
  </si>
  <si>
    <t>Depok Pos</t>
  </si>
  <si>
    <t>배우 김석진 🐺🐹🐳🌙</t>
  </si>
  <si>
    <t>Alyessa Mariani binti Abdul Rahman @ Awang (LISA)</t>
  </si>
  <si>
    <t>ISTANA NEGARA</t>
  </si>
  <si>
    <t>Malaysian Army</t>
  </si>
  <si>
    <t>MINDEF Malaysia</t>
  </si>
  <si>
    <t>Royal Malaysian Navy</t>
  </si>
  <si>
    <t>TUDM</t>
  </si>
  <si>
    <t>Angkatan Tentera Malaysia</t>
  </si>
  <si>
    <t>liaa⁷𐐚࿐TETE PLS COME TO ME🥺BUYING BAN🔪</t>
  </si>
  <si>
    <t>yan buying banned</t>
  </si>
  <si>
    <t>Hengky Fathur Rizki</t>
  </si>
  <si>
    <t>Tokopedia</t>
  </si>
  <si>
    <t>TokopediaCare</t>
  </si>
  <si>
    <t>Fikri BigWin</t>
  </si>
  <si>
    <t>🦊</t>
  </si>
  <si>
    <t>MoonJinnieᴮᴱ⁷💜🎫</t>
  </si>
  <si>
    <t>☆ nina⁷☆</t>
  </si>
  <si>
    <t>nisha⁷ 🇵🇸</t>
  </si>
  <si>
    <t>balqis⁷ | jungkook’s gf</t>
  </si>
  <si>
    <t>ari⁷</t>
  </si>
  <si>
    <t>bell 🪐 | 🇵🇸</t>
  </si>
  <si>
    <t>Seha</t>
  </si>
  <si>
    <t>rein⁷ ♡ |</t>
  </si>
  <si>
    <t>I'm their Universe 🌌</t>
  </si>
  <si>
    <t>hana ; attacca</t>
  </si>
  <si>
    <t>ً jun's gf (real)</t>
  </si>
  <si>
    <t>pn sri fatin⁷ ࿐ ࿔*:･ﾟ</t>
  </si>
  <si>
    <t>farissa⁷ 💜</t>
  </si>
  <si>
    <t>atin⁷ ꒰⚘݄꒱₊</t>
  </si>
  <si>
    <t>윤 is playing 𝐓𝐞𝐚𝐫𝐬 𝐎𝐟 𝐓𝐡𝐞𝐦𝐢𝐬 ☾</t>
  </si>
  <si>
    <t>dina⁷</t>
  </si>
  <si>
    <t>sara⁷🦀</t>
  </si>
  <si>
    <t>nash⁷ ৎ୭</t>
  </si>
  <si>
    <t>ۗۗۗۗۗۗۗۗۗۗۗۗۗۗۗۗۗۗۗۗۗۗۗۗۗۗۗۗۗۗۗۗۗBangtan'sBaby⁷ 🍊</t>
  </si>
  <si>
    <t>piqah⁷</t>
  </si>
  <si>
    <t>alya⁷ misses jimin</t>
  </si>
  <si>
    <t>diha⁷</t>
  </si>
  <si>
    <t>gab | ia 📚</t>
  </si>
  <si>
    <t>kim yyaw⁷</t>
  </si>
  <si>
    <t>deena</t>
  </si>
  <si>
    <t>cika𑁍</t>
  </si>
  <si>
    <t>Mikhy </t>
  </si>
  <si>
    <t>J&amp;T EXPRESS #100JutaPelanggan 🇮🇩</t>
  </si>
  <si>
    <t>Juventini Pekanbaru</t>
  </si>
  <si>
    <t>mads | yuta red hair supremacy 🙇‍♀️🧎‍♀️</t>
  </si>
  <si>
    <t>azi ૮₍ ˃̵͈᷄ . ˂̵͈᷅ ₎ა</t>
  </si>
  <si>
    <t>⟭⟬태디⁷ is on buying ban‼️</t>
  </si>
  <si>
    <t>naa•ɞ•</t>
  </si>
  <si>
    <t>S's</t>
  </si>
  <si>
    <t>شحزوان</t>
  </si>
  <si>
    <t>ma'</t>
  </si>
  <si>
    <t>Aqilah</t>
  </si>
  <si>
    <t>sha⁷ help rt 📌</t>
  </si>
  <si>
    <t>sagi</t>
  </si>
  <si>
    <t>BANDUNG FESS </t>
  </si>
  <si>
    <t>al🐺</t>
  </si>
  <si>
    <t>iniirvan</t>
  </si>
  <si>
    <t>🌟</t>
  </si>
  <si>
    <t>Lily 🌻</t>
  </si>
  <si>
    <t>(N)echi</t>
  </si>
  <si>
    <t>Ando - capek</t>
  </si>
  <si>
    <t>ixoxo</t>
  </si>
  <si>
    <t>effa</t>
  </si>
  <si>
    <t>masdap</t>
  </si>
  <si>
    <t>💋</t>
  </si>
  <si>
    <t>lia, kinda ia</t>
  </si>
  <si>
    <t>rosrose</t>
  </si>
  <si>
    <t>logout</t>
  </si>
  <si>
    <t>ʜᴀɴɪꜰ ⸙͎</t>
  </si>
  <si>
    <t>yannn | rest sumpah.</t>
  </si>
  <si>
    <t>jeny</t>
  </si>
  <si>
    <t>maw</t>
  </si>
  <si>
    <t>Wendoy🦖</t>
  </si>
  <si>
    <t>IG: @potolawas</t>
  </si>
  <si>
    <t>Lina</t>
  </si>
  <si>
    <t>write_n_translate</t>
  </si>
  <si>
    <t>Koran BUMN</t>
  </si>
  <si>
    <t>Kementerian Kominfo</t>
  </si>
  <si>
    <t>세레나 - joys</t>
  </si>
  <si>
    <t>Kantin Bighit | ON 💌</t>
  </si>
  <si>
    <t>Rendy Afx</t>
  </si>
  <si>
    <t>Tridha Aristantia</t>
  </si>
  <si>
    <t>yeonjun</t>
  </si>
  <si>
    <t>WTS PC INTHESOOP2</t>
  </si>
  <si>
    <t>sky</t>
  </si>
  <si>
    <t>pia</t>
  </si>
  <si>
    <t>noturje ☻︎</t>
  </si>
  <si>
    <t>Nobi #ATTACCA #TURBULENCE</t>
  </si>
  <si>
    <t>Universitas MH Thamrin</t>
  </si>
  <si>
    <t>pie⁷ || help rt my pinned 📌</t>
  </si>
  <si>
    <t>sof (slow) | hobi's yeochin⁷</t>
  </si>
  <si>
    <t>retaaa☯🍀</t>
  </si>
  <si>
    <t>lalalandeu☁️</t>
  </si>
  <si>
    <t>ileon</t>
  </si>
  <si>
    <t>pare</t>
  </si>
  <si>
    <t>ㅎㅅㅎ</t>
  </si>
  <si>
    <t>KogiEXO Photocards G.O</t>
  </si>
  <si>
    <t>pika 🧚🏻‍♀️</t>
  </si>
  <si>
    <t>dn$♡</t>
  </si>
  <si>
    <t>UncleMutu</t>
  </si>
  <si>
    <t>Hendri</t>
  </si>
  <si>
    <t>hello there,</t>
  </si>
  <si>
    <t>♡𝒸𝒶𝒽𝒾𝓇𝒶♡</t>
  </si>
  <si>
    <t>𝘴𝘺𝘢</t>
  </si>
  <si>
    <t>Kurir Senja 📦</t>
  </si>
  <si>
    <t>wahh</t>
  </si>
  <si>
    <t>TXT OLCOP</t>
  </si>
  <si>
    <t>Eliya_mkom</t>
  </si>
  <si>
    <t>ǫɪsᴛɪɴᴀ ＾▽＾</t>
  </si>
  <si>
    <t>ijaa ♡´･ᴗ･`♡</t>
  </si>
  <si>
    <t>🌼</t>
  </si>
  <si>
    <t>CalenDula</t>
  </si>
  <si>
    <t>anlmsra</t>
  </si>
  <si>
    <t>Republika.co.id</t>
  </si>
  <si>
    <t>I'm AlL</t>
  </si>
  <si>
    <t>🇵🇸wolfam™</t>
  </si>
  <si>
    <t>Dr Joeffery Sylvester</t>
  </si>
  <si>
    <t>miloais</t>
  </si>
  <si>
    <t>jongu🐺</t>
  </si>
  <si>
    <t>yedam</t>
  </si>
  <si>
    <t>keenan</t>
  </si>
  <si>
    <t>Kantor Berita Harian Aceh Indonesia</t>
  </si>
  <si>
    <t>Tukang Kayu</t>
  </si>
  <si>
    <t>Marry You Rose UPDATE 📌</t>
  </si>
  <si>
    <t>𝐤 𝐚 𝐥 || au 📌</t>
  </si>
  <si>
    <t>🎠 cikcub gemink</t>
  </si>
  <si>
    <t>YAYA</t>
  </si>
  <si>
    <t>ꕥ gitaa</t>
  </si>
  <si>
    <t>Kakak Jeong 💚 YJY</t>
  </si>
  <si>
    <t>portalkalbar</t>
  </si>
  <si>
    <t>kayra ⟡ close jastip 🙏🏻</t>
  </si>
  <si>
    <t>BACA PINNED &amp; LIKES</t>
  </si>
  <si>
    <t>Def wisuda soon</t>
  </si>
  <si>
    <t>BKIPM</t>
  </si>
  <si>
    <t>BKIPM Djalaluddin</t>
  </si>
  <si>
    <t>nay⁷🐇 semi ia</t>
  </si>
  <si>
    <t>îmæ 🇲🇾</t>
  </si>
  <si>
    <t>jaywon’s fangirl! ૮₍ ˃ ⤙ ˂ ₎ა</t>
  </si>
  <si>
    <t>Leeeen</t>
  </si>
  <si>
    <t>tariiratu</t>
  </si>
  <si>
    <t>txt dari onlineshop</t>
  </si>
  <si>
    <t>UPDATE STOCK, TESTI 📌</t>
  </si>
  <si>
    <t>BNN Kabupaten Sleman</t>
  </si>
  <si>
    <t>Diyanah Rodzi</t>
  </si>
  <si>
    <t>Mommy Bon Langsing</t>
  </si>
  <si>
    <t>Bia</t>
  </si>
  <si>
    <t>Fokus Satu</t>
  </si>
  <si>
    <t>SIDQ</t>
  </si>
  <si>
    <t>K | Z 07</t>
  </si>
  <si>
    <t>Mat Semart</t>
  </si>
  <si>
    <t>Sara Selina</t>
  </si>
  <si>
    <t>boba hyuck</t>
  </si>
  <si>
    <t>ut💆🏻‍♀️</t>
  </si>
  <si>
    <t>Himasura_UTM</t>
  </si>
  <si>
    <t>Hello Indonesia</t>
  </si>
  <si>
    <t>RSU Pelita Husada</t>
  </si>
  <si>
    <t>Kab. Karanganyar</t>
  </si>
  <si>
    <t>Wahyuni Rizkiana</t>
  </si>
  <si>
    <t>Info Mojokerto | #vaksinmjkt</t>
  </si>
  <si>
    <t>dod | #vaccinated</t>
  </si>
  <si>
    <t>Bawaslu Tana Toraja</t>
  </si>
  <si>
    <t>Jual Obat Cytotec Asli</t>
  </si>
  <si>
    <t>Koh Parel</t>
  </si>
  <si>
    <t>Merry</t>
  </si>
  <si>
    <t>RUANG HIJRAH</t>
  </si>
  <si>
    <t>ayy</t>
  </si>
  <si>
    <t>mon⚔️</t>
  </si>
  <si>
    <t>Firda</t>
  </si>
  <si>
    <t>Ayu</t>
  </si>
  <si>
    <t>feraa</t>
  </si>
  <si>
    <t>Devi</t>
  </si>
  <si>
    <t>OPEN DM FOR MUTUALAN FB</t>
  </si>
  <si>
    <t>Billa</t>
  </si>
  <si>
    <t>King | NFT Promoter</t>
  </si>
  <si>
    <t>Novi🍀🌷</t>
  </si>
  <si>
    <t>chita🍒</t>
  </si>
  <si>
    <t>JB👑</t>
  </si>
  <si>
    <t>Nduu</t>
  </si>
  <si>
    <t>Wahyu Sur</t>
  </si>
  <si>
    <t>Pemprov Sumbar</t>
  </si>
  <si>
    <t>RumahKIP-K_UNSIL</t>
  </si>
  <si>
    <t>Perpustakaan Al Falaahiyyah</t>
  </si>
  <si>
    <t>Dinas Kominfo DIY</t>
  </si>
  <si>
    <t>HIMAFI FMIPA UNRI</t>
  </si>
  <si>
    <t>Coklat Kita</t>
  </si>
  <si>
    <t>PMB</t>
  </si>
  <si>
    <t>Info Lowongan kerja</t>
  </si>
  <si>
    <t>KPU BOLMONG</t>
  </si>
  <si>
    <t>Kejaksaan Negeri Indramayu</t>
  </si>
  <si>
    <t>Cindy Sirait ١٥٧٤</t>
  </si>
  <si>
    <t>ＯＱ simanullang ١٥٧٤</t>
  </si>
  <si>
    <t>love indonesia 💚 ⚁⚂⚃ ☮</t>
  </si>
  <si>
    <t>(slow reply) wts suga/yoongi dope pc</t>
  </si>
  <si>
    <t>yu</t>
  </si>
  <si>
    <t>loey’s 🤍</t>
  </si>
  <si>
    <t>mel;</t>
  </si>
  <si>
    <t>DISKOMINFO KabSambas</t>
  </si>
  <si>
    <t>Radio Patria</t>
  </si>
  <si>
    <t>TVRI Sumatera Barat</t>
  </si>
  <si>
    <t>The Iconomics</t>
  </si>
  <si>
    <t>Himasejarahfkipunri</t>
  </si>
  <si>
    <t>KPU Kabupaten Berau</t>
  </si>
  <si>
    <t>Kantor Berita ANTARA</t>
  </si>
  <si>
    <t>Blossom Bandits</t>
  </si>
  <si>
    <t>Myr | OPEN PO SS Standee |</t>
  </si>
  <si>
    <t>Muhammad Auriz</t>
  </si>
  <si>
    <t>YouTube</t>
  </si>
  <si>
    <t>BPS Kabupaten Musi Banyuasin</t>
  </si>
  <si>
    <t>adit, shotaro kemanaa?!</t>
  </si>
  <si>
    <t>Miftahul Jannah</t>
  </si>
  <si>
    <t>Official BKD Jatim</t>
  </si>
  <si>
    <t>Iprahumas</t>
  </si>
  <si>
    <t>YuaN</t>
  </si>
  <si>
    <t>SHUNCHAN</t>
  </si>
  <si>
    <t>TIKI</t>
  </si>
  <si>
    <t>Tarbantin Bookstore</t>
  </si>
  <si>
    <t>tictactoe ♡ || JUAL NETFLIX, SPOTIFY, VIU PREMIUM</t>
  </si>
  <si>
    <t>ppp!</t>
  </si>
  <si>
    <t>KPU DONGGALA</t>
  </si>
  <si>
    <t>Kpu Jakarta Timur</t>
  </si>
  <si>
    <t>Lachimolala✨</t>
  </si>
  <si>
    <t>allya🪐</t>
  </si>
  <si>
    <t>amara aja || lagi ngedraft || AU on 📌</t>
  </si>
  <si>
    <t>Harry Nuriman</t>
  </si>
  <si>
    <t>RRI Programa 3</t>
  </si>
  <si>
    <t>I</t>
  </si>
  <si>
    <t>HIMAPENTIKA FKIP UNRI</t>
  </si>
  <si>
    <t>Rohmat Mustaqim</t>
  </si>
  <si>
    <t>oheung</t>
  </si>
  <si>
    <t>ZelinePuteri</t>
  </si>
  <si>
    <t>Humas Pemda DIY</t>
  </si>
  <si>
    <t>Leis</t>
  </si>
  <si>
    <t>KPU Kota Denpasar</t>
  </si>
  <si>
    <t>Tati Har</t>
  </si>
  <si>
    <t>Deasoka.com</t>
  </si>
  <si>
    <t>nisa | local &amp; intl commission open! 2/5👹</t>
  </si>
  <si>
    <t>Media Lowongan Kerja</t>
  </si>
  <si>
    <t>sowht</t>
  </si>
  <si>
    <t>kei ♡ rest</t>
  </si>
  <si>
    <t>Legal Centric</t>
  </si>
  <si>
    <t>auto follback 📌</t>
  </si>
  <si>
    <t>Bawaslu Kota Depok</t>
  </si>
  <si>
    <t>Bawaslu Provinsi Jawa Barat</t>
  </si>
  <si>
    <t>Bawaslu RI</t>
  </si>
  <si>
    <t>♪princesstaehyung⁷ restଘ(੭ˊᵕˋ)੭♡︎</t>
  </si>
  <si>
    <t>HIMASKA FMIPA UNRI</t>
  </si>
  <si>
    <t>cerita.parapuan</t>
  </si>
  <si>
    <t>bombom</t>
  </si>
  <si>
    <t>nurul yang kaya</t>
  </si>
  <si>
    <t>lisa❣️🍀 hyunjin AOTM !!</t>
  </si>
  <si>
    <t>farina 🌅</t>
  </si>
  <si>
    <t>alice ! ia for a while !</t>
  </si>
  <si>
    <t>khin🍕 HYUNJIN AOTM 🔥</t>
  </si>
  <si>
    <t>AP FISIP MOESTOPO</t>
  </si>
  <si>
    <t>Humas Polres Mesuji</t>
  </si>
  <si>
    <t>CODEX powered by Telkom Indonesia</t>
  </si>
  <si>
    <t>BPS Provinsi Jawa Timur</t>
  </si>
  <si>
    <t>소리꾼✨</t>
  </si>
  <si>
    <t>Bandung Command Center</t>
  </si>
  <si>
    <t>seputaran_bandung</t>
  </si>
  <si>
    <t>kiki</t>
  </si>
  <si>
    <t>KanimBLP</t>
  </si>
  <si>
    <t>Fiersa Besari</t>
  </si>
  <si>
    <t>PMB POLTEKPOS &amp; STIMLOG</t>
  </si>
  <si>
    <t>kamadjajalogistics</t>
  </si>
  <si>
    <t>🌸(ia)</t>
  </si>
  <si>
    <t>yoesfa amyani</t>
  </si>
  <si>
    <t>Balai Latihan Kerja Samarinda</t>
  </si>
  <si>
    <t>Bayanganmu</t>
  </si>
  <si>
    <t>J̀.Ƙ.Ɗʌʋɭʌƴ ✪</t>
  </si>
  <si>
    <t>Divisi Humas Polri</t>
  </si>
  <si>
    <t>🇲🇨 n d @ i 🇲🇨</t>
  </si>
  <si>
    <t>Jenjen Hikmah</t>
  </si>
  <si>
    <t>Felix Suryadi</t>
  </si>
  <si>
    <t>HIMAPEFSI</t>
  </si>
  <si>
    <t>Mahda</t>
  </si>
  <si>
    <t>Tanthia Gultom</t>
  </si>
  <si>
    <t>Samsat Digital Nasional (SIGNAL)</t>
  </si>
  <si>
    <t>Dicko Wijaya</t>
  </si>
  <si>
    <t>Rizaldi Yos Saputra</t>
  </si>
  <si>
    <t>Nami</t>
  </si>
  <si>
    <t>biskut tersedap!</t>
  </si>
  <si>
    <t>HIMAPRODI PBSI FKIP UNRI</t>
  </si>
  <si>
    <t>HIMAKOM POLBAN</t>
  </si>
  <si>
    <t>Bang Mara 🇲🇨🇲🇨🇲🇨🇲🇨🇲🇨</t>
  </si>
  <si>
    <t>BASRENG 7K CEK PINNED</t>
  </si>
  <si>
    <t>SofyaRega</t>
  </si>
  <si>
    <t>bertolt hoover</t>
  </si>
  <si>
    <t>- 🇮🇩🇯🇴</t>
  </si>
  <si>
    <t>JDIH KEMENTERIAN BUMN</t>
  </si>
  <si>
    <t>Pemerintah Kota Denpasar</t>
  </si>
  <si>
    <t>citra emilia f</t>
  </si>
  <si>
    <t>Diskominfo Purwakarta</t>
  </si>
  <si>
    <t>BANDUNG ᮘᮔ᮪ᮓᮥᮀ</t>
  </si>
  <si>
    <t>Vincent Era</t>
  </si>
  <si>
    <t>Evika</t>
  </si>
  <si>
    <t>KITA Kerapatan Indonesia Tanah Air</t>
  </si>
  <si>
    <t>Nui 🌼IG: chingudeul_stuff🌼</t>
  </si>
  <si>
    <t>Ahli Tidur</t>
  </si>
  <si>
    <t>💫📈RreyzFatti📈💫</t>
  </si>
  <si>
    <t>zoemient13</t>
  </si>
  <si>
    <t>SKZ Market</t>
  </si>
  <si>
    <t>anade</t>
  </si>
  <si>
    <t>sab</t>
  </si>
  <si>
    <t>🇰🇷YoonSeoHui🇰🇷</t>
  </si>
  <si>
    <t>Revolusi Mental</t>
  </si>
  <si>
    <t>andidewi@yahoo.co.Id</t>
  </si>
  <si>
    <t>유아</t>
  </si>
  <si>
    <t>jdih_kpukabmagelang</t>
  </si>
  <si>
    <t>Noerhayati</t>
  </si>
  <si>
    <t>Kiki</t>
  </si>
  <si>
    <t>Herlin</t>
  </si>
  <si>
    <t>𝕱𝖑𝖔𝖇𝖆𝖒𝖔𝖗𝖆</t>
  </si>
  <si>
    <t>VWXYZ™</t>
  </si>
  <si>
    <t>una. agk ia</t>
  </si>
  <si>
    <t>♧ ꜱᴀᴀꜱ ♧ ||</t>
  </si>
  <si>
    <t>Pemdaprov Jabar | #AyoPakaiMasker</t>
  </si>
  <si>
    <t>repzkemanz</t>
  </si>
  <si>
    <t>Ckinoza Miyomi</t>
  </si>
  <si>
    <t>Eko Prihartono/Satriya Mudha</t>
  </si>
  <si>
    <t>Nik</t>
  </si>
  <si>
    <t>De Marwan</t>
  </si>
  <si>
    <t>#BeaCukaiMakinBaik</t>
  </si>
  <si>
    <t>Ditjen PPI Kemenkominfo</t>
  </si>
  <si>
    <t>Zaf ◡̈</t>
  </si>
  <si>
    <t>Deri</t>
  </si>
  <si>
    <t>cecil</t>
  </si>
  <si>
    <t>Saa</t>
  </si>
  <si>
    <t>🇵🇸♛رينا☤ 🇲🇾</t>
  </si>
  <si>
    <t>Nyna</t>
  </si>
  <si>
    <t>재쟈니니 #STICKER</t>
  </si>
  <si>
    <t>MUKIM PERMANA</t>
  </si>
  <si>
    <t>DAVIN ARDIANSYAH</t>
  </si>
  <si>
    <t>BikinLaparMata</t>
  </si>
  <si>
    <t>Widi Wihendra Putra</t>
  </si>
  <si>
    <t>Rere</t>
  </si>
  <si>
    <t>Jia Effendie</t>
  </si>
  <si>
    <t>#TitipkanAsmara Streaming NOW</t>
  </si>
  <si>
    <t>Maina ❤</t>
  </si>
  <si>
    <t>adi p</t>
  </si>
  <si>
    <t>PMI Kabupaten Semarang</t>
  </si>
  <si>
    <t>BFL INDONESIA</t>
  </si>
  <si>
    <t>19 TIMES!</t>
  </si>
  <si>
    <t>M. ITSNAINI</t>
  </si>
  <si>
    <t>PPID SRAGEN</t>
  </si>
  <si>
    <t>a n i s 🌼</t>
  </si>
  <si>
    <t>lalalilo</t>
  </si>
  <si>
    <t>ブランク_E=mc²</t>
  </si>
  <si>
    <t>Handa seishuu</t>
  </si>
  <si>
    <t>@SatReskrim_PolrestaPontianakKota</t>
  </si>
  <si>
    <t>NayNara</t>
  </si>
  <si>
    <t>Hendri Chalid</t>
  </si>
  <si>
    <t>Vaughn2</t>
  </si>
  <si>
    <t>𝙋 𝙐 𝙎 𝙋 𝙄 𝙏 𝘼</t>
  </si>
  <si>
    <t>MediaCenter_KotaBengkulu</t>
  </si>
  <si>
    <t>Ben Eling</t>
  </si>
  <si>
    <t>Siska Rahayu 🍀🍀🍀 September big win 🍀🍀🍀</t>
  </si>
  <si>
    <t>fafa🌻</t>
  </si>
  <si>
    <t>AA💳</t>
  </si>
  <si>
    <t>elgo. エルゴ。엘고.</t>
  </si>
  <si>
    <t>BBPLK Serang Official</t>
  </si>
  <si>
    <t>Jiroo</t>
  </si>
  <si>
    <t>K’al</t>
  </si>
  <si>
    <t>Adhi</t>
  </si>
  <si>
    <t>Irmagaziram ⬛🟨🟥</t>
  </si>
  <si>
    <t>Spy Zone</t>
  </si>
  <si>
    <t>Ary Prasetyo🇲🇨🇲🇨</t>
  </si>
  <si>
    <t>Tubagus Aank</t>
  </si>
  <si>
    <t>Denny siregar</t>
  </si>
  <si>
    <t>BAKTI Kominfo</t>
  </si>
  <si>
    <t>Sekretariat Negara</t>
  </si>
  <si>
    <t>Sekretariat Kabinet</t>
  </si>
  <si>
    <t>Kantor Staf Presiden</t>
  </si>
  <si>
    <t>Henry Subiakto</t>
  </si>
  <si>
    <t>A B S</t>
  </si>
  <si>
    <t>Johnny G Plate</t>
  </si>
  <si>
    <t>Lulu</t>
  </si>
  <si>
    <t>Kantah Kab Sragen</t>
  </si>
  <si>
    <t>am</t>
  </si>
  <si>
    <t>LINCOLN</t>
  </si>
  <si>
    <t>Bae Suzy Puji Syukur💅📺🍰🧁🍩</t>
  </si>
  <si>
    <t>𝕺𝖟𝖞 𝕲𝖆𝖓𝖉𝖚𝖒</t>
  </si>
  <si>
    <t>TUN KEME</t>
  </si>
  <si>
    <t>Astri Astuti</t>
  </si>
  <si>
    <t>attacca ¹⁷ ❤️‍🔥</t>
  </si>
  <si>
    <t>Cherly</t>
  </si>
  <si>
    <t>兄 Masaki</t>
  </si>
  <si>
    <t>Anne 💋</t>
  </si>
  <si>
    <t>aLKecil</t>
  </si>
  <si>
    <t>guning</t>
  </si>
  <si>
    <t>Yunita</t>
  </si>
  <si>
    <t>Queen 🏳</t>
  </si>
  <si>
    <t>𝑪𝒆𝒖 𝑬𝒗𝒆𝒍𝒚𝒏☕</t>
  </si>
  <si>
    <t>wea-boo!</t>
  </si>
  <si>
    <t>BTS Market 🇲🇾</t>
  </si>
  <si>
    <t>PPUCHIN</t>
  </si>
  <si>
    <t>Bonno</t>
  </si>
  <si>
    <t>Si J</t>
  </si>
  <si>
    <t>ina🍒</t>
  </si>
  <si>
    <t>Camelaila</t>
  </si>
  <si>
    <t>ZAKY ZAYID🌟</t>
  </si>
  <si>
    <t>KABUPATEN SEMARANG</t>
  </si>
  <si>
    <t>Indonesian Red Cross</t>
  </si>
  <si>
    <t>PMI Jawa Tengah</t>
  </si>
  <si>
    <t>YoesfaT</t>
  </si>
  <si>
    <t>An</t>
  </si>
  <si>
    <t>GO BY RERE. 📌 PO ALBUM ENHYPEN DILEMMA</t>
  </si>
  <si>
    <t>⋆ DILARANG LANGGAR RULES ⋆</t>
  </si>
  <si>
    <t>WAREHOUSE WH KR CARGO EMS</t>
  </si>
  <si>
    <t>carlyᵛ</t>
  </si>
  <si>
    <t>Joanna</t>
  </si>
  <si>
    <t>OPEN DM | CEK RULES 📌/❤</t>
  </si>
  <si>
    <t>ડꪗ𝗮ᵛᵏ</t>
  </si>
  <si>
    <t>ًvna⁷ ᵛᵏ</t>
  </si>
  <si>
    <t>Cᴀᴄɪ🍓</t>
  </si>
  <si>
    <t>tarbantinsouvenir</t>
  </si>
  <si>
    <t>Muhammad Dahlan</t>
  </si>
  <si>
    <t>roiroi</t>
  </si>
  <si>
    <t>lim pato</t>
  </si>
  <si>
    <t>Digital Korlantas</t>
  </si>
  <si>
    <t>🍰</t>
  </si>
  <si>
    <t>Rani</t>
  </si>
  <si>
    <t>Stephanus Lukmanto</t>
  </si>
  <si>
    <t>h∞ny</t>
  </si>
  <si>
    <t>Alvin Prayuda</t>
  </si>
  <si>
    <t>宋</t>
  </si>
  <si>
    <t>jj</t>
  </si>
  <si>
    <t>🐰Deis Nurhalimah🐰</t>
  </si>
  <si>
    <t>Jawa Pos</t>
  </si>
  <si>
    <t>Pos Karang Satria</t>
  </si>
  <si>
    <t>Azyan on buying ban</t>
  </si>
  <si>
    <t>Paijo bani</t>
  </si>
  <si>
    <t>🧸🎀</t>
  </si>
  <si>
    <t>P E L A N G I</t>
  </si>
  <si>
    <t>𝐈𝐧𝐟𝐨 𝐒𝐞𝐛e𝐥𝐚𝐡</t>
  </si>
  <si>
    <t>Peninggi Badan Alami</t>
  </si>
  <si>
    <t>Rakyat Sulsel Online</t>
  </si>
  <si>
    <t>AKUN SAMBAT</t>
  </si>
  <si>
    <t>jakelin</t>
  </si>
  <si>
    <t>elen</t>
  </si>
  <si>
    <t>JIE</t>
  </si>
  <si>
    <t>shiningstar 🌟</t>
  </si>
  <si>
    <t>luna • jasa hapus akun (◕ᴗ◕✿) || IG TIKTOK CLOSE</t>
  </si>
  <si>
    <t>𝓻𝓲𝓪 🐨</t>
  </si>
  <si>
    <t>산하 선장님~ (・–・;)ゞ</t>
  </si>
  <si>
    <t>Feb's | limit 3 abad🍀</t>
  </si>
  <si>
    <t>🍀eciiii big win!!</t>
  </si>
  <si>
    <t>산🌅</t>
  </si>
  <si>
    <t>sela-LIMIT</t>
  </si>
  <si>
    <t>⚡kinda ia</t>
  </si>
  <si>
    <t>Mbak Brownis⚡</t>
  </si>
  <si>
    <t>Je Grealish</t>
  </si>
  <si>
    <t>Trupla PNG</t>
  </si>
  <si>
    <t>Free West Papua</t>
  </si>
  <si>
    <t>PT. ASABRI (Persero)</t>
  </si>
  <si>
    <t>ella</t>
  </si>
  <si>
    <t>Gita Rosalia</t>
  </si>
  <si>
    <t>win</t>
  </si>
  <si>
    <t>el 🐮</t>
  </si>
  <si>
    <t>anak bungsu</t>
  </si>
  <si>
    <t>Santi Melani - Ummu Naha</t>
  </si>
  <si>
    <t>raa || broke era💔</t>
  </si>
  <si>
    <t>رزقي ديان ساندي أوتاما</t>
  </si>
  <si>
    <t>aina³⁵</t>
  </si>
  <si>
    <t>beritasulsel</t>
  </si>
  <si>
    <t>Kazi labuny</t>
  </si>
  <si>
    <t>1202831651350335488</t>
  </si>
  <si>
    <t>1433815052218404871</t>
  </si>
  <si>
    <t>212506085</t>
  </si>
  <si>
    <t>60848339</t>
  </si>
  <si>
    <t>1354639514979889152</t>
  </si>
  <si>
    <t>1297774478831702016</t>
  </si>
  <si>
    <t>1305379410460069890</t>
  </si>
  <si>
    <t>612373630</t>
  </si>
  <si>
    <t>252884786</t>
  </si>
  <si>
    <t>1205379463644467200</t>
  </si>
  <si>
    <t>1145940815400693761</t>
  </si>
  <si>
    <t>69183155</t>
  </si>
  <si>
    <t>212550162</t>
  </si>
  <si>
    <t>1090877330019409921</t>
  </si>
  <si>
    <t>1338737089177763840</t>
  </si>
  <si>
    <t>1420991242498842625</t>
  </si>
  <si>
    <t>1432378999024480259</t>
  </si>
  <si>
    <t>958555441771905024</t>
  </si>
  <si>
    <t>30998641</t>
  </si>
  <si>
    <t>1192412858199339008</t>
  </si>
  <si>
    <t>2253545916</t>
  </si>
  <si>
    <t>1217284481322631170</t>
  </si>
  <si>
    <t>1366214901706883073</t>
  </si>
  <si>
    <t>1293225569459384320</t>
  </si>
  <si>
    <t>240664440</t>
  </si>
  <si>
    <t>1069906064756199424</t>
  </si>
  <si>
    <t>1359513746519982082</t>
  </si>
  <si>
    <t>121033432</t>
  </si>
  <si>
    <t>1964764334</t>
  </si>
  <si>
    <t>598369832</t>
  </si>
  <si>
    <t>2983039796</t>
  </si>
  <si>
    <t>1019989094317740032</t>
  </si>
  <si>
    <t>3672722779</t>
  </si>
  <si>
    <t>58711038</t>
  </si>
  <si>
    <t>282125025</t>
  </si>
  <si>
    <t>775521727</t>
  </si>
  <si>
    <t>1431277084484128768</t>
  </si>
  <si>
    <t>1273594887443640320</t>
  </si>
  <si>
    <t>4856480833</t>
  </si>
  <si>
    <t>1249004237004009474</t>
  </si>
  <si>
    <t>705627337</t>
  </si>
  <si>
    <t>1285545787242340352</t>
  </si>
  <si>
    <t>1330493415558144000</t>
  </si>
  <si>
    <t>974861501646356480</t>
  </si>
  <si>
    <t>864766989369098240</t>
  </si>
  <si>
    <t>1370546137648693251</t>
  </si>
  <si>
    <t>1196460635594186752</t>
  </si>
  <si>
    <t>79159662</t>
  </si>
  <si>
    <t>801500427854479362</t>
  </si>
  <si>
    <t>859889257</t>
  </si>
  <si>
    <t>1312326355279736832</t>
  </si>
  <si>
    <t>1146373427239899136</t>
  </si>
  <si>
    <t>366987179</t>
  </si>
  <si>
    <t>1388237336924737537</t>
  </si>
  <si>
    <t>1252835716599443458</t>
  </si>
  <si>
    <t>1432744770946756611</t>
  </si>
  <si>
    <t>1358402913765183488</t>
  </si>
  <si>
    <t>1240510156745494528</t>
  </si>
  <si>
    <t>1133881924575846402</t>
  </si>
  <si>
    <t>1217690568609808384</t>
  </si>
  <si>
    <t>1372794477861949443</t>
  </si>
  <si>
    <t>919019487331999745</t>
  </si>
  <si>
    <t>1347739978764206081</t>
  </si>
  <si>
    <t>1325364675534467073</t>
  </si>
  <si>
    <t>1230449121632256000</t>
  </si>
  <si>
    <t>1010314748452204544</t>
  </si>
  <si>
    <t>609998771</t>
  </si>
  <si>
    <t>87632140</t>
  </si>
  <si>
    <t>2247391938</t>
  </si>
  <si>
    <t>1221354457037885440</t>
  </si>
  <si>
    <t>1051809673630777344</t>
  </si>
  <si>
    <t>2165123186</t>
  </si>
  <si>
    <t>1192969188</t>
  </si>
  <si>
    <t>3283512792</t>
  </si>
  <si>
    <t>860387767007592448</t>
  </si>
  <si>
    <t>911131129238896640</t>
  </si>
  <si>
    <t>780383646750351360</t>
  </si>
  <si>
    <t>398576367</t>
  </si>
  <si>
    <t>102478633</t>
  </si>
  <si>
    <t>429673482</t>
  </si>
  <si>
    <t>446017133</t>
  </si>
  <si>
    <t>1276794185425670144</t>
  </si>
  <si>
    <t>868053525724516352</t>
  </si>
  <si>
    <t>1238089144158400512</t>
  </si>
  <si>
    <t>621023811</t>
  </si>
  <si>
    <t>77235440</t>
  </si>
  <si>
    <t>1435533638494408710</t>
  </si>
  <si>
    <t>526933844</t>
  </si>
  <si>
    <t>1171846838002962432</t>
  </si>
  <si>
    <t>1197787817075605504</t>
  </si>
  <si>
    <t>711065546968555521</t>
  </si>
  <si>
    <t>873022091078979586</t>
  </si>
  <si>
    <t>1014717866</t>
  </si>
  <si>
    <t>2311527570</t>
  </si>
  <si>
    <t>1282645195289317379</t>
  </si>
  <si>
    <t>1503250820</t>
  </si>
  <si>
    <t>271053603</t>
  </si>
  <si>
    <t>1022831180784099328</t>
  </si>
  <si>
    <t>126357705</t>
  </si>
  <si>
    <t>2197493582</t>
  </si>
  <si>
    <t>1182128923</t>
  </si>
  <si>
    <t>1434744194795507713</t>
  </si>
  <si>
    <t>1429682929857273856</t>
  </si>
  <si>
    <t>706885434</t>
  </si>
  <si>
    <t>868622619821563905</t>
  </si>
  <si>
    <t>1424950182198710276</t>
  </si>
  <si>
    <t>940761207769767936</t>
  </si>
  <si>
    <t>1089465320723472384</t>
  </si>
  <si>
    <t>1311154851775094786</t>
  </si>
  <si>
    <t>2449614769</t>
  </si>
  <si>
    <t>1287273887269412866</t>
  </si>
  <si>
    <t>595671750</t>
  </si>
  <si>
    <t>911915051904229377</t>
  </si>
  <si>
    <t>1416076744876982278</t>
  </si>
  <si>
    <t>1294197899560026112</t>
  </si>
  <si>
    <t>1429974438762606592</t>
  </si>
  <si>
    <t>3302529157</t>
  </si>
  <si>
    <t>281928349</t>
  </si>
  <si>
    <t>730704504</t>
  </si>
  <si>
    <t>1133159143</t>
  </si>
  <si>
    <t>1436366510566658058</t>
  </si>
  <si>
    <t>1334416804471394305</t>
  </si>
  <si>
    <t>1092973477726892032</t>
  </si>
  <si>
    <t>1198210398601637888</t>
  </si>
  <si>
    <t>1390210040603176962</t>
  </si>
  <si>
    <t>436249394</t>
  </si>
  <si>
    <t>41588864</t>
  </si>
  <si>
    <t>1221988593104613376</t>
  </si>
  <si>
    <t>1230643026965348353</t>
  </si>
  <si>
    <t>1279684404755890177</t>
  </si>
  <si>
    <t>3570191659</t>
  </si>
  <si>
    <t>1282686981105790981</t>
  </si>
  <si>
    <t>1421573767927459841</t>
  </si>
  <si>
    <t>1186946650595418116</t>
  </si>
  <si>
    <t>1333923970349895681</t>
  </si>
  <si>
    <t>1245979977591320578</t>
  </si>
  <si>
    <t>1324702768360161281</t>
  </si>
  <si>
    <t>1229107763705339904</t>
  </si>
  <si>
    <t>354882092</t>
  </si>
  <si>
    <t>1273440422048591872</t>
  </si>
  <si>
    <t>1161263264015118336</t>
  </si>
  <si>
    <t>958993679988883456</t>
  </si>
  <si>
    <t>1143753772109197312</t>
  </si>
  <si>
    <t>1143085007193329664</t>
  </si>
  <si>
    <t>209049659</t>
  </si>
  <si>
    <t>1394123368727683073</t>
  </si>
  <si>
    <t>433143283</t>
  </si>
  <si>
    <t>3322129795</t>
  </si>
  <si>
    <t>1005785488509169665</t>
  </si>
  <si>
    <t>142305302</t>
  </si>
  <si>
    <t>1414770219256467460</t>
  </si>
  <si>
    <t>1399246371383693315</t>
  </si>
  <si>
    <t>1404105195961786371</t>
  </si>
  <si>
    <t>527235164</t>
  </si>
  <si>
    <t>914470268</t>
  </si>
  <si>
    <t>4636507573</t>
  </si>
  <si>
    <t>1092135118678806529</t>
  </si>
  <si>
    <t>446485119</t>
  </si>
  <si>
    <t>1216970602919034880</t>
  </si>
  <si>
    <t>1238721214748614656</t>
  </si>
  <si>
    <t>1170594722458456064</t>
  </si>
  <si>
    <t>1244984280939483137</t>
  </si>
  <si>
    <t>1256955148590440453</t>
  </si>
  <si>
    <t>1134441363229949954</t>
  </si>
  <si>
    <t>1294878157548339200</t>
  </si>
  <si>
    <t>2151898476</t>
  </si>
  <si>
    <t>1100703099222540288</t>
  </si>
  <si>
    <t>1272597268533673984</t>
  </si>
  <si>
    <t>1161788585491628032</t>
  </si>
  <si>
    <t>1270755799329996800</t>
  </si>
  <si>
    <t>81319624</t>
  </si>
  <si>
    <t>1424954670649266180</t>
  </si>
  <si>
    <t>1308552573167706112</t>
  </si>
  <si>
    <t>1252222427267907586</t>
  </si>
  <si>
    <t>1106182079887355905</t>
  </si>
  <si>
    <t>1085506708447780864</t>
  </si>
  <si>
    <t>203098285</t>
  </si>
  <si>
    <t>713309636690976769</t>
  </si>
  <si>
    <t>1428912226031702021</t>
  </si>
  <si>
    <t>1214703697</t>
  </si>
  <si>
    <t>2154720368</t>
  </si>
  <si>
    <t>1515881054</t>
  </si>
  <si>
    <t>1327548607319343104</t>
  </si>
  <si>
    <t>1648045466</t>
  </si>
  <si>
    <t>1261496786440515586</t>
  </si>
  <si>
    <t>944180887171743745</t>
  </si>
  <si>
    <t>712386606</t>
  </si>
  <si>
    <t>1263474169838284808</t>
  </si>
  <si>
    <t>789747961756389376</t>
  </si>
  <si>
    <t>1259455908</t>
  </si>
  <si>
    <t>1427778028713644034</t>
  </si>
  <si>
    <t>1359772617033482245</t>
  </si>
  <si>
    <t>1420761512625414146</t>
  </si>
  <si>
    <t>1354385066424639489</t>
  </si>
  <si>
    <t>195601967</t>
  </si>
  <si>
    <t>351600804</t>
  </si>
  <si>
    <t>1388030530277449730</t>
  </si>
  <si>
    <t>1214439320</t>
  </si>
  <si>
    <t>904578152239841281</t>
  </si>
  <si>
    <t>953999998303191040</t>
  </si>
  <si>
    <t>1182543438383734784</t>
  </si>
  <si>
    <t>1276444510520635392</t>
  </si>
  <si>
    <t>1353649368851648513</t>
  </si>
  <si>
    <t>918751008288792576</t>
  </si>
  <si>
    <t>1210726552826044417</t>
  </si>
  <si>
    <t>813109278558912512</t>
  </si>
  <si>
    <t>1419486652725035010</t>
  </si>
  <si>
    <t>1190840921299939329</t>
  </si>
  <si>
    <t>1137394760111468545</t>
  </si>
  <si>
    <t>715843826</t>
  </si>
  <si>
    <t>1356204373508988929</t>
  </si>
  <si>
    <t>1407913415146762240</t>
  </si>
  <si>
    <t>1337128208055988224</t>
  </si>
  <si>
    <t>1432337623381471237</t>
  </si>
  <si>
    <t>1426939008433541120</t>
  </si>
  <si>
    <t>1010841139560079360</t>
  </si>
  <si>
    <t>1369908501959512064</t>
  </si>
  <si>
    <t>3005720286</t>
  </si>
  <si>
    <t>1054520214</t>
  </si>
  <si>
    <t>750938107529269248</t>
  </si>
  <si>
    <t>1316596243343310849</t>
  </si>
  <si>
    <t>893467394936512512</t>
  </si>
  <si>
    <t>1282539963783864322</t>
  </si>
  <si>
    <t>1398986910530359301</t>
  </si>
  <si>
    <t>38187845</t>
  </si>
  <si>
    <t>221392511</t>
  </si>
  <si>
    <t>42387292</t>
  </si>
  <si>
    <t>146410272</t>
  </si>
  <si>
    <t>1438319110123778048</t>
  </si>
  <si>
    <t>1323628884395356161</t>
  </si>
  <si>
    <t>1437293115031711744</t>
  </si>
  <si>
    <t>1065204196159381504</t>
  </si>
  <si>
    <t>1398834068620419076</t>
  </si>
  <si>
    <t>1063849657338519552</t>
  </si>
  <si>
    <t>1413561363134304258</t>
  </si>
  <si>
    <t>1435560380227637250</t>
  </si>
  <si>
    <t>1014813527733727232</t>
  </si>
  <si>
    <t>1255513015639834629</t>
  </si>
  <si>
    <t>1395199185641644033</t>
  </si>
  <si>
    <t>3032351012</t>
  </si>
  <si>
    <t>558516132</t>
  </si>
  <si>
    <t>1075673058931806208</t>
  </si>
  <si>
    <t>150274980</t>
  </si>
  <si>
    <t>1206946606161022976</t>
  </si>
  <si>
    <t>1301678758256996352</t>
  </si>
  <si>
    <t>1256721786928017420</t>
  </si>
  <si>
    <t>2893722433</t>
  </si>
  <si>
    <t>1434843376273211402</t>
  </si>
  <si>
    <t>1431261130626723847</t>
  </si>
  <si>
    <t>1435641339618619398</t>
  </si>
  <si>
    <t>1346419008510119937</t>
  </si>
  <si>
    <t>1380907660342554625</t>
  </si>
  <si>
    <t>44580036</t>
  </si>
  <si>
    <t>1114569536970285057</t>
  </si>
  <si>
    <t>526028429</t>
  </si>
  <si>
    <t>1410504699044720648</t>
  </si>
  <si>
    <t>304124400</t>
  </si>
  <si>
    <t>1421552076417650690</t>
  </si>
  <si>
    <t>1360085354057932801</t>
  </si>
  <si>
    <t>147137991</t>
  </si>
  <si>
    <t>80204488</t>
  </si>
  <si>
    <t>918932420757458945</t>
  </si>
  <si>
    <t>963135119774158849</t>
  </si>
  <si>
    <t>1174602325119291392</t>
  </si>
  <si>
    <t>31679256</t>
  </si>
  <si>
    <t>1390858623199318017</t>
  </si>
  <si>
    <t>200144577</t>
  </si>
  <si>
    <t>101995429</t>
  </si>
  <si>
    <t>1277068835032449024</t>
  </si>
  <si>
    <t>1303685954406772737</t>
  </si>
  <si>
    <t>1376949489374662657</t>
  </si>
  <si>
    <t>704681166</t>
  </si>
  <si>
    <t>818735000765874177</t>
  </si>
  <si>
    <t>1439250595374792707</t>
  </si>
  <si>
    <t>211091475</t>
  </si>
  <si>
    <t>1341928495253868545</t>
  </si>
  <si>
    <t>294439808</t>
  </si>
  <si>
    <t>1320235025158209538</t>
  </si>
  <si>
    <t>280357050</t>
  </si>
  <si>
    <t>1438867477232902152</t>
  </si>
  <si>
    <t>1439811249525571586</t>
  </si>
  <si>
    <t>1439250123318382597</t>
  </si>
  <si>
    <t>1439439041393348616</t>
  </si>
  <si>
    <t>1439215125878112262</t>
  </si>
  <si>
    <t>1439227926004703232</t>
  </si>
  <si>
    <t>1435144603837952007</t>
  </si>
  <si>
    <t>801339782</t>
  </si>
  <si>
    <t>2260455018</t>
  </si>
  <si>
    <t>591634868</t>
  </si>
  <si>
    <t>1439360554112483328</t>
  </si>
  <si>
    <t>1439208972850896896</t>
  </si>
  <si>
    <t>843825549218787329</t>
  </si>
  <si>
    <t>924306074185777152</t>
  </si>
  <si>
    <t>740365125870223365</t>
  </si>
  <si>
    <t>557564732</t>
  </si>
  <si>
    <t>1440072348921565186</t>
  </si>
  <si>
    <t>1121674755868729344</t>
  </si>
  <si>
    <t>1334107047898451971</t>
  </si>
  <si>
    <t>1439213694689316869</t>
  </si>
  <si>
    <t>1423575517907742722</t>
  </si>
  <si>
    <t>98758497</t>
  </si>
  <si>
    <t>294243859</t>
  </si>
  <si>
    <t>262982580</t>
  </si>
  <si>
    <t>94004278</t>
  </si>
  <si>
    <t>34850298</t>
  </si>
  <si>
    <t>1250390992890413056</t>
  </si>
  <si>
    <t>936549235184492544</t>
  </si>
  <si>
    <t>584835300</t>
  </si>
  <si>
    <t>68630385</t>
  </si>
  <si>
    <t>1050727225866125312</t>
  </si>
  <si>
    <t>1401382646089805827</t>
  </si>
  <si>
    <t>1278247827995410432</t>
  </si>
  <si>
    <t>2358855422</t>
  </si>
  <si>
    <t>963429790320615424</t>
  </si>
  <si>
    <t>1409085167440781312</t>
  </si>
  <si>
    <t>1193552261185597440</t>
  </si>
  <si>
    <t>837716431</t>
  </si>
  <si>
    <t>2324943812</t>
  </si>
  <si>
    <t>1411937065760018432</t>
  </si>
  <si>
    <t>341987176</t>
  </si>
  <si>
    <t>142183390</t>
  </si>
  <si>
    <t>1421721692460748803</t>
  </si>
  <si>
    <t>401380641</t>
  </si>
  <si>
    <t>1391754636814557190</t>
  </si>
  <si>
    <t>1151123595273228288</t>
  </si>
  <si>
    <t>1236327683513974786</t>
  </si>
  <si>
    <t>1341704514768801792</t>
  </si>
  <si>
    <t>1098879334767423493</t>
  </si>
  <si>
    <t>1242468375646752768</t>
  </si>
  <si>
    <t>1176344097637859328</t>
  </si>
  <si>
    <t>1355373767787118593</t>
  </si>
  <si>
    <t>1338413501841195008</t>
  </si>
  <si>
    <t>1163405270405353475</t>
  </si>
  <si>
    <t>1106414831714758657</t>
  </si>
  <si>
    <t>775559455203168256</t>
  </si>
  <si>
    <t>83968676</t>
  </si>
  <si>
    <t>1431272002300485641</t>
  </si>
  <si>
    <t>451461462</t>
  </si>
  <si>
    <t>2989403819</t>
  </si>
  <si>
    <t>936715015033208832</t>
  </si>
  <si>
    <t>992390676326199296</t>
  </si>
  <si>
    <t>1132047468269572097</t>
  </si>
  <si>
    <t>1331902964655550465</t>
  </si>
  <si>
    <t>1381682934558547969</t>
  </si>
  <si>
    <t>1158272167353581569</t>
  </si>
  <si>
    <t>2889531644</t>
  </si>
  <si>
    <t>1347368554602004480</t>
  </si>
  <si>
    <t>138709003</t>
  </si>
  <si>
    <t>341406707</t>
  </si>
  <si>
    <t>858320994426945536</t>
  </si>
  <si>
    <t>1094784749023879168</t>
  </si>
  <si>
    <t>1429010066200428548</t>
  </si>
  <si>
    <t>1319542774236995584</t>
  </si>
  <si>
    <t>1017711237893795841</t>
  </si>
  <si>
    <t>1019740621211176961</t>
  </si>
  <si>
    <t>1321734850861166592</t>
  </si>
  <si>
    <t>1070700175813894145</t>
  </si>
  <si>
    <t>1118843353192222721</t>
  </si>
  <si>
    <t>846808219</t>
  </si>
  <si>
    <t>437750128</t>
  </si>
  <si>
    <t>757832946363400192</t>
  </si>
  <si>
    <t>1153944196337684480</t>
  </si>
  <si>
    <t>1152437175587241985</t>
  </si>
  <si>
    <t>1064536398449958912</t>
  </si>
  <si>
    <t>1377198428946501640</t>
  </si>
  <si>
    <t>300667053</t>
  </si>
  <si>
    <t>1112356908436877315</t>
  </si>
  <si>
    <t>1218522623098798080</t>
  </si>
  <si>
    <t>1349745943638286337</t>
  </si>
  <si>
    <t>1441403687331528713</t>
  </si>
  <si>
    <t>281915510</t>
  </si>
  <si>
    <t>1244200315001307137</t>
  </si>
  <si>
    <t>1032109195422617600</t>
  </si>
  <si>
    <t>1298236596689412096</t>
  </si>
  <si>
    <t>1418058350537756675</t>
  </si>
  <si>
    <t>1327848997663346688</t>
  </si>
  <si>
    <t>1002673963686715392</t>
  </si>
  <si>
    <t>1382219786344493056</t>
  </si>
  <si>
    <t>2960656291</t>
  </si>
  <si>
    <t>1015416931896049664</t>
  </si>
  <si>
    <t>1396084729657532419</t>
  </si>
  <si>
    <t>1406146099195252737</t>
  </si>
  <si>
    <t>1068059321332727808</t>
  </si>
  <si>
    <t>1125993524623634432</t>
  </si>
  <si>
    <t>1398542987953524739</t>
  </si>
  <si>
    <t>1348004861124571139</t>
  </si>
  <si>
    <t>790685168264617984</t>
  </si>
  <si>
    <t>1364094469331591171</t>
  </si>
  <si>
    <t>2821017554</t>
  </si>
  <si>
    <t>931731952314363904</t>
  </si>
  <si>
    <t>1388629912253190144</t>
  </si>
  <si>
    <t>1352608147433639938</t>
  </si>
  <si>
    <t>1350494286119227392</t>
  </si>
  <si>
    <t>1240490750023888896</t>
  </si>
  <si>
    <t>1395388017439744003</t>
  </si>
  <si>
    <t>814091855168032769</t>
  </si>
  <si>
    <t>1197710034978791424</t>
  </si>
  <si>
    <t>460068359</t>
  </si>
  <si>
    <t>2952351234</t>
  </si>
  <si>
    <t>2259194006</t>
  </si>
  <si>
    <t>1418285198601428994</t>
  </si>
  <si>
    <t>978592178</t>
  </si>
  <si>
    <t>1336939761240428546</t>
  </si>
  <si>
    <t>343118620</t>
  </si>
  <si>
    <t>3184723542</t>
  </si>
  <si>
    <t>1350730138997018624</t>
  </si>
  <si>
    <t>155226919</t>
  </si>
  <si>
    <t>1333616950304378880</t>
  </si>
  <si>
    <t>1168816668815966208</t>
  </si>
  <si>
    <t>3186344916</t>
  </si>
  <si>
    <t>804264985</t>
  </si>
  <si>
    <t>1205699006032044032</t>
  </si>
  <si>
    <t>1356443266036637699</t>
  </si>
  <si>
    <t>1326412279236206592</t>
  </si>
  <si>
    <t>1284400323059056640</t>
  </si>
  <si>
    <t>1385935710415245317</t>
  </si>
  <si>
    <t>1265770313628844032</t>
  </si>
  <si>
    <t>954613503133798400</t>
  </si>
  <si>
    <t>122878616</t>
  </si>
  <si>
    <t>1184305210774020096</t>
  </si>
  <si>
    <t>1440355320958570502</t>
  </si>
  <si>
    <t>1312439089224798215</t>
  </si>
  <si>
    <t>1307892095240212480</t>
  </si>
  <si>
    <t>1325025951189594112</t>
  </si>
  <si>
    <t>1371004020676907008</t>
  </si>
  <si>
    <t>1371170537704058886</t>
  </si>
  <si>
    <t>1311378247200894977</t>
  </si>
  <si>
    <t>4035939913</t>
  </si>
  <si>
    <t>983683705049833473</t>
  </si>
  <si>
    <t>1393087700102565894</t>
  </si>
  <si>
    <t>1420802520901767169</t>
  </si>
  <si>
    <t>743367423168913408</t>
  </si>
  <si>
    <t>1269414344149721089</t>
  </si>
  <si>
    <t>1311587168414912512</t>
  </si>
  <si>
    <t>3063783077</t>
  </si>
  <si>
    <t>1718616804</t>
  </si>
  <si>
    <t>60588628</t>
  </si>
  <si>
    <t>74623349</t>
  </si>
  <si>
    <t>2230170215</t>
  </si>
  <si>
    <t>2365077614</t>
  </si>
  <si>
    <t>111533124</t>
  </si>
  <si>
    <t>3253429832</t>
  </si>
  <si>
    <t>969187957910290433</t>
  </si>
  <si>
    <t>153342617</t>
  </si>
  <si>
    <t>330749415</t>
  </si>
  <si>
    <t>57623811</t>
  </si>
  <si>
    <t>437968506</t>
  </si>
  <si>
    <t>634267878</t>
  </si>
  <si>
    <t>2511966900</t>
  </si>
  <si>
    <t>1353898646</t>
  </si>
  <si>
    <t>2264922342</t>
  </si>
  <si>
    <t>2972416837</t>
  </si>
  <si>
    <t>576805085</t>
  </si>
  <si>
    <t>1155027555923054592</t>
  </si>
  <si>
    <t>69041955</t>
  </si>
  <si>
    <t>183999355</t>
  </si>
  <si>
    <t>512135525</t>
  </si>
  <si>
    <t>3714991514</t>
  </si>
  <si>
    <t>1181015408075128832</t>
  </si>
  <si>
    <t>572787049</t>
  </si>
  <si>
    <t>77692425</t>
  </si>
  <si>
    <t>426420834</t>
  </si>
  <si>
    <t>3084789350</t>
  </si>
  <si>
    <t>1215281206394122240</t>
  </si>
  <si>
    <t>2297816790</t>
  </si>
  <si>
    <t>1168396790426566656</t>
  </si>
  <si>
    <t>339711736</t>
  </si>
  <si>
    <t>141124653</t>
  </si>
  <si>
    <t>1270942514329997312</t>
  </si>
  <si>
    <t>106340184</t>
  </si>
  <si>
    <t>500481355</t>
  </si>
  <si>
    <t>1300034527880818688</t>
  </si>
  <si>
    <t>1404697089330745345</t>
  </si>
  <si>
    <t>313969059</t>
  </si>
  <si>
    <t>1144868963160952833</t>
  </si>
  <si>
    <t>1964299519</t>
  </si>
  <si>
    <t>4433983277</t>
  </si>
  <si>
    <t>145878495</t>
  </si>
  <si>
    <t>57633045</t>
  </si>
  <si>
    <t>796989883684245504</t>
  </si>
  <si>
    <t>193402036</t>
  </si>
  <si>
    <t>59462557</t>
  </si>
  <si>
    <t>127096284</t>
  </si>
  <si>
    <t>50577283</t>
  </si>
  <si>
    <t>300189137</t>
  </si>
  <si>
    <t>1968665593</t>
  </si>
  <si>
    <t>211039817</t>
  </si>
  <si>
    <t>1440523520258150404</t>
  </si>
  <si>
    <t>1092586006467899392</t>
  </si>
  <si>
    <t>723471277076283392</t>
  </si>
  <si>
    <t>223713504</t>
  </si>
  <si>
    <t>490049226</t>
  </si>
  <si>
    <t>329578031</t>
  </si>
  <si>
    <t>1368662315223056384</t>
  </si>
  <si>
    <t>1401384025269305344</t>
  </si>
  <si>
    <t>3323900718</t>
  </si>
  <si>
    <t>2264369726</t>
  </si>
  <si>
    <t>216652520</t>
  </si>
  <si>
    <t>1273089900179382273</t>
  </si>
  <si>
    <t>1481768214</t>
  </si>
  <si>
    <t>104738527</t>
  </si>
  <si>
    <t>240693553</t>
  </si>
  <si>
    <t>317554050</t>
  </si>
  <si>
    <t>225671838</t>
  </si>
  <si>
    <t>1280377426598490112</t>
  </si>
  <si>
    <t>553195963</t>
  </si>
  <si>
    <t>1218150274734231554</t>
  </si>
  <si>
    <t>1393388324753088512</t>
  </si>
  <si>
    <t>722639745898176513</t>
  </si>
  <si>
    <t>43342264</t>
  </si>
  <si>
    <t>745154493818372102</t>
  </si>
  <si>
    <t>6132422</t>
  </si>
  <si>
    <t>14273520</t>
  </si>
  <si>
    <t>154791544</t>
  </si>
  <si>
    <t>1347830666151534593</t>
  </si>
  <si>
    <t>1404415085343170561</t>
  </si>
  <si>
    <t>1398229744991105031</t>
  </si>
  <si>
    <t>1401169391371259909</t>
  </si>
  <si>
    <t>1349548155247857666</t>
  </si>
  <si>
    <t>447892043</t>
  </si>
  <si>
    <t>249149603</t>
  </si>
  <si>
    <t>3523801518</t>
  </si>
  <si>
    <t>461900664</t>
  </si>
  <si>
    <t>6809202</t>
  </si>
  <si>
    <t>618140522</t>
  </si>
  <si>
    <t>226481275</t>
  </si>
  <si>
    <t>1011613955368865792</t>
  </si>
  <si>
    <t>238971667</t>
  </si>
  <si>
    <t>999351313807720448</t>
  </si>
  <si>
    <t>871926449711828998</t>
  </si>
  <si>
    <t>124171593</t>
  </si>
  <si>
    <t>1399700415617241089</t>
  </si>
  <si>
    <t>481047841</t>
  </si>
  <si>
    <t>48267774</t>
  </si>
  <si>
    <t>1404743996266614784</t>
  </si>
  <si>
    <t>1256543434585673729</t>
  </si>
  <si>
    <t>180802622</t>
  </si>
  <si>
    <t>1343135608592424966</t>
  </si>
  <si>
    <t>1383095073286410242</t>
  </si>
  <si>
    <t>1349247332563369986</t>
  </si>
  <si>
    <t>1346815530250817536</t>
  </si>
  <si>
    <t>1335249052351401984</t>
  </si>
  <si>
    <t>875301622154371072</t>
  </si>
  <si>
    <t>2485662728</t>
  </si>
  <si>
    <t>935489379694284801</t>
  </si>
  <si>
    <t>1354674117467721729</t>
  </si>
  <si>
    <t>1148809845220315137</t>
  </si>
  <si>
    <t>365469779</t>
  </si>
  <si>
    <t>1358637376961060864</t>
  </si>
  <si>
    <t>1269654461569368064</t>
  </si>
  <si>
    <t>754292737</t>
  </si>
  <si>
    <t>1165659560410894336</t>
  </si>
  <si>
    <t>1405079048846385152</t>
  </si>
  <si>
    <t>1119192142574784512</t>
  </si>
  <si>
    <t>497702911</t>
  </si>
  <si>
    <t>713814955</t>
  </si>
  <si>
    <t>1022387521886375936</t>
  </si>
  <si>
    <t>1366731333238591489</t>
  </si>
  <si>
    <t>65603889</t>
  </si>
  <si>
    <t>1353512512851857409</t>
  </si>
  <si>
    <t>203415556</t>
  </si>
  <si>
    <t>2496865904</t>
  </si>
  <si>
    <t>2857561854</t>
  </si>
  <si>
    <t>2352745627</t>
  </si>
  <si>
    <t>1286691301258194946</t>
  </si>
  <si>
    <t>1272980895352291329</t>
  </si>
  <si>
    <t>1584685002</t>
  </si>
  <si>
    <t>243991469</t>
  </si>
  <si>
    <t>1401755949073780738</t>
  </si>
  <si>
    <t>1012214094294728705</t>
  </si>
  <si>
    <t>224590687</t>
  </si>
  <si>
    <t>709300642267811840</t>
  </si>
  <si>
    <t>239272993</t>
  </si>
  <si>
    <t>22365191</t>
  </si>
  <si>
    <t>183212972</t>
  </si>
  <si>
    <t>1243542351940849666</t>
  </si>
  <si>
    <t>1012562082783358976</t>
  </si>
  <si>
    <t>63741879</t>
  </si>
  <si>
    <t>1410991326145826819</t>
  </si>
  <si>
    <t>1269261784252366849</t>
  </si>
  <si>
    <t>1251125639186268161</t>
  </si>
  <si>
    <t>154460855</t>
  </si>
  <si>
    <t>67523537</t>
  </si>
  <si>
    <t>309198751</t>
  </si>
  <si>
    <t>224618442</t>
  </si>
  <si>
    <t>811035959009517568</t>
  </si>
  <si>
    <t>910131948063825920</t>
  </si>
  <si>
    <t>62474970</t>
  </si>
  <si>
    <t>1401766308979507207</t>
  </si>
  <si>
    <t>310858330</t>
  </si>
  <si>
    <t>457153848</t>
  </si>
  <si>
    <t>49545099</t>
  </si>
  <si>
    <t>1044039155057999872</t>
  </si>
  <si>
    <t>20963426</t>
  </si>
  <si>
    <t>2725706084</t>
  </si>
  <si>
    <t>1381865179932106754</t>
  </si>
  <si>
    <t>441317743</t>
  </si>
  <si>
    <t>1347477636058996737</t>
  </si>
  <si>
    <t>1321546572442726400</t>
  </si>
  <si>
    <t>248202568</t>
  </si>
  <si>
    <t>1301215511649243136</t>
  </si>
  <si>
    <t>1221661905158230018</t>
  </si>
  <si>
    <t>786549338818224128</t>
  </si>
  <si>
    <t>1385480130068246530</t>
  </si>
  <si>
    <t>1369696159070003204</t>
  </si>
  <si>
    <t>524134564</t>
  </si>
  <si>
    <t>714291518</t>
  </si>
  <si>
    <t>861305918</t>
  </si>
  <si>
    <t>990439075</t>
  </si>
  <si>
    <t>2471761039</t>
  </si>
  <si>
    <t>2496531500</t>
  </si>
  <si>
    <t>2882527336</t>
  </si>
  <si>
    <t>1683113154</t>
  </si>
  <si>
    <t>1318707323842392066</t>
  </si>
  <si>
    <t>1377559367898132483</t>
  </si>
  <si>
    <t>1426141260549484545</t>
  </si>
  <si>
    <t>1349387734847156226</t>
  </si>
  <si>
    <t>1209457724599095296</t>
  </si>
  <si>
    <t>1284129784792887297</t>
  </si>
  <si>
    <t>1126866673636560896</t>
  </si>
  <si>
    <t>1445911627</t>
  </si>
  <si>
    <t>1364521091314507778</t>
  </si>
  <si>
    <t>543294959</t>
  </si>
  <si>
    <t>3437837953</t>
  </si>
  <si>
    <t>710641408940572672</t>
  </si>
  <si>
    <t>1362571418039324673</t>
  </si>
  <si>
    <t>271314800</t>
  </si>
  <si>
    <t>1230131779878604801</t>
  </si>
  <si>
    <t>520116042</t>
  </si>
  <si>
    <t>1336525151110754306</t>
  </si>
  <si>
    <t>1277424676822646785</t>
  </si>
  <si>
    <t>1376697702973501440</t>
  </si>
  <si>
    <t>1425827743850139661</t>
  </si>
  <si>
    <t>736343868</t>
  </si>
  <si>
    <t>1398968669103820804</t>
  </si>
  <si>
    <t>467774910</t>
  </si>
  <si>
    <t>107084867</t>
  </si>
  <si>
    <t>1375368217560973314</t>
  </si>
  <si>
    <t>1383784547607736321</t>
  </si>
  <si>
    <t>1192477042500980736</t>
  </si>
  <si>
    <t>1253924390590312448</t>
  </si>
  <si>
    <t>108883401</t>
  </si>
  <si>
    <t>1022819827658850304</t>
  </si>
  <si>
    <t>976747508968796160</t>
  </si>
  <si>
    <t>455594753</t>
  </si>
  <si>
    <t>1294607244558872576</t>
  </si>
  <si>
    <t>1304759703302336512</t>
  </si>
  <si>
    <t>1187320768977260544</t>
  </si>
  <si>
    <t>2235718165</t>
  </si>
  <si>
    <t>224956276</t>
  </si>
  <si>
    <t>1393895807418470403</t>
  </si>
  <si>
    <t>1429815900836810757</t>
  </si>
  <si>
    <t>1203513796129476608</t>
  </si>
  <si>
    <t>151862643</t>
  </si>
  <si>
    <t>1348602344666062848</t>
  </si>
  <si>
    <t>1256415432300326914</t>
  </si>
  <si>
    <t>1392258574688997382</t>
  </si>
  <si>
    <t>2204607402</t>
  </si>
  <si>
    <t>1334350185082671104</t>
  </si>
  <si>
    <t>966325368931024898</t>
  </si>
  <si>
    <t>1300399843727167490</t>
  </si>
  <si>
    <t>1278005933679894528</t>
  </si>
  <si>
    <t>1321815115612647424</t>
  </si>
  <si>
    <t>110940117</t>
  </si>
  <si>
    <t>1271535102741196800</t>
  </si>
  <si>
    <t>755688983061864448</t>
  </si>
  <si>
    <t>2423608663</t>
  </si>
  <si>
    <t>1414478114600624131</t>
  </si>
  <si>
    <t>926035077946998784</t>
  </si>
  <si>
    <t>1305844067733962754</t>
  </si>
  <si>
    <t>1054228123162574848</t>
  </si>
  <si>
    <t>1353382706667692034</t>
  </si>
  <si>
    <t>1265227144516362242</t>
  </si>
  <si>
    <t>1333688642087186433</t>
  </si>
  <si>
    <t>1395061312518987776</t>
  </si>
  <si>
    <t>1253704232999415808</t>
  </si>
  <si>
    <t>1400011086259130368</t>
  </si>
  <si>
    <t>1364194708646371331</t>
  </si>
  <si>
    <t>2982897925</t>
  </si>
  <si>
    <t>1050600582627487746</t>
  </si>
  <si>
    <t>1116591962822336512</t>
  </si>
  <si>
    <t>1200290123641835521</t>
  </si>
  <si>
    <t>986348865203798016</t>
  </si>
  <si>
    <t>920915730802946049</t>
  </si>
  <si>
    <t>1372136583210496001</t>
  </si>
  <si>
    <t>1073460502380986369</t>
  </si>
  <si>
    <t>807599172551524354</t>
  </si>
  <si>
    <t>911106204058894336</t>
  </si>
  <si>
    <t>1510113354</t>
  </si>
  <si>
    <t>1203347293740531712</t>
  </si>
  <si>
    <t>1269975975183306752</t>
  </si>
  <si>
    <t>47314819</t>
  </si>
  <si>
    <t>361209382</t>
  </si>
  <si>
    <t>3292664263</t>
  </si>
  <si>
    <t>1023173417804021760</t>
  </si>
  <si>
    <t>17201485</t>
  </si>
  <si>
    <t>1170668533941850112</t>
  </si>
  <si>
    <t>983299001721094144</t>
  </si>
  <si>
    <t>1224488894084702208</t>
  </si>
  <si>
    <t>2909948138</t>
  </si>
  <si>
    <t>1048116994644398080</t>
  </si>
  <si>
    <t>818393564774207488</t>
  </si>
  <si>
    <t>1210223888967163904</t>
  </si>
  <si>
    <t>789332407518232580</t>
  </si>
  <si>
    <t>1255019353382125569</t>
  </si>
  <si>
    <t>1038436890628612096</t>
  </si>
  <si>
    <t>2328732079</t>
  </si>
  <si>
    <t>2330054186</t>
  </si>
  <si>
    <t>1235913449781133313</t>
  </si>
  <si>
    <t>167377627</t>
  </si>
  <si>
    <t>1100346243824312321</t>
  </si>
  <si>
    <t>1312853240</t>
  </si>
  <si>
    <t>216023937</t>
  </si>
  <si>
    <t>575898376</t>
  </si>
  <si>
    <t>2431539198</t>
  </si>
  <si>
    <t>2353140067</t>
  </si>
  <si>
    <t>1090238157918920705</t>
  </si>
  <si>
    <t>1112733905923170310</t>
  </si>
  <si>
    <t>78587752</t>
  </si>
  <si>
    <t>72293042</t>
  </si>
  <si>
    <t>2431564153</t>
  </si>
  <si>
    <t>1440553547628564481</t>
  </si>
  <si>
    <t>1326689976013234179</t>
  </si>
  <si>
    <t>4834650669</t>
  </si>
  <si>
    <t>1268768058572591105</t>
  </si>
  <si>
    <t>971939648166506497</t>
  </si>
  <si>
    <t>608197563</t>
  </si>
  <si>
    <t>1364913583117664258</t>
  </si>
  <si>
    <t>1135196321462177792</t>
  </si>
  <si>
    <t>1956006787</t>
  </si>
  <si>
    <t>1168172697609596928</t>
  </si>
  <si>
    <t>1282331305519112192</t>
  </si>
  <si>
    <t>1079354624824332288</t>
  </si>
  <si>
    <t>380822929</t>
  </si>
  <si>
    <t>1092638905885573120</t>
  </si>
  <si>
    <t>130080979</t>
  </si>
  <si>
    <t>1409580911578914817</t>
  </si>
  <si>
    <t>1250070942287626244</t>
  </si>
  <si>
    <t>1272506240552206337</t>
  </si>
  <si>
    <t>1246455066287935488</t>
  </si>
  <si>
    <t>1344295125267087367</t>
  </si>
  <si>
    <t>1056257265609535488</t>
  </si>
  <si>
    <t>1260864137912975360</t>
  </si>
  <si>
    <t>1112043081178578944</t>
  </si>
  <si>
    <t>902030548058521600</t>
  </si>
  <si>
    <t>891979194</t>
  </si>
  <si>
    <t>205412559</t>
  </si>
  <si>
    <t>1322931625554948096</t>
  </si>
  <si>
    <t>235044954</t>
  </si>
  <si>
    <t>1433093897207517184</t>
  </si>
  <si>
    <t>1253750523859070976</t>
  </si>
  <si>
    <t>1178158772620914688</t>
  </si>
  <si>
    <t>392478132</t>
  </si>
  <si>
    <t>1134524509334134785</t>
  </si>
  <si>
    <t>1221726638246727682</t>
  </si>
  <si>
    <t>2177471370</t>
  </si>
  <si>
    <t>1043901011008532480</t>
  </si>
  <si>
    <t>1329741640039239683</t>
  </si>
  <si>
    <t>1136903844934250497</t>
  </si>
  <si>
    <t>1329714281416278016</t>
  </si>
  <si>
    <t>1439314141169078272</t>
  </si>
  <si>
    <t>1180825190814474240</t>
  </si>
  <si>
    <t>1118891090</t>
  </si>
  <si>
    <t>1058503653038800897</t>
  </si>
  <si>
    <t>804238763257798656</t>
  </si>
  <si>
    <t>546051156</t>
  </si>
  <si>
    <t>1283317137608601601</t>
  </si>
  <si>
    <t>1307643986933288961</t>
  </si>
  <si>
    <t>1144772157966188544</t>
  </si>
  <si>
    <t>1420390783581003776</t>
  </si>
  <si>
    <t>181874744</t>
  </si>
  <si>
    <t>1350632445490688001</t>
  </si>
  <si>
    <t>87382264</t>
  </si>
  <si>
    <t>811897280563290112</t>
  </si>
  <si>
    <t>177848697</t>
  </si>
  <si>
    <t>1314953995060867072</t>
  </si>
  <si>
    <t>2254974426</t>
  </si>
  <si>
    <t>1434886471438061573</t>
  </si>
  <si>
    <t>845219526300000257</t>
  </si>
  <si>
    <t>1220601385713946625</t>
  </si>
  <si>
    <t>1223941780665552897</t>
  </si>
  <si>
    <t>1440723087561949189</t>
  </si>
  <si>
    <t>1288894136204972032</t>
  </si>
  <si>
    <t>319538228</t>
  </si>
  <si>
    <t>1330495968618422275</t>
  </si>
  <si>
    <t>930040753014816770</t>
  </si>
  <si>
    <t>1372072939244244998</t>
  </si>
  <si>
    <t>1345871263873466368</t>
  </si>
  <si>
    <t>1085126498</t>
  </si>
  <si>
    <t>1105447775968276482</t>
  </si>
  <si>
    <t>1239945112370556928</t>
  </si>
  <si>
    <t>736086448684703744</t>
  </si>
  <si>
    <t>29418329</t>
  </si>
  <si>
    <t>1326826176749449217</t>
  </si>
  <si>
    <t>1428347283402158090</t>
  </si>
  <si>
    <t>979392686</t>
  </si>
  <si>
    <t>1132879057761124352</t>
  </si>
  <si>
    <t>946790289657565185</t>
  </si>
  <si>
    <t>963959636473741312</t>
  </si>
  <si>
    <t>781910299</t>
  </si>
  <si>
    <t>634695539</t>
  </si>
  <si>
    <t>1286153201578778625</t>
  </si>
  <si>
    <t>22126902</t>
  </si>
  <si>
    <t>1398837359790022660</t>
  </si>
  <si>
    <t>1365928519</t>
  </si>
  <si>
    <t>183895780</t>
  </si>
  <si>
    <t>1188257728050810881</t>
  </si>
  <si>
    <t>2899171772</t>
  </si>
  <si>
    <t>857392927</t>
  </si>
  <si>
    <t>2329327184</t>
  </si>
  <si>
    <t>459390042</t>
  </si>
  <si>
    <t>1332298425828667393</t>
  </si>
  <si>
    <t>1334988182098595840</t>
  </si>
  <si>
    <t>1437764335061790721</t>
  </si>
  <si>
    <t>1383673326183141383</t>
  </si>
  <si>
    <t>1310099885908131850</t>
  </si>
  <si>
    <t>952565879115456513</t>
  </si>
  <si>
    <t>866977522931572736</t>
  </si>
  <si>
    <t>1434903691509649412</t>
  </si>
  <si>
    <t>1074624527894700032</t>
  </si>
  <si>
    <t>1398651484313579524</t>
  </si>
  <si>
    <t>786511816562126849</t>
  </si>
  <si>
    <t>799050749980254208</t>
  </si>
  <si>
    <t>1378202566069129221</t>
  </si>
  <si>
    <t>714384780171718656</t>
  </si>
  <si>
    <t>1113465019</t>
  </si>
  <si>
    <t>1421496493886693377</t>
  </si>
  <si>
    <t>242485315</t>
  </si>
  <si>
    <t>1308741041260908544</t>
  </si>
  <si>
    <t>314040433</t>
  </si>
  <si>
    <t>1014800939507544064</t>
  </si>
  <si>
    <t>1066366539765444608</t>
  </si>
  <si>
    <t>2880322033</t>
  </si>
  <si>
    <t>4361281996</t>
  </si>
  <si>
    <t>2916804137</t>
  </si>
  <si>
    <t>2497472294</t>
  </si>
  <si>
    <t>1164373059211448320</t>
  </si>
  <si>
    <t>1258368464026132480</t>
  </si>
  <si>
    <t>1135854626136137733</t>
  </si>
  <si>
    <t>1118070502042390529</t>
  </si>
  <si>
    <t>4717740148</t>
  </si>
  <si>
    <t>1159893816</t>
  </si>
  <si>
    <t>225263785</t>
  </si>
  <si>
    <t>911204493961736194</t>
  </si>
  <si>
    <t>1403593491385487362</t>
  </si>
  <si>
    <t>474632944</t>
  </si>
  <si>
    <t>1399869077384925189</t>
  </si>
  <si>
    <t>709010634</t>
  </si>
  <si>
    <t>1303302431799820290</t>
  </si>
  <si>
    <t>63469169</t>
  </si>
  <si>
    <t>1007757962839035904</t>
  </si>
  <si>
    <t>1430107145693896713</t>
  </si>
  <si>
    <t>1222090893525520385</t>
  </si>
  <si>
    <t>929765430897422337</t>
  </si>
  <si>
    <t>864220260</t>
  </si>
  <si>
    <t>752673532316790784</t>
  </si>
  <si>
    <t>100132119</t>
  </si>
  <si>
    <t>1248051909560111104</t>
  </si>
  <si>
    <t>1169861863426818048</t>
  </si>
  <si>
    <t>1361907678008668167</t>
  </si>
  <si>
    <t>1326111462310379521</t>
  </si>
  <si>
    <t>1371842731962736645</t>
  </si>
  <si>
    <t>124670496</t>
  </si>
  <si>
    <t>10228272</t>
  </si>
  <si>
    <t>1257413774476107776</t>
  </si>
  <si>
    <t>1271690820651855875</t>
  </si>
  <si>
    <t>900352924307513345</t>
  </si>
  <si>
    <t>3994137919</t>
  </si>
  <si>
    <t>2318225622</t>
  </si>
  <si>
    <t>1003943475501400064</t>
  </si>
  <si>
    <t>89425554</t>
  </si>
  <si>
    <t>1188457739539714048</t>
  </si>
  <si>
    <t>285502760</t>
  </si>
  <si>
    <t>1334652448909086721</t>
  </si>
  <si>
    <t>1392073010929029120</t>
  </si>
  <si>
    <t>2555154228</t>
  </si>
  <si>
    <t>1341919558555209730</t>
  </si>
  <si>
    <t>74138178</t>
  </si>
  <si>
    <t>1129936609</t>
  </si>
  <si>
    <t>296069848</t>
  </si>
  <si>
    <t>1267402842861535232</t>
  </si>
  <si>
    <t>1396690685164625920</t>
  </si>
  <si>
    <t>1432998997757612036</t>
  </si>
  <si>
    <t>3245952344</t>
  </si>
  <si>
    <t>1057079429548007425</t>
  </si>
  <si>
    <t>1624744110</t>
  </si>
  <si>
    <t>1420973029778092032</t>
  </si>
  <si>
    <t>1004634715364589569</t>
  </si>
  <si>
    <t>203119665</t>
  </si>
  <si>
    <t>1244550715529261056</t>
  </si>
  <si>
    <t>920519286774431744</t>
  </si>
  <si>
    <t>1420607554187497473</t>
  </si>
  <si>
    <t>1254617731522916355</t>
  </si>
  <si>
    <t>819015620243034112</t>
  </si>
  <si>
    <t>762574790645342208</t>
  </si>
  <si>
    <t>1180245895142506496</t>
  </si>
  <si>
    <t>1349286188402712576</t>
  </si>
  <si>
    <t>2472239586</t>
  </si>
  <si>
    <t>1353901713342664704</t>
  </si>
  <si>
    <t>1354401400558522377</t>
  </si>
  <si>
    <t>1379995794892222467</t>
  </si>
  <si>
    <t>1337953051294896129</t>
  </si>
  <si>
    <t>1338485044529119232</t>
  </si>
  <si>
    <t>1363738689105403905</t>
  </si>
  <si>
    <t>870462313655967744</t>
  </si>
  <si>
    <t>1230791374301065216</t>
  </si>
  <si>
    <t>1182496906552868864</t>
  </si>
  <si>
    <t>1394144343280128000</t>
  </si>
  <si>
    <t>1348463360296112132</t>
  </si>
  <si>
    <t>1265760910997504001</t>
  </si>
  <si>
    <t>821584497376247808</t>
  </si>
  <si>
    <t>1422951168</t>
  </si>
  <si>
    <t>3235730046</t>
  </si>
  <si>
    <t>1382696043901562887</t>
  </si>
  <si>
    <t>3186267121</t>
  </si>
  <si>
    <t>734921238812889088</t>
  </si>
  <si>
    <t>617711432</t>
  </si>
  <si>
    <t>1356423249597464578</t>
  </si>
  <si>
    <t>1306179689271058433</t>
  </si>
  <si>
    <t>138290629</t>
  </si>
  <si>
    <t>1411669511988645897</t>
  </si>
  <si>
    <t>48580057</t>
  </si>
  <si>
    <t>1391302734813417473</t>
  </si>
  <si>
    <t>1370994384167079943</t>
  </si>
  <si>
    <t>973407552</t>
  </si>
  <si>
    <t>2311336056</t>
  </si>
  <si>
    <t>1440451102466404352</t>
  </si>
  <si>
    <t>1325036539835899904</t>
  </si>
  <si>
    <t>821746821441556480</t>
  </si>
  <si>
    <t>1356181263510433795</t>
  </si>
  <si>
    <t>1427945719382507520</t>
  </si>
  <si>
    <t>1173806418429804544</t>
  </si>
  <si>
    <t>1696713170</t>
  </si>
  <si>
    <t>1167288157408133120</t>
  </si>
  <si>
    <t>474836414</t>
  </si>
  <si>
    <t>3038613042</t>
  </si>
  <si>
    <t>101494663</t>
  </si>
  <si>
    <t>1320398510097743872</t>
  </si>
  <si>
    <t>1638442524</t>
  </si>
  <si>
    <t>1305368510290247680</t>
  </si>
  <si>
    <t>1399761182089629697</t>
  </si>
  <si>
    <t>1355826167052345346</t>
  </si>
  <si>
    <t>1324126912315158529</t>
  </si>
  <si>
    <t>1315819202033315840</t>
  </si>
  <si>
    <t>1189195077836398592</t>
  </si>
  <si>
    <t>1406200528720175105</t>
  </si>
  <si>
    <t>1419864024099921925</t>
  </si>
  <si>
    <t>1399613438112854016</t>
  </si>
  <si>
    <t>1237658727827656704</t>
  </si>
  <si>
    <t>3680646260</t>
  </si>
  <si>
    <t>1155708224340811776</t>
  </si>
  <si>
    <t>1005635900</t>
  </si>
  <si>
    <t>1420288730758189061</t>
  </si>
  <si>
    <t>1082517134796705794</t>
  </si>
  <si>
    <t>3255362880</t>
  </si>
  <si>
    <t>102937242</t>
  </si>
  <si>
    <t>370282927</t>
  </si>
  <si>
    <t>1205865062956617728</t>
  </si>
  <si>
    <t>2455950804</t>
  </si>
  <si>
    <t>1000651937061060608</t>
  </si>
  <si>
    <t>1427473863932215299</t>
  </si>
  <si>
    <t>498272759</t>
  </si>
  <si>
    <t>603327770</t>
  </si>
  <si>
    <t>376521184</t>
  </si>
  <si>
    <t>1032496547244564482</t>
  </si>
  <si>
    <t>1257133203195740160</t>
  </si>
  <si>
    <t>1218868714914762752</t>
  </si>
  <si>
    <t>494631190</t>
  </si>
  <si>
    <t>965067604330102785</t>
  </si>
  <si>
    <t>1281626082945282049</t>
  </si>
  <si>
    <t>4583592733</t>
  </si>
  <si>
    <t>1265567828431732736</t>
  </si>
  <si>
    <t>91706718</t>
  </si>
  <si>
    <t>478302023</t>
  </si>
  <si>
    <t>359177627</t>
  </si>
  <si>
    <t>238908321</t>
  </si>
  <si>
    <t>368194171</t>
  </si>
  <si>
    <t>197488018</t>
  </si>
  <si>
    <t>237530329</t>
  </si>
  <si>
    <t>133957073</t>
  </si>
  <si>
    <t>961416468763037696</t>
  </si>
  <si>
    <t>124466389</t>
  </si>
  <si>
    <t>2419940252</t>
  </si>
  <si>
    <t>3297252602</t>
  </si>
  <si>
    <t>823711613538549760</t>
  </si>
  <si>
    <t>382681603</t>
  </si>
  <si>
    <t>419376183</t>
  </si>
  <si>
    <t>742738435</t>
  </si>
  <si>
    <t>1342090564112580611</t>
  </si>
  <si>
    <t>1248582222350651392</t>
  </si>
  <si>
    <t>75746290</t>
  </si>
  <si>
    <t>2711563154</t>
  </si>
  <si>
    <t>3771801192</t>
  </si>
  <si>
    <t>4875390783</t>
  </si>
  <si>
    <t>1370457059372625924</t>
  </si>
  <si>
    <t>1258938988984819712</t>
  </si>
  <si>
    <t>1369626206174281733</t>
  </si>
  <si>
    <t>36414779</t>
  </si>
  <si>
    <t>2232343434</t>
  </si>
  <si>
    <t>1186346362574524416</t>
  </si>
  <si>
    <t>1413399309337333763</t>
  </si>
  <si>
    <t>1283815459792416768</t>
  </si>
  <si>
    <t>435004096</t>
  </si>
  <si>
    <t>1378243426676731905</t>
  </si>
  <si>
    <t>4780649298</t>
  </si>
  <si>
    <t>4634287842</t>
  </si>
  <si>
    <t>3522129133</t>
  </si>
  <si>
    <t>260686783</t>
  </si>
  <si>
    <t>772689620576395264</t>
  </si>
  <si>
    <t>201554665</t>
  </si>
  <si>
    <t>22218406</t>
  </si>
  <si>
    <t>969411275393400834</t>
  </si>
  <si>
    <t>1237388705012187140</t>
  </si>
  <si>
    <t>568393913</t>
  </si>
  <si>
    <t>139012242</t>
  </si>
  <si>
    <t>1027501035353337857</t>
  </si>
  <si>
    <t>920504443799572480</t>
  </si>
  <si>
    <t>1393751130983698435</t>
  </si>
  <si>
    <t>1905983730</t>
  </si>
  <si>
    <t>1094456984101826560</t>
  </si>
  <si>
    <t>1565691901</t>
  </si>
  <si>
    <t>114461725</t>
  </si>
  <si>
    <t>975087757</t>
  </si>
  <si>
    <t>1398849952881668099</t>
  </si>
  <si>
    <t>1038852574378582017</t>
  </si>
  <si>
    <t>919041029214429184</t>
  </si>
  <si>
    <t>1355416500157333505</t>
  </si>
  <si>
    <t>102978388</t>
  </si>
  <si>
    <t>1378355050729197573</t>
  </si>
  <si>
    <t>1344329608859009024</t>
  </si>
  <si>
    <t>1309370570836828160</t>
  </si>
  <si>
    <t>1433928444690137088</t>
  </si>
  <si>
    <t>1268468946123939840</t>
  </si>
  <si>
    <t>1361294716172525569</t>
  </si>
  <si>
    <t>440710947</t>
  </si>
  <si>
    <t>487168097</t>
  </si>
  <si>
    <t>54541128</t>
  </si>
  <si>
    <t>343993435</t>
  </si>
  <si>
    <t>1108907872472055808</t>
  </si>
  <si>
    <t>528093108</t>
  </si>
  <si>
    <t>2753228456</t>
  </si>
  <si>
    <t>812157647184986112</t>
  </si>
  <si>
    <t>740481894756683777</t>
  </si>
  <si>
    <t>1430404740903546881</t>
  </si>
  <si>
    <t>818555029917315072</t>
  </si>
  <si>
    <t>3998664380</t>
  </si>
  <si>
    <t>1412270968337092611</t>
  </si>
  <si>
    <t>1366363173406658560</t>
  </si>
  <si>
    <t>1318059180289265665</t>
  </si>
  <si>
    <t>1361653184653979652</t>
  </si>
  <si>
    <t>2392460208</t>
  </si>
  <si>
    <t>1376752161137197056</t>
  </si>
  <si>
    <t>86204665</t>
  </si>
  <si>
    <t>338203810</t>
  </si>
  <si>
    <t>1216565629051760641</t>
  </si>
  <si>
    <t>1153927344924418048</t>
  </si>
  <si>
    <t>2233154352</t>
  </si>
  <si>
    <t>578059643</t>
  </si>
  <si>
    <t>240132244</t>
  </si>
  <si>
    <t>1425697119155802113</t>
  </si>
  <si>
    <t>1238461589117779969</t>
  </si>
  <si>
    <t>1080983315455176705</t>
  </si>
  <si>
    <t>1219855761104195584</t>
  </si>
  <si>
    <t>1412352874458206208</t>
  </si>
  <si>
    <t>741860536141238272</t>
  </si>
  <si>
    <t>1209714214769528832</t>
  </si>
  <si>
    <t>1437389401424740354</t>
  </si>
  <si>
    <t>1287774138283638796</t>
  </si>
  <si>
    <t>1909796108</t>
  </si>
  <si>
    <t>532818331</t>
  </si>
  <si>
    <t>1142893645</t>
  </si>
  <si>
    <t>1366767575300939777</t>
  </si>
  <si>
    <t>1225576398011666432</t>
  </si>
  <si>
    <t>277366959</t>
  </si>
  <si>
    <t>935796488</t>
  </si>
  <si>
    <t>1351151020492148748</t>
  </si>
  <si>
    <t>559190318</t>
  </si>
  <si>
    <t>1418984712891248642</t>
  </si>
  <si>
    <t>1301352544321466368</t>
  </si>
  <si>
    <t>1164423875511218176</t>
  </si>
  <si>
    <t>3221202481</t>
  </si>
  <si>
    <t>880710711713943552</t>
  </si>
  <si>
    <t>It's kind of fun to do the impossible.
BUMN | International Olympic Committee | FIBA Central Board Member</t>
  </si>
  <si>
    <t>Miss him
Netflix chill enthusiast</t>
  </si>
  <si>
    <t>снабженец</t>
  </si>
  <si>
    <t>Lovely wife, Influencer Jokowi, MC  &amp;  Moderator. Contact me: elisa201165@gmail.com</t>
  </si>
  <si>
    <t>💊 𝐇𝐚𝐩𝐩𝐲 𝐏𝐢𝐥𝐥 = #เตนิว — kinda ia😢</t>
  </si>
  <si>
    <t>Ga semua lo harus tau tentang gw kan...??</t>
  </si>
  <si>
    <t>https://t.co/QvTQJrtLvu Membangun Peradaban Negeri
email: redaksiidtoday@yahoo.com</t>
  </si>
  <si>
    <t>Lv yourself</t>
  </si>
  <si>
    <t>teman sosmed lain jauh2 gausah follow bangsat! akun kekoreaan ga di follback kebanyakan ngeunfollow anjg!</t>
  </si>
  <si>
    <t>#svtbz sell buy trade acc| sold = delete| can ship worldwide🌏</t>
  </si>
  <si>
    <t>Auto Base for Selling, Buying, Trading, and Asking About SEVENTEEN Stuff • @pledis_17 • CHECK LIKE ❤
Pengaduan : @pengamatbase</t>
  </si>
  <si>
    <t>ombrophobia , wife MZ 💋</t>
  </si>
  <si>
    <t>a fulltime fangirl and only a sell buy acc ˃ᴗ˂ || bts jikook and skz felix collector ⑅˖♡ kinda selective</t>
  </si>
  <si>
    <t>˗ˏˋHi, welcome to jualanlabels! Autobase HYBELABELS | Send to DM format bls! (jual) blt! (tukar) blb! (nyari) bla! (tanya)ˎˊ˗ 
 ꒰ Operated by @suvpenbot ꒱</t>
  </si>
  <si>
    <t>💜💜💜</t>
  </si>
  <si>
    <t>ig: @sunpinast_</t>
  </si>
  <si>
    <t>Official Twitter of https://t.co/qldGGYWfHu. redaksi@detik.com | promosi@detik.com | Android: https://t.co/l5tQVBgqbD iPhone: https://t.co/NleJXySGkT</t>
  </si>
  <si>
    <t>아잠 🤍</t>
  </si>
  <si>
    <t>personal diary</t>
  </si>
  <si>
    <t>KAMBALI JOK JEPARA-HP/WA 085225480239
~FOLLOW=SHOPEE=jasajokmebel jepara,,TOKOPEDIA=isyfak meubel jepara,,SILAHKAN CEK TOKO ONLINE RESMI KAMI,,silahkan di order</t>
  </si>
  <si>
    <t>•✧˖*°࿐«sbt &amp; FA for æ❀࿔₊°                                                                                    open jastip paket, jastip freeong🍊</t>
  </si>
  <si>
    <t>Ww? Ok!</t>
  </si>
  <si>
    <t>https://t.co/1uWqsAg4bm Info penjualan kursi pijat dan aneka alat terapi kesehatan di tokopedia dan situs atau aplikasi marketplace lainnya silakan wa 083872490010</t>
  </si>
  <si>
    <t>700単語収録🇮🇩インドネシア語の基礎単語を30分おきにツイート。日本語の勉強をしているインドネシア人にも利用してもらいたくてひらがなを併記しております。#インドネシア語 #BahasaIndonesia #BahasaJepang</t>
  </si>
  <si>
    <t>fully vaxxed.
"eat the rich."
nothing but the truth, 
everything else is m.o .......
yea i do believe in UFO/UAP.</t>
  </si>
  <si>
    <t>Australian republican. 
Misanthropic humanitarian. 
Will not rest till we have a free press.
 #DropTheChargesUSA
#JournalismIsNotACrime 
#FreeAssangeNOW</t>
  </si>
  <si>
    <t>just a hijabi who always talks to herself so don’t really mind her</t>
  </si>
  <si>
    <t>Ladyboss to @skinbloommy &amp; @descarvesss 👩🏻‍💻</t>
  </si>
  <si>
    <t>Art | small account but have big crush on krystal jung and mamamoo 🎈 | safe space for you, no hate comments. I ❤️ peace!</t>
  </si>
  <si>
    <t>MAMAMOO Moonbyul's lover</t>
  </si>
  <si>
    <t>life is a joke</t>
  </si>
  <si>
    <t>لَا حَوْلَ وَلَا قُوَّةَ إِلَّا بِاللهِ العَلِيِّ العَظِيْمِ</t>
  </si>
  <si>
    <t>Lapaknya para jobseeker; keluhan ttg karier, hidup, &amp; lowongan kerja | Jam kerja slow-update | Kerja sama: pam.businesspartner@gmail.com | #LokerPam #MagangPam</t>
  </si>
  <si>
    <t>🐹🐰🐶🦁||🇮🇩 for Mamamooo~~ 
She/her 02'
https://t.co/N4nq6Th3Dn…
ᵂʰᵉʳᵉ ᵃʳᵉ ʷᵉ ⁿᵒʷ</t>
  </si>
  <si>
    <t>♡ snsd ♡ mamamoo ♡ aespa ♡ f(x) ♡ multi gg &amp; girl soloist stan ♡ a bit of khh ♡ ps. my acc is very VERY messy &amp; not only about kpop! selling acc: @chrush4sell</t>
  </si>
  <si>
    <t>audaces fortuna juvat 😌</t>
  </si>
  <si>
    <t>jangan pernah pilih mati. melainkan dia datang; peluk kau.</t>
  </si>
  <si>
    <t>Akun Resmi Loka POM Tanah Bumbu
E-mail : lokapomtanahbumbu@gmail.com
Instagram : bpomtanahbumbu
Facebook : BPOM Tanah Bumbu</t>
  </si>
  <si>
    <t>Mamamoo. ynwa.</t>
  </si>
  <si>
    <t>Merakyat itu asyik |</t>
  </si>
  <si>
    <t>FounderM7Pro|MASATA|GenPIJateng| AwanBiruIndonesia|AEOC|INCCA| KadinKotaSemarang|HIPMIJateng|KNPIJateng|Jasmev|TemanJokowiJateng|MAFINDOSemarang|PemudaPancasila</t>
  </si>
  <si>
    <t>SumSel Terkini merupakan media digital yang segmentasi berita nya sebagian besar di khususkan untuk wilayah sumatera selatan.</t>
  </si>
  <si>
    <t>парикмахер</t>
  </si>
  <si>
    <t>Ini bukan sbt karena suka oot</t>
  </si>
  <si>
    <t>Dan janganlah kamu membunuh anak-anakmu karena sebab kemiskinan. Kami-lah yang akan memberikan rizqi kepadamu dan juga kepada mereka.
Al-An’am :151</t>
  </si>
  <si>
    <t>emak" drakor n kpop •emaknya para koceng🐈🐱🦁🐯🐅 •tukang kuweh •tukang masak •no porn⛔️ •DM khusus yg mau order Bumbu Rendang Emak dan OXYGEN</t>
  </si>
  <si>
    <t>Hanya Manusia Biasa Yang Sedang Berusaha Meraih keridhoan Allah ta’ala
💗
Bank BRI  
094601051607532
A/N Yayasan Sahabat Gomil Peduli Yatim</t>
  </si>
  <si>
    <t>Yang sejati tak akan berdalih
#HalaMadrid #HalaMadrid #HalaMadrid
Tangerang🏠
Sragen🐣</t>
  </si>
  <si>
    <t>| Accountant by profession | Offshore Crewing |
Auditing background | 
Learning about health and nutrition |
Travel enthusiast | Anything i can help?</t>
  </si>
  <si>
    <t>iKONIC X TEUME                                                              
✦♡ Welcome to Haru's apple hair fanbase ♡✦ @treasuremembers || @YG_iKONIC</t>
  </si>
  <si>
    <t>we sell TREASURE &amp; MORE groups official/unofficial things such as photocard,unsealed album and more! thankyou for visiting us ~</t>
  </si>
  <si>
    <t>stan stray kids for bright future ✨</t>
  </si>
  <si>
    <t>Call me DUDU ♕︎ STAY only ♕︎ 8 is @Stray_Kids ♕︎ Dwaekki no 1 fans, Dwaekki my sunshine ☀️🐷🐰 Dont follow me if you are GA hunter 🚫⚠️</t>
  </si>
  <si>
    <t>all about han jisung, stray kids, ab6ix, itzy and random things</t>
  </si>
  <si>
    <t>Portal Lowongan Kerja di Indonesia</t>
  </si>
  <si>
    <t>Informasi lowongan kerja terkini di Indonesia #lowker_indojob #lowkerid #indojobdotasia #indojobdotinfo temukan kami di IG @lowkerid.xyz</t>
  </si>
  <si>
    <t>This my personal account.
Freelance Programmer and IT Independent Consultant (Internet Marketer. SEM,SEO)</t>
  </si>
  <si>
    <t>online earning watch my youtube channel
https://t.co/9XbJxyjoOB</t>
  </si>
  <si>
    <t>Life is joyfull.....</t>
  </si>
  <si>
    <t>akun gado gado 🤘🔪 // multifandom, boy grup enthu ✧∘˚˳° | O4'z</t>
  </si>
  <si>
    <t>"Banyak hal yang bisa menjatuhkanmu. Tapi satu-satunya hal yang benar-benar dapat menjatuhkanmu adalah sikapmu sendiri." – R. A Kartini</t>
  </si>
  <si>
    <t>Akun Twitter resmi Presiden Republik Indonesia Joko Widodo 🇮🇩. 
#MenujuIndonesiaMaju</t>
  </si>
  <si>
    <t>Akun resmi Bicara News | Kerjasama: kontak.redaksibicara@gmail.com</t>
  </si>
  <si>
    <t>Akun Resmi Kejaksaan RI. Dikelola oleh Pusat Penerangan Hukum Kejaksaan RI.  Kunjungi Media Sosial Kami Lainnya:</t>
  </si>
  <si>
    <t>Kejaksaan Hebat Indonesia Lebih Hebat</t>
  </si>
  <si>
    <t>архивариус</t>
  </si>
  <si>
    <t>Illustrator &amp; Doujinka . 30y.o . OOR . JJK . Arknights . Psycho Pass . TkRb . ID/EN . Ava by @ahjojing . https://t.co/ao8mDyB7SO</t>
  </si>
  <si>
    <t>Ready Stock ke Shopee ~Tarrriii~ yaa🥰 | DANA, SHOPEEPAY &amp; LINE BANK | Testi? 👉 https://t.co/OFEMDp7Hdp</t>
  </si>
  <si>
    <t>BASE for `SELL/BUY/TRADE/ASK/SHARING { BTS &amp; TXT } ✎ . . ꒰ USE /amj /amb /amn /amt /ams ꒱ • 💜 — @jajanbhlabels @adm_jajanbighit • 🤖 @suvpen</t>
  </si>
  <si>
    <t>INA🇲🇨 order by DM💜 Album/Photobook/BTS Stuff🛍 Shopee🍊 free ongkir (ready &amp; pelunasan) #testimonibabesjkv owned by : @babesjkv (chika)</t>
  </si>
  <si>
    <t>selling account. let's buy your wishlist in here! 
#ProofCObyGalaxyou_ #ArrivedInabyGalaxyou_ testi cek on shopee</t>
  </si>
  <si>
    <t>Petualang Nusantara #NetizenProNKRI</t>
  </si>
  <si>
    <t>Saling menyapa</t>
  </si>
  <si>
    <t>wtb wts wtt acc — proof co &amp; arrived cek pinned</t>
  </si>
  <si>
    <t>Bio harus diisi ya?</t>
  </si>
  <si>
    <t>gemini half cancer || bukan punya siapa-siapa</t>
  </si>
  <si>
    <t>HIDUP ADALAH KESEMPATAN || 
NKRI HARGA MATI 🇲🇨🇲🇨🇲🇨 Akun Alternatif @Wantahgdn
FOLLOW LANGSUNG FOLLBACK</t>
  </si>
  <si>
    <t>Ada buat paid RT. Jika sudi boleh follow juga akaun 1 @jalalmisai68. Akaun menyakat, jangan ambil hati ya.
👴👳‍♂️🇲🇾🇲🇨🇧🇳🇸🇬.</t>
  </si>
  <si>
    <t>Bonda Bunga El Nashwa🕊</t>
  </si>
  <si>
    <t>whitebirds🕊</t>
  </si>
  <si>
    <t>... Tukang RT dan FB ...</t>
  </si>
  <si>
    <t>Hanya Seorang Manusia Biasa</t>
  </si>
  <si>
    <t>I do believe in love when Joongki loves me 🙌🏻</t>
  </si>
  <si>
    <t>97's | Z wife | MY🇲🇾
Comeback after hiatus since 2019 #Exuscarves</t>
  </si>
  <si>
    <t>Any inquiries email to - youngamazin77@gmail.com</t>
  </si>
  <si>
    <t>Dm for paid rt 📥 | #GGMU</t>
  </si>
  <si>
    <t>i'm only living just because i can't die</t>
  </si>
  <si>
    <t>Real</t>
  </si>
  <si>
    <t>masih bersama kamu</t>
  </si>
  <si>
    <t>22/24 🐅🐀🍀</t>
  </si>
  <si>
    <t>Pustakawan di Sekolah Menengah Atas. FutsalHolic. Tinggal di Kota Pahlawan.</t>
  </si>
  <si>
    <t>Everything is temporary 🙃</t>
  </si>
  <si>
    <t>Penikmat ketinggian gunung di Indonesia. 🙂
Kebenaran harus secerah sinar mentari.</t>
  </si>
  <si>
    <t>Akun @AnakLolina masih cuci otak... Masih seperti yg dulu Chelsea fans, Pancasilais anti makluk GURUN.</t>
  </si>
  <si>
    <t>it is what it is</t>
  </si>
  <si>
    <t>broken inside</t>
  </si>
  <si>
    <t>maaf engkorang. Akan ada sesi block unblock yang kerap, thank you. I'd like to keep my followers under 5 people.</t>
  </si>
  <si>
    <t>29/12🧕🏻 26/3 🧔🏻 ➡️ 16/09/2017 💍➡️ 15/07/2018 👰🏻🤵🏻➡️ 22/02/2020🤱🏻🦕</t>
  </si>
  <si>
    <t>pink snake</t>
  </si>
  <si>
    <t>промышленный альпинист</t>
  </si>
  <si>
    <t>22 | sejenis kuat tidur + makan</t>
  </si>
  <si>
    <t>nephophile ☁️
imma coffee addictor ☕</t>
  </si>
  <si>
    <t>sakit otak dh jadi rakyat malaysia</t>
  </si>
  <si>
    <t>Kita Luka Hari Ini, Mereka Luka Selamanya - Superman is Dead</t>
  </si>
  <si>
    <t>husband saya kat header. cita citaku ingin menjadi hokage. selalunya tweet politik ada masa sendu sikit kadang kadang tweet MU</t>
  </si>
  <si>
    <t>Can I just get one day of no KPOP on Trending?</t>
  </si>
  <si>
    <t>LOYALIS SOEKARNO | PANCASILA | BHINEKA TUNGGAL IKA</t>
  </si>
  <si>
    <t>Deleted my first acc, so here's my second acc.</t>
  </si>
  <si>
    <t>✨🌹 𝑔𝓁𝑜𝓌 𝒶𝓃𝒹 𝑔𝓇𝑜𝓌 🌹✨</t>
  </si>
  <si>
    <t>doing better</t>
  </si>
  <si>
    <t>эндокринолог (специалист по гормонам)</t>
  </si>
  <si>
    <t>GOSTORE DOM JATIM BISA CB 75/40</t>
  </si>
  <si>
    <t>🛒 𝘽𝘼𝙎𝙀 𝘼𝙐𝙏𝙊𝙈𝙀𝙉𝙁𝙀𝙎𝙎 🛒【 base share / promosi / jualan / dagangan 】--- ❝ use QA/ to send automenfess ❞ --- 📩 𝙥𝙚𝙣𝙜𝙖𝙙𝙪𝙖𝙣/𝙥𝙥 @FessService</t>
  </si>
  <si>
    <t>🙇‍♂️</t>
  </si>
  <si>
    <t>Acc lama tak boleh log in tak taulah kenapa//sini tiada porn sekian</t>
  </si>
  <si>
    <t>Novel | Food | Sleep</t>
  </si>
  <si>
    <t>hey ♡</t>
  </si>
  <si>
    <t>Baik-baik saja</t>
  </si>
  <si>
    <t>우리 모두를 위해 건강하고 번영합니다</t>
  </si>
  <si>
    <t>#NetizenForNegeri.
#LaskarBerbagiKasih.
#GerakCepatVaksinasiCovid
MILANISTI SEJATI,</t>
  </si>
  <si>
    <t>"dont be sorry, be better"</t>
  </si>
  <si>
    <t>Baik aja dulu, sisanya terserah YME || Psychology Student || babu para majikan anabul</t>
  </si>
  <si>
    <t>Place for share anything✨</t>
  </si>
  <si>
    <t>akun khusus sbt. gausa di follo 🙏🏻 tapi kalo mau mutualan bolee hehehe - mostly hc sometimes doy xj</t>
  </si>
  <si>
    <t>sub &amp; back up account by @dagangkorea ㅡ pengaduan @siningadu</t>
  </si>
  <si>
    <t>udh legal xixixi🤩</t>
  </si>
  <si>
    <t>Menfess bot untuk membahas tentang rl ━ Pahami rules sebelum menggunakan ✨ Pengaduan/PP : @octobecr @thericherr┊Sub base : @tanyakanrl @drakorthings</t>
  </si>
  <si>
    <t>Art, Apparel &amp; Education.</t>
  </si>
  <si>
    <t>fafifu wasweswos</t>
  </si>
  <si>
    <t>Work hard till I have football pitch at my backyards⚽
00Generation</t>
  </si>
  <si>
    <t>Work at Astara Academy ⚽️🏃 Degree &amp; Dip Sports Science UiTM Sarawak. Business. Berdiri atas kaki sendiri. Husband NE 🧔🏻</t>
  </si>
  <si>
    <t>#ProgamPolbak #Top FB 💯</t>
  </si>
  <si>
    <t>Came for NFTs, staying for DAOs | Product designer | HW for the metaverse</t>
  </si>
  <si>
    <t>BERSATU itu lebih baik.</t>
  </si>
  <si>
    <t>Komen Jorok Blokir ❌ Pasangan Hidup Dunia Akhirat |yang serius FOLLOW ya | bantu Follow Sampe 800K yuk | Follow Juga Tmn Aq @inem_los</t>
  </si>
  <si>
    <t>latte dulu baru kamu</t>
  </si>
  <si>
    <t>akun jajan (22)</t>
  </si>
  <si>
    <t>Kirana Technology Owner || Jasa Rakit dan Penyedia part Komputer || My Eternal Wife @prettybumper dan Daughter Kirana 💕</t>
  </si>
  <si>
    <t>jadi duta karena suka nebeng wifi tetangga</t>
  </si>
  <si>
    <t>| Akun autobase sebagai perantara sender yang bersifat anonim | Trigger: oyi | Pengaduan &amp; Paid Promote Contact: @SNgalamfess 📩 ngalammenfess@gmail.com</t>
  </si>
  <si>
    <t>only for #크래비티</t>
  </si>
  <si>
    <t>Cravity 💖
📍WOOBIN 📍
Go cravtiy : 
https://t.co/dER9EMIONB</t>
  </si>
  <si>
    <t>- Daini Youngna -  
Jay Park Bias 💖 💖</t>
  </si>
  <si>
    <t>I revere people with high intelligence. Surly</t>
  </si>
  <si>
    <t>#민희 ; you who's pretty when smiling, please smile a lot ♡</t>
  </si>
  <si>
    <t>* Manhwa/Manga/Manhua Reader
* Anime Merch Collector 
* Nendoroid Collector
* Kinokuniya personal shopper
Temporary close = (10/10 - 17/10) 
IG : @onewishaday</t>
  </si>
  <si>
    <t>LBU // self-taught digital artist //</t>
  </si>
  <si>
    <t>Jurnalisme Rasa. Memori. Bernas. Tulisan Seri | Waktunya merevolusi pemberitaan. Ikuti kami! | Instagram: @voidotid</t>
  </si>
  <si>
    <t>:</t>
  </si>
  <si>
    <t>Eighteen
Bowler
Agent Pocrepe Brownies Cookies Kelantan here📍</t>
  </si>
  <si>
    <t>☆｡*♡Bling bling baby tonight｡*♡          
     💙ฅ^•ﻌ•^ฅ💜🌼^^🌼</t>
  </si>
  <si>
    <t>jual barang thrift,ex import dan ex display kadang jualan skincare juga Avail on Gostore/Shopee/manual</t>
  </si>
  <si>
    <t>Base Account for OnlineShop👑 Akun layanan menfess dengan keyword BJ or JB || Sub base: @JualanMenfess ⛅ || Pengaduan/PP? 👉 @JualanBsSupport ☆</t>
  </si>
  <si>
    <t>Bismillah 💝💝 
اللَّهُمَّ صَلِّ عَلَى مُحَمَّد
slowresp 21.00-24.00
tokped: https://t.co/j2AUTNUxfR</t>
  </si>
  <si>
    <t>akun jual beli, @nccit_kimjw main acc. kolektor nya jungwoo renjun yuta sungchan dll SOALNYA GANTENG GAKKK KUAT</t>
  </si>
  <si>
    <t>Menjadi Pribadi yang lebih baik</t>
  </si>
  <si>
    <t>💕FAN ACCOUNT @x1official101 @LES_BNM @treasuremembers💕
🍒이은상🍓- LEE EUN SANG 20021026
🐰김도영🐰- KIM DO YOUNG 20031204
🐮소정환🐮- SO JUNGHWAN 20050218</t>
  </si>
  <si>
    <t>I stop taking any orders. 
just trying to survive in this awful world.</t>
  </si>
  <si>
    <t>I don't know why in ds I still can't express my feelings.. Im scare and still think what people going to say.. 😞</t>
  </si>
  <si>
    <t>Anything is good
#laskarBerbagiKasih.
#NetizenForNegeri
#Batakdoau</t>
  </si>
  <si>
    <t>Taylor Swift is the soundtrack of my life. INFJ-A. Introvert. I just tweet my thoughts and feelings here. rant acc</t>
  </si>
  <si>
    <t>✨ Sofea mommy's
📌 Agent KrukkrapMy GSEPeyek
📌 Saya jual baju budak 🥰
📌 Shopee : ameliaamin07</t>
  </si>
  <si>
    <t>Berikan masa buat si pendosa, masih ada ruang buat yang percaya</t>
  </si>
  <si>
    <t>リーダーになるために生まれて</t>
  </si>
  <si>
    <t>Different day</t>
  </si>
  <si>
    <t>Official Twitter Tribun Medan -  Update berita terkini, breaking news, gosip selebritas dan info unik - menarik lainnya</t>
  </si>
  <si>
    <t>if i tidak respon pls chat wa ada no nya di thread, maapin jeki 😫
'03</t>
  </si>
  <si>
    <t>a sell, buy, trade and random account for dreamies ‧₊˚✩彡 non sbt pls don't follow!</t>
  </si>
  <si>
    <t>haiiiiii</t>
  </si>
  <si>
    <t>Hi saya ada jual kerepek
click je sini 
FREE RT!</t>
  </si>
  <si>
    <t>Eccedentesiast 🍂</t>
  </si>
  <si>
    <t>Nak apa?</t>
  </si>
  <si>
    <t>#LFC
#KerajaanGagal
@izz_man94</t>
  </si>
  <si>
    <t>🇲🇾🇵🇸🇮🇩
Live | Laugh | Lanjio                                
#foods #nature #walking #cycling #hiking</t>
  </si>
  <si>
    <t>I have so many things to sell, stay support by Rt. Boleh tengok pinned tweet dekat bawah if nak FREE Ebook on telegram.</t>
  </si>
  <si>
    <t>sell and buying acc • 🐰🐶 ex 🐹 nct's 🐣 exo's collector ✨ • hit and run = blacklist/block✌🏻</t>
  </si>
  <si>
    <t>an autobase for sell or buy related to kpop stuffs (official/unofficial) based on any fandoms ㅡ report &amp; pp contact @siningadu ㅡ sub @dagangkr @boygroupzones</t>
  </si>
  <si>
    <t>~ transactional purposes only</t>
  </si>
  <si>
    <t>a multi fanacc mostly un1ty, got7, and treasure | 21 | REST.</t>
  </si>
  <si>
    <t>YouN1T-nya UN1TY.</t>
  </si>
  <si>
    <t>21
Student Dip. Business Studies😊
ARMY x BTS</t>
  </si>
  <si>
    <t>😘</t>
  </si>
  <si>
    <t>surprise gift box | viscoff chocojar n pretzel | cookies | garlic crunchy | popcorn caramel selambak | customize gift box</t>
  </si>
  <si>
    <t>ya saya jual frozen corndog and lokching ( Boleh pos to Semenanjung Malaysia 🇲🇾) , Melted Cadburry cookies and Mimpimika 🦋</t>
  </si>
  <si>
    <t>Akun resmi Kantor Imigrasi Kelas II TPI Entikong.
Dikelola oleh Tim Humas.</t>
  </si>
  <si>
    <t>The FREE and easy way to search for remote and flexible jobs! 
Search jobs here 🔎 https://t.co/E2FEnNKyvn
Post jobs here 🌎 https://t.co/q8kUOCVTjo</t>
  </si>
  <si>
    <t>Setiap akun memiliki jiwa .. kecuali bot :D #TransformasiDigital | #DigitalMarketing | #UMKMOnline | #Permata | #OxygenBuilder</t>
  </si>
  <si>
    <t>haaaa nak apa?</t>
  </si>
  <si>
    <t>Dropship IYLIAMALEK • COOKIES • BLOUSE BYREEFA • HADRAMIYAH</t>
  </si>
  <si>
    <t>Event Management, Media Event , Digital Marketing, Creative Lab.</t>
  </si>
  <si>
    <t>QualityisPriority</t>
  </si>
  <si>
    <t>DM for any business inquiries| I love music and Jisoo | Shopee addict🛍</t>
  </si>
  <si>
    <t>Everything related to Website - SEO Tips, Website Creation, Hosting and Domain etc..</t>
  </si>
  <si>
    <t>мануалист</t>
  </si>
  <si>
    <t>Homo Homini Lupus</t>
  </si>
  <si>
    <t>world does not revolve around her</t>
  </si>
  <si>
    <t>menfess bot for real life, dunia perbucinan, toxic relationship | backup account @menfesssyg | managed by @laporppsini | /cancel untuk hapus mfs</t>
  </si>
  <si>
    <t>• ------- #GHOST9 love bot</t>
  </si>
  <si>
    <t>hit&amp;run will be blocked.// 99's</t>
  </si>
  <si>
    <t>Base Account for OnlineShop👑 Akun layanan menfess dengan keyword JM atau Jual ||  sub base of @JUALAN_BASE || Pengaduan 👉 @JualanBsSupport</t>
  </si>
  <si>
    <t>Agent Mellow Crunch seksyen 9 Shah Alam|</t>
  </si>
  <si>
    <t></t>
  </si>
  <si>
    <t>NO Khilafah, No Rasis, Bhinneka Tunggal Ika
NKRI 🇲🇨https://t.co/idDYZauukI</t>
  </si>
  <si>
    <t>aware honesty integrity loyality comitmen
#JayalahNegeriku🇲🇨🇲NKRI
🇨#FriendsFollback</t>
  </si>
  <si>
    <t>Official Twitter of https://t.co/VcBPTpbkAZ, MNC Media Group | redaksi@inews.id | sales@inews.id | Android : https://t.co/ZZuh3jfXGC iPhone : https://t.co/Qtp13CrCFh</t>
  </si>
  <si>
    <t>Do no harm, but take no shit</t>
  </si>
  <si>
    <t>𝙟𝙪𝙨𝙩 𝙦𝙪𝙞𝙩𝙚 𝙙𝙤𝙬𝙣 𝙮𝙤𝙪 𝙨𝙖𝙮 𝙩𝙤𝙤 𝙢𝙪𝙘𝙝 😊
#Jaemin🐰 #Jaehyun🍑 #Johnny🐻🌻 #Kyuhyun😈 #Kai🐻  #Sehun🐥</t>
  </si>
  <si>
    <t>yoit</t>
  </si>
  <si>
    <t>Happiness is the secret to all beauty. There is no beauty without happiness.</t>
  </si>
  <si>
    <t>31 y.o. Surviving.</t>
  </si>
  <si>
    <t>sell, buy acc ||
1st @parkrenyoung</t>
  </si>
  <si>
    <t>all about merch official and unofficial u can buy, sell or trade at here! pengaduan/PP @saya_ngadu || BACA RULES! open DM Sabtu dan Minggu, nitip mfs cek like!</t>
  </si>
  <si>
    <t>3rd account, See my handle? The only thing that's missing is U. I'm either crazy, happy, depressed or horny. Lol. Tho I'm here 'cause I need my safe space.</t>
  </si>
  <si>
    <t>Your Private Baker &amp; CakeUp Artist @KlappertaartON. Sephardi. Feel free to place your order now. 08892505753. IG: klappertaartonlinebytimmy</t>
  </si>
  <si>
    <t>trading, selling, buying acc✨
jin's collector✨</t>
  </si>
  <si>
    <t>PLACE for `SELL/BUY/TRADE/ASK/SHARING { ONLY FOR HYBE ARTISTs } ✎ . . @jajanbighit • Pengaduan &amp; Paid promote dm @adm_jajanbighit.</t>
  </si>
  <si>
    <t>mainly sbt 🛒 for #BTS | ina go &amp; china warehouse @jajeurn | she/her | selective following | master thread : https://t.co/SXKNP57MGn</t>
  </si>
  <si>
    <t>Shhhh nothing interesting here ✨</t>
  </si>
  <si>
    <t>...</t>
  </si>
  <si>
    <t>eric, jaemin, chanyeol collector. very slow collector.</t>
  </si>
  <si>
    <t>Born without Thrones. | Living in a world where you can't be anything, just be careful.</t>
  </si>
  <si>
    <t>Every flower blooms in its own time 🌻</t>
  </si>
  <si>
    <t>F💍
Just be yourself✨</t>
  </si>
  <si>
    <t>#리노 : ' thanks to the choices I made I was able to meet these 8 members of stray kids ' 🕊 she/her
       🌼 #linoriengfeedbacks</t>
  </si>
  <si>
    <t>|Part time GO| Eng/BM/Chi👌🏻
Items updates #bubblestarupdates | Item arrivals #bubblestararrivals | Item proofs #bubblestarproofs
Pc request @bubblestaronnie</t>
  </si>
  <si>
    <t>#이엔이: This year and next year, I’m Stray Kids’ maknae on top✨ #inlifeunbox #inlifeufeedback #inlifeusells</t>
  </si>
  <si>
    <t>22 🦋</t>
  </si>
  <si>
    <t>She / Her • Multifandom , less talented // graduated from University of Sleep 🎓🇲🇾</t>
  </si>
  <si>
    <t>loving 8 is my hobby and gonna be my full time job❤</t>
  </si>
  <si>
    <t>CA ALYA TO BE INSYAALLAH 💕
Hey, being alive is such a blessing
#alyacoupsupdate #alyacoupsfeedback #alyacoupspulls</t>
  </si>
  <si>
    <t>STAY🤝ENGENE
she/her 
happiness from yourself💕</t>
  </si>
  <si>
    <t>she/her || 🇲🇾 || 𝔽𝕖𝕝𝕚𝕩 𝕚𝕤 𝕞𝕪 𝕝𝕠𝕧𝕖, 𝕊𝕥𝕣𝕒𝕪 𝕂𝕚𝕕𝕤 𝕚𝕤 𝕥𝕙𝕖 𝕝𝕠𝕧𝕖 𝕠𝕗 𝕞𝕪 𝕝𝕚𝕗𝕖❣︎ #felixismyloveeeupdate #felixismyloveee_feedback</t>
  </si>
  <si>
    <t>skzpopper, 8 🇲🇾 hyunlix</t>
  </si>
  <si>
    <t>Fantasy || FIX || Exo-L || Inspirit</t>
  </si>
  <si>
    <t>I love them #SF9 🍀🌰🐣👅🐭🦁🌞🔝😇</t>
  </si>
  <si>
    <t>INA GO • by @hiLysdh Testi or Pre-order Status check pinned tweet</t>
  </si>
  <si>
    <t>alice, stay.  #bokbokfeedback ♡</t>
  </si>
  <si>
    <t>new stay right here 💫</t>
  </si>
  <si>
    <t>hello</t>
  </si>
  <si>
    <t>jey-nA • selling, trading account 🇲🇾</t>
  </si>
  <si>
    <t>Always in mood for violence #KerajaanBangsat #EatTheRich</t>
  </si>
  <si>
    <t>two six. she/her. lee felix is my inspiration</t>
  </si>
  <si>
    <t>silent</t>
  </si>
  <si>
    <t>метеоролог</t>
  </si>
  <si>
    <t>ꨄ︎ ᴍɪɴᴏᴢ 🇯🇵🇰🇷</t>
  </si>
  <si>
    <t>she/her 21 | SKZ | Winner | DPR</t>
  </si>
  <si>
    <t>┊skz love bot ♡ ˎˊ˗ SHE%HER 6TEEN ✎ rcbyf</t>
  </si>
  <si>
    <t>Sit-Up Comedian • a Mom • Hatinya lebih luas dari badannya • IG: https://t.co/xHkspoKwFT • Part of #buibukSOCMED
❤️
Whatsapp: https://t.co/mgYFhbSePF</t>
  </si>
  <si>
    <t>Between Fantasy and Reality</t>
  </si>
  <si>
    <t>username dr 2012, nyaris ilang tapi untung aja berhasil diselamatkan :)  @jalur5_ community team</t>
  </si>
  <si>
    <t>супервайзер</t>
  </si>
  <si>
    <t>|| L-STAY✨||
용기가 없다면 절대로 바다를 건널 수 없다❣️||
#christalskyfeedback</t>
  </si>
  <si>
    <t>personal trade and selling account | #jinniefeedback</t>
  </si>
  <si>
    <t>🇲🇾 — hwang hyunjin enthusiast. || stay until the last step out~ot8</t>
  </si>
  <si>
    <t>the moon shine for bangchan</t>
  </si>
  <si>
    <t>✨kdrama, moraeal, twit random thing🦊💛✨
 #kdramareviewx</t>
  </si>
  <si>
    <t>официант</t>
  </si>
  <si>
    <t>#𝚂𝙴𝙷𝚄𝙽 : 𝚃𝙷𝙴 𝙾𝚆𝙽𝙴𝚁 𝙸𝚂 𝙿𝙰𝚁𝚃 𝙾𝙵 𝙼𝙴</t>
  </si>
  <si>
    <t>🐰🥑 || i tweet random things :)</t>
  </si>
  <si>
    <t>syaaa/wani...small acc🍀❣️🤡 #skzot8 #EXOot9</t>
  </si>
  <si>
    <t>행복</t>
  </si>
  <si>
    <t>Official account of PT PLN (Persero)</t>
  </si>
  <si>
    <t>Official IndiHome Twitter Account. Untuk pengaduan layanan silakan melalui @indihomecare</t>
  </si>
  <si>
    <t>나디아</t>
  </si>
  <si>
    <t>#Lovestay</t>
  </si>
  <si>
    <t xml:space="preserve"> multifandom '                                                                             
just do the best in your life 🤍</t>
  </si>
  <si>
    <t>❥☕ || 💜💜💜 ᵇᵗˢ❣️ᵃʳᵐʸ
♡@lys_epiphany</t>
  </si>
  <si>
    <t>୨୧ ˻˳˯ₑ*॰¨̮ you are perfect just the way you are are  ༉‧₊˚✧ enha lovebot ༉‧₊˚✧#ENHYPEN #TBZ #TXT</t>
  </si>
  <si>
    <t>Kami menyajikan berbagai macam informasi lowongan kerja yang diperoleh dari berbagai sumber online.</t>
  </si>
  <si>
    <t>радиомеханик</t>
  </si>
  <si>
    <t>писатель</t>
  </si>
  <si>
    <t>танцор балета</t>
  </si>
  <si>
    <t>Stray kids stan. Selling and trade pc or album.</t>
  </si>
  <si>
    <t>19 | 8 or none</t>
  </si>
  <si>
    <t>Dimulai dari mimpi dan garasi</t>
  </si>
  <si>
    <t>more than enough</t>
  </si>
  <si>
    <t>أستودعك الله الذي لا تضيع ودائعه🤍</t>
  </si>
  <si>
    <t>multifandom.</t>
  </si>
  <si>
    <t>Call center covid-19 RSU Sayidiman Magetan: Tel: +62351 895023 l WA: +6281133352898. RS rujukan: RSU Sayidiman l RSU Efram Harsana</t>
  </si>
  <si>
    <t>оператор кино и телевидения</t>
  </si>
  <si>
    <t>Mengelola Tatanan Dunia</t>
  </si>
  <si>
    <t>Official Account of Pos Indonesia</t>
  </si>
  <si>
    <t>Official account of Telkom Indonesia | Untuk layanan customer, silakan hubungi @IndiHome dan @TelkomSolution.</t>
  </si>
  <si>
    <t>Blogger, Jornalista amador nas horas vagas, Bacharel em direito e apaixonado por futebol. @csaoficial @manutd @realmadrid ✍🏼  @Mrashfordbr ↔️ @RealBrasil_BR</t>
  </si>
  <si>
    <t>Cántabru 💢 RSGT 💙🤍 ATM ❤️🤍  ¡¡NO QUIERO SER CÓMO TÚ (ni cómo nadie)!!</t>
  </si>
  <si>
    <t>Takaful consultant PruBsn . Seorang alip yg  masih tercari rentak hidup. 
#hibahkanhartaanda</t>
  </si>
  <si>
    <t>force of freakin nature || let me know if you need people, i’m around</t>
  </si>
  <si>
    <t>Tidak menerima pekerjaan buzzer.</t>
  </si>
  <si>
    <t>Tourism - Business- Investment | Wisma El John Indonesia, Mal SKA Blok H-102 Pekanbaru, ID 28294 | Office : 0761851278 | SMS / WA : 081977686888</t>
  </si>
  <si>
    <t>SBS = Sungchan's Biggest Simp</t>
  </si>
  <si>
    <t>Treasure✨ Loud♡ 
⚠️ Akun rant ⚠️
BA - Ikut GA</t>
  </si>
  <si>
    <t>00 | she/her | for #SNSD #SHINee #LOUD #aespa #RedVelvet</t>
  </si>
  <si>
    <t>OFFICIAL SICEPAT EKSPRES |
Tanya keberadaan paket, hubungi CS kami,
📞 : 021-5020-0050/WA : 0813-1920-0030
📩 : customer.care@sicepat.com
#KetikaSemuaJadiMudah</t>
  </si>
  <si>
    <t>I had a marvelous time ruining everything 💜⌚</t>
  </si>
  <si>
    <t>Kreator digital</t>
  </si>
  <si>
    <t>orang bodoh yang tak kunjung pandai</t>
  </si>
  <si>
    <t>Menteri Agama Republik Indonesia</t>
  </si>
  <si>
    <t>bangkit tuk kembali......</t>
  </si>
  <si>
    <t>Akun backupnya seleb magang @amrudinnejad_ || Facebook; Amrudin Nejad</t>
  </si>
  <si>
    <t>Wakil Ketua PW GP Ansor Jatim @pwansorjatim || Bela Agama Bangsa Negeri</t>
  </si>
  <si>
    <t>Scorpio</t>
  </si>
  <si>
    <t>Bismillah</t>
  </si>
  <si>
    <t>jadi diri sendiri</t>
  </si>
  <si>
    <t>Jangan Lupa Bahagia</t>
  </si>
  <si>
    <t>Mitra JNE Depok | GRATIS JEMPUT BARANG | Jl. Raya Jakarta - Bogor KM.29 PAL No.6 Cimanggis - Depok | WA/Call : 0856 8000027 BBM : DBCD7599</t>
  </si>
  <si>
    <t>Young person full spirit</t>
  </si>
  <si>
    <t>IG : kantorpos.jakartabarat11000</t>
  </si>
  <si>
    <t>Portal Informasi Lowongan Kerja Padang dan Sumatera Barat #lokersumbar #lokerpadang #padangjobs #padangjobs_id #media #informasi #infosumbar #loker #cpns #bumn</t>
  </si>
  <si>
    <t>Ika | 26 | penang | married tanya intro lagi aku cepuk ! ✌</t>
  </si>
  <si>
    <t>Info Lowongan Kerja CPNS BUMN Swasta Untuk Lulusan SMA SMK MA D1 D2 D3 D4 S1 S2</t>
  </si>
  <si>
    <t>laskar lovebot, sbt, rant ; mahasiswa abadinya school of law.</t>
  </si>
  <si>
    <t>Halo! Kita autobase untuk jual-beli all about Girlgroup's stuff | Cek rules sebelum mengirim menfess | Auto Base | Lapor, PP @GGSell_lapor | RULES ⬇️⬇️⬇️</t>
  </si>
  <si>
    <t>stanning day6 -sometimes talking not day6 related | she/her | 03l</t>
  </si>
  <si>
    <t>#WOOZI : You are my miracle ✨ ; bismillah bulan oktober big win, aamiin. ς(•̀ε•́) https://t.co/DXbUdrOpj3</t>
  </si>
  <si>
    <t>lov(s)e?</t>
  </si>
  <si>
    <t>Live today. Be happy. Be at peace.</t>
  </si>
  <si>
    <t>Ayo ke kantorpos. Lebih cepat, lebih tepat, dan lebih dekat.</t>
  </si>
  <si>
    <t>Jasa pembuatan toko online</t>
  </si>
  <si>
    <t>Chaotic neutral ~ lawful evil. Saniwa since 2015. I talk to myself publicly here. Used to draw stuffs before CTS. RT otter pic a lot.</t>
  </si>
  <si>
    <t>all I need is someone who won't give up on me 🧠</t>
  </si>
  <si>
    <t>WANNA ONE ♥ Wannable |
CIX ♥ AB6IX  |
FIX ~♥~  ABNEW |
배진영 ♡ 
Danity, Welo, Win:D, Hanuel, May, Babal,  L.O.Λ.E , Guanlin Stan ♡</t>
  </si>
  <si>
    <t>bukan siapa-siapa</t>
  </si>
  <si>
    <t>Paketmu aman di-Anteraja 📦🤗 // CS Anteraja via WA: 081196109367 // Tracking: https://t.co/CUIRtGBjYF // Jam operasional : Senin-Minggu | 10.00-20.00 WIB</t>
  </si>
  <si>
    <t>𝘱𝘢𝘳𝘬 𝘴𝘶𝘯𝘨𝘩𝘰𝘰𝘯 — happiness. 
🐧 𝐑𝐞𝐬𝐭 𝐛𝐮𝐲𝐢𝐧𝐠 𝐟𝐨𝐫 𝐚 𝐰𝐡𝐢𝐥𝐞. (𝐭𝐢𝐥𝐥 𝐜𝐨𝐦𝐞𝐛𝐚𝐜𝐤) dan beneran comeback october dong hueee</t>
  </si>
  <si>
    <t>🛒....  selling buying trading acc for Jay #Enhypen, and Rose #Blackpink,...🚶
gg/bb (slow)collect..</t>
  </si>
  <si>
    <t>Akun twitter resmi Kementerian Luar Negeri Republik Indonesia. The Official Twitter Account of the Ministry of Foreign Affairs of the Republic of Indonesia 🇮🇩</t>
  </si>
  <si>
    <t>(Hanya) Pujangga Yang Ingin Bertakhta</t>
  </si>
  <si>
    <t>The sun always comes back around :)</t>
  </si>
  <si>
    <t>Αθλητικά (και όχι μόνο) νέα, αποκαλύψεις, παρασκήνια, βίντεο και... όποιος αντέξει!</t>
  </si>
  <si>
    <t>Korupsi adalah kejahatan yang sangat menyengsarakan rakyat banyak.</t>
  </si>
  <si>
    <t>Berpolitik Untuk Bangsa | NKRI 🇮🇩 PANCASILA | Tak Mengejar Surga | Masih Berbuat Dosa | Tak Beragama Tapi Ber Tuhan |</t>
  </si>
  <si>
    <t>L-1485♡</t>
  </si>
  <si>
    <t>❤️ChanKaiBaekSooChenXiuLaySuHun ❤️ currently being militaryy girlfriend and waiting him return back 🙊💪🏻 Chanyeol EXO  | Taeyong NCT</t>
  </si>
  <si>
    <t>Tomorrow is not a promise</t>
  </si>
  <si>
    <t>Slip back out of whack at your best</t>
  </si>
  <si>
    <t>Gedung Pos Ibukota lt. 3 - Jln Lapangan Banteng Utara No 1  Jakarta Pusat  Chat : https://t.co/iQ8kM7wxtK Email : bcpasarbaru@customs.go.id #BeaCukaiMakinBaik</t>
  </si>
  <si>
    <t>Bismillah | Tax Specialist | all i need is happiness 🙏🙏🙏</t>
  </si>
  <si>
    <t>Official account of KAI Commuter.
Contact: (021)121 | Instagram: @commuterline | E-mail: commuter.care@krl.co.id | Youtube: Commuter Channel</t>
  </si>
  <si>
    <t>Why so serious?</t>
  </si>
  <si>
    <t>Heheing</t>
  </si>
  <si>
    <t>Official Account Bravo Bea Cukai, Partner of @BeacukaiRI and @KemenkeuRI. Please contact us in https://t.co/oxQoZlC6pN https://t.co/GrrnTkZJP2 #beacukaimakinbaik</t>
  </si>
  <si>
    <t>физик</t>
  </si>
  <si>
    <t>“Understanding people is an art. Not everyone is an artist.”</t>
  </si>
  <si>
    <t>Tweet hanya berkaitan Famili &amp; Diri Sendiri...  #JiwangTolakTepi  #PeminatTegarKucing</t>
  </si>
  <si>
    <t>Akun Bucin</t>
  </si>
  <si>
    <t>❗30 hari ga kirim menfess keunfoll otomatis❗• Autobase wtb/wts/wtt/wta kpop all fandom • Pengaduan &amp; PP ke @swgxyb • Sub @sellkpopdata • Shop: @jastipkonserkuy</t>
  </si>
  <si>
    <t>Neutral</t>
  </si>
  <si>
    <t>Bi | An Nyctophilia | Extremely slowrespon • Off Notif | Semi-Alter | Another side of me is here ~</t>
  </si>
  <si>
    <t>find your 트레저 in the 캐럿랜드 💎</t>
  </si>
  <si>
    <t>trading and selling account to help MY carats WTS/WTT/WTB their items. feel free to mention us in your tweet or sent it to our CC. enjoy 🛒🎉</t>
  </si>
  <si>
    <t>A trading &amp; selling account for Malaysian Carats by @wonbillionGOs! Enjoy 🛒😉</t>
  </si>
  <si>
    <t>buy/sell/trade account for malaysian carat. tag us and we will retweet. beware of scammer 👌🏻</t>
  </si>
  <si>
    <t>We will retweet/quote your WTS/WTT/WTB ❤️ We will not responsible for any purchase 👌 DM us for any enquiries. Don’t forget to tag us 🙈 Fan account</t>
  </si>
  <si>
    <t>Malaysian CARATs acc only for WTS/WTT/WTB. Kami tidak bertanggungjawab atas urusan urusniaga anda.</t>
  </si>
  <si>
    <t>Anak semua bangsa</t>
  </si>
  <si>
    <t>(BUDAYAWAN MANDIRI CINTA FB) NKRI Harga mati, Bali selalu di hati</t>
  </si>
  <si>
    <t>you can meet somebody tomorrow who has better intentions for you than someone you've known forever.</t>
  </si>
  <si>
    <t>Just say -na na na na-....
kadang-kadang gambar untuk menghibur diri dan cari cuan.</t>
  </si>
  <si>
    <t>akun ini banyak mengandung harsh words https://t.co/d7pqpgqgiu</t>
  </si>
  <si>
    <t>🎉 Shopee 10.10 Brands Festival 🎉
🚛 Free Shipping Min. Spend RM10
🎁 50% Off Big Brand Discounts
🚗Tap &amp; Win Toyota Vios
🇲🇾 IT'Z Sho-pee-pee-pee 🌈</t>
  </si>
  <si>
    <t>🚴🏼‍♂️ 🐟</t>
  </si>
  <si>
    <t>bussiness acc // no TIMEWASTER &amp; no refund// Ships ww ✈📬// Not responsible after shipping // TRUSTED SINCE 2018//No replies in 48h? sold//HnR?Blocked</t>
  </si>
  <si>
    <t>have a korean addres and a korean bank
akun nyelem</t>
  </si>
  <si>
    <t>Belajarlah dari Jembatan Ampera. Tetap tegak biarpun ganti Orde dari sedjak doeloe.</t>
  </si>
  <si>
    <t>Fruit plant seed | Seller bibit tanaman | petani</t>
  </si>
  <si>
    <t>she/her 22</t>
  </si>
  <si>
    <t>menfess bot for real life, about love, about toxic relationship📍| managed by @laporppsini | sub base @sygfess | /cancel untuk hapus mfs</t>
  </si>
  <si>
    <t>slow collector | #MINA 🐧 #NAYEON 🐰</t>
  </si>
  <si>
    <t>any prns ; for my loml https://t.co/onMEk8it9O 📓💗💭</t>
  </si>
  <si>
    <t>Selalu Menjaga Persatuan dan Kesatuan Indonesia.</t>
  </si>
  <si>
    <t>Wujudkan kesejahteraan sosial masyarakat Indonesia | #KemensosHadir</t>
  </si>
  <si>
    <t>Bookstore, Library, Learning Center</t>
  </si>
  <si>
    <t>Don't love me, it's a sin. Find me on my second acc, cause i'm not an active user here, just ask me first.</t>
  </si>
  <si>
    <t>perseverance still</t>
  </si>
  <si>
    <t>ⓙⓤⓢⓣ  ⓡⓔⓣⓦⓔⓔⓣ 👍😉</t>
  </si>
  <si>
    <t>Hair mask all varian 25.000 | Pengiriman dari Bekasi</t>
  </si>
  <si>
    <t>sellbuy acc @hongyooniverse proof cek likes. jihan enthu 96l</t>
  </si>
  <si>
    <t>chris’s official mate.</t>
  </si>
  <si>
    <t>˗ˏˋHi, wellcome to jualanengene! Autobase ENHYPEN | Send to DM format EJ! (jual) ET! (tukar) EC! (cari) EN! (nanya)ˎˊ˗ Operator : @svpbot</t>
  </si>
  <si>
    <t>Faiz Annuar ❤
Nur Alissa Humaira ❤️</t>
  </si>
  <si>
    <t>AUTHORISED AGENT ARGANIA | TEMYRACLE |
Queen to @_matsyaf and little Aaira Arisya</t>
  </si>
  <si>
    <t>F2*</t>
  </si>
  <si>
    <t>Sparepart Hardtop FJ BJ</t>
  </si>
  <si>
    <t>I'm a nightmare dressed like a daydream.</t>
  </si>
  <si>
    <t>oi</t>
  </si>
  <si>
    <t>🎲tempat sambat/diskusi peserta diklat jurangmangu.🎲saring before sharing, bahasanya dijaga. BACA RULES DI 👇🏻</t>
  </si>
  <si>
    <t>Random person</t>
  </si>
  <si>
    <t>Nothing is impossible.• https://t.co/RMuGj2a0ve • CP: 081295337343 (Tata)</t>
  </si>
  <si>
    <t>Berbagi informasi lowongan kerja #loker di https://t.co/l2r06C4fZd</t>
  </si>
  <si>
    <t>take time to laugh, it is the music of the soul</t>
  </si>
  <si>
    <t>and if I die , forgive me😔</t>
  </si>
  <si>
    <t>Airsoft/air gun</t>
  </si>
  <si>
    <t>Be yourself 🏄</t>
  </si>
  <si>
    <t>where is the next trip?</t>
  </si>
  <si>
    <t>CLOSE DM! | An autobase to helps INA Teumes selling, buying &amp; trading all about TREASURE. PLS obey the rules. Sub-base @teumarkets | CP base &amp; PP @cptsmarkets</t>
  </si>
  <si>
    <t>🤍🌻</t>
  </si>
  <si>
    <t>Ikhlas Melayani Negeri | ☎️ 05116724712 | 📱 0811500830 (Layanan Informasi 24 jam) | 📩 kppbc.bjm@gmail.com (Kantor) | 📩</t>
  </si>
  <si>
    <t>those eyes would never lied you  // ngga suka disuruh</t>
  </si>
  <si>
    <t>Auto menfess service gawe arek arek suroboyo | Trigger menfess: -cak / -ning / -rek | del: /unsend | pengaduan: @sbycare</t>
  </si>
  <si>
    <t>H! welcome 🤸🏻‍♂️♥︎ 𓄹 𓂃 ╭┈─────── ೄྀ࿐ ˊˎ- ╰┈─➤ ❝ 𝒕𝒆𝒂𝒎𝒘𝒐𝒓𝒌 makes the 𝒅𝒓𝒆𝒂𝒎 work @BTS_twt •ᴗ• ❞ ┈─────── ೄྀ࿐ ˊˎ-</t>
  </si>
  <si>
    <t>yg buat keren bener ❤❤ https://t.co/lnOTNeJb01 
#arjenia❤</t>
  </si>
  <si>
    <t>autobase ulun Lampung • sarana untuk cari informasi, teman, dan loker • gunakan geh! sbgeh! (UNTUK JUALAN) • Pengaduan : @baselpgcare</t>
  </si>
  <si>
    <t>Libra ✨</t>
  </si>
  <si>
    <t>... 🛒🦋 𝐬𝐞𝐥𝐥, 𝐛𝐮𝐲, 𝐭𝐫𝐚𝐝𝐢𝐧𝐠 𝐚𝐜𝐜. #하루토 𝐬𝐥𝐨𝐰 𝐜𝐨𝐥𝐥𝐞𝐜𝐭𝐨𝐫.</t>
  </si>
  <si>
    <t>Self-proclaimed Duta Mendoan Nasional. Food and Nutrition Security academia, Pejalan, Pesepeda, Astrophile, Pecinta pelabuhan. Golongan darah A rh +</t>
  </si>
  <si>
    <t>ini bio</t>
  </si>
  <si>
    <t>a dude with atitude</t>
  </si>
  <si>
    <t>🔞𝐅𝐈𝐂𝐓𝐈𝐎𝐍𝐀𝐋, 𝒘𝒓𝒊𝒕𝒕𝒆𝒏 𝒃𝒚 #Rū － 𝑰 𝒂𝒎 𝒘𝒉𝒐 𝒊 𝒂𝒎. 𝒀𝒐𝒖𝒓 𝒂𝒑𝒑𝒓𝒐𝒗𝒂𝒍 𝒊𝒔 𝒏𝒐𝒕 𝒏𝒆𝒆𝒅𝒆𝒅 －</t>
  </si>
  <si>
    <t>Lock account</t>
  </si>
  <si>
    <t>Menteri Koordinator Bidang Politik, Hukum, dan Keamanan RI
Kabinet Indonesia Maju 2019-2024</t>
  </si>
  <si>
    <t>Semoga Semua Berbahagia</t>
  </si>
  <si>
    <t>; #StrayKids ♡</t>
  </si>
  <si>
    <t>#한지성: welcome to quokka world!  — she/her | 01'</t>
  </si>
  <si>
    <t>21 
she/her 
VIP + STAY
feedback: #hyunjiyoungeinfeedback</t>
  </si>
  <si>
    <t>She 18
#sofeamongfeedback
https://t.co/jHfnfIj0JM</t>
  </si>
  <si>
    <t>🇲🇾 part time GO x 🍀 full time STAY
#찬 #민호 #창빈 #현진 #한 #용복 #승민 #정인</t>
  </si>
  <si>
    <t>having 8 angels in my life would be enough | 💙🤍</t>
  </si>
  <si>
    <t>#giveawayija</t>
  </si>
  <si>
    <t>#스트레이키즈 | till the last step out ♡ (thinking about kim seungmin 24/7 365)</t>
  </si>
  <si>
    <t>she%her | full time Hyuniner</t>
  </si>
  <si>
    <t>catboy (๑･̑◡･̑๑) #nischickunboxing | #nisfeedback</t>
  </si>
  <si>
    <t>exo-l, stay &amp; fantasy ❤️ 20 🤚🏻</t>
  </si>
  <si>
    <t>#방찬 's gf | @nyhoongi</t>
  </si>
  <si>
    <t>#4댱hey 🐰🐶🤍 || 🇲🇾 18, rcbyf</t>
  </si>
  <si>
    <t>Not your typical ideal type🌹</t>
  </si>
  <si>
    <t>♡ 말 할 수 없는 비밀 ♡ #hanjishine_feedback</t>
  </si>
  <si>
    <t>The place to get your daily news updates, happening in Sarawak and all over the world! Follow our telegram channel https://t.co/9EfOZKPvwe</t>
  </si>
  <si>
    <t>#필릭스: Stay believe in Stray Kids #8 she’s deeply inlove with jeonginn | +60</t>
  </si>
  <si>
    <t>menunggu album skz tk smpai²,diri ini berserah sahaja</t>
  </si>
  <si>
    <t>#nct i'm the sticker for your love |providing rt service only~ 🇲🇾 MY based 
 --wts/wtt/wtb         
 strictly for nct onlyyy❗
do not responsible for scammers❗</t>
  </si>
  <si>
    <t>🇲🇾 | #xuxisyxFB *ೃ༄</t>
  </si>
  <si>
    <t>MAINLY FOR 🇲🇾 MALAYSIAN NCTZENS &amp; WEISHENNIES ㅡ WTS WTT WTB LFB LFS TWEET. mention/dm for retweet and promote! #myncteamupdate #myncteamfb 🌐</t>
  </si>
  <si>
    <t>promoting/rt account for wts/wtt/wtb nct + wayv! || 5 admins! || based in 🇲🇾</t>
  </si>
  <si>
    <t>just another lost angle.</t>
  </si>
  <si>
    <t>INA &amp; 98즈 || Freelance fairy in Carat Land and TWFanmily's postman || Selling acc: @perikertas_17</t>
  </si>
  <si>
    <t>리노 : If you hate yourself, remember that you are not alone. A lot of people hates you too.
#bucinhwghyunjinfb (feedbacks) | paypal/ intl bank transfer services</t>
  </si>
  <si>
    <t>Cassiopeia Twelvyn Axelle Khasana：XELL, music producer-director, singer-songwriter &amp; mom of @MOVIECAPELLA portrayed by #WENDY ── invented by. #flaventia</t>
  </si>
  <si>
    <t>fictional, potrayed by กัญญรัตน์ เรือง ❀ And all hurdles she had to wade, she wades it with grit. Announcer for @RADOMIL_FM, talent for @THESTERNSYSTEM.</t>
  </si>
  <si>
    <t>a broke multi⚘🤌🏻
help me find moots♥︎</t>
  </si>
  <si>
    <t>👻💀</t>
  </si>
  <si>
    <t>#HYUNJIN : °·._. ᵘʳ ᵇᵉʰᵃᵛⁱᵒʳ ⁱˢ ˢᵒ ᵘᵍʰ•._.·° SHE/HER @stray_kids #현진 #SKZ8 Malaysia Stay 🇲🇾 || HyunLix Bae #PiecesofhyuneFeedback</t>
  </si>
  <si>
    <t>Akun Twitter Resmi Kementerian BUMN | Jl. Medan Merdeka Selatan No.13 Jakarta | (021) 29935678 | https://t.co/ecmVuaYvjl</t>
  </si>
  <si>
    <t>check likes for giveaways!</t>
  </si>
  <si>
    <t>Update informasi kuis/kompetisi/lomba berhadiah terbaru yang ada di online. | Contact: infokuisnya@gmail.com</t>
  </si>
  <si>
    <t>21; neocity’23 #TEN 💗</t>
  </si>
  <si>
    <t>ini akun dagang dan sedikit sambat
PEMESANAN H-2 🙏
DIMSUM•EKADO•CIRENG RUJAK•CIRENG ISI•NUGGET</t>
  </si>
  <si>
    <t>*TOP AGENT IVORY SECRET 🌸*
Fast Respond 🚀
Postage Everyday 
Postage Seluruh Malaysia 🚛</t>
  </si>
  <si>
    <t>Adrian Cepheus Sinclair, the @SINCLAIRBLOOD's graceful man and @MOVIECAPELLA's Papa. Depicted by #SHOWNU, a fictious character by #ᴍᴜғᴀsᴀ.</t>
  </si>
  <si>
    <t>/: rombak (super) perlahan</t>
  </si>
  <si>
    <t>akun sedih sedihan</t>
  </si>
  <si>
    <t>|| 𝔻𝕣𝕖𝕒𝕞 𝕀𝕟 𝔸 𝔻𝕣𝕖𝕒𝕞💚|| PC Request ❌ || 4 admins🐰🐹🐬🐧|| #MYDreamFeedbacks #MYDreamTracking #MYDreamArrivals #MYDreamUpdates || Tag us for RT ||</t>
  </si>
  <si>
    <t>sell/trade/buy 🇲🇾 || admin🌹😺; do tag us; refer our carrd in bio</t>
  </si>
  <si>
    <t>Me Is Me #real
I ❤️ Indonesia
#FriendsFollback
#NgadhemTL</t>
  </si>
  <si>
    <t>NCT WAYV SuperM — wts wtb wtt 🇲🇾</t>
  </si>
  <si>
    <t>she/her || 𝐼'𝑚 𝑎 𝒏𝒊𝒈𝒉𝒕𝒎𝒂𝒓𝒆 𝑑𝑟𝑒𝑠𝑠𝑒𝑑 𝑙𝑖𝑘𝑒 𝑎 𝒅𝒂𝒚𝒅𝒓𝒆𝒂𝒎</t>
  </si>
  <si>
    <t>Base automenfess about anything • use trigger “💙 / 💭 / 🗯️ / 💬” • 
Sub base : @convomfs • report @convolisi👮🏻‍♂️• @convobusiness🤝</t>
  </si>
  <si>
    <t>tmpat ngeluh</t>
  </si>
  <si>
    <t>Mahasiswa Hukum | Merdeka sejak lahir | Nge-tweet apa aja</t>
  </si>
  <si>
    <t>Muggle • Do Kyungsoo 🐧 도경수</t>
  </si>
  <si>
    <t>isinya gitu gitu aja 🌈 https://t.co/ukY9OGJOl3</t>
  </si>
  <si>
    <t>trade buy sell for all group!!</t>
  </si>
  <si>
    <t>Puncak kesalku adalah diam</t>
  </si>
  <si>
    <t>No porno, No kadrun  / Follow👉 Folback</t>
  </si>
  <si>
    <t>Follow Follback asal bukan Kadrun</t>
  </si>
  <si>
    <t>garis 98. 🖇 she • her┊͙ fan account ┊͙ 1 korintus 13 : 4 ✨ - hobi? jualan</t>
  </si>
  <si>
    <t>Base automenfess yang membahas tentang hal apapun, RL, lucu-lucuan dll. | Pengaduan tag/dm : @sudrajart | Rules cek link bio.</t>
  </si>
  <si>
    <t>don’t bother with the tweet</t>
  </si>
  <si>
    <t>Berbagi Info Lowongan wilayah Sumatera
https://t.co/ZFdJvI7gpE</t>
  </si>
  <si>
    <t>Selling, buying, and trading place for Indonesian ATINY 🛒 More info and Rules : https://t.co/3jOAB1xAZn 🛒 admin : @atzmCS 🛒 Join LINE open chat👇🏼</t>
  </si>
  <si>
    <t>Welcome to INA GO SeoulutionID ❤️ 𝙎𝙚𝙡𝙡𝙞𝙣𝙜 𝙠𝙥𝙤𝙥 𝙜𝙤𝙤𝙙𝙨 (𝙖𝙡𝙗𝙪𝙢𝙨, 𝙥𝙝𝙤𝙩𝙤𝙘𝙖𝙧𝙙𝙨, 𝙚𝙩𝙘) 𝙖𝙣𝙙 𝙜𝙧𝙤𝙪𝙥 𝙤𝙧𝙙𝙚𝙧𝙨 𝙤𝙣 𝙡𝙞𝙣𝙚!</t>
  </si>
  <si>
    <t>ca/fa you name it. 
caution : full of meme and broken english.</t>
  </si>
  <si>
    <t>#NCT #WAYV #SUPERM #TAEYONG #JOHNTEN 🔞</t>
  </si>
  <si>
    <t>taeyonglee🤍</t>
  </si>
  <si>
    <t>please banget gausa di follow</t>
  </si>
  <si>
    <t>jangankan ditartar anak sekolah
ditartar bapakku aja sudah mleyotan - kinda ia lagi sibux mikirin doi</t>
  </si>
  <si>
    <t>BeritaBenar adalah perkhidmatan berita dalam talian, bersekutu dengan Radio Free Asia, mempromosi aliran berita bebas, tepat dan tidak berat sebelah.</t>
  </si>
  <si>
    <t>Si llegáis a ser como yo y vivís me lo contáis. #Minajer #Swifter #Selenatica #Directioner #Believer #Camelieber</t>
  </si>
  <si>
    <t>Juventino Till Die | Aimer is Love.</t>
  </si>
  <si>
    <t>Akun resmi Juventus FC Indonesia. Ikuti juga  🇮🇹@juventusfc 🇬🇧@juventusfcen 🇪🇸@juventusfces العربية @juventusfcar 🇵🇹🇧🇷@juventusfcpt 🇯🇵@juventusfcjp</t>
  </si>
  <si>
    <t>Cogito ergo sum</t>
  </si>
  <si>
    <t>🚀 Giocatore della Juventus e della Nazionale Italiana di Calcio.</t>
  </si>
  <si>
    <t>Official Account of JNE Customer Service | Mon-Fri 08-20 Sat 08-17 | JNE Siaga 24 Jam 021-50868880 &amp; customercare@jne.co.id | for Promo Follow @JNE_ID</t>
  </si>
  <si>
    <t>Official Twitter JNE Express | email: customercare@jne.co.id /  021-50868880 (24jam) | Cek kiriman/Ongkir Follow @JNECare</t>
  </si>
  <si>
    <t>Jasa pengiriman berbasis teknologi yang mendukung pertumbuhan bisnis e-commerce
☎ : 021-8066-1888
✉ : jntcare@jet.co.id
https://t.co/pXYhUtpXAL
#100JutaPelangganJNT</t>
  </si>
  <si>
    <t>Civil Engineering at the University of Siliwangi '12 | Fino Alla Fine Forza @juventusfc !!!</t>
  </si>
  <si>
    <t>Punya akun twitter cuma buat cari info &amp; berita. Khususnya ttg bola sepak</t>
  </si>
  <si>
    <t>1897 🏴🏳️</t>
  </si>
  <si>
    <t>Proud Husband of @mirantimathani and Father of 3 kiddos, I am a Moslem, and Juventino forever.</t>
  </si>
  <si>
    <t>Juventino | Mine Engineer</t>
  </si>
  <si>
    <t>Simple | Juventini | Indonesia La Nostra Seconda In Casa</t>
  </si>
  <si>
    <t>Penyuka Juventus dari layar kaca</t>
  </si>
  <si>
    <t>⚪⚫
Juventino. Manga Lover.</t>
  </si>
  <si>
    <t>@juventusfc @azzurri</t>
  </si>
  <si>
    <t>lontong adalah butiran nasi yang menyatu.</t>
  </si>
  <si>
    <t>Allah SWT || Evanescence || EvFans</t>
  </si>
  <si>
    <t>man jadda wa jada</t>
  </si>
  <si>
    <t>Juventino / Pop Punk / founder @SuppServCo / business mail : supplyserviceco@yahoo.com</t>
  </si>
  <si>
    <t>🐊🐊🐊🐊🐊🐊🐊🐊🐊🐊🐊🐊🐊🐊🐊🐊🐊🐊🐊🐊🐊🐊🐊🐊🐊🐊🐊🐊🐊🐊🐊🐊🐊🐊🐊🐊🐊🐊🐊🐊🐊🐊🐊🐊🐊🐊🐊🐊🐊🐊🐊🐊🐊🐊🐊🐊🐊🐊🐊🐊🐊🐊🐊🐊🐊🐊🐊🐊🐊🐊🐊🐊🐊🐊🐊🐊🐊🐊🐊🐊</t>
  </si>
  <si>
    <t>A Stock Market and Crypto Enthusiast, Cat lover and Juventini</t>
  </si>
  <si>
    <t>Call Me MIDUN | vocalist n leader of @kassaband | songwriter gagal | Informatic Engineering gagal | member of @jci_bandung @jcindonesia | #akubisagila #m2m</t>
  </si>
  <si>
    <t>Baladewa * Juventino*</t>
  </si>
  <si>
    <t>Juve tetaplah Juve, Persib adalah Persib #FORZAJUVERSIB</t>
  </si>
  <si>
    <t>As random as her posts.</t>
  </si>
  <si>
    <t>⚪️⚫️ | keep moving forward
| gg! stan |</t>
  </si>
  <si>
    <t>Akun sebelumnya di hack sm orang yang gak punya nyali</t>
  </si>
  <si>
    <t>AHLAWY - Juve Storia Di Un Grande Amore ⚫⚪</t>
  </si>
  <si>
    <t>Poetry in motion.</t>
  </si>
  <si>
    <t>rajuter</t>
  </si>
  <si>
    <t>followed by @johncena</t>
  </si>
  <si>
    <t>¤FOREVER YOUNG ¤ just rettweet N folow</t>
  </si>
  <si>
    <t>Bianconeri + Azzurri</t>
  </si>
  <si>
    <t>PEMERINTAH KABUPATEN BULELENG</t>
  </si>
  <si>
    <t>what i talk when i don't want to talk</t>
  </si>
  <si>
    <t>idgaf</t>
  </si>
  <si>
    <t>F O R Z A J U V E N T U S</t>
  </si>
  <si>
    <t>Cita-cita mau punya bini 2 😁
#FinoAllaFine⚪⚫</t>
  </si>
  <si>
    <t>#Muslim - fino alla fine forza @juventusfc</t>
  </si>
  <si>
    <t>btob skz + ggs ☆ mainly dealings</t>
  </si>
  <si>
    <t>biarkan mereka berkembang</t>
  </si>
  <si>
    <t>happy to analyze</t>
  </si>
  <si>
    <t>suka kucing tapi gak punya kucing</t>
  </si>
  <si>
    <t>vinci per noi magica @juventusfc ★★★</t>
  </si>
  <si>
    <t>penyuka dan penyebar bollywood dan budaya betawi // ngepost yg ga di post di ig</t>
  </si>
  <si>
    <t>SELL ACC NYA @SKIESCITYS | https://t.co/ps07cUnotU | setelah dm jangan lupa mention ya^^</t>
  </si>
  <si>
    <t>♡´･ᴗ･`♡</t>
  </si>
  <si>
    <t>23 | C'est la vie | Chingu Topokki, Turbulence Chocolate, Temyracle (MD3.3.0.11.1)</t>
  </si>
  <si>
    <t>IKHLAS | HAPPY ENDING. AAMIINN</t>
  </si>
  <si>
    <t>Una mente curiosa.
Redsox, SIVB.</t>
  </si>
  <si>
    <t>Fino alla fine @juventusfc | long time lover @sheilaon7 | Gal ❤</t>
  </si>
  <si>
    <t>트메 ☆ﾟ.*･｡ﾟ시즈니☆ﾟ.*･｡ﾟ더비☆ﾟ.*･｡ﾟ캐럿☆ﾟ.*･｡ﾟ</t>
  </si>
  <si>
    <t>hoon's girlf
designer :^
selling merch in cheap/affordable price
#cococheezyupdate #cococheezyfeedback</t>
  </si>
  <si>
    <t>im falling apart here</t>
  </si>
  <si>
    <t>🌒🌓🌔🌕🌖🌗🌘</t>
  </si>
  <si>
    <t>Vox, Guitarist &amp; Songwriter of @Alleydina || Writer || Photographer || Juventino || sXe</t>
  </si>
  <si>
    <t>🌸OPEN PO TAOBAO MERCH/STUFF🌸
                       🚚 Pengiriman dari Jakarta &amp; Medan
                     📩 Pemesanan &amp; Request langsung DM ajaa ^^</t>
  </si>
  <si>
    <t>!lapakjp (merch JP) dan !lapakothers (merch non JP (13.00 WIB -17.00 WIB)) ll RULES ON WEB ll ngadu/Paid Promot: @PatroliHedon ll NON INDONESIANS CHECK WEB</t>
  </si>
  <si>
    <t>binian selalu bujur, kecuali aku lo.</t>
  </si>
  <si>
    <t>Pengaduan dan info lainnya @infobanjarbase</t>
  </si>
  <si>
    <t>A muggle-born student in Gryffindor and Ravenclaw houses from Hogwart School of Witchcraft and Wizardry.</t>
  </si>
  <si>
    <t>can't get along but can alalalong</t>
  </si>
  <si>
    <t>‏‏‏
اللهم ارحم من اشتاقت لهم انفسنا وهم تحت التراب♥️Ministry of Justice ⚖️</t>
  </si>
  <si>
    <t>Hidup Mulia Atau Mati Syahid Dalam Membela Agama Allah S.W.T di Muka Bumi !!!</t>
  </si>
  <si>
    <t>Hello! this is Chart and Streaming Base For @BTS_twt in Indonesia 🇮🇩 backup: @btstreamid</t>
  </si>
  <si>
    <t>we daily tweet you all @coldplay stuff that all Coldplay fans should know. #IndonesiaWantsColdplay 🇮🇩 | our 2nd acc @coldplayINDO  Music Of The Spheres OCT 15</t>
  </si>
  <si>
    <t>Hi! We are Indonesian Fanbase for @BTS_twt's j-hope 🇮🇩💜 | Member of @jhopeGlobaI | Backup Acc: @Hopeforsolljus</t>
  </si>
  <si>
    <t>Multi •
내가 있다고,
수고했다고,
사랑한다고,
꽉 안아준다고 🌼</t>
  </si>
  <si>
    <t>𝔻𝚒𝚛𝚎𝚌𝚝𝚒𝚘𝚗𝚎𝚛, 𝕀𝚗𝚗𝚎𝚛𝚌𝚒𝚛𝚌𝚕𝚎, 𝔻𝚛𝚎𝚊𝚖𝚜𝚝𝚊𝚗 || Ⓡ︎Ⓔ︎Ⓝ︎Ⓒ︎Ⓗ︎Ⓘ︎Ⓝ︎🦊 || Ⓛ︎Ⓘ︎Ⓛ︎Ⓢ︎Ⓤ︎Ⓝ︎Ⓢ︎🐬</t>
  </si>
  <si>
    <t>non-fiction writer with a dash of angst. I write about businesses in Southeast Asia for @TheKenWeb 📧 kakay@the-ken.com</t>
  </si>
  <si>
    <t>Original, analytical, and deeply-reported business journalism from India and Southeast Asia. 
Signup for our thoughtful emails &amp; free reads: https://t.co/m2sk8MfJOZ</t>
  </si>
  <si>
    <t>Southeast Asia editor at @thekenweb—business reporting that's worth paying for: https://t.co/6dWWEwfI3A 📧 jon@the-ken.com (I write @asiatechreview) 🇬🇧</t>
  </si>
  <si>
    <t>Building https://t.co/jA5qwZ4ygm, the Southeast Asian sister branch of @TheKenWeb. Longform business journalism, newsletters, podcasts. We 💛 subs.</t>
  </si>
  <si>
    <t>Juventini.
ig: @achmadyasin08</t>
  </si>
  <si>
    <t>kpop multifandom ✨
#faminics
#ayuminati
#famria
#shanshine
#isawFami
#hiyakhi
#reefphoria
#marurupok</t>
  </si>
  <si>
    <t>for Jungwoo ft rindu @leehaedery ♡</t>
  </si>
  <si>
    <t>wts/wtt/wtb rt acc for nct wayv superm!</t>
  </si>
  <si>
    <t>Call center WA 081328696069
Tlp 0274 2812931
Jl. Bantul Km. 9 Pendowoharjo Sewon Bantul 55186</t>
  </si>
  <si>
    <t>Bale Ayu Resto: 
1. Bale Ayu Giwangan Yogyakarta 
2. Bale Ayu Jombor Yogyakarta 
3. Bale Ayu Cirendeu Tangerang Selatan</t>
  </si>
  <si>
    <t>Your friendly hotel in Jogja_x000D_
Jl. Lingkar Selatan No.110 Jogja_x000D_
cp. Restya +628562637887</t>
  </si>
  <si>
    <t>Fb : Pita Biru Adv
ig :@pitabiruadv
Email : 
- heripitabiru@yahoo.com
- pitaloka.perisai@yahoo.com
- pitabiruadv@gmail.com
telp:0274-4353309</t>
  </si>
  <si>
    <t>Biz Dev @SQale_eCom. Digital veteran, ecommerce, mobile and UX expert. Amateur triathlete, EV &amp; new energies enthusiast. 🇫🇷 in 🇨🇭</t>
  </si>
  <si>
    <t>Himpunan Pengusaha Muda Indonesia Badan Pengurus Cabang (BPC) Kabupaten Bantul, Yogyakarta</t>
  </si>
  <si>
    <t>Hai Cerdikiawan. Ini lho udah aku siapin konten2 supaya kamu bisa jalanin hari-hari tanpa repot, karena pake Gojek #PastiAdaJalan. Moga menginspirasi. 😘</t>
  </si>
  <si>
    <t>psych student ☕️👌 *sip*</t>
  </si>
  <si>
    <t>Per Audacia Ad Astra</t>
  </si>
  <si>
    <t>Media Informasi Lowongan Kerja Seluruh Indonesia
✉️ iklan@disnakerja.com
UNTUK RETWEET: Mention info loker ke @disnakerja_com</t>
  </si>
  <si>
    <t>Twitter resmi https://t.co/rPOl9T6Yb5.
Download aplikasi Tribunnews untuk mendapatkan berita terkini https://t.co/XzdN5toanx…
Email: redaksi@tribunnews.com</t>
  </si>
  <si>
    <t>Hi,
✨Multi stan(more to ahgase💚,doebi🍞,clue,else)
✨18✨Love doing arts🎨</t>
  </si>
  <si>
    <t>Pray for end of this nightmare, this lie of a life can as quickly as it came dissolve!</t>
  </si>
  <si>
    <t>🌾|slight nsfw | 🥣
kalau DM ga di bales mention aja</t>
  </si>
  <si>
    <t>*insert pretentious crap/achievements about myself here* | Tweets don’t represent employer | Daily meals @sylveats</t>
  </si>
  <si>
    <t>Buy Acc</t>
  </si>
  <si>
    <t>Fino Alla Fine! 🏁</t>
  </si>
  <si>
    <t>she/her 👑💚❤️📢💎#miyongyuupdates #miyongyufeedback</t>
  </si>
  <si>
    <t>multifandom~♡ | selling, buying &amp; trading acc |</t>
  </si>
  <si>
    <t>read carrd byf | he/him | 21 | multi but mostly #nct #btob #tbz</t>
  </si>
  <si>
    <t>your existence is limitless 彡</t>
  </si>
  <si>
    <t>#findingdeobis</t>
  </si>
  <si>
    <t>Pelaksana Program DPWKP &amp; SWDKLLJ
Temui Kami di Samsat Terdekat di Kota Anda</t>
  </si>
  <si>
    <t>Hal-hal besar tidak pernah datang dari zona nyaman</t>
  </si>
  <si>
    <t>I WANT DOMINO MV 
#tiaracuteupdates 
#tiaracutefeedbacks</t>
  </si>
  <si>
    <t>★ for malaysian fantasy 🌌 ★ trade and sell your SF9 item here ! ★ please mention us incl #pasarsf9 in your tweet to trade and sell your item 💗</t>
  </si>
  <si>
    <t>Malaysian 🇲🇾. My bias group is Monsta X, Pentagon, SF9, Oneus and Golden Child. I have a soft spot for Lee Jooheon, Yuto, Taeyang, Leedo and Jangjun ✨✨</t>
  </si>
  <si>
    <t>hello kami menjual sukulen dan kaktus, untuk po 2-3 harii!!!! 🤗🤗</t>
  </si>
  <si>
    <t>#FinoAllaFine</t>
  </si>
  <si>
    <t>#PancasilaRumahKita https://t.co/BKFpmrFgHG</t>
  </si>
  <si>
    <t>hobiku seniku
ngaji ngopi happy
NKRI 🇲🇨
#NKRI</t>
  </si>
  <si>
    <t>makin keras pertempuran ,maka akan semakin indah kemenangan
IG : rumah_saham_selikur
📉 Stock Market Enthusiast</t>
  </si>
  <si>
    <t>ngopi
ngaji
happy</t>
  </si>
  <si>
    <t>hanya sebutir debu yang selalu cinta Indonesia 🇮🇩</t>
  </si>
  <si>
    <t>|| penyuka kopi sedikit gula..|| Hargai segala perbedaan || Anti rasis || 💯 FB</t>
  </si>
  <si>
    <t>Stalk less do more. ⏳</t>
  </si>
  <si>
    <t>Perjuangan bangsa indonesia bukan hanya dari masa lalu, hari ini juga hari esok, dan selamanya. Perjuangan kita belum berakhir. #indonesiaMaju</t>
  </si>
  <si>
    <t>Yang Waras Jangan DIAM  !! NKRI Harus Tetap UTUH</t>
  </si>
  <si>
    <t>"Mencoba Untuk Menghargai tanpa Pamrih" #JalinPersatuan #IndonesiaTanpaRasis ITR-1</t>
  </si>
  <si>
    <t>TREASURE MEMBERS TWITTER</t>
  </si>
  <si>
    <t>Tukang Ritwit (jarang ngutip) | bio-nya gak panjang lebar cause tulisannya jelek | ♥ @juventusfc @juventusfcen @juventusfcid</t>
  </si>
  <si>
    <t>Akun hibah, 💯% follback</t>
  </si>
  <si>
    <t>Juventus addict⚪⚫                                                                                          📢My life is my style,Capricorn♑</t>
  </si>
  <si>
    <t>🍒 𝐈𝐧𝐝𝐞𝐩𝐞𝐧𝐝𝐞𝐧 🔜 ᴡɪʟʟ ꜱʜᴏᴏᴛ ᴍʏ ꜱʜᴏᴛ ᴏɴᴄᴇ ᴀɴᴅ ᴏɴʟʏ ᴏɴᴄᴇ 🔚 ☕️</t>
  </si>
  <si>
    <t>Menjaga Merah Putih untuk terus berkibar 🇮🇩</t>
  </si>
  <si>
    <t>𝖘𝖍𝖊/𝖍𝖊𝖗 || 𝖜𝖍𝖎𝖕𝖕𝖊𝖉 𝖋𝖔𝖗 𝖊𝖗𝖎𝖈 𝖘𝖔𝖍𝖓 💕
@WE_THE_BOYZ</t>
  </si>
  <si>
    <t>Wpap artist</t>
  </si>
  <si>
    <t>I'm fans of @JuventusFC n @SemenPadangFC ......_x000D__x000D_I'm member of  @juventiniitenas ,@JCI_Bandung_x000D__x000D_ instagram =   _adeputra_x000D__x000D_ path =  Ade Putra</t>
  </si>
  <si>
    <t>A Great Mama</t>
  </si>
  <si>
    <t>#HYUNSUNG; 90% soulmate 10% bestie◞♡°</t>
  </si>
  <si>
    <t>01♡ @Stray_Kids</t>
  </si>
  <si>
    <t>Selalu bercermin pada diri sendiri sebelum berbuat kepada orang lain 🇲🇨 Bhinneka Tunggal Ika 🇲🇨</t>
  </si>
  <si>
    <t>Akun Resmi Kantor Wilayah Kementerian Hukum dan HAM Jawa Timur. Dikelola oleh Humas, Reformasi Birokrasi &amp; Teknologi Informasi.</t>
  </si>
  <si>
    <t>Twitter Deputi Bidang Reformasi Birokrasi, Akuntabilitas Aparatur dan Pengawasan,  Kementerian PANRB</t>
  </si>
  <si>
    <t>Relawan PKS Pekayon
Topik : Islam , Sosial &amp; Negara</t>
  </si>
  <si>
    <t>Official account of Indonesia’s Prosperous Justice Party. E: humas@pks.id Tel: 021 7884 2116</t>
  </si>
  <si>
    <t>Ad Maiorem Dei Gloriam -
Just a casual Pokemon, Digimon, and Football Manager gamer -</t>
  </si>
  <si>
    <t>suka nonton chelsea hingga akhir zaman</t>
  </si>
  <si>
    <t>#큐 : you can do whatever you're set to do. believe in yourself. you can do it. it will turn out the way you want it.
   ⓛⓞⓥⓔ
♡deotinycaratzenfixtasy♡ ◡̈</t>
  </si>
  <si>
    <t>selling, buying, and trading place for CARATS 💎 • kindly read our rules first before sending menfess🤗🙏🏻 • PP, pengaduan, dan titip menfess ➡️ @nightrines</t>
  </si>
  <si>
    <t>well.. I’m not a poet, I’m just a woman</t>
  </si>
  <si>
    <t>𝐑𝐨𝐥𝐞𝐩𝐥𝐚𝐲 | written by 𝐀𝐫𝐢 | Tell Kia I love her</t>
  </si>
  <si>
    <t>istri kai,istri baekhyun,pacar jaemin,pacar doy,pacar taeyong,pacar youngdae,pacar jisoo</t>
  </si>
  <si>
    <t>Jelajahi pusat perbelanjaan mobile, Shopee || Keluhan &amp; Pertanyaan: @ShopeeCare || CS: 1500702 / Klik: https://t.co/TyVMOn71ws</t>
  </si>
  <si>
    <t>Info Lowongan Kerja di Indonesia | Kontak: ads@jobsid.info</t>
  </si>
  <si>
    <t>.. Go FREEDOM #NewNormal  ..</t>
  </si>
  <si>
    <t>Januari | Freelancer; Writer, Editor | Perempuan Random | Anomali | A | Pencinta tokoh-tokoh fiksi |</t>
  </si>
  <si>
    <t>EL SOLO LOBO. // am·bi·vert</t>
  </si>
  <si>
    <t>tempat ngoceh</t>
  </si>
  <si>
    <t>— cute things and hot manhwa mc ₍ᐢ..ᐢ₎♡̷</t>
  </si>
  <si>
    <t>ǝlıɥdoʇɔʎu • • \\ J</t>
  </si>
  <si>
    <t>🐰🐶٩(ˊᗜˋ*)و                                                                                𝚑𝚎𝚢, 𝚠𝚑𝚊𝚝 𝚞 𝚍𝚘𝚒𝚗? #재민 #정우 #엑소 #워너원</t>
  </si>
  <si>
    <t>#ForzaJuventus</t>
  </si>
  <si>
    <t>Sagittarius | PT.Prida Denia Teknindo | JUVENTINO | JAPNAS |KNPI DKI | Wabendum BPC HIPMI JAKSEL | Bendum Akumandiri DKI | Bendum Baladhika Karya Depidar DKI</t>
  </si>
  <si>
    <t>Ex-Bodybuilder | Personal Trainer | Content Creation Coach | Design Consultant | Tech Expert | Founder of Setengah2 Design Studio 🐲</t>
  </si>
  <si>
    <t>Just call me Panda. Not available.</t>
  </si>
  <si>
    <t>Official Twitter account of Koran Tempo. Follow us for breaking news, current events, special reports, and something more from https://t.co/NBBACBx8uH.</t>
  </si>
  <si>
    <t>apa adanya</t>
  </si>
  <si>
    <t>( 🛒 ) random but mainly sell, buy, trade acc❕</t>
  </si>
  <si>
    <t>¸.·¯⍣✩ 𝐬𝐞𝐥𝐥 𝐛𝐮𝐲 &amp; 𝐭𝐫𝐚𝐝𝐞 𝐚𝐜𝐜 !! • • • 석진 𝐩𝐨𝐜𝐚 𝐞𝐧𝐣𝐨𝐲𝐞𝐫—̳͟͞͞♡</t>
  </si>
  <si>
    <t>she/her♑ not too much God, not too much world. otherwise, life will too crazy. you'll lose balance — penganut bucinisme.</t>
  </si>
  <si>
    <t>saya aslinya dua orang. art commission cek pinned.</t>
  </si>
  <si>
    <t>This account is strictly for WTB WTS WTT THE BOYZ❗ Please buy sell and trade at your own risk. No scammers pls. #THEBOYZ</t>
  </si>
  <si>
    <t>Informasi Lowongan Kerja Indonesia terbaru setiap hari</t>
  </si>
  <si>
    <t>Spook. Sedulur/Dulur. Kontributor lepas @jatosint . Don't take 100% about what I retweeted or post.</t>
  </si>
  <si>
    <t>a little bit of this and that</t>
  </si>
  <si>
    <t>Lowongan kerja terbaru dan terpopuler | UPDATE SETIAP HARI</t>
  </si>
  <si>
    <t>Tetap waspada &amp; peduli terhadap sesama. Mari mulai dengan menemukan informasi teraktual seputar perkembangan COVID-19 di sini! ⤵️⤵️⤵️</t>
  </si>
  <si>
    <t>Mendistribusikan anime legal sejak 1992 untuk kalian semua, penonton tercinta.</t>
  </si>
  <si>
    <t>ˢᵉˡˡ ᵇᵘʸ ᵗʳᵃᵈᵉ ᵃᶜᶜ 🛒
#jihoon #dino poca enjoyer</t>
  </si>
  <si>
    <t>🛒 sbt acc for got7teen 💗 || a poca enjoyer || #갓세븐 #세븐틴</t>
  </si>
  <si>
    <t>follow aja dulu untuk kedepannya kita bicarakan nanti,</t>
  </si>
  <si>
    <t>i'm just a nobody.</t>
  </si>
  <si>
    <t>Info Lowongan Kerja Terbaru | Referensi Lowongan Kerja | Update Setiap Hari | Retweet Dan Mention Kami Dengan Hashtag #MitraLoker</t>
  </si>
  <si>
    <t>no answer also an answer 💚</t>
  </si>
  <si>
    <t>Informasi Lowongan Kerja Indonesia</t>
  </si>
  <si>
    <t>Important dates! 161219 - met D.O. in person / 170401 - Jinho gave 🌹 to me / I've met my bias irl 😭</t>
  </si>
  <si>
    <t>Pusaka</t>
  </si>
  <si>
    <t>buying and selling acc ー main acc @crowniestjeno and currently looking for pc jeno arrival &amp; part of @pinkeumerch</t>
  </si>
  <si>
    <t>let people know more about you
NPNC I I'm slim and like slim too but that rule not effective if u want to be my friends.
i don't like old man chubby/ fat!</t>
  </si>
  <si>
    <t>volly</t>
  </si>
  <si>
    <t>🛒🖇 ✧˖*°࿐ sell, buy and trade acc for #제노 ੈ♡˳ poca enjoyer ! | looking for yb jeno</t>
  </si>
  <si>
    <t>🛒 ... dealings acc for #케빈 and #제노 🛍️ ㅤ ㅤ ㅤ ㅤ ㅤ ㅤ ㅤㅤ ㅤ ㅤ ㅤ ㅤ ㅤ ㅤ ㅤㅤ — a poca enjoyer ; slow collect. 🍰 ㅤ ㅤ  ㅤnon sbt dnf !! mention / rep after dm</t>
  </si>
  <si>
    <t>Bot base anak Unpad. Kirim menfess pake - di DM. DILARANG: mancing ribut/vulgar/hoax/self-harm. Mau jualan/share event? DM ke @mimindau. Merch: @dau_store 🧡</t>
  </si>
  <si>
    <t>citer dia camni ha pastu camtu, giteww. saja nak merepek okaylah bye</t>
  </si>
  <si>
    <t>hey jude</t>
  </si>
  <si>
    <t>Nutritionist | Changing moods every five minutes | Disappear for a while🔪💥</t>
  </si>
  <si>
    <t>Info Semarang Raya (https://t.co/rC1jZQ2H4S) adalah portal berita asal Semarang yang menjadi bagian dari jejaring Pikiran Rakyat Media Network (PRMN).</t>
  </si>
  <si>
    <t>Official Account Kanwil DJP Bengkulu dan Lampung || Direktorat Jenderal Pajak || Sai Bumi Saio Sakato Kitorang Raflesiger!</t>
  </si>
  <si>
    <t>Akun Resmi DJP, Senin-Jumat 07.30-17.00 WIB | Informasi &amp; Pengaduan Wajib Pajak : @kring_pajak, 1500200, informasi@pajak.go.id, pengaduan@pajak.go.id, Live Chat</t>
  </si>
  <si>
    <t>Akun resmi KP2KP Manna. Wilayah kerja: Kabupaten Bengkulu Selatan.
telp. (0739) 21053
#BanggaBayarPajak 
#PajakMilikBersama</t>
  </si>
  <si>
    <t>「C/FA」이셜린/李雪琳 - “少而婉慧，有志操”. 아름다운 나야🌠. She/Her. ENTP-T. You can call me Lyn/Lin/Elin. I Adore Chittaphon Leechaiyapornkul, Kim Jungwoo, Bae Jinyoung, Kwak Dawit</t>
  </si>
  <si>
    <t>bukan kaum good looking
*Makhluk ga jelas*
|| #kiminations || #SobatGarangan || #tigergang</t>
  </si>
  <si>
    <t>fauzi ubo fans club ✨</t>
  </si>
  <si>
    <t>ᴹᵃʳʳⁱᵉᵈ. 𝙼𝚈𝙾𝙱. 𝙻𝙼𝙰𝙾. 𝙹𝚞𝚜𝚝 𝚍𝚘𝚗’𝚝 𝚖𝚒𝚗𝚍 𝚖𝚎 𝚑𝚎𝚛𝚎. 𝙵𝚘𝚛 𝚛𝚊𝚗𝚝 𝚊𝚗𝚍 𝚏𝚞𝚗. 𝙳𝚘𝚗’𝚝 𝚝𝚊𝚔𝚎 𝚊 𝚜𝚝𝚎𝚙 𝚏𝚘𝚛𝚠𝚊𝚛𝚍. 𝙴𝚅𝙴𝚁.</t>
  </si>
  <si>
    <t>Ds , 24 . Am here to rant.</t>
  </si>
  <si>
    <t>There'll be no clear skies If I lose you, baby</t>
  </si>
  <si>
    <t>Simply mention us your WTT &amp; WTS and we will RT anytime when we free🤸🏻‍♀️</t>
  </si>
  <si>
    <t>#BigBozz : Jangan pernah lelah untuk selalu berbuat baik, apapun alasannya!</t>
  </si>
  <si>
    <t>sbt account for bts’ &amp; skz’s goods</t>
  </si>
  <si>
    <t>A mere student, taught by many. | SMKSI-Semera-KMJ</t>
  </si>
  <si>
    <t>Semoga Mili terus istiqamah dan menjadi yang terbaik dari hari ke hari 😉💚</t>
  </si>
  <si>
    <t>she/her 🇲🇾</t>
  </si>
  <si>
    <t>Maaf Lahir Bathin</t>
  </si>
  <si>
    <t>Informasi Lowongan Kerja Terbaru #loker #lowongankerja</t>
  </si>
  <si>
    <t>Allah is enough for me. 
#freepalestine🇸🇩</t>
  </si>
  <si>
    <t>Bangunkan aku disaat aku peduli🐙</t>
  </si>
  <si>
    <t>wts/wtb/wtt acc for 🇲🇾 deobis!</t>
  </si>
  <si>
    <t>Bakery 🍰
https://t.co/zGGZtUmCnw</t>
  </si>
  <si>
    <t>20+🔮 and i went like ^O^</t>
  </si>
  <si>
    <t>Towards greater achievements</t>
  </si>
  <si>
    <t>혀니비니 ♡ • skzpopper • i tweet about #SikHye a lot :b</t>
  </si>
  <si>
    <t>👑 
0'2
Deobie🐝💗multi;)</t>
  </si>
  <si>
    <t>PKS Pasar Rebo On Twitter | 3S ( Sapa , Syiar &amp; Sedekah Informasi) | @PKSKalisari @PKSCijantung @PKSPekayon @PKSBaru @PKSGedong</t>
  </si>
  <si>
    <t>Multifans💫
EXO-L 🐧 Nctzen 🐙 Melody 💙 Ahgase 💚 Ikonic ❤ Fantasy 👑 Stay 🐺 Atiny 💃 MOA 👶</t>
  </si>
  <si>
    <t>mint choc enthusiast #8🐶</t>
  </si>
  <si>
    <t>02z ♡ multistan | If i were you, i would totally adore me</t>
  </si>
  <si>
    <t>Budapest mengkol kiri</t>
  </si>
  <si>
    <t>L E E  J E N O 💜</t>
  </si>
  <si>
    <t>Simp over haknyeon¶¬¶</t>
  </si>
  <si>
    <t>selling/trading acc    #jeonginfoxyy_feedback</t>
  </si>
  <si>
    <t>#트와이스 #스트레이키즈         •STRAY KIDS WORLD DOMINATION</t>
  </si>
  <si>
    <t>*Syarat dan Ketentuan Berlaku</t>
  </si>
  <si>
    <t>thinking about 잰런 723 times a day .. 💭</t>
  </si>
  <si>
    <t>buying selling voting acc</t>
  </si>
  <si>
    <t>i have a dog | i sing sometimes | i share my sadness, loneliness in here</t>
  </si>
  <si>
    <t>´pills of hope´ 🐿 sell + buying acc esp BTS and TXT | @swegchicken's | i collect what i like🥰 | #HOSEOK #TAEHYUN</t>
  </si>
  <si>
    <t>menfess bot for sharing content bighit about bighitstan ○ sub @pacarnyabh @pasarbighit  ● trigger on header ● pengaduan @scukuna @seokjinhanna</t>
  </si>
  <si>
    <t>admin ☀️| wtt? wts? wtb? you tag or #pasarpiwon , i retweet. happy shopping / trading besties 🛒💸 @P1H_official #P1Harmony #피원하모니</t>
  </si>
  <si>
    <t>05 liner✨ (yangdo service are close!) bump on DM if i didn't reply in 24 hours💜 -G.O &amp; GA’s #jeromechanheefeedback #jeromechanheeupdate #jeromechanheeGA</t>
  </si>
  <si>
    <t>kokonui ; bukan siapa-siapa kok ciuman?</t>
  </si>
  <si>
    <t>️️ ️️️️️️ 
️️ ️️️️️️ 
ⓘ https://t.co/WJ0IhukCbb's personal head patter! (๑• . •๑)♡
️️ ️️️️️️ 
️️ ️️️️️️</t>
  </si>
  <si>
    <t>Biologi | QC | Titip Bagus | Berbagi, Berkarya, Bertumbuh</t>
  </si>
  <si>
    <t>flying on my way</t>
  </si>
  <si>
    <t>01's  •  she/her  •  full time stray kids love bot that doesn't get paid 🐿️</t>
  </si>
  <si>
    <t>buy/sell/trade acc 📍EM, taehyung collector</t>
  </si>
  <si>
    <t>BTS OFFICIAL MERCH TRADE Account between MALAYSIAN ARMY🇲🇾
| RT TRADE/SELL/BUY tweets related to BTS only |
Check 📌 thread for Traders💜
❗MUST OFFICIAL❗</t>
  </si>
  <si>
    <t>Just a promote account</t>
  </si>
  <si>
    <t>Hello, I’ve created this account especially for Malaysian Kpop fans to trade their merchandise, photocard, album and etc..</t>
  </si>
  <si>
    <t>— A place to trade, buy &amp; sell any BTS related items inc official and fanmade | Please mention/quote/tag me to RT ♡ #pasarBTS</t>
  </si>
  <si>
    <t>mikrokosmos enthuasist | 02 | multi | introvert #voinfeedback</t>
  </si>
  <si>
    <t>˖ 🦋 ᝬ #SOWHAT In the middle of the road, in the moment you want to give up, shout out even louder “so what?”</t>
  </si>
  <si>
    <t>ᴹʸ ᴼᴮˢᴱˢˢᴵᴼᴺ ᴵˢ 김태형 | lovely jubbly bear | cleaner hybe | part time engene @heestrowbearyy | selling some kpop stuffs #yahfeedbacks</t>
  </si>
  <si>
    <t>she/her - ⬭ i love Enhypen</t>
  </si>
  <si>
    <t>love of my life ♡ @BTS_twt @ENHYPEN_members 📍ds</t>
  </si>
  <si>
    <t>260621 ㅡ #범규: yeah hi bestie~ | #FREEPALESTINE 🇵🇸 | #hees_feedback / #hees_arrival / #hees_update</t>
  </si>
  <si>
    <t>#지국:너는 나 나는 너
     She/Her || 16</t>
  </si>
  <si>
    <t>𝙄 𝙣𝙚𝙚𝙙 𝙖 𝙝𝙪𝙜ᵉ ᵃᵐᵒᵘⁿᵗ ᵒᶠ ᵐᵒⁿᵉʸ | armoagenecaratstay</t>
  </si>
  <si>
    <t>｡ﾟ･ 𖥸──-ˋˏ yangjungwon🐾 ˊ-──𖥸 ｡ﾟ･</t>
  </si>
  <si>
    <t>i still want to believe even though its unbelieveable</t>
  </si>
  <si>
    <t>Rilek</t>
  </si>
  <si>
    <t>Woles</t>
  </si>
  <si>
    <t>Koordinator P3MD
Provinsi Lampung</t>
  </si>
  <si>
    <t>Orang Desa Mengabdi Untuk Desa dan Indonesia</t>
  </si>
  <si>
    <t>#MudaBeraniBerbeda</t>
  </si>
  <si>
    <t>#MulaiDariDesa
#DariDesaUntukIndonesia</t>
  </si>
  <si>
    <t>One Life Live It...</t>
  </si>
  <si>
    <t>Staf Khusus Menteri Desa, PDT dan Transmigrasi</t>
  </si>
  <si>
    <t>Menteri Desa PDTT || Ketua DPW PKB Jawa Timur || ada niat ada jalan</t>
  </si>
  <si>
    <t>KETUA UMUM PRESIDIUM PUSAT BARISAN PEMBAHARUAN</t>
  </si>
  <si>
    <t>bts | txt | enha | skz | astro | ateez | cravity | nct | tbz</t>
  </si>
  <si>
    <t>i make meme/weird videos | playlist di pinned tweet ⬇️</t>
  </si>
  <si>
    <t>98l🇲🇨</t>
  </si>
  <si>
    <t>OPEN PO BUKET PC</t>
  </si>
  <si>
    <t>Info berlangganan Koran/E Koran ☎ 0853 4151 1157 Pengaduan Langganan: ☎ 0401 3126 513 ☎ 0812 4158 4763 ☎ 0811 4057 290</t>
  </si>
  <si>
    <t>— SHE%HER ♡ 95's loml</t>
  </si>
  <si>
    <t>https://t.co/QFDcgkorMf // multistan // she/her</t>
  </si>
  <si>
    <t>💼 Info loker Serang dan sekitarnya
♻ Up to date &amp; real time
🏷 Tag teman yang membutuhkan ya!
📣 For Business silahkan DM
🌐 Kunjungi website kami ↙</t>
  </si>
  <si>
    <t>𝟸𝟷 (っ◔◡◔)っ ♥ 𝒶𝓇𝓂𝓎 | #irdina_feedback</t>
  </si>
  <si>
    <t>🇮🇩 INA Streaming &amp; Voting Team for DRIPPIN (드리핀) | in INA/ENG | If you have any info, suggestion or questions kindly DM us ✉</t>
  </si>
  <si>
    <t>down bad for taehyung</t>
  </si>
  <si>
    <t>"but y-you're #1 most handsome man in the world"</t>
  </si>
  <si>
    <t>— 🐰 🐱 윤기와 그의 꼬마 정국, 윤기와 정국 포토카드 컬렉터 | dedicated to loves @BTS_twt 💗 | 🇮🇩🇬🇧 tweets sometimes — testi jasa co #jamaisvuphoria_testi</t>
  </si>
  <si>
    <t>#JIMIN was instant happiness</t>
  </si>
  <si>
    <t>seokjinnie only jinnie.. Company stan❌❌❌</t>
  </si>
  <si>
    <t>Non-profitable; Ungovernable; Political-FREE; Pure Malaysian. Born gifted to
Read, Copy &amp; Command Nature Signal Universe Language. #IKHLAS #SETIA #AKSARAMISTERI</t>
  </si>
  <si>
    <t>Twitter Rasmi Kementerian Pertahanan Malaysia</t>
  </si>
  <si>
    <t>Official Twitter account of the Royal Malaysian Navy</t>
  </si>
  <si>
    <t>Official Royal Malaysian Air Force Account</t>
  </si>
  <si>
    <t>Laman Rasmi Twitter bagi 
Angkatan Tentera Malaysia</t>
  </si>
  <si>
    <t>.⋆｡⋆༶⋆˙⊹ *: 𝘩𝘢𝘱𝘱𝘺 𝘱𝘭𝘢𝘤𝘦 ･ﾟ✧* * ع˖⁺ ☁⋆ ୭ 🕊.⋆｡⋆༶⋆˙⊹MANIFESTING MOTS ON:E DVD TAE PC🧘🏻‍♀️🧘🏻‍♀️🧘🏻‍♀️🧘🏻‍♀️🙏🏻🙏🏻🙏🏻🙏🏻🙏🏻🧎‍♀️🧎‍♀️🧎‍♀️</t>
  </si>
  <si>
    <t>i love taehyung not you | she/her</t>
  </si>
  <si>
    <t>I ❤ Allah SWT
Ajengnilasari ❤ Abdilamulkurrizki</t>
  </si>
  <si>
    <t>#SelaluAdaSelaluBisa penuhi segala kebutuhanmu || Bantuan: @tokopediacare || Contact Us: https://t.co/0G5LhVFj2q</t>
  </si>
  <si>
    <t>Bestie yang #SelaluAdaSolusi untukmu 24/7. Pagi, siang, malam, hujan, terik, langsung aja Tweet atau DM Mimin! 
Contact Us : https://t.co/em00dcOVxT
#TokopediaSaja</t>
  </si>
  <si>
    <t>GA hunter Free Tag</t>
  </si>
  <si>
    <t>Having fun and happiness in my own way and interests.....
😊BTSxARMY Forever😊 💜💜💜💜</t>
  </si>
  <si>
    <t>lector et emergo</t>
  </si>
  <si>
    <t>FAN ACCOUNT FOR BTS ONLY(◍•ᴗ•◍)💜OT7
🖤black hair bangtan🖤</t>
  </si>
  <si>
    <t>thinking about bangtan 24/7</t>
  </si>
  <si>
    <t>i’m a good girl</t>
  </si>
  <si>
    <t>#ARITAN #MCU #KT</t>
  </si>
  <si>
    <t>i'm back ,not sure for good or not but yeah for now im back bitches.</t>
  </si>
  <si>
    <t>아포방포 since 2013 | 💜 보라해 @BTS_twt 💜 | INFP | #byReinupdate #byReinfeedback ✨</t>
  </si>
  <si>
    <t>#문화특사소년단</t>
  </si>
  <si>
    <t>an idyllic view ☆〜（ゝ。∂）</t>
  </si>
  <si>
    <t>i luv ur opinions but blonde soobin when</t>
  </si>
  <si>
    <t>꒰🤍⛓꒱ *ੈ✩‧₊˚ #방탄소년단 #BTSARMY 2015 🇲🇾 ⋆.ೃ࿔*:･ done is better than perfect 🐰🥛彡 970901 ꒰⑅ᵕ༚ᵕ꒱˖ ᥫ᭡ 🐨🐱🦄🐥🐻 ❛🐹🐰❜ @peachykimz_ 💭 #cheriekoo_ga</t>
  </si>
  <si>
    <t>boys are disappointing but u know who isnt? RM Jin Yoongi JK Jimin J-Hope V</t>
  </si>
  <si>
    <t>꒰🖇°꒱ `.,♡ jungkook ♡ ˎˊ ˗ •°. *࿐🐰࿐* .°• give me chicken! #bts #txt #enhypen #multi 🤩</t>
  </si>
  <si>
    <t>Half 52 || I speak fluent sarcasm || ISFP || Sometimes tweet depressing shit</t>
  </si>
  <si>
    <t>in love w @BTS_twt / love myself / let's believe in ourselves - best leader</t>
  </si>
  <si>
    <t>Let them be them, let us be us. Love is a maze damn but you is amaze ♥ - #김남존</t>
  </si>
  <si>
    <t>There is beauty in everything just not everybody sees it - Jimin.
🍒 If anybody wants to be moot just tell me</t>
  </si>
  <si>
    <t>full time army and part time moa
•jungkook •beomgyu</t>
  </si>
  <si>
    <t>|| dubaddu wari wari || down bad for jikook ||
@BTS_twt ♡ @ENHYPEN_members ♡ @TXT_members my healing source</t>
  </si>
  <si>
    <t>you gotta seize the opportunity</t>
  </si>
  <si>
    <t>bts + enhypen = the loml</t>
  </si>
  <si>
    <t>#SEOKJIN - 너 자신의 수고는 너만 알면 돼 💜✨ moarmyengene🤍</t>
  </si>
  <si>
    <t>let me paint the sky</t>
  </si>
  <si>
    <t>the fries is mine</t>
  </si>
  <si>
    <t>Express Your Online Bussiness. Gratis Jemput Paket. Lhokseumawe &amp; Bireuen Same Day: +62 81804 1977 63.</t>
  </si>
  <si>
    <t>Official Account of Juventus Official Fan Club Indonesia Chapter Pekanbaru pekanbaru@juventini-indonesia.com</t>
  </si>
  <si>
    <t>@/everyonehere ♡ | currently stressing and stu(dying) | nct and bts's biggest simp award goes to me 😻</t>
  </si>
  <si>
    <t>#RENJUN #BAEKHYUN #AMIN 💗💌 starbies addicted🥤@jmintshi busuk</t>
  </si>
  <si>
    <t>내일은 오늘보다는 붠가 다르길 - 뷔 ♡  |
#방탄소년단</t>
  </si>
  <si>
    <t>forever your audience 💜 @BTS_twt</t>
  </si>
  <si>
    <t>✨ Beauty enthusiast ✨</t>
  </si>
  <si>
    <t>you nice keep going💜</t>
  </si>
  <si>
    <t>🍉</t>
  </si>
  <si>
    <t>armymoagene</t>
  </si>
  <si>
    <t>Base Bandung V2 | Curhat, Humor, Bertanya &amp; Sharing | Cek menu like | Trigger: euy | pengaduan/pp @rinysafa @tehAprill</t>
  </si>
  <si>
    <t>18, SHE</t>
  </si>
  <si>
    <t>IPDN XXVII 
Abhimata ksatria</t>
  </si>
  <si>
    <t>Pengen begadang tapi ga ngantuk</t>
  </si>
  <si>
    <t>Sundanese ✨
https://t.co/lZDnjbkRSy</t>
  </si>
  <si>
    <t>Drawing ✨ Listening ✨ Singing ✨ Imagining | OLDCODEX ✨ LiSA ✨ Coldrain ✨Reol | lets connect each other ✨✨</t>
  </si>
  <si>
    <t>ini ca
 kesayangannya @pagesofsinner | Tetap @semeinside dan @lntronett nomor 1 | daddynya @tsukienaga | 23 years old</t>
  </si>
  <si>
    <t>A beautiful thing is never perfect . 🕊</t>
  </si>
  <si>
    <t>do good and good will come to you.</t>
  </si>
  <si>
    <t>kosong
https://t.co/p7YK2rkssK</t>
  </si>
  <si>
    <t>@pledis_17 ㅡ ꜱᴀᴜᴄɪɴ’ ᴏɴ ‘ᴇᴍ ʟɪᴋᴇ ᴄʜɪʟʟɪ            
🛒 kadang jadi sbt acc</t>
  </si>
  <si>
    <t>Carat 💎 maaf sukanya jbjb🥲</t>
  </si>
  <si>
    <t>⸙͎ #⃞방탄소년단 ɪ ᴡᴀꜱɴ'ᴛ ᴛʜᴇʀᴇ ꜰʀᴏᴍ ᴛʜᴇ ꜱᴛᴀʀᴛ, ʙᴜᴛ ɪ ᴡɪʟʟ ʙᴇ ᴛʜᴇʀᴇ ᴜɴᴛɪʟ ᴛʜᴇ ᴇɴᴅ. ɪ ᴘʀᴏᴍɪꜱᴇ. ✩₊˚</t>
  </si>
  <si>
    <t>⋆⋆☾ #taeil #jisung poca enjoyer ☽⋆⋆</t>
  </si>
  <si>
    <t>🛒— selling, buying, trading for renjun &amp; wonyoung, also random acc ⌗♡</t>
  </si>
  <si>
    <t>tempat berkeluh kesah dan marah-marah.</t>
  </si>
  <si>
    <t>ur fav girl💕</t>
  </si>
  <si>
    <t>⛔BUKAN AHLI SEJARAH⛔
🚀 Membawa imajinasi ke masa lalu ⏳
SETIAP HARI DISINI--👇👇👇</t>
  </si>
  <si>
    <t>a fan girl,tsundoku,mosquito's hunter ♥ books,tv series,movie and music</t>
  </si>
  <si>
    <t>BUMN sebagai Agent of Development yang besar, kuat dan lincah
koranbumn@gmail.com</t>
  </si>
  <si>
    <t>Akun Resmi Kementerian Komunikasi dan Informatika RI | Ministry of Communication and Information Technology Indonesia | 021-3504024 | humas@kominfo.go.id</t>
  </si>
  <si>
    <t>—selling , buying , read au acc ʕ·ᴥ·ʔ
Yoonkook♡</t>
  </si>
  <si>
    <t>Auto base tempat Jual/Beli/Tukar merch antara fans BTS, TXT dan Lee Hyun (BH Ent) | Trigger : /JU, /BE, /TR, /NA | Pengaduan : @_ibukantin | Cek rules di Carrd</t>
  </si>
  <si>
    <t>왜 나에 대해 나쁜 말을하는거야?, 나에게 강하게 굴지 마, 난 나쁜 사람이 아냐'
MeU ❤️
f(SHINee)</t>
  </si>
  <si>
    <t>Never give up no matter what you encounter</t>
  </si>
  <si>
    <t> ꒰ ☁️ #JENO #JAEMIN || multistan ♡ ꒱</t>
  </si>
  <si>
    <t>Press F</t>
  </si>
  <si>
    <t>mau jadi t-rex</t>
  </si>
  <si>
    <t>there are 26 letters of the alphabet but i only like u</t>
  </si>
  <si>
    <t>She/Her. Carat, Fantasy &amp; N.fia</t>
  </si>
  <si>
    <t>Fak.Kesehatan | Fak.Ekonomi&amp;Bisnis| Fak. Keguruan&amp;Ilmu Pendidikan | Fak.Komputer
(021) 8096411/ 08111735558</t>
  </si>
  <si>
    <t>spread love not hate ♥️ || handling small go ^^ || igshop/feedback : @/moonieshopp</t>
  </si>
  <si>
    <t>#JUNGKOOK - life isnt about being perfect, its about accomplishing your dream //
in this bangtan shit forever ♡ 》more to rt &amp; ❤《</t>
  </si>
  <si>
    <t>shawol // vip // nctzen</t>
  </si>
  <si>
    <t>🐰🌙🗝🔥🧀~💎🌱~🦖🦊🐙</t>
  </si>
  <si>
    <t>yeaaa ok</t>
  </si>
  <si>
    <t>exol 🥰</t>
  </si>
  <si>
    <t>Mini G.O for EXO Photocards~ Malaysia 🇲🇾 based~ Can ship WW🌎~ Check #KogiEXOrealPCfb for feedbacks🥰 ~ Requests Closed ❌</t>
  </si>
  <si>
    <t>simp for #TXT</t>
  </si>
  <si>
    <t>Semua Ada.</t>
  </si>
  <si>
    <t>You! Stupid child!🗣💦</t>
  </si>
  <si>
    <t>padawan.</t>
  </si>
  <si>
    <t>19 ♡ my online diary</t>
  </si>
  <si>
    <t>🔴🐦⚽, 🦇👨, 유느님 🦗, 소시 와 트둥이 (소원스). He/Him.</t>
  </si>
  <si>
    <t>Punya momen menarik, lucu dan unik dengan kurir ekspedisi? kirimkan Foto/video mu ke DM ya 📩
TikTok: @ txtdarikurir / https://t.co/lRVK23JYOU</t>
  </si>
  <si>
    <t>submit via DM | evil. | Kontak admin &amp; PP 👉 @txtdarievil | If you're from agency who represents Brand or the Brand itself mail us !!</t>
  </si>
  <si>
    <t>Master In Political Communication|Penulis Buku : Framing, Jurus Slick Menjebak Pembaca|WaSekjen @DPPGAASCENTRE(GAAS)|WaSekr @KomNasDikDKI</t>
  </si>
  <si>
    <t>ℳ𝒪𝒩ℬℰℬℰ / 𝒜ℛℳ𝒴</t>
  </si>
  <si>
    <t>we all gonna die but not today. maybe tomorrow</t>
  </si>
  <si>
    <t>I don't get into any arguments. i will just cut it short and say 'you are right'</t>
  </si>
  <si>
    <t>busy</t>
  </si>
  <si>
    <t>Akun Resmi Situs Berita https://t.co/QCBPyvUxjI | Informasi Seputar Bandung Raya</t>
  </si>
  <si>
    <t>Akun Resmi Republika Online  Info Buku Republika? Cek @bukurepublika
#DariRepublika</t>
  </si>
  <si>
    <t>Sangat Fenomenal</t>
  </si>
  <si>
    <t>A humble guy
🔥wolfam.sneakers🔥
Arts enthusiasts</t>
  </si>
  <si>
    <t>M.D. from Land of Java, Yogyakarta. Alma Mater of Universitas Gadjah Mada. Fat, and always tired. Love PC and gadgets. Believe technologies is a necessity.</t>
  </si>
  <si>
    <t>aim for the moon. if you miss, you may hit a star. 🌟</t>
  </si>
  <si>
    <t>I only support 2 team, man utd and any team vs ynwa 🤭</t>
  </si>
  <si>
    <t>ᵘⁿʳᵉᵃˡ / '04. 박정우  ᵗʰᵉ ᵍᵒᵒᵈ ᵛᵒⁱᶜᵉ ᶠʳᵒᵐ ᵗʳᵉᵃˢᵘʳᵉ.</t>
  </si>
  <si>
    <t>( RP / 02 ) #방에담 is a vocal God and the ace of 𝐓𝐑𝐄𝐀𝐒𝐔𝐑𝐄. People know him for his liquid gold like voice and poetic writing ability.</t>
  </si>
  <si>
    <t>in love with mikuya kari.</t>
  </si>
  <si>
    <t>Harian Aceh Indonesia adalah situs pemberitaan online yang secara uptodate memonitor seluruh informasi yang mengalir setiap hari dari waktu ke waktu.</t>
  </si>
  <si>
    <t>nukang kayu bukan sebagai passion</t>
  </si>
  <si>
    <t>enfp-t┆04L ♌┆call me kal/na/nana┆dm open 24/7┆ https://t.co/rp4xtzxsrr</t>
  </si>
  <si>
    <t>eng/bahasa ⛓️ sell n trade acc. ina based 🇮🇩 shopee tokopedia avail, shipping ww! mention after dm please - won't fb non sbt acc unless i follow it first</t>
  </si>
  <si>
    <t>please mention after DM || weekdays: 18.30 - 22.00 wib || shipping mostly on weekends, ww shipping thursday/friday</t>
  </si>
  <si>
    <t>duit &amp; kapal homo 24/7</t>
  </si>
  <si>
    <t>OT9, MY. 👩🏻‍🎓, 👩🏻‍🏫, 👩🏻‍🔧, 👩🏻‍💻, 👩🏻‍🍳</t>
  </si>
  <si>
    <t>tempat berbagi info lowongan kerja</t>
  </si>
  <si>
    <t>#찬희’s poca enjoyer. testi jastip shopee: https://t.co/yaRkw8ikgI</t>
  </si>
  <si>
    <t>Only for WTS, WTB, WTT and WTA. Pengaduan @cuitantheb | Unsend menfess: /unsend | Rules: 🔗</t>
  </si>
  <si>
    <t>Kai. Akun ini bahas campur aduk. Kebanyakan nge-retweet daripada bacotnya.</t>
  </si>
  <si>
    <t>Akun Twitter Resmi BKIPM, Kementerian Kelautan dan Perikanan | IG : @bkipm_kkp | FP : @BKIPM KKP | Youtube : @HumasBKIPM</t>
  </si>
  <si>
    <t>Stasiun Karantina Ikan Pengendalian Mutu dan Keamanan Hasil Perikanan Gorontalo - Wilayah Kerja Bandara Djalaluddin Gorontalo</t>
  </si>
  <si>
    <t>#jk || still w you ⋆｡˚ ☁︎ ˚｡⋆｡</t>
  </si>
  <si>
    <t>why do we desire what we cannot acquire @BTS_twt @ENHYPEN_members ❤️</t>
  </si>
  <si>
    <t>enhypen is my best healing and safe place !! 💟</t>
  </si>
  <si>
    <t>random acc, dreamcatcher #가현 #다미</t>
  </si>
  <si>
    <t>Memetik Kata Dari Sebuah Cerita 📒📝</t>
  </si>
  <si>
    <t>folow sekarang besok digembok • submit via dm • kerjasama kontak admin.txtdarionlineshop@gmail.com</t>
  </si>
  <si>
    <t>dm for proof condi ♡ testi on shopee ⬇️ &amp; #testilcadies</t>
  </si>
  <si>
    <t>Akun Resmi BNN Kabupaten Sleman, Call Centre +62 822-2221-6480, IG: https://t.co/KfxZNEJNhp</t>
  </si>
  <si>
    <t>Wife to @farrellfaiz &amp; mommy to Darina Darwisya</t>
  </si>
  <si>
    <t>Seumur hidup itu terlalu panjang....</t>
  </si>
  <si>
    <t>Talk about everything on face &amp; self courage | Skincare &amp; Make-Up Junkie | Make-Up Artist | petra | for PR &amp; review 📩 biabeautypage@gmail.com #BiaNgeReview</t>
  </si>
  <si>
    <t>semua tentang informasi terupdate.
Jalan Jendral Ahmad Yani No.252, Kacapiring, Kec. Batununggal, Kota Bandung, Jawa Barat 40262 (0823-2048-5200)
 </t>
  </si>
  <si>
    <t>silent reader</t>
  </si>
  <si>
    <t>“Try not to become a man of success, but rather become a man of value.”</t>
  </si>
  <si>
    <t>segalanya Di sini menggamit memori #COYG Ajalmu Pasti Menghampiri 🙏🏻 YTZ RMC🙏🏻</t>
  </si>
  <si>
    <t>They’re just not being real</t>
  </si>
  <si>
    <t>selective, im sowyyyy 🙆🏻. side acc @renjunsipolos // (she/her)</t>
  </si>
  <si>
    <t>a wife. a dreamer. an ahgase</t>
  </si>
  <si>
    <t>Himpunan Mahasiswa Manajemen Sumberdaya Perairan.
Fakultas Pertanian.
Universitas Trunojoyo Madura.
📩:himasura.utm@gmail.com</t>
  </si>
  <si>
    <t>Hello indonesia is a place to share your experience about traveling or holiday in indonesia</t>
  </si>
  <si>
    <t>🗺 Jl. Raya Semanu Km.3 Semanu Gunungkidul D.I Yogyakarta
|
☎️ 0274-393444 |
📝 Pendaftaran : 0838-6738-0598 (WhatsApp)</t>
  </si>
  <si>
    <t>Akun Resmi Pemerintah Kabupaten Karanganyar | E-mail twitter@karanganyarkab.go.id, SMS 0811-262-9999, FB/Youtube Kabupaten Karanganyar, IG KabupatenKaranganyar</t>
  </si>
  <si>
    <t>#infomjkt #wisatamjkt #lalinmjkt #kulinermjkt #eventmjkt #lokermjkt | follow &amp; mention @infomjkt berbagi info/tanya | Email : kiriminfomojokerto@gmail.com</t>
  </si>
  <si>
    <t>if u don't know me, don't trust me easily, also don't expect too much ya.</t>
  </si>
  <si>
    <t>Obat Telat Bulan / Pelancar haid
More Info Pemesanan 
☎ Wa: 081 329 689 666
Hotline 24 Jam</t>
  </si>
  <si>
    <t>Hai, Jangan lupa buat bahagia ya karena kamu manusia yang berharga❤️✨ butuh teman cerita? DM aja ya📩</t>
  </si>
  <si>
    <t>hai, cape ya?</t>
  </si>
  <si>
    <t>Islam itu indah✨</t>
  </si>
  <si>
    <t>🐣</t>
  </si>
  <si>
    <t>lagi belajar ngomong sesuatu yang baik daripada julid sana sini🙌🏻</t>
  </si>
  <si>
    <t>losin you was my biggest win 💎</t>
  </si>
  <si>
    <t>iya, ini aku • 📩 ayubsr009@gmail.com •</t>
  </si>
  <si>
    <t>@yafmanagement</t>
  </si>
  <si>
    <t>say hello 👋</t>
  </si>
  <si>
    <t>Polopor nomor satu base khusus until kalian yang ingin mencari mutualan/teman di Twitter. ❤️ ❤️</t>
  </si>
  <si>
    <t>NFT Enthusiast | DM for Promotion #BTC #BNB #Solana #AVAX #NFT #SolanaNFT #DYOR #NFA</t>
  </si>
  <si>
    <t>#Ap8testi | #flurwin | #flurarmy | #silentsquad | #SobatGarangan | #hadiahibuk | #Leegiteamate | #GiftFromLala | #jihantesti | #gembelelite</t>
  </si>
  <si>
    <t>Social media &amp; crypto project promoter 📈 ||#cutetesty vouch @chita_winner || 🅒🅡🅨🅟🅣🅞 paypal gcash ewallet bank || worldwide🌍</t>
  </si>
  <si>
    <t>#NFTPROMOTOR</t>
  </si>
  <si>
    <t>📩
Cieee stalking💣</t>
  </si>
  <si>
    <t>🇮🇩 ☕️ 🎶 | Akashiro - @jikantachi</t>
  </si>
  <si>
    <t>Akun Resmi Dinas Komunikasi, Informatika dan Statistik Provinsi Sumatera Barat | diskominfo@sumbarprov.go.id</t>
  </si>
  <si>
    <t>Akun Resmi Forum Mahasiswa KIPK Universitas Siliwangi
|| 📩 Dm for question (max replied 3×24 hours)
|| 📧 rumahdiksiunsil18@gmail.com</t>
  </si>
  <si>
    <t>Perpustakaan Al-Falaahiyyah I Cikoneng, Ganeas, Sumedang</t>
  </si>
  <si>
    <t>Akun Resmi Dinas Kominfo Pemda DIY 
-
Monggo berbagi info, foto, video atau cerita tentang #jogjaistimewa</t>
  </si>
  <si>
    <t>Official Account of Himpunan Mahasiswa Fisika FMIPA Universitas Riau | Ig: himafifmipaunri | Fb &amp; Yt: Himafi FMIPA UR</t>
  </si>
  <si>
    <t>Sobat Komunitas Indonesia | #SobatCoklat | #LoEGuEfrieND | https://t.co/kJrEDzmG3D | Instagram @CoklatKita |</t>
  </si>
  <si>
    <t>Prodi D4 Manajemen Bisnis Poltekpos Bandung</t>
  </si>
  <si>
    <t>Pemilih Berdaulat Negara Kuat</t>
  </si>
  <si>
    <t>Akun Resmi, Jaksa Sahabat Masyarakat
Bertekad membangun Zona Integritas menuju WBK/WBBM
Jl. Jend. Sudirman No.234 Indramayu - Jawa Barat</t>
  </si>
  <si>
    <t>@ant_surf_fish ~ amsal 23:18 - karena masa depan sungguh ada dan HARAPANmu tidak akan hilang ~</t>
  </si>
  <si>
    <t>☆★☆ Simply Rock n' Roll Surfish ★☆☆ Full Time Sinner &amp; Lover ☆★☆ Day Dreamer Night Crawler ☆☆★ Pathetic Footballer &amp; Surfer ☆★☆ الرب يسوع جيد • حاضرة الفاتيكان</t>
  </si>
  <si>
    <t>• Merah Putih
• Merdeka
• Garuda
• Pancasila
• Bhinneka Tunggal Ika</t>
  </si>
  <si>
    <t>rt/selling account :)</t>
  </si>
  <si>
    <t>♡ addicted to 39boys ♡ ||
ig - @/kimlythi_</t>
  </si>
  <si>
    <t>🐯&amp;🐧 | THINKERBELL FOR 9 PETERPAN 🧚🏻‍♀️</t>
  </si>
  <si>
    <t>not a fan account, but I tweet exo most of the time.</t>
  </si>
  <si>
    <t>Media Resmi Pemerintah Daerah Kabupaten Sambas, Dikelola Oleh Dinas Komunikasi Dan Informatika</t>
  </si>
  <si>
    <t>Radio Patria is the first FM Radio station in Blitar with accurate news and great entertainment to the listeners. Local Entertainment with Global Power.</t>
  </si>
  <si>
    <t>Akun Twitter resmi TVRI Sumatera Barat |  IG : @tvrisumbar | Fanspage : @tvrisumatrabarat | Youtube Channel : TVRI Sumatera Barat</t>
  </si>
  <si>
    <t>LEADING DISRUPTION ECONOMY
https://t.co/uUYoZMrSQp</t>
  </si>
  <si>
    <t>Fb : hima sejarah fkip ur || Youtube : himaprodi pendidikan sejarah || Instagram : Himasejarahfkipunri ||Salam Sejarah, Jas Merah!!!!</t>
  </si>
  <si>
    <t>Official Account of KPU Kabupaten Berau</t>
  </si>
  <si>
    <t>Kantor Berita Indonesia-ANTARA didirikan pada tanggal 13 Desember 1937 oleh Adam Malik, Soemanang, A.M. Sipahoetar dan Pandoe Kartawigoena.</t>
  </si>
  <si>
    <t>🔞 NO MINOR 🔞 
fangirling account
18++++
GA hunter 😌
Sasuke lights up Sakura's sky and she is a rainbow in his cloud.
banner by @oooameonna</t>
  </si>
  <si>
    <t>Mira Tazkia
🇮🇩 | 34 | She draws.
⚠ 🔞 NSFW
⚠ NO REPOST/REPRINT/EDIT/TRACING without my consent.</t>
  </si>
  <si>
    <t>Berkelas
Cinta negeri
Pertama di Indonesia
Perpaduan bahan bahan terbaik dunia dengan kekayaan alam khas Indonesia</t>
  </si>
  <si>
    <t>Berbagi untuk mengingatkan diri sendiri</t>
  </si>
  <si>
    <t>#YouTubeShorts — Introducing the shorter side of YouTube</t>
  </si>
  <si>
    <t>Akun resmi BPS Kabupaten Musi Banyuasin</t>
  </si>
  <si>
    <t>⠀˚✩ ⋆｡˚  ✩
fan(boy)account ✧◝(⁰▿⁰)◜✧
⠀ ⠀ ⠀                                       ┊        ┊
⠀ ⠀ ⠀                                     ⠀˚✩ ⋆｡˚  ✩
- #nct #txt</t>
  </si>
  <si>
    <t>SMK Miftahul Jannah, Siap mencetak Siswa Siswi yang profesional</t>
  </si>
  <si>
    <t>Akun Resmi BKD Provinsi Jawa Timur</t>
  </si>
  <si>
    <t>Akun Resmi Ikatan Pranata Humas Indonesia (IPRAHUMAS) | Organisasi Profesi Pranata Humas Pemerintah K/L/D | Official Account of Government Public Relations</t>
  </si>
  <si>
    <t>Media portal lowongan kerja di Medan Sumatera Utara</t>
  </si>
  <si>
    <t>Founder Of https://t.co/JLQcg4XbHo, https://t.co/YSOB9FkhSn, and https://t.co/b6Uo4yiI9A sites.</t>
  </si>
  <si>
    <t>Official Account TIKI ID | Hotline 1500125 | Jam CS TIKI | Senin-Jumat : 08.00 - 19.00 WIB | Sabtu &amp; Minggu : 08.00 - 16.00 WIB</t>
  </si>
  <si>
    <t>Jl. Terusan Wilis 39A Malang - 65115_x000D_
Office/Mobile: 0341-552882 / 082143502209_x000D_
PIN BB: 527DD3C0</t>
  </si>
  <si>
    <t>💯 trusted, provide all your smartphone needs 📱</t>
  </si>
  <si>
    <t>📩 Autobase for Business Account — Gunakan trigger “ppp!” atau "🍞" untuk mengirim dm secara otomatis🛒 Follow sub: @busyfess | PP / Pengaduan: @Laporinn</t>
  </si>
  <si>
    <t>Account Resmi Komisi Pemilihan Umum Kota Administrasi Jakarta Timur</t>
  </si>
  <si>
    <t>Media ku untuk sambat dan nyampah | Jastip Penang, MY shipping Malang-Jakarta cek katalog https://t.co/VOnkjoJj37</t>
  </si>
  <si>
    <t>random account💅 #NCT #EXO</t>
  </si>
  <si>
    <t>(Update kalau nggak sibuk)
Call me Ra, okey? This is account reading-writing and fangirling.</t>
  </si>
  <si>
    <t>CSR, sustainability, seni intermedia, digital humanities, pemusik nanggung, penyair ngasal, penari pemula, penulis  KAIL SAJA TIDAK CUKUP, @jurnalsostek</t>
  </si>
  <si>
    <t>Akun Resmi 88.8 FM | SMS/Whatsapp 081 399 399 888 | Tel. 021-384 4545 |
FB Fanpage : RRI Programa 3 | Instagram &amp; Spotify : @RRIPrograma3</t>
  </si>
  <si>
    <t>Account Resmi Himpunan Mahasiswa Pendidikan Matematika FKIP Universitas Riau | Memberi yang Terbaik dengan Cara Terbaik dan Benar</t>
  </si>
  <si>
    <t>Utha-uthu nggoleki selane garu || Javanese, not japanese || Sedih itu sederhana</t>
  </si>
  <si>
    <t>perpustakaan AU SoonWoo &amp; SoonGyu
akun baca, mari berbagi au 🥰 #뀨홋</t>
  </si>
  <si>
    <t>pejuang kehidupan</t>
  </si>
  <si>
    <t>Akun Resmi Bagian Humas Pemda DIY                                                                   
IG: humasjogja |  FB: Humas Pemda DIY #jogjaistimewa</t>
  </si>
  <si>
    <t>Rezeki ditangan Tuhan, cukup ORA ET LABORA
Giveaway Hunter @lionparcel_</t>
  </si>
  <si>
    <t>Website berita Sabah, liputan komprehensif dan isu semasa melangkaui Borneo.</t>
  </si>
  <si>
    <t>i draw fanart sometimes (?)</t>
  </si>
  <si>
    <t>Lusjob is an online job provider portal that was first established in 2007 under the name Adalowongan, then in 2014 we changed its name to Medialowongan</t>
  </si>
  <si>
    <t>jajan teros</t>
  </si>
  <si>
    <t>ㅡ sbt account for jay and bts !! (i rant a lot about pocas here) ☆ not a collector, more like a poca enjoyer ##</t>
  </si>
  <si>
    <t>Innovative legal web service providing a bilingual Indonesian laws and regulations, bilingual legal updates and articles.</t>
  </si>
  <si>
    <t>Random</t>
  </si>
  <si>
    <t>Ayo Warga Depok! Cegah dan Laporkan Jika Terjadi Pelanggaran Pemilu Ke Bawaslu Kota, Panwaslu Kecamatan, dan PPKD setempat. Salam Awas!</t>
  </si>
  <si>
    <t>“Bersama Rakyat Awasi Pemilu, Bersama Bawaslu Tegakkan Keadilan Pemilu”</t>
  </si>
  <si>
    <t>Lembaga penyelenggara pemilihan umum yang bertugas mengawasi penyelenggaraan pemilihan umum di seluruh wilayah Negara Kesatuan Republik Indonesia</t>
  </si>
  <si>
    <t>check my pin twt  📌</t>
  </si>
  <si>
    <t>Akun Resmi Himpunan Mahasiswa Matematika FMIPA Universitas Riau | S1 Matematika | S1 Statistika</t>
  </si>
  <si>
    <t>Part of KG Media // Tumbuh bersama kekuatan mimpi perempuan Indonesia.</t>
  </si>
  <si>
    <t>kapan ya jadi rafathar..</t>
  </si>
  <si>
    <t>My trade/sell/screaming over skz pc &amp; album account. An old person. Tempat membebel.</t>
  </si>
  <si>
    <t>• ❄️ || #스트레이키즈 ❤️ || 2minlover 🐰🐶 || #lovestay❣️|| #youmakestraykidsstay</t>
  </si>
  <si>
    <t>she/her 00' liner #StrayKids #스트레이키즈 #필릭스</t>
  </si>
  <si>
    <t>#CHANGBIN : @JYPETWICE 👾 #STRAYKIDS
*♡potterhead since the day harry met hagrid♡*</t>
  </si>
  <si>
    <t>STREAM STREAM STREAM THUNDEROUS</t>
  </si>
  <si>
    <t>Akun resmi Program Studi Administrasi Publik Fakultas Ilmu Sosial dan Ilmu Politik Universitas Prof. Dr. Moestopo (Beragama)</t>
  </si>
  <si>
    <t>Akun Resmi Humas Polres Mesuji Lampung</t>
  </si>
  <si>
    <t>The official recruiter to support the Digital and Next Business Department of Telkom Indonesia.</t>
  </si>
  <si>
    <t>Akun resmi BPS Jatim | Untuk dapatkan data silahkan datang ke Pelayanan Statistik Terpadu BPS Provinsi Jawa Timur, Jln. Raya Kendangsari Industri No. 43-44</t>
  </si>
  <si>
    <t>She/her
Selling &amp; buying acc
Mainly Stray Kids
#hyunfeedbacks</t>
  </si>
  <si>
    <t>Pusat Informasi Pemerintah Kota Bandung yang dikelola oleh Bandung Command Center @diskominfobdg #BandungSmartCity</t>
  </si>
  <si>
    <t>#bandungjuara #bandungbanget #seputaranbandung #seputarbandung #bandunghits #informasibandung #explorebandung</t>
  </si>
  <si>
    <t>Hanya akun biasa. Tidak ada yg istimewa</t>
  </si>
  <si>
    <t>Alamat: JL Hangtuah, No. 1, Tanjungsari, Belakang Padang, Batam. 
Telepon :(0778) 312690, 312419</t>
  </si>
  <si>
    <t>Menulis, bermusik, merekam, berkelana / Album “20:20” sudah bisa didengarkan di platform musik digital / 085282747109 Ubay - kerjasamafiersa@gmail.com</t>
  </si>
  <si>
    <t>Penerimaan Mahasiswa Baru
POLTEKPOS #LogisticsExpert &amp;
STIMLOG #FastFocusDynamic
Kampus Pertama Bidang Logistik di Indonesia, Program Studi:
• D3 • D4 • S1</t>
  </si>
  <si>
    <t>The preferred one stop logistics solutions</t>
  </si>
  <si>
    <t>thinking about skz all the time | stay untill the last step out ❤️🥺</t>
  </si>
  <si>
    <t>Yakin Usaha Sampai 
-
Instagram : @ayoesfa</t>
  </si>
  <si>
    <t>PELATIHAN GRATIS BLK SAMARINDA KEMNAKER RI @KemnakerRI</t>
  </si>
  <si>
    <t>• Manusia Biasa • Kolekdol Jersey •</t>
  </si>
  <si>
    <t>Jafar Karim Daulay, S.FA. || G-15/0542 || “Di Bawah Naungan Merah Putih”</t>
  </si>
  <si>
    <t>Akun Resmi Divisi Humas Polri. IG:divisihumaspolri - FB:Divisi Humas Polri - YT:Divisi Humas Polri | Obyektif, Dipercaya, Partisipasi. https://t.co/ff41onTqcl</t>
  </si>
  <si>
    <t>#Pancasila || #UUD1945 || #NKRI || #BhinekaTunggalIka ||</t>
  </si>
  <si>
    <t>Hiduplah untuk memberi arti</t>
  </si>
  <si>
    <t>Samsung Galaxy Indonesia</t>
  </si>
  <si>
    <t>Himpunan Mahasiswa Pendidikan Fisika UNRI | Tempat Dimana Kekeluargaan Takkan Pernah Hilang | Bahtera Kebaikan 2021/2022 | Dikelola Oleh : Divisi KOMINFO</t>
  </si>
  <si>
    <t>Jokowi selalu dihati
#JalinPersatuan</t>
  </si>
  <si>
    <t>Fabiayyiaalaa'i robbikumaa tukadzdziban</t>
  </si>
  <si>
    <t>SIGNAL adalah samsat digital nasional, sebuah aplikasi untuk memudahkan masyarakat membayar pajak kendaraan bermotor secara aman dan mudah #JadiLebihMudah</t>
  </si>
  <si>
    <t>pecinta alam indonesia</t>
  </si>
  <si>
    <t>Semoga Allah menjaga kita semua #kitasatugenk</t>
  </si>
  <si>
    <t>he got a point, he’s an icon, he’s a legend, he’s the moment</t>
  </si>
  <si>
    <t>Himaprodi Pendidikan Bahasa dan Sastra Indonesia (PBSI) FKIP Universitas Riau || Ig: himapbsifkipur</t>
  </si>
  <si>
    <t>Akun Resmi Himpunan Mahasiswa Komputer ㅡ Politeknik Negeri Bandung | Line@: @ajz9852x | Instagram: @himakompolban | Facebook/Youtube: HIMAKOM POLBAN</t>
  </si>
  <si>
    <t>katakan salah jika salah,jujur itu yang utama dalam kehidupan
demokrasi penting bagi kehidupan sehari2
NKRI Harga Mati
#GerakanMerahPutih🇲🇨</t>
  </si>
  <si>
    <t>ngambis,jualan,fanacc,julid</t>
  </si>
  <si>
    <t>Tak semua orang memiliki hidup yg indah dan bahagia</t>
  </si>
  <si>
    <t>🕋 Hamba Allah SWT</t>
  </si>
  <si>
    <t>Akun Resmi JDIH Kementerian BUMN</t>
  </si>
  <si>
    <t>Akun Resmi Pemkot Denpasar dikelola Diskominfos 
#DenpasarKota #ProDenpasar
Kanal media lainnya klik link ↓↓↓</t>
  </si>
  <si>
    <t>Akun Resmi Dinas Komunikasi Dan Informatika
Kabupaten Purwakarta | Informasi &amp; Pengaduan : 
https://t.co/HUehkOhcit</t>
  </si>
  <si>
    <t>Connecting Bandung with Love | Instagram: @infobdgcom | YouTube: @infobdgTV | LINE: (@)infobdg | Ads &amp; Event mail to: contact@infobdg.com or WA: 08112121650</t>
  </si>
  <si>
    <t>Pancasila Dasar Negara</t>
  </si>
  <si>
    <t>Setiap manusia , punya Rasa cinta... Yg mesti dijaga kesuciannya..</t>
  </si>
  <si>
    <t>Tidak Ada Kami
Tidak Ada Kamu
Yang Ada KITA 
KITA Indonesia</t>
  </si>
  <si>
    <t>selling account slight rant 🥰</t>
  </si>
  <si>
    <t>Account for Selling/Buying/Trading 💸                           
📚 Booklovers 📚 
💃 K-Popers 💃</t>
  </si>
  <si>
    <t>Harta, Tahta, Gapunya.</t>
  </si>
  <si>
    <t>menulislah prihal kejujuran yg kau rasa,sebab aksara tak bermakna meski kau gubah dgn jutaan metamorfosa yg kau paksa..</t>
  </si>
  <si>
    <t>hanya setitik debu dalam galaksi bimasaksi. 
|| mau liat2 jualanku? 
follow us 👉 @hauraallshops</t>
  </si>
  <si>
    <t>buying, selling or trading skz items ❤️ | 🇲🇾 only | tag me to help rt | skzpoppers | OT8 | #pasarSKZ</t>
  </si>
  <si>
    <t>yas</t>
  </si>
  <si>
    <t>📞087771691673■💕@weonjoonseo 's Wife■👩🏻‍💼Owner: GTTD 2020•FurNeedTure•Moscida Kpop Merch</t>
  </si>
  <si>
    <t>Revolusi Mental adl gerakan hidup baru dengan mengubah cara pandang, cara berpikir, dan cara kerja. Perubahan dimulai dari sekarang. #ayoberubah!</t>
  </si>
  <si>
    <t>no connect</t>
  </si>
  <si>
    <t>when the weather is fine…</t>
  </si>
  <si>
    <t>Jaringan Dokumentasi dan Informasi Hukum  KPU Kab. Magelang
Akun Resmi JDIH KPU Kab. Magelang</t>
  </si>
  <si>
    <t>Ibu rumah tangga, Pendidik,  Jurnalis,  Pegiat organisasi serta guru privat</t>
  </si>
  <si>
    <t>Tbz • Red Velvet  • TMI • biasnya banyak</t>
  </si>
  <si>
    <t>Belajar memahami makna yang tersimpan di dalam Huruf
https://t.co/EZj49VbBEf</t>
  </si>
  <si>
    <t>-------------</t>
  </si>
  <si>
    <t>carateume, mlfnd, kdrama enthu</t>
  </si>
  <si>
    <t>#EXO #THEBOYZ #SEVENTEEN #NCT #TREASURE</t>
  </si>
  <si>
    <t>Akun Twitter Resmi Biro Humas &amp; Keprotokolan Pemerintah Daerah Provinsi Jawa Barat | Jln. Diponegoro No. 22 Bandung | humas@jabarprov.go.id | (022) 4231737</t>
  </si>
  <si>
    <t>multistans. fan of mamamoo, oneus, onewe, purple kiss, ab6ix, bdc, bvndit, apink, red velvet. 🇲🇾</t>
  </si>
  <si>
    <t>fan account for mamamoo | solar | moonbyul | wheein | hwasa | group order: @mooshop_my</t>
  </si>
  <si>
    <t>Jadilah manusia pembelajar (manusia yang aktif untuk menimba ilmu)</t>
  </si>
  <si>
    <t>कर्मण्य इवा धिकारस्ते मा फलेषु कदाचन : Karmany Evha Dhikaraste Ma Phalesu Kadacana...
Satyam Eva Jayate.... 
Suradira Jayaningrat Lebur Déning Pangastuti !!!</t>
  </si>
  <si>
    <t>Silahkan search di google</t>
  </si>
  <si>
    <t>Akun resmi Direktorat Jenderal Bea dan Cukai - Kementerian Keuangan RI. Informasi dan pertanyaan silakan mention ke Contact Center @bravobeacukai 1500225</t>
  </si>
  <si>
    <t>Akun resmi Twitter Direktorat Jenderal Penyelenggaraan Pos dan Informatika</t>
  </si>
  <si>
    <t>Multifandom but mostly The Boyz 🤍 #더비구함</t>
  </si>
  <si>
    <t>Polres Rembang</t>
  </si>
  <si>
    <t>whuttt???</t>
  </si>
  <si>
    <t>sell content! rr dm✨GA OPEN BO/VCS/LC/CC!</t>
  </si>
  <si>
    <t>𝖌𝖑𝖔𝖙𝖔𝖓𝖊𝖗𝖎𝖆 ⛆</t>
  </si>
  <si>
    <t>i baik 😚
Exo-L 🖤 Clue 💙 multistan ★</t>
  </si>
  <si>
    <t>multi - httsahgaerizen; it costs RM0.00 to be nice!</t>
  </si>
  <si>
    <t>Twitter Resmi BikinLaparMata | Setiap Orang Suka Kuliner , Traveling, Belanja yang bikin lapar mata|  Mau Berkolaborasi ? bakran.iskandar@gmail.com</t>
  </si>
  <si>
    <t>Don't make promises in your bio that your timeline can't keep.</t>
  </si>
  <si>
    <t>i write and read poem|
i check my https://t.co/nk18Mf3Sbh</t>
  </si>
  <si>
    <t>editor lepas yang sesekali menggambar</t>
  </si>
  <si>
    <t>Rapper by night,
weeb by all means. 
Music-Related Contact: management@rustyrevolver.net
0816873873 (Alicia / WA only)</t>
  </si>
  <si>
    <t>Love requires nothing but your deep unselfish soul ❤️ 
Full time lover, your 4 leaf clover 🍀
rusmaina.lenggogeni@gmail.com</t>
  </si>
  <si>
    <t>Mugi Rahayu Sagung Dumadi | Nutska Abarttha Surriadi | 🐯 | 🐟 | 🖤🤍 | sXe |</t>
  </si>
  <si>
    <t>Jl. Gatot Subroto No 96, Ungaran, Kab. Semarang, Jawa Tengah | Tlp Markas (024) 76902477, UDD (024)76902606 | kab_semarang@pmi.or.id | udd_kabsemarang@pmi.or.id</t>
  </si>
  <si>
    <t>blood donor connector founded by @justsilly | berbagi informasi kebutuhan donor darah, silakan mention, RT, &amp; like | #Hotline 081-191-BLOOD atau 081-191-25663</t>
  </si>
  <si>
    <t>#Semangathidup yangTerbarukan dikehidupan ini SEBAIK-BAIK MANUSIA adalah yang paling bermanfaat bagi orang lain, @kantahkabsragen Support</t>
  </si>
  <si>
    <t>Akun resmi PPID Kabupaten Sragen di bawah Dinas Kominfo Sragen | Siap melayani kebutuhan informasi Anda | Komunikasi Lancar, Informasi Benar!</t>
  </si>
  <si>
    <t>fall risk. allergy.</t>
  </si>
  <si>
    <t>ig: roromatul | ibu muda yang biasa aja</t>
  </si>
  <si>
    <t>‏‏‏‏إِنَّمَا الْأَعْمَالُ بِالنِّيَّةِ</t>
  </si>
  <si>
    <t>🥯🥞🍳🧀🥓🥩🍗🍖🍔🌭🥪🥨🍟🍕🌯🌮🥙🥘🍝🥗🍲🍛🥣🍜🤤🤤🤤🤤</t>
  </si>
  <si>
    <t>Youtube: Reskrim Polresta Pontianak Kota
Instagram: satreskrimpolrestapontianak
Twitter: @ReskrimRestaPtk
Facebook: Sat Reskrim Polresta Pontianak</t>
  </si>
  <si>
    <t>pertahankan yang membuat nyaman 😊☺️</t>
  </si>
  <si>
    <t>Segalanya Akan Kembali Sunyi</t>
  </si>
  <si>
    <t>awali dengan Bismillahirrahmanirrahim
akhiri dengan Alhamdulillah 💖</t>
  </si>
  <si>
    <t>Akun Resmi Twitter Humas Pemkot Bengkulu. (Humas Terbaik Kedua Kategori Humas Inspirasional Pemerintah Kota se-Indonesia)</t>
  </si>
  <si>
    <t>FPL buat saya bukan tentang hoki atau keberuntungan, saya tidak menganut yg namanya keberuntungan, Semua itu tentang Persiapan dan Kesempatan, 🤗🙏</t>
  </si>
  <si>
    <t>@LFC. Random. FPL part timer. Anime-movie lover. A huge LOTR nerd.  6️⃣5️⃣🎹 #YNWA #iamcryptonning #CBLove ❤ #Sofialegit</t>
  </si>
  <si>
    <t>na jaemin mark lee supremacy | she/her | 02 babies | k drama enthusiast!! sm stan💓💓💓</t>
  </si>
  <si>
    <t>G.O for albums &amp; anything in between♡ postage in 🇲🇾 only. Dedicated for our #Kimbabes💗 By, alee and fyna✨</t>
  </si>
  <si>
    <t>Video Games. Geography. Sports. Cryptids. Anime. 에이핑크.런닝맨. PSN / Nintendo / STEAM : elgowh</t>
  </si>
  <si>
    <t>Balai Besar Pengembangan Latihan Kerja (BBPLK) Serang Kemnaker RI
FB    : BBPLK Serang
YT    : BBPLK Serang
IG     : @bbplk_Serang</t>
  </si>
  <si>
    <t>Take it easy aja jan terlalu serius 🖖🏼</t>
  </si>
  <si>
    <t>Bi | Discreet | Dont be nosy</t>
  </si>
  <si>
    <t>Homo Mendum</t>
  </si>
  <si>
    <t>caniago clan member(deposed and exiled). warcrime respecter. Funpilled(that means we ſhould go hang out some times)</t>
  </si>
  <si>
    <t>Hidup</t>
  </si>
  <si>
    <t>Penulis</t>
  </si>
  <si>
    <t>Akun resmi Badan Aksesibilitas Telekomunikasi dan Informasi (BAKTI) Kementerian Komunikasi dan Informatika. #BAKTIers #berBAKTIpadanusantara #BAKTIuntukNegeri</t>
  </si>
  <si>
    <t>Official Twitter Kementerian Sekretariat Negara RI| Ministry of State Secretariat of the Republic of Indonesia| 021-3516952 email: humas(at)setneg(.)go(.)id</t>
  </si>
  <si>
    <t>Akun resmi Sekretariat Kabinet RI. Kontak: humas@setkab.go.id, Facebook: @Setkabgoid, Instagram: @sekretariat.kabinet, YouTube: Sekretariat Kabinet RI</t>
  </si>
  <si>
    <t>Akun Twitter Resmi Kantor Staf Presiden</t>
  </si>
  <si>
    <t>Guru Besar Fisip Unair. Mantan aktivis, pernah bekerja di sektor media, LSM dan beberapa lembaga. Ini akun pribadi yg bebas.</t>
  </si>
  <si>
    <t>penulis dunia Maya. ☺ keep sharing.</t>
  </si>
  <si>
    <t>Menteri Komunikasi dan Informatika RI Kabinet Indonesia Maju 2019-2024</t>
  </si>
  <si>
    <t>berubah jadi akun olahraga dulu</t>
  </si>
  <si>
    <t>Akun Resmi Kantor Pertanahan Kab. Sragen Jl. Veteran No.10 Media Informasi&amp;Komunikasi Layanan Pertanahan #MajuModern
https://t.co/suZvvNc58q</t>
  </si>
  <si>
    <t>NADHMH💞</t>
  </si>
  <si>
    <t>I Like You Because You Like Me!! Just It!! https://t.co/Sga0T554Os | https://t.co/0N77ZuzmgP</t>
  </si>
  <si>
    <t>- i am just and ordinary mother house stairs 👌
- love kdrama and MCU
- care politic for a little bit, not much
- i Tweet what i want to Tweet.</t>
  </si>
  <si>
    <t>Seorang Penggila Sub-Budaya Bola Sepak ☠️</t>
  </si>
  <si>
    <t>KETIDAK ADILAN YANG DIPERTONTONKAN IBARATKAN BOM WAKTU.
AVA ASLI.</t>
  </si>
  <si>
    <t>Beauty isn’t about having a pretty face, it’s about having a pretty mind, a pretty heart and a pretty soul.</t>
  </si>
  <si>
    <t>210719; ' 영원을 약속해 줘요 ♡ ' (she/her) // also a lil bit of atz, tbz, nct</t>
  </si>
  <si>
    <t>People will tell u they care, but they don't seem to show it unless u get sick, die, or become famous.</t>
  </si>
  <si>
    <t>Mengenal Tuhan, Mengenal Diri, Mengenal Agama, Mengenal Sahabat &amp; Mengenal BolaSepak - DME</t>
  </si>
  <si>
    <t>I NEVER DREAMED 
ABOUT SUCCESS.
I WORKED FOT IT.</t>
  </si>
  <si>
    <t>suka beduQ</t>
  </si>
  <si>
    <t>Jangan terlalu serius baca twit saya ||
Single n Happy || Smule : NitaRose38</t>
  </si>
  <si>
    <t>Bukan jomblo 💕 ll Jangan penasaran nanti timbul perasaan 🤣
ll #DinvisibleWarriors ll No porn 🔥🔥</t>
  </si>
  <si>
    <t>I'm nothing without Allah☺️ Simple Woman,
Always keep strong and always Istiqomah ❤️AKUN PORN DAN PENISTA ULAMA
 AUTO BLOK 👍INI AKUN MERDEKA ✊NON PARTISAN 🤧</t>
  </si>
  <si>
    <t>la vie est de la merde, tu t'y feras</t>
  </si>
  <si>
    <t>A Market for 🇲🇾 ARMY to Buy, Trade and Sell! Made to support ARMY sellers so, Official and Unofficial Merch are welcomed! Read the Pinned Tweet First!</t>
  </si>
  <si>
    <t>for trading, selling and buying purpose ;)</t>
  </si>
  <si>
    <t>Hitam kulitnya</t>
  </si>
  <si>
    <t>AccountReaL🇮🇩
Continue to be grateful, sustenance has been arranged🙌</t>
  </si>
  <si>
    <t>hidup sederhana</t>
  </si>
  <si>
    <t>🏠 Desa Leuwiliang Baru- Majalengka, Jawa Barat Indonesia 🇲🇨</t>
  </si>
  <si>
    <t>Office Boy Semarang Kab. Independent. Kritis dan Membangun. Use tag #InfoUngaran #trafficUngaran #KulinerUngaran. Contact personal by Direct Message</t>
  </si>
  <si>
    <t>Markas Pusat Palang Merah Indonesia | Jalan Jendral Gatot Subroto Kav. 96, Jakarta 12790 | Tlp: 021-7992325 | Email: pmi@pmi.or.id</t>
  </si>
  <si>
    <t>Official Account of PMI Central Java Province Instagram: @pmijateng Phone: 024 - 76746733 | Email: jawa_tengah@pmi.or.id | YT: https://t.co/Eoq8GdZHzj</t>
  </si>
  <si>
    <t>Senyum itu adalah ibadah dan berbagi kebahagiaan yang paling mudah, maka tersenyumlah sobat apapun kondisinya...</t>
  </si>
  <si>
    <t>🙇‍♀️ she/her 22yo | 🛒 sbt &amp; fan account | 🌐 shipping WW | 🥳 owner GO BY RERE | 📌 For more info please check my pinned 📌</t>
  </si>
  <si>
    <t>⋆ auto base untuk jual beli ⋆ gunakan LM untuk mengirim menfess otomatis ⋆ sub @Iarismanis &amp; @larismanies ⋆</t>
  </si>
  <si>
    <t>PRIVATE KOREAN WAREHOUSE 🇰🇷✈️🇲🇨 we’re new but please trust us 😉</t>
  </si>
  <si>
    <t>*･῾ ᵎ⌇ ⁺◦ fangirling, sbt and personal acc ✧.* — #董思成 ‘s poca enjoyer | #威神V🔴</t>
  </si>
  <si>
    <t>Senyum dong jelek #𝑺𝑬𝑯𝑼𝑵 #𝒀𝑼𝑻𝑨 #𝑴𝑨𝑹𝑲</t>
  </si>
  <si>
    <t>BUKAN OLSHOP - AUTOBASE/AUTOMENFESS UNTUK TANYA/JUAL/BELI/TUKAR SEPUTAR KPOP STUFF | Report, dll @ksfmemantau | Info? Cek ♥ | JANGAN NIPU, NGGA BERKAH!!</t>
  </si>
  <si>
    <t>𝟵𝟱'태형 · 𝖺𝗅𝗅 ❤️ 𝖿𝗈𝗋 𝘃𝗮𝗻𝘁𝗲. 🌷 | if u hate taehyung &amp; jungkook don't follow me.</t>
  </si>
  <si>
    <t>#𝐁𝐀𝐍𝐆𝐓𝐀𝐍 : 𝗲.𝘁𝗵𝗲.𝗿.𝗻𝗮.𝗹 𝗯𝗼𝘆𝘀!!  태국  𖥻  𝗹𝗼𝘃𝗘 𝗰𝗟𝘂𝗯 !  📃💌ᵎᵎ</t>
  </si>
  <si>
    <t>Temukan Informasi Lowongan Kerja Terbaru, BANK BUMN CPNS SWASTA Dll, Follow IG: https://t.co/BBQH6e12La TELGRAM: https://t.co/7wtbJ38L9F</t>
  </si>
  <si>
    <t>♥︎ 𝐓𝐇𝐄 𝐋𝐎𝐌𝐋 #𝑩𝑻𝑺 #𝑻𝑿𝑻 #𝑬𝑵𝑯𝒀𝑷𝑬𝑵 🖇💌꒱</t>
  </si>
  <si>
    <t>BBM:5E79F2A3
WA/Line:+6282143502209
Insta:TBSMALANG
Path:tarbantinbookstore
FB:Tarbantin Book Store
tbsmalang@gmail.com
https://t.co/FEtj83DgCf</t>
  </si>
  <si>
    <t>Fun</t>
  </si>
  <si>
    <t>Info Lowongan Kerja</t>
  </si>
  <si>
    <t>Aku tau ku takkan bisa menjadi sperti yg engkau minta,
Namun selama nafas berhembus aku kan mencoba menjadi sperti yg kau minta</t>
  </si>
  <si>
    <t>Akun resmi Digital Korlantas POLRI Indonesia.</t>
  </si>
  <si>
    <t>she/her 16 - for #더보이즈 - was @ yenaviors</t>
  </si>
  <si>
    <t>@brandontd17's</t>
  </si>
  <si>
    <t>Author at Themeforest http://t.co/SXGvQ3Ji6V, Owner of http://t.co/9zFfWUsL8L</t>
  </si>
  <si>
    <t>Jika mata adalah jendela hati, maka perilaku adalah cermin kepribadian diri.</t>
  </si>
  <si>
    <t>AI enthusiast</t>
  </si>
  <si>
    <t>💙</t>
  </si>
  <si>
    <t>🌼jalani nikmati sukuri 🌼</t>
  </si>
  <si>
    <t>Official Twitter Account Jawa Pos The Biggest Newspaper in Indonesia I Baca terus koran Jawa Pos, Klik https://t.co/zQIlbGPP2B</t>
  </si>
  <si>
    <t>Kantor Pos Karang Satria selalu Melayani Pembayaran : Tagihan, Cicilan, Kredit, PBB, Pulsa, Pengiriman Paket dan Dokumen, serta pembelian Materai 6000 dan 10000</t>
  </si>
  <si>
    <t>blessed</t>
  </si>
  <si>
    <t>The Man who never lie.....</t>
  </si>
  <si>
    <t>7 + 8</t>
  </si>
  <si>
    <t>🌈🌈🌈🌈🌈🌈🌈🌈</t>
  </si>
  <si>
    <t>𝐁𝐮𝐤𝐚𝐧 𝐏𝐞𝐧𝐲𝐞𝐝𝐢𝐚 𝐎𝐛𝐚𝐭 𝐊𝐮𝐚𝐭 𝐀𝐭𝐚𝐮 𝐉𝐚𝐬𝐚 𝐏𝐢𝐣𝐚𝐭 𝐕𝐢𝐭𝐚𝐥𝐢𝐭𝐚𝐬</t>
  </si>
  <si>
    <t>Obat Peninggi, Obat Peninggi Badan, Cara Peninggi Badan, Peninggi Badan Tiens, Susu Peninggi Badan,Kalsium, Zinc, Trusted Olshop PIN:D778B048 WA:081322071239</t>
  </si>
  <si>
    <t>Official Twitter Account of https://t.co/OHFMbMCxpQ | Newsroom: redaksi@rakyatsulsel.co | Marketing: marketing@rakyatsulsel.co | contact:</t>
  </si>
  <si>
    <t>✨ 𝑨𝒍𝒍 𝒎𝒚 𝒍𝒐𝒗𝒆 𝒊𝒔 𝒇𝒐𝒓 𝑺𝒕𝒓𝒂𝒚𝒌𝒊𝒅𝒔 ✨ #97Lines 🔥 #todaysmail #mecollect https://t.co/qpYrV8uhtP</t>
  </si>
  <si>
    <t>sbt acc for #ENHYPEN</t>
  </si>
  <si>
    <t>do not stalk my account, it's none of ur business -||-
this is a personal account and i'm so loud about my real life here. bub me if u feel uncomfy -||- she/her</t>
  </si>
  <si>
    <t>sebuah ca , sudah bukan pejuang thesis,  siwonest,  sunshiners, sone, akun buat healing,  kang jebe,  INFJ</t>
  </si>
  <si>
    <t>💫 go! photocards, albums. ♡´･ᴗ･`♡ ship 🇲🇾 only! ❌ ww.</t>
  </si>
  <si>
    <t>🚫IG &amp; TIKTOK CLOSE🚫 ✿ payment via shopeepay&amp;&amp;gopay 🍭 ৎ୭ via wa for fast respon🚀 ✧ 𝐭𝐞𝐬𝐭𝐢 𝐫𝐚𝐭𝐮𝐬𝐚𝐧𝐧++ 𝐭𝐚𝐩 » https://t.co/SsVvl8TaLU</t>
  </si>
  <si>
    <t>˜”*°•.˜”*°• fan account •°*”˜.•°*”˜</t>
  </si>
  <si>
    <t>Just random thingsミ●﹏☉ミ
Call me for HASTAG PARTY!!</t>
  </si>
  <si>
    <t>• acc @riegomarkwin got suspend 
                     • @jekifriend off cuz jeki.   
                  •••  #iamcryptonning                • matiin rt ↗️</t>
  </si>
  <si>
    <t>lee haechan.🙇‍♀️</t>
  </si>
  <si>
    <t>tiap hari kangen user @DAY6_BOBSUNGJIN</t>
  </si>
  <si>
    <t>ᴵ ˡⁱᵛᵉ ᵐʸ ᵒʷⁿ ˡⁱᶠᵉ 💋 ᶠᵉˡⁱˣ 🐣 #straykids</t>
  </si>
  <si>
    <t>while they're complaining we're producing - 3RACHA</t>
  </si>
  <si>
    <t>˚₊·͟͟͟͟͟͟͞͞͞͞͞͞➳ #STRAYKIDS is 8 ᵕ̈ ೫*ૢ✧✩⋆ ཻུ۪۪. .•*:｡ྀ࿐ «♡방찬, 리노, 창빈, 현진, 한, 필릭스, 승민, 아이엔♡» ✩✧ *ૢ*───* ᵕ̈೫ https://t.co/QfPRpV3zQ0ྀ࿐</t>
  </si>
  <si>
    <t>cintai @je_craft dan pegawainya,
cintai @arsawastu dan lagunya.</t>
  </si>
  <si>
    <t>Bringing PNG Politics Updates closer to you A-I-H (As It Happens :) #PNG #PNGPOL
 Facebook: https://t.co/4qBPm3flCc</t>
  </si>
  <si>
    <t>Free West Papua from occupation by indonesia, STOP THE GENOCIDE and SLAVERY of indiginous West Papua population by Indonesia.</t>
  </si>
  <si>
    <t>Official Twitter account of PT. ASABRI (Persero) Call center : 1500043 Email : asabri@asabri.co.id</t>
  </si>
  <si>
    <t>alternya pipioffside || makeup and skin care enthusiast</t>
  </si>
  <si>
    <t>Rossiholic.kpopers.drakorhollic.I believe someday I would go travelling to south korea</t>
  </si>
  <si>
    <t>rsn mnd sr</t>
  </si>
  <si>
    <t>no storm last forever #initestinyael🐮</t>
  </si>
  <si>
    <t>Ummu Naha, Ibu Rumah Tangga, Bakul Donat &amp; Blogger Content Writer  😁
#ummunaha
#donatcoklatnaha</t>
  </si>
  <si>
    <t>just for sbt</t>
  </si>
  <si>
    <t>Fasilitator معكسن بكت الله | Suami dari Nathasya | Menanam &amp; merawat tanaman setiap hari</t>
  </si>
  <si>
    <t>✨big5ang✨b7ob✨seventeen✨treasure✨ateez✨winner✨7KON✨</t>
  </si>
  <si>
    <t>археолог</t>
  </si>
  <si>
    <t>kgn taynew.</t>
  </si>
  <si>
    <t>ÜT: -6.3811532,106.8621954</t>
  </si>
  <si>
    <t>Jakarta</t>
  </si>
  <si>
    <t>Benua Atlantis</t>
  </si>
  <si>
    <t xml:space="preserve">PUTRAJAYA , MY </t>
  </si>
  <si>
    <t>pengaduan&amp;PP : @adm_jualan</t>
  </si>
  <si>
    <t>Bekasi, Jawa Barat</t>
  </si>
  <si>
    <t>Jakarta, Indonesia</t>
  </si>
  <si>
    <t>Kuala Lumpur Federal Territory, Malaysia</t>
  </si>
  <si>
    <t>Bintulu, Sarawak</t>
  </si>
  <si>
    <t>Jepara, Indonesia</t>
  </si>
  <si>
    <t>⭕PEN JASTIP ⬇️</t>
  </si>
  <si>
    <t>Toko Kursi Pijat 083872490010</t>
  </si>
  <si>
    <t>Tempe</t>
  </si>
  <si>
    <t>Melbourne, Australia</t>
  </si>
  <si>
    <t>Pahang, Malaysia</t>
  </si>
  <si>
    <t>🇮🇩</t>
  </si>
  <si>
    <t>Los Angeles, CA</t>
  </si>
  <si>
    <t>call me al!</t>
  </si>
  <si>
    <t xml:space="preserve">75450, MY. </t>
  </si>
  <si>
    <t>Kuala Lumpur</t>
  </si>
  <si>
    <t>Jl. Transmigrasi No. 09 Tanbu</t>
  </si>
  <si>
    <t>🇲🇾</t>
  </si>
  <si>
    <t>Cirebon Barat, Indonesia</t>
  </si>
  <si>
    <t>Palembang</t>
  </si>
  <si>
    <t>she/her</t>
  </si>
  <si>
    <t xml:space="preserve">DE'VOC, inlander of extremes </t>
  </si>
  <si>
    <t>DKI Jakarta, Indonesia</t>
  </si>
  <si>
    <t>Tangerang, Indonesia</t>
  </si>
  <si>
    <t>in iKON ¦ TRSR heart ✦</t>
  </si>
  <si>
    <t>malaysia🇲🇾</t>
  </si>
  <si>
    <t>03 , 🇲🇾</t>
  </si>
  <si>
    <t>99z</t>
  </si>
  <si>
    <t>Bogor</t>
  </si>
  <si>
    <t>Punjab, Pakistan</t>
  </si>
  <si>
    <t>Jakarta Selatan, DKI Jakarta</t>
  </si>
  <si>
    <t>Kota Sungai Penuh, Jambi</t>
  </si>
  <si>
    <t>Artworks @ moments</t>
  </si>
  <si>
    <t>📍 Purwakarta, Jawa Barat</t>
  </si>
  <si>
    <t>Rules &amp; How to use? 👉🏻</t>
  </si>
  <si>
    <t>Jakarta Capital Region</t>
  </si>
  <si>
    <t>Jawa Timur, Indonesia</t>
  </si>
  <si>
    <t>Bandung</t>
  </si>
  <si>
    <t>your mind</t>
  </si>
  <si>
    <t xml:space="preserve">Instagram @jalalmisai </t>
  </si>
  <si>
    <t>Jawa Tengah</t>
  </si>
  <si>
    <t xml:space="preserve">Philophobia </t>
  </si>
  <si>
    <t>Kuala Lumpur Federal Territory</t>
  </si>
  <si>
    <t>🥀</t>
  </si>
  <si>
    <t>Ampang</t>
  </si>
  <si>
    <t>Malaysia</t>
  </si>
  <si>
    <t>kwangya</t>
  </si>
  <si>
    <t>Kota Surabaya, Jawa Timur</t>
  </si>
  <si>
    <t>Bangladesh</t>
  </si>
  <si>
    <t>Negri Sembilan, Malaysia</t>
  </si>
  <si>
    <t>Ipoh, MY</t>
  </si>
  <si>
    <t>tbh.idgf</t>
  </si>
  <si>
    <t>GGMU</t>
  </si>
  <si>
    <t>Sydney, Australia</t>
  </si>
  <si>
    <t>Alam Indoneisa</t>
  </si>
  <si>
    <t>Sabah, Malaysia</t>
  </si>
  <si>
    <t>❗BACA RULES DI LIKES❗</t>
  </si>
  <si>
    <t xml:space="preserve">he/him </t>
  </si>
  <si>
    <t>Johore, Malaysia</t>
  </si>
  <si>
    <t xml:space="preserve">  ⟭⟬ universe 𖡼.𖤣𖥧𖡼.𖤣𖥧</t>
  </si>
  <si>
    <t>Malang, Jawa Timur</t>
  </si>
  <si>
    <t>RULES &amp; PUNISHMENT 👇👇</t>
  </si>
  <si>
    <t>dnf</t>
  </si>
  <si>
    <t>Seremban City</t>
  </si>
  <si>
    <t>NC, USA, Metaverse</t>
  </si>
  <si>
    <t>Kota Palopo, Sulawesi Selatan</t>
  </si>
  <si>
    <t>Banjarnegara, Indonesia</t>
  </si>
  <si>
    <t>🖤</t>
  </si>
  <si>
    <t>main acc @bang97s</t>
  </si>
  <si>
    <t>PFA, she/her</t>
  </si>
  <si>
    <t>Woobin Heart</t>
  </si>
  <si>
    <t>Malaysia 🇲🇾</t>
  </si>
  <si>
    <t>Tembalang, Kota Semarang</t>
  </si>
  <si>
    <t>Selangor, Malaysia</t>
  </si>
  <si>
    <t>N9//KL</t>
  </si>
  <si>
    <t>Medan, Indonesia</t>
  </si>
  <si>
    <t>Depok, Jawa Barat</t>
  </si>
  <si>
    <t>Batu Caves</t>
  </si>
  <si>
    <t xml:space="preserve">Sungai Petani, Johor </t>
  </si>
  <si>
    <t>Dungun, Terengganu</t>
  </si>
  <si>
    <t>Kamar Mandi</t>
  </si>
  <si>
    <t>Kedah, Malaysia</t>
  </si>
  <si>
    <t>RULES &amp; PUNISHMENT ⤵️</t>
  </si>
  <si>
    <t>🇮🇩 eng/id ok!</t>
  </si>
  <si>
    <t>she/they</t>
  </si>
  <si>
    <t>02l | she/her | selective</t>
  </si>
  <si>
    <t>Seri Kembangan, Selangor</t>
  </si>
  <si>
    <t>West Borneo, Indonesia</t>
  </si>
  <si>
    <t>South Jakarta, Indonesia</t>
  </si>
  <si>
    <t>bira ni jah</t>
  </si>
  <si>
    <t>Jelebu, Negeri Sembilan</t>
  </si>
  <si>
    <t>Bandung, Jawa Barat</t>
  </si>
  <si>
    <t>Cormeilles-en-Parisis, France</t>
  </si>
  <si>
    <t>life goes on</t>
  </si>
  <si>
    <t>India</t>
  </si>
  <si>
    <t>Rawalpindi</t>
  </si>
  <si>
    <t>Damansara, Selangor</t>
  </si>
  <si>
    <t xml:space="preserve">Yogyakarta </t>
  </si>
  <si>
    <t>semua info dan rules disini ⬇️</t>
  </si>
  <si>
    <t>she / her • minor.</t>
  </si>
  <si>
    <t>Birmingham, England</t>
  </si>
  <si>
    <t>Jabar</t>
  </si>
  <si>
    <t xml:space="preserve">Ai's rant acc </t>
  </si>
  <si>
    <t>gollamadish</t>
  </si>
  <si>
    <t>rules ➡️</t>
  </si>
  <si>
    <t>Jakartangerang</t>
  </si>
  <si>
    <t>Rules / How to use? 👉🏻</t>
  </si>
  <si>
    <t>indonesia</t>
  </si>
  <si>
    <t xml:space="preserve">Earth </t>
  </si>
  <si>
    <t xml:space="preserve">Flat Earth </t>
  </si>
  <si>
    <t>Perak, Malaysia</t>
  </si>
  <si>
    <t>stayville</t>
  </si>
  <si>
    <t>haven</t>
  </si>
  <si>
    <t>🇲🇾 Stayville #lovestay</t>
  </si>
  <si>
    <t>빵집</t>
  </si>
  <si>
    <t>Earth</t>
  </si>
  <si>
    <t>04' 🇲🇾</t>
  </si>
  <si>
    <t>she/her, 20</t>
  </si>
  <si>
    <t>Bogor &amp; Surabaya</t>
  </si>
  <si>
    <t>Bwx - Bali 🎈</t>
  </si>
  <si>
    <t>s/her ; 21</t>
  </si>
  <si>
    <t>Kelang, Selangor</t>
  </si>
  <si>
    <t>somewhere on earth</t>
  </si>
  <si>
    <t>silent hill</t>
  </si>
  <si>
    <t>stayville ✧.｡*</t>
  </si>
  <si>
    <t>San Junipero</t>
  </si>
  <si>
    <t xml:space="preserve">Location Deh Lo.. </t>
  </si>
  <si>
    <t>costume yulje id card</t>
  </si>
  <si>
    <t>🐣🌹🐰🍑</t>
  </si>
  <si>
    <t>98' 🇲🇾</t>
  </si>
  <si>
    <t>East Java, Indonesia</t>
  </si>
  <si>
    <t>she/her :3</t>
  </si>
  <si>
    <t>ᗷᗩᑎᘜTᗩᑎ ᑭᒪᗩYᘜᖇOᑌᑎᗪ</t>
  </si>
  <si>
    <t>♡0420 ♡ she/her -종성 내 인생의 사랑-</t>
  </si>
  <si>
    <t xml:space="preserve"> +62 ↔ +60</t>
  </si>
  <si>
    <t>Magetan, Jawa Timur.</t>
  </si>
  <si>
    <t>Maceió, Brasil</t>
  </si>
  <si>
    <t>Cantabria</t>
  </si>
  <si>
    <t>Pekanbaru</t>
  </si>
  <si>
    <t xml:space="preserve"> she/her      16</t>
  </si>
  <si>
    <t>she/her    ,   rcbyf   ,</t>
  </si>
  <si>
    <t>she/her (01)</t>
  </si>
  <si>
    <t xml:space="preserve">MMM•PurpleKiss•ITZY•IU 💞 </t>
  </si>
  <si>
    <t>di jalan yg semoga jalanNya</t>
  </si>
  <si>
    <t>Jakarta Capital Region, Indone</t>
  </si>
  <si>
    <t>malang</t>
  </si>
  <si>
    <t>Pacitan, Jawa Timur</t>
  </si>
  <si>
    <t>Blitar, Jawa Timur</t>
  </si>
  <si>
    <t>ÜT: -6.41241,106.77645</t>
  </si>
  <si>
    <t>Pasuruan, Jawa Timur</t>
  </si>
  <si>
    <t>Mojopahit</t>
  </si>
  <si>
    <t>Jakarta Barat, DKI Jakarta</t>
  </si>
  <si>
    <t>Padang</t>
  </si>
  <si>
    <t>mdni, dont follow me.</t>
  </si>
  <si>
    <t>ʚ FREE TAG 🌻 ɞ</t>
  </si>
  <si>
    <t>iPhone: -6.195890,106.894379</t>
  </si>
  <si>
    <t>Sarang e Sanchoumou</t>
  </si>
  <si>
    <t>Magelang, Jawa Tengah</t>
  </si>
  <si>
    <t>Setia Budi, Indonesia</t>
  </si>
  <si>
    <t>h/him 01</t>
  </si>
  <si>
    <t>IPOH, PERAK.</t>
  </si>
  <si>
    <t>Jakarta Capital Region, Indonesia</t>
  </si>
  <si>
    <t>exo planet</t>
  </si>
  <si>
    <t>kch</t>
  </si>
  <si>
    <t>Jakarta Pusat, Indonesia</t>
  </si>
  <si>
    <t>Wherever you are</t>
  </si>
  <si>
    <t>Jakarta Pusat</t>
  </si>
  <si>
    <t>Jakarta Selatan - Indonesia</t>
  </si>
  <si>
    <t>kuala terengganu</t>
  </si>
  <si>
    <t>Jawa Tengah, Indonesia</t>
  </si>
  <si>
    <t>Rules👉🏻</t>
  </si>
  <si>
    <t>Second Earth</t>
  </si>
  <si>
    <t>Tangerang-Jkt</t>
  </si>
  <si>
    <t>-2nd acc @allwttsbMY</t>
  </si>
  <si>
    <t>MY</t>
  </si>
  <si>
    <t>💎</t>
  </si>
  <si>
    <t>Bali, Indonesia</t>
  </si>
  <si>
    <t>Salatiga, Jawa Tengah</t>
  </si>
  <si>
    <t>Surabaya, Indonesia</t>
  </si>
  <si>
    <t>write acc</t>
  </si>
  <si>
    <t>milkyway</t>
  </si>
  <si>
    <t>Pahang</t>
  </si>
  <si>
    <t>📍Tgr, Indonesia//mt after dm</t>
  </si>
  <si>
    <t>Kota Palembang, Sumatera Selat</t>
  </si>
  <si>
    <t>unknown</t>
  </si>
  <si>
    <t>cek rules dan info disini👇🏼</t>
  </si>
  <si>
    <t>once uaena wizone</t>
  </si>
  <si>
    <t>cbyf ❕</t>
  </si>
  <si>
    <t>Jakarta Pusat, DKI Jakarta</t>
  </si>
  <si>
    <t>Jakarta Utara</t>
  </si>
  <si>
    <t>somewhere</t>
  </si>
  <si>
    <t>West java, km20</t>
  </si>
  <si>
    <t>00’s | she.</t>
  </si>
  <si>
    <t>pengaduan&amp;PP: @adm_jualan</t>
  </si>
  <si>
    <t>Looking this bcs yall sily asf</t>
  </si>
  <si>
    <t>Jurangmangu</t>
  </si>
  <si>
    <t xml:space="preserve">myworld </t>
  </si>
  <si>
    <t>Pantai yang indah</t>
  </si>
  <si>
    <t xml:space="preserve">Titip menfess cek likes ♡ </t>
  </si>
  <si>
    <t>South Borneo, Indonesia</t>
  </si>
  <si>
    <t>gado gado 🤪</t>
  </si>
  <si>
    <t>Lampung, Indonesia</t>
  </si>
  <si>
    <t>Gelderland, Nederland</t>
  </si>
  <si>
    <t>ini lokasi</t>
  </si>
  <si>
    <t>kuvukiland</t>
  </si>
  <si>
    <t>Karawang, Jawa Barat</t>
  </si>
  <si>
    <t>ᮊᮧᮞ᮪ᮝᮃᮛ (4/6)</t>
  </si>
  <si>
    <t xml:space="preserve">Indonesia </t>
  </si>
  <si>
    <t>Buleleng, Indonesia</t>
  </si>
  <si>
    <t>she|her 🇲🇾 18</t>
  </si>
  <si>
    <t>(+60) , 6TEEN</t>
  </si>
  <si>
    <t>she/her - rcbyf</t>
  </si>
  <si>
    <t>@lknwdrv ♡</t>
  </si>
  <si>
    <t>Terengganu - Makassar</t>
  </si>
  <si>
    <t>she/her | `06 | 🇲🇾</t>
  </si>
  <si>
    <t>Kuching, Sarawak</t>
  </si>
  <si>
    <t>Seoulangor</t>
  </si>
  <si>
    <t>you can mark me in your heart</t>
  </si>
  <si>
    <t>✰ 🖇🥛she / her ᵕ̈</t>
  </si>
  <si>
    <t>admin: jeno, yong, jun.</t>
  </si>
  <si>
    <t xml:space="preserve">최승철의 방 </t>
  </si>
  <si>
    <t>🇲🇾 she/her</t>
  </si>
  <si>
    <t>non-pandemic ; south jakarta.</t>
  </si>
  <si>
    <t>ahgastaymoarmy♥︎</t>
  </si>
  <si>
    <t>ten’s</t>
  </si>
  <si>
    <t>work only</t>
  </si>
  <si>
    <t>rahim ibu</t>
  </si>
  <si>
    <t>中·ENG·BM 🇲🇾</t>
  </si>
  <si>
    <t>2 admin</t>
  </si>
  <si>
    <t>2 admins ; 🐈 &amp; 🌹</t>
  </si>
  <si>
    <t>di rumah aja</t>
  </si>
  <si>
    <t>Bumi Indonesia 🇮🇩</t>
  </si>
  <si>
    <t>Neverland</t>
  </si>
  <si>
    <t>Cirebon, Jawa Barat</t>
  </si>
  <si>
    <t>방탄소년단.</t>
  </si>
  <si>
    <t xml:space="preserve">Melaka </t>
  </si>
  <si>
    <t>Sumatera, Indonesia</t>
  </si>
  <si>
    <t>she/her.</t>
  </si>
  <si>
    <t>🇮🇩♀️</t>
  </si>
  <si>
    <t>she/her | rant</t>
  </si>
  <si>
    <t xml:space="preserve">rant acc 99,99% apaya </t>
  </si>
  <si>
    <t>Marina D'Or</t>
  </si>
  <si>
    <t>Allianz Stadium</t>
  </si>
  <si>
    <t>Depok, Indonesia</t>
  </si>
  <si>
    <t>Genoa, Liguria</t>
  </si>
  <si>
    <t>Tasikmalaya, Indonesia</t>
  </si>
  <si>
    <t>Jepara ,Indonesia</t>
  </si>
  <si>
    <t>Anywhere</t>
  </si>
  <si>
    <t>Kalimantan Timur</t>
  </si>
  <si>
    <t>Kediri, Jawa Timur</t>
  </si>
  <si>
    <t xml:space="preserve"> 　‎‎ </t>
  </si>
  <si>
    <t>Manchester</t>
  </si>
  <si>
    <t>Turin, Piedmont</t>
  </si>
  <si>
    <t>east blue</t>
  </si>
  <si>
    <t>Juventus Stadium,Turin</t>
  </si>
  <si>
    <t>bandung | jakarta</t>
  </si>
  <si>
    <t>Cianjur</t>
  </si>
  <si>
    <t>Nebula</t>
  </si>
  <si>
    <t>Oil city, Balikpapan</t>
  </si>
  <si>
    <t>Giza,Egypt</t>
  </si>
  <si>
    <t>Manado, Indonesia</t>
  </si>
  <si>
    <t>Cikarang, Indonesia</t>
  </si>
  <si>
    <t>oma kopi</t>
  </si>
  <si>
    <t>soLo</t>
  </si>
  <si>
    <t>DKI Jakarta, Indonesia🇮🇩</t>
  </si>
  <si>
    <t>they/them 20</t>
  </si>
  <si>
    <t>surakarta</t>
  </si>
  <si>
    <t>Njakarta-Mbekasi-Muntilan</t>
  </si>
  <si>
    <t>allianz stadium</t>
  </si>
  <si>
    <t>in your heart</t>
  </si>
  <si>
    <t>Lubuk Pakam, Indonesia</t>
  </si>
  <si>
    <t>dm</t>
  </si>
  <si>
    <t>terpaksa Indonesia</t>
  </si>
  <si>
    <t>Rotterdam, The Netherlands</t>
  </si>
  <si>
    <t>Bekasi Timur, Indonesia</t>
  </si>
  <si>
    <t>she/her 🇲🇾 | teuland</t>
  </si>
  <si>
    <t>L 630</t>
  </si>
  <si>
    <t>🌏</t>
  </si>
  <si>
    <t>Between sunset and sunrise</t>
  </si>
  <si>
    <t>4 org ghoib</t>
  </si>
  <si>
    <t>Kalimantan Selatan, Indonesia</t>
  </si>
  <si>
    <t>London, England</t>
  </si>
  <si>
    <t>kabvpaten</t>
  </si>
  <si>
    <t>Kuwait</t>
  </si>
  <si>
    <t>Harveytown // INDONESIA</t>
  </si>
  <si>
    <t>Indonesia - South Korea</t>
  </si>
  <si>
    <t>•~•RenLe•~•</t>
  </si>
  <si>
    <t>Bengaluru, India</t>
  </si>
  <si>
    <t>Bangkok, Thailand</t>
  </si>
  <si>
    <t>Kebayoran lama , Jakarta</t>
  </si>
  <si>
    <t xml:space="preserve">she/her </t>
  </si>
  <si>
    <t>Bantul DIY Indonesia</t>
  </si>
  <si>
    <t>Yogyakarta - Indonesia</t>
  </si>
  <si>
    <t>Piyungan, Indonesia</t>
  </si>
  <si>
    <t>Lausanne, Switzerland</t>
  </si>
  <si>
    <t>Bantul</t>
  </si>
  <si>
    <t xml:space="preserve">Malaysia </t>
  </si>
  <si>
    <t>Klaten,ID</t>
  </si>
  <si>
    <t>ENG/INA</t>
  </si>
  <si>
    <t>🚀</t>
  </si>
  <si>
    <t>Neo Neo Neo</t>
  </si>
  <si>
    <t>She/her</t>
  </si>
  <si>
    <t xml:space="preserve">exo nct svt sf9 tbz txt multi </t>
  </si>
  <si>
    <t>16 | SHE!HER</t>
  </si>
  <si>
    <t>Provinsi Aceh</t>
  </si>
  <si>
    <t>she/her, 🇲🇾</t>
  </si>
  <si>
    <t>fantasy🌌🇲🇾</t>
  </si>
  <si>
    <t>US: -8.358296,116.149594</t>
  </si>
  <si>
    <t>Madiun, Indonesia</t>
  </si>
  <si>
    <t>Semarang, Jawa Tengah</t>
  </si>
  <si>
    <t>🇲🇨peace</t>
  </si>
  <si>
    <t>대한민국 서울</t>
  </si>
  <si>
    <t>hatimu</t>
  </si>
  <si>
    <t>Seven Heaven</t>
  </si>
  <si>
    <t>🇲🇾 , 손영재's</t>
  </si>
  <si>
    <t>Turin &amp; Yogyakarta</t>
  </si>
  <si>
    <t>Bandung, senang bersih</t>
  </si>
  <si>
    <t>21' ㅡ she/her</t>
  </si>
  <si>
    <t>S T A Y</t>
  </si>
  <si>
    <t>Pekayon, Pasar Rebo Jak-tim</t>
  </si>
  <si>
    <t>TB. Simatupang No. 82, Jakarta</t>
  </si>
  <si>
    <t>Kebon Jeruk, Indonesia</t>
  </si>
  <si>
    <t>Neraka Jahanam</t>
  </si>
  <si>
    <t>she/her 🇲🇾 | 7teen</t>
  </si>
  <si>
    <t>rules? cek link.</t>
  </si>
  <si>
    <t>bottom of the ocean floor</t>
  </si>
  <si>
    <t>The Espia</t>
  </si>
  <si>
    <t>Tanjung Morawa, Indonesia</t>
  </si>
  <si>
    <t>Ketek baekhyun</t>
  </si>
  <si>
    <t>Makassar, Indonesia</t>
  </si>
  <si>
    <t>mobile in Jabodetabek</t>
  </si>
  <si>
    <t>Solo, Indonesia</t>
  </si>
  <si>
    <t>masih di jogja si</t>
  </si>
  <si>
    <t>she/her | 18</t>
  </si>
  <si>
    <t>she/her • anaknya receh</t>
  </si>
  <si>
    <t>Bekasi Utara, Indonesia</t>
  </si>
  <si>
    <t>ÜT: -6.216859,106.735824</t>
  </si>
  <si>
    <t>Paradise</t>
  </si>
  <si>
    <t>She/Her⍣</t>
  </si>
  <si>
    <t>likes tab for adult only🔞</t>
  </si>
  <si>
    <t>Llanfair Pwllgwyngyll, Wales</t>
  </si>
  <si>
    <t>Bang Sa Kao, Thailand</t>
  </si>
  <si>
    <t>out of place</t>
  </si>
  <si>
    <t>he/him</t>
  </si>
  <si>
    <t>00/bdg</t>
  </si>
  <si>
    <t>here</t>
  </si>
  <si>
    <t>in your jobs</t>
  </si>
  <si>
    <t>💚</t>
  </si>
  <si>
    <t>made in banten</t>
  </si>
  <si>
    <t>she/her ## 6teen</t>
  </si>
  <si>
    <t>Join Discord</t>
  </si>
  <si>
    <t>arles</t>
  </si>
  <si>
    <t>Kota Semarang</t>
  </si>
  <si>
    <t>Lampung</t>
  </si>
  <si>
    <t>Jl. Pangeran Duayu No.31 Manna</t>
  </si>
  <si>
    <t>김정우</t>
  </si>
  <si>
    <t>Kota Semarang, Jawa Tengah</t>
  </si>
  <si>
    <t>Bandung, West Java</t>
  </si>
  <si>
    <t>𝙽𝚎𝚐𝚊𝚛𝚊 𝙹𝚘𝚑𝚘𝚛</t>
  </si>
  <si>
    <t>Malang, Indonesia</t>
  </si>
  <si>
    <t>Tangkak, Johor, Malaysia.</t>
  </si>
  <si>
    <t>(灬♥ω♥灬)</t>
  </si>
  <si>
    <t>#kharismaselaras</t>
  </si>
  <si>
    <t>Terserah aku</t>
  </si>
  <si>
    <t>Home</t>
  </si>
  <si>
    <t>Malaysia; she/her</t>
  </si>
  <si>
    <t>Rt 10/01 Kalisari , PS Rebo</t>
  </si>
  <si>
    <t>she/her (🇲🇾)</t>
  </si>
  <si>
    <t>bandar lampung / INDONESIA</t>
  </si>
  <si>
    <t>Sumatera Selatan, Indonesia</t>
  </si>
  <si>
    <t>From Tanah Grogot to Jogja</t>
  </si>
  <si>
    <t>biyel ☆ she / they !</t>
  </si>
  <si>
    <t xml:space="preserve">/hōp pi·lls/ </t>
  </si>
  <si>
    <t xml:space="preserve">rules </t>
  </si>
  <si>
    <t xml:space="preserve">CARRD AKU ADA DI MOMENT. </t>
  </si>
  <si>
    <t>ENG/中/BM</t>
  </si>
  <si>
    <t>bts txt enhypen 🇲🇾</t>
  </si>
  <si>
    <t xml:space="preserve">namseok misser </t>
  </si>
  <si>
    <t>Hybe</t>
  </si>
  <si>
    <t>🇲🇾 | she</t>
  </si>
  <si>
    <t>𝔸ℝ𝕄𝕐⁷ᴱᴺ⁻⁰ˣ¹☀︎02☀︎she/her</t>
  </si>
  <si>
    <t>Way Kanan, Lampung</t>
  </si>
  <si>
    <t>Bandar Lampung, Lampung</t>
  </si>
  <si>
    <t>Surabaya</t>
  </si>
  <si>
    <t>JL TMP KALIBATA JAKSEL</t>
  </si>
  <si>
    <t xml:space="preserve">causeway </t>
  </si>
  <si>
    <t>MyElfDay</t>
  </si>
  <si>
    <t>GRAHA PENA, Jl. Malik Raya 50.</t>
  </si>
  <si>
    <t xml:space="preserve">if u own bakery get the ring </t>
  </si>
  <si>
    <t>Serang, Banten, Indonesia</t>
  </si>
  <si>
    <t>20 | she her</t>
  </si>
  <si>
    <t xml:space="preserve">she/her. </t>
  </si>
  <si>
    <t>Bandar Kuala Terengganu, Teren</t>
  </si>
  <si>
    <t>MALAYSIA</t>
  </si>
  <si>
    <t>태국</t>
  </si>
  <si>
    <t>Yogyakarta-semarang-sampit</t>
  </si>
  <si>
    <t>Heh</t>
  </si>
  <si>
    <t>bangtan world💜</t>
  </si>
  <si>
    <t>23 | muslim | she/her</t>
  </si>
  <si>
    <t>she / her ♡</t>
  </si>
  <si>
    <t>she¿her +60</t>
  </si>
  <si>
    <t xml:space="preserve"> ︎ she her ᜊ read carrd byf. </t>
  </si>
  <si>
    <t>♡ 𝐌𝐚𝐠𝐢𝐜 𝐒𝐡𝐨𝐩</t>
  </si>
  <si>
    <t xml:space="preserve">16 ; she/her </t>
  </si>
  <si>
    <t>Karasuno gym</t>
  </si>
  <si>
    <t>bts world</t>
  </si>
  <si>
    <t>she/her 16</t>
  </si>
  <si>
    <t>she/her ♡</t>
  </si>
  <si>
    <t>she!her</t>
  </si>
  <si>
    <t>Kentucky, USA</t>
  </si>
  <si>
    <t>Muara Batu, Indonesia</t>
  </si>
  <si>
    <t>Pekanbaru, Indonesia</t>
  </si>
  <si>
    <t>neo city / magic shop</t>
  </si>
  <si>
    <t xml:space="preserve">She/azi </t>
  </si>
  <si>
    <t>(+62)</t>
  </si>
  <si>
    <t>Klang, Selangor</t>
  </si>
  <si>
    <t>she/her 🇲🇾 minor rcbyf!</t>
  </si>
  <si>
    <t>California, USA</t>
  </si>
  <si>
    <t xml:space="preserve">tumpukan tugas </t>
  </si>
  <si>
    <t>akun baca au</t>
  </si>
  <si>
    <t>jungkook. 🏡</t>
  </si>
  <si>
    <t>kbb</t>
  </si>
  <si>
    <t>98's. SHE/HER</t>
  </si>
  <si>
    <t>Jakarta Indonesia</t>
  </si>
  <si>
    <t>bogor</t>
  </si>
  <si>
    <t>Tidak Ada</t>
  </si>
  <si>
    <t>she</t>
  </si>
  <si>
    <t>JAKARTA</t>
  </si>
  <si>
    <t>🇲🇾 아미 | brightwins | she/her</t>
  </si>
  <si>
    <t>00's &amp; read carrd byf✨</t>
  </si>
  <si>
    <t>rant</t>
  </si>
  <si>
    <t xml:space="preserve">rant </t>
  </si>
  <si>
    <t>exoplanet</t>
  </si>
  <si>
    <t>+06 she/her • 00'</t>
  </si>
  <si>
    <t>earth</t>
  </si>
  <si>
    <t>dilangit</t>
  </si>
  <si>
    <t>Shankly Gate - Teyvat - 라부리스랜드</t>
  </si>
  <si>
    <t>Kota Yogyakarta, Yogyakarta</t>
  </si>
  <si>
    <t>evilbuzz.id@gmail.com</t>
  </si>
  <si>
    <t xml:space="preserve">Muntilan - Magelang </t>
  </si>
  <si>
    <t>Penjaringan, Indonesia</t>
  </si>
  <si>
    <t>Belaga, Sarawak</t>
  </si>
  <si>
    <t>Kelantan, Malaysia</t>
  </si>
  <si>
    <t>Manchester, England</t>
  </si>
  <si>
    <t xml:space="preserve">Wisaka Dulu ♡🙏 </t>
  </si>
  <si>
    <t>mundur kamu bukan jongu🙏🏻</t>
  </si>
  <si>
    <t>Jakarta Timur, DKI Jakarta</t>
  </si>
  <si>
    <t>Banda Aceh</t>
  </si>
  <si>
    <t>solonesia</t>
  </si>
  <si>
    <t>NCIT🎓</t>
  </si>
  <si>
    <t>kota mimpi, kabupaten halu</t>
  </si>
  <si>
    <t>SHE/HER 17</t>
  </si>
  <si>
    <t>ina she 21</t>
  </si>
  <si>
    <t>( she / her • 16 )</t>
  </si>
  <si>
    <t>THE BOYZ</t>
  </si>
  <si>
    <t>Gedung Mina Bahari II lantai 6,7,10  KKP Jakarta</t>
  </si>
  <si>
    <t>Gorontalo, Indonesia</t>
  </si>
  <si>
    <t>MY she/her</t>
  </si>
  <si>
    <t>방탄소년단 🤍 엔하이픈</t>
  </si>
  <si>
    <t xml:space="preserve">i do not exist </t>
  </si>
  <si>
    <t>free tag, jangan nyeret</t>
  </si>
  <si>
    <t>dnf ❌</t>
  </si>
  <si>
    <t>Sleman, Indonesia</t>
  </si>
  <si>
    <t>Changlun, K.D.A</t>
  </si>
  <si>
    <t>neo heart</t>
  </si>
  <si>
    <t>ÜT: -6.585121,106.814077</t>
  </si>
  <si>
    <t>Bangkalan, Indonesia</t>
  </si>
  <si>
    <t>Semanu</t>
  </si>
  <si>
    <t>Karanganyar, Jawa Tengah</t>
  </si>
  <si>
    <t>Mojokerto, Jawa Timur</t>
  </si>
  <si>
    <t>Youtube : Dunia Hanya Suara ✨</t>
  </si>
  <si>
    <t>samarinda</t>
  </si>
  <si>
    <t>24yo, she/her</t>
  </si>
  <si>
    <t>Jakarta Selatan</t>
  </si>
  <si>
    <t>Jogja</t>
  </si>
  <si>
    <t>Nigeria</t>
  </si>
  <si>
    <t>Semarang, Indonesia</t>
  </si>
  <si>
    <t>Uzbekistan</t>
  </si>
  <si>
    <t>INDONESIA</t>
  </si>
  <si>
    <t>Padang Utara, Indonesia</t>
  </si>
  <si>
    <t>Kota Tasikmalaya, Jawa Barat</t>
  </si>
  <si>
    <t>Kota Pekanbaru Riau, indonesia</t>
  </si>
  <si>
    <t>info loker disini :</t>
  </si>
  <si>
    <t>Lolak, Bolaang Mongondow</t>
  </si>
  <si>
    <t>Indramayu, Indonesia</t>
  </si>
  <si>
    <t>beach ocean sea H₃O ΞverΛ‎fter</t>
  </si>
  <si>
    <t>IDN Beach Ocean H₃O ΞverΛ‎fter</t>
  </si>
  <si>
    <t xml:space="preserve">chanyeol’s heart </t>
  </si>
  <si>
    <t>Blitar - East Java - Indonesia</t>
  </si>
  <si>
    <t>Kota Padang, Sumatera Barat</t>
  </si>
  <si>
    <t>Kampus Bina Widya FKIP Panam</t>
  </si>
  <si>
    <t>East Borneo, Indonesia</t>
  </si>
  <si>
    <t>GACKT's armpit</t>
  </si>
  <si>
    <t>San Bruno, CA</t>
  </si>
  <si>
    <t>Sekayu, Indonesia</t>
  </si>
  <si>
    <t>Kedungdung, Indonesia</t>
  </si>
  <si>
    <t>Jemur Andayani I, Surabaya</t>
  </si>
  <si>
    <t>Medan Helvetia, Indonesia</t>
  </si>
  <si>
    <t>Jalan Raden Saleh No.2 Jakarta</t>
  </si>
  <si>
    <t>05.00-20.00 || FASTRESP ⬇️⚡</t>
  </si>
  <si>
    <t>Handled by 🍞 🥛</t>
  </si>
  <si>
    <t>Donggala, Sulawesi Tengah</t>
  </si>
  <si>
    <t>Jakarta Timur</t>
  </si>
  <si>
    <t>Pinang, Malaysia</t>
  </si>
  <si>
    <t>dimana aja namanya orang kaya</t>
  </si>
  <si>
    <t>Bandung, Indonesia</t>
  </si>
  <si>
    <t>Himapentika, Dihatiku~♥</t>
  </si>
  <si>
    <t>Sukoharjo, Indonesia</t>
  </si>
  <si>
    <t>Tulang Bawang, Lampung</t>
  </si>
  <si>
    <t>Papua Barat, Indonesia</t>
  </si>
  <si>
    <t>Denpasar, Bali</t>
  </si>
  <si>
    <t>Sarawak</t>
  </si>
  <si>
    <t>DKI Jakarta - Indonesia</t>
  </si>
  <si>
    <t>West Java, Indonesia</t>
  </si>
  <si>
    <t>Jl MH Thamrin 14 Jakarta Pusat</t>
  </si>
  <si>
    <t>today is their birthday !</t>
  </si>
  <si>
    <t>UNIVERSITAS RIAU, INDONESIA</t>
  </si>
  <si>
    <t xml:space="preserve">📍JOG-SLM </t>
  </si>
  <si>
    <t>stayville❣️</t>
  </si>
  <si>
    <t>용복이 하트 🤍</t>
  </si>
  <si>
    <t>sandy bæ +60♡</t>
  </si>
  <si>
    <t>any pronouns 06’s 🇲🇾</t>
  </si>
  <si>
    <t>Simpang Pematang, Indonesia</t>
  </si>
  <si>
    <t>Sulawesi Selatan, Indonesia</t>
  </si>
  <si>
    <t>Belakang Padang, Indonesia</t>
  </si>
  <si>
    <t>Kota Bandung, Jawa Barat</t>
  </si>
  <si>
    <t>Kota Surabaya, East Java</t>
  </si>
  <si>
    <t>Jawa Barat, Indonesia</t>
  </si>
  <si>
    <t>Jl. Untung Suropati, Samarinda</t>
  </si>
  <si>
    <t>Beside You</t>
  </si>
  <si>
    <t>Republik Indonesia</t>
  </si>
  <si>
    <t>-6.677906, 107.428448</t>
  </si>
  <si>
    <t>@kampus binawidya, Panam</t>
  </si>
  <si>
    <t>Pekan Baru, Riau</t>
  </si>
  <si>
    <t>bandung</t>
  </si>
  <si>
    <t>Mars</t>
  </si>
  <si>
    <t>Sunggal, Indonesia</t>
  </si>
  <si>
    <t>Purwakarta</t>
  </si>
  <si>
    <t>Bandung - Indonesia</t>
  </si>
  <si>
    <t>Kota Sukabumi, Jawa Barat</t>
  </si>
  <si>
    <t>East Jakarta</t>
  </si>
  <si>
    <t xml:space="preserve">민윤기 x 세븐틴 x  한빈 </t>
  </si>
  <si>
    <t>he/them</t>
  </si>
  <si>
    <t>ÜT: -6.274929,106.7265</t>
  </si>
  <si>
    <t>01s/h</t>
  </si>
  <si>
    <t>she/her • 15♡</t>
  </si>
  <si>
    <t>In your heart</t>
  </si>
  <si>
    <t>ÜT: -7.64886,111.04359</t>
  </si>
  <si>
    <t>Kuantan, Pahang</t>
  </si>
  <si>
    <t>Wonderwall</t>
  </si>
  <si>
    <t>Medan Merdeka Barat No. 9, Ind</t>
  </si>
  <si>
    <t>Deobiland</t>
  </si>
  <si>
    <t>NOTHING FOR FREE🔞</t>
  </si>
  <si>
    <t>Keningau, Sabah</t>
  </si>
  <si>
    <t>Exo Planet</t>
  </si>
  <si>
    <t>pesona tiap Centi Meter</t>
  </si>
  <si>
    <t>Blüdhaven</t>
  </si>
  <si>
    <t>Asmaraloka</t>
  </si>
  <si>
    <t>NuswΔntara</t>
  </si>
  <si>
    <t>Ungaran, Indonesia</t>
  </si>
  <si>
    <t>Karanganyar, Indonesia</t>
  </si>
  <si>
    <t>Kabupaten Sragen</t>
  </si>
  <si>
    <t xml:space="preserve">Pontianak </t>
  </si>
  <si>
    <t>Kota Madiun, Jawa Timur</t>
  </si>
  <si>
    <t>Minangkabau</t>
  </si>
  <si>
    <t>Parepare</t>
  </si>
  <si>
    <t xml:space="preserve"> Indonesia</t>
  </si>
  <si>
    <t>Bengkulu, Indonesia</t>
  </si>
  <si>
    <t>Tegal City</t>
  </si>
  <si>
    <t>Lamongan, Indonesia</t>
  </si>
  <si>
    <t>neos</t>
  </si>
  <si>
    <t>Kota Depok, Indonesia</t>
  </si>
  <si>
    <t>Serang, Indonesia</t>
  </si>
  <si>
    <t>Hyperborea</t>
  </si>
  <si>
    <t>Surakarta, Jawa Tengah</t>
  </si>
  <si>
    <t>Purwakarta, Indonesia</t>
  </si>
  <si>
    <t>Sragen, Indonesia</t>
  </si>
  <si>
    <t>Cameron  Putrajaya</t>
  </si>
  <si>
    <t>Sumatera Utara</t>
  </si>
  <si>
    <t>Democratic People's Republic o</t>
  </si>
  <si>
    <t>(💎🏴‍☠️)</t>
  </si>
  <si>
    <t>Pahang Darul Makmur</t>
  </si>
  <si>
    <t xml:space="preserve"> Jawa Barat</t>
  </si>
  <si>
    <t>Singapore kulon</t>
  </si>
  <si>
    <t>Situbondo, Indonesia</t>
  </si>
  <si>
    <t>pengaduan:</t>
  </si>
  <si>
    <t>RULES ➡️</t>
  </si>
  <si>
    <t>‎ ♡ˎˊ she/her’18</t>
  </si>
  <si>
    <t>alysha</t>
  </si>
  <si>
    <t>bojonegoro indonesia</t>
  </si>
  <si>
    <t>Sumedang</t>
  </si>
  <si>
    <t>Gedung Graha Pena Lt.10, Jl. R</t>
  </si>
  <si>
    <t>Duren Jaya, Bekasi Timur</t>
  </si>
  <si>
    <t>Surabaya - Indonesia</t>
  </si>
  <si>
    <t xml:space="preserve">Around The World </t>
  </si>
  <si>
    <t>IT.</t>
  </si>
  <si>
    <t>tweet in broken english {15yo}</t>
  </si>
  <si>
    <t>seungcheol , surakarta</t>
  </si>
  <si>
    <t>fast resp »</t>
  </si>
  <si>
    <t>jys</t>
  </si>
  <si>
    <t>freetag; big win soon💥</t>
  </si>
  <si>
    <t>she/her/25🇮🇩</t>
  </si>
  <si>
    <t>Stayville | ENG/INA | she/her</t>
  </si>
  <si>
    <t>She / Her 🇮🇩</t>
  </si>
  <si>
    <t>Papua New Guinea</t>
  </si>
  <si>
    <t>Mark's heart</t>
  </si>
  <si>
    <t>Tulungagung</t>
  </si>
  <si>
    <t>+60 • '01 • she/her • multi</t>
  </si>
  <si>
    <t>Dhaka, Bangladesh</t>
  </si>
  <si>
    <t>Open Twitter Page for This Person</t>
  </si>
  <si>
    <t xml:space="preserve">erickthohir
</t>
  </si>
  <si>
    <t>madelin252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</si>
  <si>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fox19712405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</si>
  <si>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mamavanenbas
PT Pos Indonesia (Persero) memperkuat
layanan platform digital PosAja!
dengan memperkenalkan kurir khusus
perempuan O-Ranger Mawar serta
menggandeng penyedia transportasi
online Nusantara Ojek (Nujek).
#BUMNMaju https://t.co/Z9fEMxlVmv</t>
  </si>
  <si>
    <t>ilvtenyuw_
Gajelas bgt ajg bulan lalu pake
sicepat halu juga paling 5 hari,
lah ini seminggu lebih gak ada
kejelasan hadeh. Better shopee
express sih, tapi paling best jnt
wkwk🥰😘</t>
  </si>
  <si>
    <t>imam_rachmayadi
@idtodayco 400 orang Pasukan Setan
kemana boosss?? Dikirimnya pke
kurir apa? jNE, sicepat, atau apa
bos? Kok ga kedengeran lg</t>
  </si>
  <si>
    <t xml:space="preserve">idtodayco
</t>
  </si>
  <si>
    <t>raniafitri9
Selain Gubernur Jawa Timur Khofifah
Indar Parawansa, juga hadir Menparekraf
RI Sandiaga Uno, Duta Besar Finlandia
untuk Indonesia Jari Sinkari dan
Dirjen Sumber Daya Perangkat Pos
dan Informatika Kementerian Kominfo
Dr Ir Ismail MT</t>
  </si>
  <si>
    <t>princeofcrimes
Sumpah ga lgi gw ngirim di pos
indonesia, lma bener paket gw sampe.
Hari selasa dikirim skrng udah
minggu belom nyampe, klau jnt atau
sicepat paling 4 hari doang njir.</t>
  </si>
  <si>
    <t>ofcourseynoot
@CaratShopINA gak pernah kalo ke
ph tapi kalo kirim ww lewat pos
indonesia bisa bayar langsung di
pos indonesia nder</t>
  </si>
  <si>
    <t xml:space="preserve">caratshopina
</t>
  </si>
  <si>
    <t>nana_shazliana
gila laju jnt , smlm pos dari perak
harini dh smpai cdc dengkil 🙆🏻‍♀️</t>
  </si>
  <si>
    <t>jeonchimz
@jualanlabels aku bisa nder insya
allah lagi gak banyak kesibukan
juga, udah sering packing barang,
line/wa ku aktif semuaa. btw aku
dom jaksel dan rumahku deket juga
sama ekspedisi jnt &amp;amp; sicepat
😊😊 oiya shopee aku juga udah
freeong xtra, kalau tertarik hire
aku boleh dm ya kakk</t>
  </si>
  <si>
    <t xml:space="preserve">jualanlabels
</t>
  </si>
  <si>
    <t>_milkytael_
@jualanlabels Aku bisa kak jadi
admin packing di GO kakak,aku dom
Jakarta timur,rumah aku deket sama
jnt,jne,sicepat kak</t>
  </si>
  <si>
    <t>sunupinasti
BUMN Pos Indonesia membuka lowongan
kerja untuk lulusan SMA yang akan
ditutup sampai 23 September 2021.
Simak di sini persyaratannya. https://t.co/xL4PswA0hY</t>
  </si>
  <si>
    <t>detikcom
BUMN Pos Indonesia membuka lowongan
kerja untuk lulusan SMA yang akan
ditutup sampai 23 September 2021.
Simak di sini persyaratannya. https://t.co/xL4PswA0hY</t>
  </si>
  <si>
    <t>raihanadia__
Jnt bagi 1000 points sempena birthday,
masalahnya aku jarang pos barang
😂😂😂</t>
  </si>
  <si>
    <t>belle_maaa
Since I always go to pos laju and
jnt my friends will always ask
me to pick up their parcels and
ask "buka ka pos laju/jnt arini?"
And now I feel like pekerja pos
laju and jnt</t>
  </si>
  <si>
    <t>jasajokmebelje1
hp/wa 085225480239-pengiriman=COD
POS ( byr di tmpt ke seluruh indonesia
) https://t.co/kKsCj4NX4y</t>
  </si>
  <si>
    <t>bemaiae
@sellbuytrad3 Akuu bisa nder dom
indramayu jabar, deket sama berbagai
ekspedisi jne,jnt,sicept,anteraja,kantor
pos tinggal mgesot fee miring butuh
kerjaan gabut banget😭😭</t>
  </si>
  <si>
    <t xml:space="preserve">sellbuytrad3
</t>
  </si>
  <si>
    <t>wibwaktu
pengadaan barang dan jasa pt.pos
indonesia</t>
  </si>
  <si>
    <t>nobi_indonesia
555：paket pos：郵便小包：ゆうびんこづつみ</t>
  </si>
  <si>
    <t>opaz01
@BernardGyorgy malaysia, singapore,
indonesia, thailand, vietnam, the
philippines, even taiwan , japan
and korea are all china's trading
partners so why on earth would
china stop the sea lanes like this
pos just said?</t>
  </si>
  <si>
    <t xml:space="preserve">bernardgyorgy
</t>
  </si>
  <si>
    <t>nrainatsnm
i asked the seller to post out
kibbles and milk powder i bought
for my anak bulus asap bc i’m in
urgent need of it lepastu 3days
later baru dia pos lepastu dia
guna poslaju kalau jnt ni mesti
sampai dah semalam 😭</t>
  </si>
  <si>
    <t>syhrnajihah
setelah berapa lama tak pegi jnt
pos brg 🥺 FINALLY! https://t.co/E8GWMqxUzb</t>
  </si>
  <si>
    <t>ankoenka
Open PO fanmade TShirt Mamamoo
(INA) 🇮🇩 ⚠️ Detail size dan harga
di foto ⚠️ Harga di luar ongkir
dari Jakarta ⚠️ Barang ready 1-2
minggu ✅ Full Payment only 65k
✅ Pengiriman JNE / J&amp;amp;T / SiCepat
🍊 https://t.co/UWzHnn3GQM https://t.co/qafjXDyRWt</t>
  </si>
  <si>
    <t>mooneunhye1
Open PO fanmade TShirt Mamamoo
(INA) 🇮🇩 ⚠️ Detail size dan harga
di foto ⚠️ Harga di luar ongkir
dari Jakarta ⚠️ Barang ready 1-2
minggu ✅ Full Payment only 65k
✅ Pengiriman JNE / J&amp;amp;T / SiCepat
🍊 https://t.co/UWzHnn3GQM https://t.co/qafjXDyRWt</t>
  </si>
  <si>
    <t>stepbymoo
Open PO fanmade TShirt Mamamoo
(INA) 🇮🇩 ⚠️ Detail size dan harga
di foto ⚠️ Harga di luar ongkir
dari Jakarta ⚠️ Barang ready 1-2
minggu ✅ Full Payment only 65k
✅ Pengiriman JNE / J&amp;amp;T / SiCepat
🍊 https://t.co/UWzHnn3GQM https://t.co/qafjXDyRWt</t>
  </si>
  <si>
    <t>aprrldw
#LokerPam - PT Sicepat Ekspres
Indonesia - Admin Claim - Gunung
Sahari, Jakarta Pusat https://t.co/ZZuG8gOLO0</t>
  </si>
  <si>
    <t>apamungkasa
#LokerPam - PT Sicepat Ekspres
Indonesia - Admin Claim - Gunung
Sahari, Jakarta Pusat https://t.co/ZZuG8gOLO0</t>
  </si>
  <si>
    <t>j4withthesun
Open PO fanmade TShirt Mamamoo
(INA) 🇮🇩 ⚠️ Detail size dan harga
di foto ⚠️ Harga di luar ongkir
dari Jakarta ⚠️ Barang ready 1-2
minggu ✅ Full Payment only 65k
✅ Pengiriman JNE / J&amp;amp;T / SiCepat
🍊 https://t.co/UWzHnn3GQM https://t.co/qafjXDyRWt</t>
  </si>
  <si>
    <t>nadyaazzh
#LokerPam - PT Sicepat Ekspres
Indonesia - Admin Claim - Gunung
Sahari, Jakarta Pusat https://t.co/ZZuG8gOLO0</t>
  </si>
  <si>
    <t>choicrush
Open PO fanmade TShirt Mamamoo
(INA) 🇮🇩 ⚠️ Detail size dan harga
di foto ⚠️ Harga di luar ongkir
dari Jakarta ⚠️ Barang ready 1-2
minggu ✅ Full Payment only 65k
✅ Pengiriman JNE / J&amp;amp;T / SiCepat
🍊 https://t.co/UWzHnn3GQM https://t.co/qafjXDyRWt</t>
  </si>
  <si>
    <t>_shafeeeeeee
@AidaTetttttt hahaha garang takpe,
lelama nti dia okay as the time
goes by. if jnt cover dh lma mintak
pos by parcel je 😂 japp i try
tanya any pet taxi available...
btw u stay area mana ye?</t>
  </si>
  <si>
    <t xml:space="preserve">aidatetttttt
</t>
  </si>
  <si>
    <t>bpomtanahbumbu
Bagi produsen usaha mikro dan kecil
dapat mengajukan keringanan tarif
pendaftaran diskon sebesar 50%
loh. . Pembayaran dilakukan melalui
POS Indonesia dan 75 bank yang
telah tekoneksi dengan Simponi
(Sistem Informasi PNBP Online).
.</t>
  </si>
  <si>
    <t>kamusbesarkbbi
#Arti Resi Dalam Belanja Online,
Cara Cek Resi JNE, J&amp;amp;T, SiCepat,
Ninja, Pos, Tiki - Tribun Sumsel
#KBBI https://t.co/cm1u4WtleY</t>
  </si>
  <si>
    <t>sleepingmoo
Open PO fanmade TShirt Mamamoo
(INA) 🇮🇩 ⚠️ Detail size dan harga
di foto ⚠️ Harga di luar ongkir
dari Jakarta ⚠️ Barang ready 1-2
minggu ✅ Full Payment only 65k
✅ Pengiriman JNE / J&amp;amp;T / SiCepat
🍊 https://t.co/UWzHnn3GQM https://t.co/qafjXDyRWt</t>
  </si>
  <si>
    <t>mang_ib
Kemensos salurkan 200,660 paket
masker dan vitamin melalui PT Pos
Logistik Indonesia dengan menerapkan
prokes secara ketat sehingga paket
dijamin higienis. Jokowi Lawan
Pandemi https://t.co/c7zug0pJFS</t>
  </si>
  <si>
    <t>shafigh
Kemensos salurkan 200,660 paket
masker dan vitamin melalui PT Pos
Logistik Indonesia dengan menerapkan
prokes secara ketat sehingga paket
dijamin higienis. Jokowi Lawan
Pandemi https://t.co/c7zug0pJFS</t>
  </si>
  <si>
    <t>sumselterkini
Perkuat Layanan Platform Digital
Courier PosAja!, Pos Indonesia
Kenalkan O-Ranger Mawar &amp;amp; Kurir
 Wanita - https://t.co/gAEpl5POfj
https://t.co/dkpbE92VCA</t>
  </si>
  <si>
    <t>mylovefarhan
pos laju lembab. jnt laju lagi.
shopee wtf</t>
  </si>
  <si>
    <t>malangdorn2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</si>
  <si>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ggukiexly
Mamang jnt pliss langsung dateng
kerumah aja kaya mamang sicepat,
gausa nelfon nyuruh w ke toko karena
gue males banget huaaa</t>
  </si>
  <si>
    <t>wakapoldur
@suneo138 @Gojekmilitan J&amp;amp;T,
JNE, SICEPAT...?</t>
  </si>
  <si>
    <t xml:space="preserve">suneo138
</t>
  </si>
  <si>
    <t>gojekmilitan
Tumben JNE kosong.. Jd bisa foto
dulu 😅. Beres JNE lanjut kantor
pos sama J&amp;amp;T.. https://t.co/ChNOHqQ1ZS</t>
  </si>
  <si>
    <t>rezakrisna28
@enakmurahbanyaq Ywd lewat kantor
pos indonesia aja deh sekalian
kwkwkw</t>
  </si>
  <si>
    <t xml:space="preserve">enakmurahbanyaq
</t>
  </si>
  <si>
    <t>whaisya
[WTS] FELIX NOEASY STANDARC PC
C VER RM35 INC POS JNT TO WM 😊
anything can dm me #pasarstraykids
#pasarSKZ https://t.co/DYYbkRNCaz</t>
  </si>
  <si>
    <t>sprinklesmy
[WTS] FELIX NOEASY STANDARC PC
C VER RM35 INC POS JNT TO WM 😊
anything can dm me #pasarstraykids
#pasarSKZ https://t.co/DYYbkRNCaz</t>
  </si>
  <si>
    <t>sxash4
[WTS] FELIX NOEASY STANDARC PC
C VER RM35 INC POS JNT TO WM 😊
anything can dm me #pasarstraykids
#pasarSKZ https://t.co/DYYbkRNCaz</t>
  </si>
  <si>
    <t>staykrna
@PrinceHanJiSung Sicepat siii.
Tp beneran ga nyangka secepet ini..
kalo pake jnt aja lama 😂😂</t>
  </si>
  <si>
    <t xml:space="preserve">princehanjisung
</t>
  </si>
  <si>
    <t>lowkerid1
https://t.co/yWsVFeIN3M #lowkerid
#jobs #lowongankerja #lowongan
@lowker_indojob #lowker_indonesia
WELCOME TO NEW YORK WELCOME TO
NEW YORK #WaspadaKovidVarianBaru
Welcome to NY</t>
  </si>
  <si>
    <t xml:space="preserve">lowker_indojob
</t>
  </si>
  <si>
    <t>dwi_wahyudi
https://t.co/yWsVFeIN3M #lowkerid
#jobs #lowongankerja #lowongan
@lowker_indojob #lowker_indonesia
WELCOME TO NEW YORK WELCOME TO
NEW YORK #WaspadaKovidVarianBaru
Welcome to NY</t>
  </si>
  <si>
    <t>bilaljaveid954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</si>
  <si>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arangomah
Pos Indonesia Gandeng Nujek dan
Perkenalkan O-Ranger Mawar https://t.co/qbQ7xwZ8HP</t>
  </si>
  <si>
    <t>demgons
@jualanlabels halo kak! aku sangat
bersedia jadi admin packing, btw
aku dom jakbar dan kebetulan rumahku
juga deket jne, jnt, tiki, wahana,
sicepat, id express, lion parcel,
anteraja, ninja express. aku juga
ada pengalaman packing barang jualan
aku, temen sama punya kakak.</t>
  </si>
  <si>
    <t>nsntrmj
Pos Indonesia Gandeng Nujek dan
Perkenalkan O-Ranger Mawar @jokowi
https://t.co/K7D8dID2wP</t>
  </si>
  <si>
    <t xml:space="preserve">jokowi
</t>
  </si>
  <si>
    <t>bicaradotnews
Sebanyak 290 orang perempuan tergabung
menjadi kurir khusus wanita O-Ranger
Mawar di bawah naungan PT Pos Indonesia
(Persero). #BicaraNews https://t.co/naeUA2Q7fJ</t>
  </si>
  <si>
    <t>kejaksaanri
2. Tersangka lainnya dengan inisial
S selaku Direktur PT. Pos Finansial
Indonesia. Hal ini diduga berpotensi
merugikan keuangan negara sebesar
kurang lebih Rp. 52.612.200.000,-
dalam pengelolaan layanan Pospay
yang dilaksanakan oleh PT. Pos
Finansial Indonesia. #kejaksaanri</t>
  </si>
  <si>
    <t>kn_sungaipenuh
2. Tersangka lainnya dengan inisial
S selaku Direktur PT. Pos Finansial
Indonesia. Hal ini diduga berpotensi
merugikan keuangan negara sebesar
kurang lebih Rp. 52.612.200.000,-
dalam pengelolaan layanan Pospay
yang dilaksanakan oleh PT. Pos
Finansial Indonesia. #kejaksaanri</t>
  </si>
  <si>
    <t>malangsorn6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</si>
  <si>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15death
6. Gijinka POS Indonesia 🤣🤣🤣🤣
a human personification of Indonesian
post service https://t.co/j6zjioshrP</t>
  </si>
  <si>
    <t>tarrriiishop
@babesjkvstore @jajanbighit Mjb
nder, kl jne emang min freeong
300k. Coba pake jnt/sicepat min
120k/30k buat extra udah freeong.
Cmiiw yaa</t>
  </si>
  <si>
    <t xml:space="preserve">jajanbighit
</t>
  </si>
  <si>
    <t xml:space="preserve">babesjkvstore
</t>
  </si>
  <si>
    <t>galaxyou_
@babesjkvstore @jajanbighit jne
emang gabisa kalau 30k/120k, min
nya 300k. pakai jnt/sicepat aja
bisa kok dapet gratong nya</t>
  </si>
  <si>
    <t>semupetualang
PT Pos Indonesia memperkuat layanan
platform digital PosAja! dengan
memperkenalkan kurir khusus perempuan
O-Ranger Mawar serta menggandeng
penyedia transportasi online Nusantara
Ojek. Kick off O-Ranger Mawar dilakukan
di Batu Malang, (17/9). @jokowi
https://t.co/tSeKxjBoIe</t>
  </si>
  <si>
    <t>kardosony
PT Pos Indonesia memperkuat layanan
platform digital PosAja! dengan
memperkenalkan kurir khusus perempuan
O-Ranger Mawar serta menggandeng
penyedia transportasi online Nusantara
Ojek. Kick off O-Ranger Mawar dilakukan
di Batu Malang, (17/9). @jokowi
https://t.co/tSeKxjBoIe</t>
  </si>
  <si>
    <t>serendypitae
@babesjkvstore @jajanbighit kalo
jne emang freeong min 300, kalo
jnt sicepat anteraja dll min 120.
itu kayanya jne ga termasuk expedisi
yg freeong xtra deh, jadi tetep
freeong nya min 300k bukan 30k🥲
aku kurang tau jg kalo itu</t>
  </si>
  <si>
    <t>momogeezz
@stfuidcabtyou JnT, Sicepat, Ninja
Express, JNE, yg mana jasa pengirimannya?</t>
  </si>
  <si>
    <t xml:space="preserve">stfuidcabtyou
</t>
  </si>
  <si>
    <t>__wantankri
PT Pos Indonesia memperkuat layanan
platform digital PosAja! dengan
memperkenalkan kurir khusus perempuan
O-Ranger Mawar serta menggandeng
penyedia transportasi online Nusantara
Ojek. Kick off O-Ranger Mawar dilakukan
di Batu Malang, (17/9). @jokowi
https://t.co/tSeKxjBoIe</t>
  </si>
  <si>
    <t>jalalmisai_2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</si>
  <si>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amierah___
@amierah___ Buat aduan dekat SKMM
dan sertakan semua bukti. Hopefully
akan ada tindakan. Cerita je semua
dekat sana. InsyaAllah akan ada
maklum balas. Sebab dlu pernah
barang pos guna jnt xsampai2, lepas
buat aduan, xlama tu terus dapat
barang. Just explain semua je dalam
aduan tu.</t>
  </si>
  <si>
    <t>zidanzainudin_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</si>
  <si>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moekartho
PT Pos Indonesia memperkuat layanan
platform digital PosAja! dengan
memperkenalkan kurir khusus perempuan
O-Ranger Mawar serta menggandeng
penyedia transportasi online Nusantara
Ojek. Kick off O-Ranger Mawar dilakukan
di Batu Malang, (17/9). @jokowi
https://t.co/tSeKxjBoIe</t>
  </si>
  <si>
    <t>paulus_willy
PT Pos Indonesia memperkuat layanan
platform digital PosAja! dengan
memperkenalkan kurir khusus perempuan
O-Ranger Mawar serta menggandeng
penyedia transportasi online Nusantara
Ojek. Kick off O-Ranger Mawar dilakukan
di Batu Malang, (17/9). @jokowi
https://t.co/tSeKxjBoIe</t>
  </si>
  <si>
    <t>beastieu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</si>
  <si>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fassyaplease
Jnt wrap tong gabus aku..yg bahagian
pecah tu dia letak kotak je kat
tepi pecah tu. Before pos aku tamp
sticker fragile, bila jnt pos dia
wrap dengan wrap hitam dah takda
fragile😭😭😭 https://t.co/7TzvA9UQDL</t>
  </si>
  <si>
    <t>asipfrappucino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</si>
  <si>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hatiakueg0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</si>
  <si>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theisyraf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</si>
  <si>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drxnkxntxgxr__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</si>
  <si>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maktiri_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</si>
  <si>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shvfx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</si>
  <si>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ayrhazel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</si>
  <si>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firzana_hazirah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</si>
  <si>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pradanadika29
PT Pos Indonesia memperkuat layanan
platform digital PosAja! dengan
memperkenalkan kurir khusus perempuan
O-Ranger Mawar serta menggandeng
penyedia transportasi online Nusantara
Ojek (Nujek). https://t.co/x3DlH4nxQE</t>
  </si>
  <si>
    <t>pikapocoyo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</si>
  <si>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ariefskie
PT Pos Indonesia memperkuat layanan
platform digital PosAja! dengan
memperkenalkan kurir khusus perempuan
O-Ranger Mawar serta menggandeng
penyedia transportasi online Nusantara
Ojek (Nujek). https://t.co/cxSDC2eA0U</t>
  </si>
  <si>
    <t>anaklolina2
PT Pos Indonesia memperkuat layanan
platform digital PosAja! dengan
memperkenalkan kurir khusus perempuan
O-Ranger Mawar serta menggandeng
penyedia transportasi online Nusantara
Ojek. Kick off O-Ranger Mawar dilakukan
di Batu Malang, (17/9). @jokowi
https://t.co/tSeKxjBoIe</t>
  </si>
  <si>
    <t>nitafamira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</si>
  <si>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shdxlias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</si>
  <si>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frugalfliza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</si>
  <si>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lyzaoreo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</si>
  <si>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ariasampash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</si>
  <si>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shahnewaz01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</si>
  <si>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qurratulaini_99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</si>
  <si>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doraemonbolatt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</si>
  <si>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whysishak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</si>
  <si>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peachkarin22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</si>
  <si>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aminhakami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</si>
  <si>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1zz4tihabshi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</si>
  <si>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imezaq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</si>
  <si>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greatofkratos
PT Pos Indonesia memperkuat layanan
platform digital PosAja! dengan
memperkenalkan kurir khusus perempuan
O-Ranger Mawar serta menggandeng
penyedia transportasi online Nusantara
Ojek. Kick off O-Ranger Mawar dilakukan
di Batu Malang, (17/9). @jokowi
https://t.co/tSeKxjBoIe</t>
  </si>
  <si>
    <t>farisyamat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</si>
  <si>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nvraini_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</si>
  <si>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rozlyana_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</si>
  <si>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aishaamber_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</si>
  <si>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sithy_farmia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</si>
  <si>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shahzad29741549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</si>
  <si>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glowingjuseyo
@aiaiake2 @markettfess Bisa bgt
kak, ekspedisinya pake sicepat/jnt/jne
kok</t>
  </si>
  <si>
    <t xml:space="preserve">markettfess
</t>
  </si>
  <si>
    <t xml:space="preserve">aiaiake2
</t>
  </si>
  <si>
    <t>qayyyyyyyyyy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</si>
  <si>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al_adamhafiz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</si>
  <si>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afikahmahadi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</si>
  <si>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aethkims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</si>
  <si>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kbrindns
PT Pos Indonesia (Persero) memperkuat
layanan platform digital PosAja!
dengan memperkenalkan kurir khusus
perempuan O-Ranger Mawar https://t.co/GcXB4P7rw9
@jokowi</t>
  </si>
  <si>
    <t>vrishaba05
Pos Indonesia Gandeng Nujek dan
Perkenalkan O-Ranger Mawar https://t.co/E0kIBbza5j
@jokowi</t>
  </si>
  <si>
    <t>manoharasekar
PT Pos Indonesia memperkuat layanan
platform digital PosAja! dengan
memperkenalkan kurir khusus perempuan
O-Ranger Mawar serta menggandeng
penyedia transportasi online Nusantara
Ojek. Kick off O-Ranger Mawar dilakukan
di Batu Malang, (17/9). @jokowi
https://t.co/tSeKxjBoIe</t>
  </si>
  <si>
    <t>atiknoru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</si>
  <si>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alifiahsftr
@itsgitcha Dua duanya bisa kak.
Bisa cek website mereka kiriman
luar negri. Bisa pos indonesia
juga pake pos internasional</t>
  </si>
  <si>
    <t xml:space="preserve">itsgitcha
</t>
  </si>
  <si>
    <t>dongchanlee_
@dagangkr sini nder, aku cukup
berpengalaman. dom jakarta barat
deket wahana, jne, jnt, sicepat,
tiki buat fee bisa didiskusikan
di dm nder biar sama sama enak
🙏🏻</t>
  </si>
  <si>
    <t xml:space="preserve">dagangkr
</t>
  </si>
  <si>
    <t>nggaatauu
@bertanyarl ganti, sicepat/jnt👍</t>
  </si>
  <si>
    <t xml:space="preserve">bertanyarl
</t>
  </si>
  <si>
    <t>alifmuclisinapp
@tousIesjour Hasil tugasnya bisa
kirim by pos/jne</t>
  </si>
  <si>
    <t xml:space="preserve">tousiesjour
</t>
  </si>
  <si>
    <t>amir_r00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</si>
  <si>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m_izmie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</si>
  <si>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bobelx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</si>
  <si>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pos_ronda123
Jangan berani2 dengan Indonesia
yee.. Kapal Perang Baru Indonesia
#PrabowoJawabAncamanChina https://t.co/U42GC4VuO7</t>
  </si>
  <si>
    <t>tiki_teki
IRL frens getting sick of me talking
NFT, web3, DAOs,POS,…</t>
  </si>
  <si>
    <t>anyrafsa
@amierah___ Buat aduan dekat SKMM
dan sertakan semua bukti. Hopefully
akan ada tindakan. Cerita je semua
dekat sana. InsyaAllah akan ada
maklum balas. Sebab dlu pernah
barang pos guna jnt xsampai2, lepas
buat aduan, xlama tu terus dapat
barang. Just explain semua je dalam
aduan tu.</t>
  </si>
  <si>
    <t>ahmadl04644463
@BundaAiz88 Di kirim lewat apa?
Jnt atau pos?</t>
  </si>
  <si>
    <t xml:space="preserve">bundaaiz88
</t>
  </si>
  <si>
    <t>wantwothree__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</si>
  <si>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diifracha
@dagangkr aku bisa nder tapi dom
bintaro (tangsel). deket banyak
ekspedisi (j&amp;amp;t sicepat jne
wahana dll) fee sekitar 3k-7k tergantung
bahan sama paket dan bisa dibicarain
lagi kok &amp;lt;33</t>
  </si>
  <si>
    <t>strkrsndty
yes i found the answer, kemarin
sempet nangis ketika nganter paket
jam 11 malem ke sicepat dan diotak
gw mikir "skrg gw kerja keras buat
siapa?" and then i will livin up
her dream! BISMILLAH PT. KIRANA
TECHNOLOGY INDONESIA 2022! https://t.co/Nyu9T81k7I</t>
  </si>
  <si>
    <t>epham_
@ngalamfess Tinggalkan JNE, pilih
sicepat atau j&amp;amp;t</t>
  </si>
  <si>
    <t xml:space="preserve">ngalamfess
</t>
  </si>
  <si>
    <t>kkurominikura
Help rt! Yang butuh admin packing,
boleh dm ya. packing pc/printilan
kecil 5k Album/barang besar 7k
kalo +poster 10k nder Bahan packing
udh dari aku ya. 🏠 bandung Deket
rumah aku ada semua ekspedisi sicepat
jnt jne id anteraja shopeexpress
ninja</t>
  </si>
  <si>
    <t>divarubybear
Help rt! Yang butuh admin packing,
boleh dm ya. packing pc/printilan
kecil 5k Album/barang besar 7k
kalo +poster 10k nder Bahan packing
udh dari aku ya. 🏠 bandung Deket
rumah aku ada semua ekspedisi sicepat
jnt jne id anteraja shopeexpress
ninja</t>
  </si>
  <si>
    <t>jayparkie_
Help rt! Yang butuh admin packing,
boleh dm ya. packing pc/printilan
kecil 5k Album/barang besar 7k
kalo +poster 10k nder Bahan packing
udh dari aku ya. 🏠 bandung Deket
rumah aku ada semua ekspedisi sicepat
jnt jne id anteraja shopeexpress
ninja</t>
  </si>
  <si>
    <t>atiqahdalila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</si>
  <si>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snowqmini
Help rt! Yang butuh admin packing,
boleh dm ya. packing pc/printilan
kecil 5k Album/barang besar 7k
kalo +poster 10k nder Bahan packing
udh dari aku ya. 🏠 bandung Deket
rumah aku ada semua ekspedisi sicepat
jnt jne id anteraja shopeexpress
ninja</t>
  </si>
  <si>
    <t>onewishaday1999
@hrkys_sya yeah im using pos malaysia
and its taking quite longer than
i expected so maybe ill see for
jnt and hows the rate for it</t>
  </si>
  <si>
    <t xml:space="preserve">hrkys_sya
</t>
  </si>
  <si>
    <t>voidotid
PT Pos Indonesia berharap dengan
hadirnya O-Ranger Mawar akan terjalin
komunikasi lebih efektif. dengan
mitra UMKM. https://t.co/46qHDF971r</t>
  </si>
  <si>
    <t>nhbrrr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</si>
  <si>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adam_danxxl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</si>
  <si>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baeshilight
next time,i shouldn't using pos
laju punya service,at first i thought
pos laju is better than jnt...but
well</t>
  </si>
  <si>
    <t>rajutpremium
@naaaafdddd @JUALAN_BASE Aku dom
purwakarta jabar kak,gaada kurir
soalnya pake jnt juga kurir biasa
yg suka anterin paket,awalnya gabisa
tp aku bilang kalau itu nomer thracking
id nya lama2 ternyata bisa kak,tp
ini pertama kali nya pake sicepat</t>
  </si>
  <si>
    <t xml:space="preserve">jualan_base
</t>
  </si>
  <si>
    <t xml:space="preserve">naaaafdddd
</t>
  </si>
  <si>
    <t>renpiess
Kantor pos, jne, jnt deket banget
dari rumah. 🍊 ku udah bisa freeong
juga. Adm rekap juga bisa. Untuk
fee nanti kita deal dealannya di
dm yaa, Oh iya aku Belum megang
GO manapun sama sekali dan gak
sibuk juga (kecuali pagi jam 8-9).
aku dom indramayu kota.</t>
  </si>
  <si>
    <t>aimer_riska
Kenalkan Kurir Khusus Wanita O-Ranger
Mawar, Pos Indonesia Gandeng NUJEK
https://t.co/M7KlxahOLP https://t.co/E3Emr4NWPW</t>
  </si>
  <si>
    <t>1085350_nel
Ini twit meresahkan .. 😭😭😭 Btw
yang tanya kirim pc keluar negeri.
For first aku gak tinggal di indonesia
. Kalau ketentuan disini Pack nya
pake amplop top loader trs tulis
alamat sama kaya selkor kasih kantor
pos bayar selesai 🙏🙏 https://t.co/Rf8v43XPqC</t>
  </si>
  <si>
    <t>jijahcrochet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</si>
  <si>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tomoeyushiro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</si>
  <si>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ranisor
PT Pos Indonesia memperkuat layanan
platform digital PosAja! dengan
memperkenalkan kurir khusus perempuan
O-Ranger Mawar serta menggandeng
penyedia transportasi online Nusantara
Ojek. Kick off O-Ranger Mawar dilakukan
di Batu Malang, (17/9). @jokowi
https://t.co/tSeKxjBoIe</t>
  </si>
  <si>
    <t>folkloreswifty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</si>
  <si>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ameliaamin_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</si>
  <si>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dianamadlani
aku guna pos laju sebab mudah pada
aku. tapi sebab ada few cust yang
req guna jnt sebab poslaju tempat
dorang problem, kita tambah option.
now dah ada 2 choice. customer
di utamakan ya kawan kawan. mudah
dekat customer, mudah juga dekat
kita, in sha Allah</t>
  </si>
  <si>
    <t>mrfiqa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</si>
  <si>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sanahfdzel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</si>
  <si>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tribunmedan
Pos Indonesia Buka Lowongan Kerja
untuk Lulusan SMA, Buruan Daftar
https://t.co/tSj53HR1PI via @tribunmedan</t>
  </si>
  <si>
    <t>geageez
Halo semuanya, kali ini aku nerima
jasa titip paket, aku dom depok,
dekat dengan ekspedisi siCepat,
jne, jnt, wahana</t>
  </si>
  <si>
    <t>renhyuckarts
ini kalau aku mau nyalain satu
ekspedisi aja supaya pas nganter
barang jg sklian mending jnt apa
sicepat ya? tp kyknya ekspedisinya
jg beda2 tergantung kmna..</t>
  </si>
  <si>
    <t>emyra97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</si>
  <si>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afiqks6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</si>
  <si>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frshahnis_ee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</si>
  <si>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nvrxkmxl_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</si>
  <si>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tengkuharry_
Bodo natang keje selow. Kau ingat
aku beli barang pakai duit mu ke.
Hilang parcel tu. Habis pos laju
aku maki lepas ni. Barang dari
9hb lagi. Eee la. Janji hari tu
sedap tak ikut perangai JNT. Last
last sama je belaka.</t>
  </si>
  <si>
    <t>arziezy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</si>
  <si>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minoccall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</si>
  <si>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jaemjne
@dagangkorea Aku pernahh lewat
pos indonesia</t>
  </si>
  <si>
    <t xml:space="preserve">dagangkorea
</t>
  </si>
  <si>
    <t>shuaevee
@dagangkorea lewat pos indonesia</t>
  </si>
  <si>
    <t>suminnasen
@androom3da WKWKWKWA ANJ tp pake
pos aja ah biar merch postcardnya
kepake sama kali2 pos indonesia
ngerilis perangko gambar un1ty
🥲</t>
  </si>
  <si>
    <t xml:space="preserve">androom3da
</t>
  </si>
  <si>
    <t>mhdaq__
Ni agent aku buka, tu wrap by jnt.
Wehhhh, aku baru nak start niaga
utk anak aku kot. Penat nya… ke
mmg silap aku sbb pos air guna
jnt? Dalam 20botol, 6 je elok…
https://t.co/HpAgIuqynd</t>
  </si>
  <si>
    <t>acha2612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</si>
  <si>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dottlily
ramai yang tanya “ nanti pos tak
rosak ke corndog?” as long as jnt
area awak laju boleh je sebab dia
tahan 1-4 days ! And letak dalam
ice box juga 😋🤍 secure teruk
! 1 pack 10 batang, RM15 exc postage
to Semenanjung Malaysia 🚚 https://t.co/qPj66rqlIX</t>
  </si>
  <si>
    <t>syzira
@AfiqahAmni1 hi awak boleh je pos
shah alam hehe as long as jnt area
awak laju 💓💓💓💓</t>
  </si>
  <si>
    <t>kanimentikong
Menteri Perhubungan Budi Karya
Sumadi melaksanakan peninjauan
langsung ke Pos Lintas Batas Negara
(PLBN) Entikong. "Kita harus memastikan
bahwa tidak ada varian Corona baru
yakni varian MU dan Lamda tidak
masuk ke Indonesia. Kita harus
memastikan WNI yang melintas mendapat</t>
  </si>
  <si>
    <t>kamustikaa
jumat bilang ongkirnya gratis.
kalo tau selama ini mending w bayar
aja ongkirnya, gua bayar dah tu
10k doang tapi dikirim pake jnt/sicepat😡</t>
  </si>
  <si>
    <t>jobtripper
⚡PT Majoo Teknologi Indonesia have
an opening for a Product Owner
POS Fully remote! Based in 🇮🇩
Indonesia https://t.co/G1ha4oRlFn
#remote #ProjectManagement #job
#remotework #remotejobs</t>
  </si>
  <si>
    <t>selebcuit
bisa bikin bumper warna warni ala
pos kota, berani tampil di depan
kamera, pandai berbicara, ini yang
disebut content creator di Indonesia
😅 sungguh beruntung kalian ..</t>
  </si>
  <si>
    <t>alepsss_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</si>
  <si>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kenanga_co
ramai yang tanya “ nanti pos tak
rosak ke corndog?” as long as jnt
area awak laju boleh je sebab dia
tahan 1-4 days ! And letak dalam
ice box juga 😋🤍 secure teruk
! 1 pack 10 batang, RM15 exc postage
to Semenanjung Malaysia 🚚 https://t.co/qPj66rqlIX</t>
  </si>
  <si>
    <t>ronimputra
POSPAY is a digital financial platform
for PT Pos Indonesia, Flaga Media
Asia is trusted by PT Pos Indonesia
to handle and organize all activities
of Rahmat Erwin Abdullah as a brand
Ambassador for POSPAY 2021 Products
#Flagamediaasia #digitalmarketing
#eventorganizer https://t.co/zMvfadcD0D</t>
  </si>
  <si>
    <t>flagamedia
POSPAY is a digital financial platform
for PT Pos Indonesia, Flaga Media
Asia is trusted by PT Pos Indonesia
to handle and organize all activities
of Rahmat Erwin Abdullah as a brand
Ambassador for POSPAY 2021 Products
#Flagamediaasia #digitalmarketing
#eventorganizer https://t.co/zMvfadcD0D</t>
  </si>
  <si>
    <t>romshahrom1
@chlriedes 🤣xde gf ko gi nganga
dengar cerita kat mak nenek onyang
ke jiran sebelah ke jnt pos ke🤣</t>
  </si>
  <si>
    <t xml:space="preserve">chlriedes
</t>
  </si>
  <si>
    <t>seotips_vanprob
POSPAY is a digital financial platform
for PT Pos Indonesia, Flaga Media
Asia is trusted by PT Pos Indonesia
to handle and organize all activities
of Rahmat Erwin Abdullah as a brand
Ambassador for POSPAY 2021 Products
#Flagamediaasia #digitalmarketing
#eventorganizer https://t.co/zMvfadcD0D</t>
  </si>
  <si>
    <t>ehteshambilal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</si>
  <si>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iruuulll__
Emg paling bener pakai sicepat
/ jnt https://t.co/ZTAvVwj0uT</t>
  </si>
  <si>
    <t>liyanaabubakar
Btw i rasa mmg khairulaming dah
ngam sap soi dgn abg2 jnt sbb dah
3 kali I order sambal nyet and
sampai within 3 days lepas pos.
Padahal dari kelantan. I order
brang dri PJ ke SA kadang2 seminggu
bru sampai. https://t.co/u7acux5MKi</t>
  </si>
  <si>
    <t>odhsbnsjhgg
@sygfess Kalo cod tanpa si oren
bisanya baru kantor pos kayaknya,
di jne/t bisanya pke si oren klo
mau cod soalnya dlu prnh tanya
lgs di jnt cmiiw</t>
  </si>
  <si>
    <t xml:space="preserve">sygfess
</t>
  </si>
  <si>
    <t>woshbeom
klo di pos indonesia , paket yg
mau di kirim tuh harus di check
dulu ga si?</t>
  </si>
  <si>
    <t>karantinapdg
@KarantinaPDG adakan coffee morning
yangdihadiri oleh Bea dan Cukai
Teluk Bayur, KSOP Pelabuhan Teluk
Bayur, BKSDA, Otoritas Bandara
Wilayah VI, Kantor Pos Padang,
PT ASDP dan Garuda Indonesia. https://t.co/SfTPrwJSJF</t>
  </si>
  <si>
    <t>mazeruney
@JualanMenfess Aku pernah persis
beginii. Udah seminggu ga gerak
ujung2nya di refund (paket dibalikin
ke aku). Ternyata shippernya salah
taro. Bukannya ke jne tapi malah
ke sicepat😊 coba chat moka aja,
dibantu sm dia nanti</t>
  </si>
  <si>
    <t xml:space="preserve">jualanmenfess
</t>
  </si>
  <si>
    <t>lailaarina_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</si>
  <si>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muzaliii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</si>
  <si>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reshtua
Pos Indonesia gandeng Nikel dan
perkenalkan O-Ranger Mawar. Penandatanganan
kerjasama antara PT Pos Indonesia
dan Nikel dilakukan di Batu, kota
Malang, Jatim pada Jumat,17 Agustus
2021. @jokowi https://t.co/c8x6PaMwdT</t>
  </si>
  <si>
    <t>_antaresh29
Pos Indonesia gandeng Nikel dan
perkenalkan O-Ranger Mawar. Penandatanganan
kerjasama antara PT Pos Indonesia
dan Nikel dilakukan di Batu, kota
Malang, Jatim pada Jumat,17 Agustus
2021. @jokowi https://t.co/c8x6PaMwdT</t>
  </si>
  <si>
    <t>rbonafida
Pos Indonesia gandeng Nikel dan
perkenalkan O-Ranger Mawar. Penandatanganan
kerjasama antara PT Pos Indonesia
dan Nikel dilakukan di Batu, kota
Malang, Jatim pada Jumat,17 Agustus
2021. @jokowi https://t.co/c8x6PaMwdT</t>
  </si>
  <si>
    <t>inewsdotid
Mensos Dorong Pos Indonesia dan
Himbara Kalteng Tuntaskan Penyaluran
Bansos Tunai di Pekan Ketiga September
https://t.co/3ljClOA7xt</t>
  </si>
  <si>
    <t>dearmiyra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</si>
  <si>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aiyudiaa
@urdreamjen Biasanya tuh 10-16
jam itu pake sicepat sama jnt juga
segitu dari bogor, tapi klo dari
bandung pake si cepat juga beneran
cepet bgt cuma 18 jam uda sampe
rumahh skskksk...</t>
  </si>
  <si>
    <t xml:space="preserve">urdreamjen
</t>
  </si>
  <si>
    <t>nrulafiqah17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</si>
  <si>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21anishafizah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</si>
  <si>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pryoung61
@erinajajan Jnt suka gajelas nder
kalau pickup, gapernah dateng kalau
ga di chat kurir jadi mending anter
ke counter ajaa😭 kalau mau pickup
mending sicepat/anteraja itu mau
satu paket/dua pun ttep dipick
up hehe</t>
  </si>
  <si>
    <t xml:space="preserve">erinajajan
</t>
  </si>
  <si>
    <t>pakdembud
@timmymalachi Yawlaaa iyaaaa maaaf
baru Mau ku ballas lagi 😭😭😭
Aku kirim paket ke luar kota sekarang
pakai Wahana, Bang... Kalau agak
terpencil J&amp;amp;T/Pos... Kalau
mau dikirim cepet pakai Paxel Tapi
regularnya pakai Wahana 😁</t>
  </si>
  <si>
    <t xml:space="preserve">timmymalachi
</t>
  </si>
  <si>
    <t>r20250207
@jajanbhlabels kalo mau pickup
mending sicepat sih, kalo jnt gabakal
dipickup sampe lumutan🙂</t>
  </si>
  <si>
    <t xml:space="preserve">jajanbhlabels
</t>
  </si>
  <si>
    <t>nvamjin
@jajanbhlabels kl jnt kudu chat
kurir nder, sicepat aja dia pasti
dateng</t>
  </si>
  <si>
    <t>nblhrsl_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</si>
  <si>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mhdrejab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</si>
  <si>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shaewillow_
@dagangkorea dom kendal jateng,
fee 5k pake kardus. deket jnt jne
sicepat</t>
  </si>
  <si>
    <t>iqo_uwaizzz
Kamu tau kelucuan lanjutan dari
drama maintanance jaringan ini?
Mereka masih sempat berfikir membuat
pengumuman dalam bentuk selebaran
digital. Apa nda kepikiran kalau
mau download gambarnya susah karena
jaringan? Kenapa ga gambarnya kamu
print, terus dikirim pakai Pos
Indonesia?</t>
  </si>
  <si>
    <t>eymaiizeckae_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</si>
  <si>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munirahhh98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</si>
  <si>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lilstayy
WTS SKZ 🇲🇾 ONLY • Felix,Changbin
Jewel PC [SET] - RM38 • Chan Jewel
PC - RM28 • Changbin Red Frame
- RM10 • Seungmin Red Frame - RM12
*cb jewel pc have defect 🖇 Exc
pos (jnt) 🖇 shopeepay/online banking
❌ NO rush postage 📩DM if interested
#pasarskz https://t.co/xZvb38hB1r</t>
  </si>
  <si>
    <t>linorieng
WTS SKZ PC 🇲🇾 ONLY • DS Pc -
RM26 • Lee Know Beret - RM22 •
Han Red - RM20 • Chan, Changbin,
I.N Std PC - RM18 🖇 Exc pos jnt/flexi
🖇 shopeepay/online banking ❌ NO
rush postage 📩DM if interested
#pasarskz https://t.co/AfDTajoVDq</t>
  </si>
  <si>
    <t>bubblestarnoona
WTS SKZ 🇲🇾 ONLY • Felix,Changbin
Jewel PC [SET] - RM38 • Chan Jewel
PC - RM28 • Changbin Red Frame
- RM10 • Seungmin Red Frame - RM12
*cb jewel pc have defect 🖇 Exc
pos (jnt) 🖇 shopeepay/online banking
❌ NO rush postage 📩DM if interested
#pasarskz https://t.co/xZvb38hB1r</t>
  </si>
  <si>
    <t>inlifeu_
WTS SKZ 🇲🇾 ONLY • Felix,Changbin
Jewel PC [SET] - RM38 • Chan Jewel
PC - RM28 • Changbin Red Frame
- RM10 • Seungmin Red Frame - RM12
*cb jewel pc have defect 🖇 Exc
pos (jnt) 🖇 shopeepay/online banking
❌ NO rush postage 📩DM if interested
#pasarskz https://t.co/xZvb38hB1r</t>
  </si>
  <si>
    <t>_ainnabilaa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</si>
  <si>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hanniestar00
WTS SKZ 🇲🇾 ONLY • Felix,Changbin
Jewel PC [SET] - RM38 • Chan Jewel
PC - RM28 • Changbin Red Frame
- RM10 • Seungmin Red Frame - RM12
*cb jewel pc have defect 🖇 Exc
pos (jnt) 🖇 shopeepay/online banking
❌ NO rush postage 📩DM if interested
#pasarskz https://t.co/xZvb38hB1r</t>
  </si>
  <si>
    <t>hanniequokkache
WTS SKZ 🇲🇾 ONLY • Felix,Changbin
Jewel PC [SET] - RM38 • Chan Jewel
PC - RM28 • Changbin Red Frame
- RM10 • Seungmin Red Frame - RM12
*cb jewel pc have defect 🖇 Exc
pos (jnt) 🖇 shopeepay/online banking
❌ NO rush postage 📩DM if interested
#pasarskz https://t.co/xZvb38hB1r</t>
  </si>
  <si>
    <t>alyacoups
WTS SKZ 🇲🇾 ONLY • Felix,Changbin
Jewel PC [SET] - RM38 • Chan Jewel
PC - RM28 • Changbin Red Frame
- RM10 • Seungmin Red Frame - RM12
*cb jewel pc have defect 🖇 Exc
pos (jnt) 🖇 shopeepay/online banking
❌ NO rush postage 📩DM if interested
#pasarskz https://t.co/xZvb38hB1r</t>
  </si>
  <si>
    <t>zulaikanordin_
WTS SKZ 🇲🇾 ONLY • Felix,Changbin
Jewel PC [SET] - RM38 • Chan Jewel
PC - RM28 • Changbin Red Frame
- RM10 • Seungmin Red Frame - RM12
*cb jewel pc have defect 🖇 Exc
pos (jnt) 🖇 shopeepay/online banking
❌ NO rush postage 📩DM if interested
#pasarskz https://t.co/xZvb38hB1r</t>
  </si>
  <si>
    <t>felixismyloveee
WTS SKZ 🇲🇾 ONLY • Felix,Changbin
Jewel PC [SET] - RM38 • Chan Jewel
PC - RM28 • Changbin Red Frame
- RM10 • Seungmin Red Frame - RM12
*cb jewel pc have defect 🖇 Exc
pos (jnt) 🖇 shopeepay/online banking
❌ NO rush postage 📩DM if interested
#pasarskz https://t.co/xZvb38hB1r</t>
  </si>
  <si>
    <t>janjuink
WTS SKZ 🇲🇾 ONLY • Felix,Changbin
Jewel PC [SET] - RM38 • Chan Jewel
PC - RM28 • Changbin Red Frame
- RM10 • Seungmin Red Frame - RM12
*cb jewel pc have defect 🖇 Exc
pos (jnt) 🖇 shopeepay/online banking
❌ NO rush postage 📩DM if interested
#pasarskz https://t.co/xZvb38hB1r</t>
  </si>
  <si>
    <t>sunforyoo
@FantasySepGu94 haah geram la dhl...silap
xmintak seller pos guna jnt..sbb
boleh request tp xingt😢aduh..4
hari gak la cmni..haha..sis beli
binder jugak 😂😂</t>
  </si>
  <si>
    <t xml:space="preserve">fantasysepgu94
</t>
  </si>
  <si>
    <t>cutmeng_backup
@dagangkr Sicepat pasti ngepick
up, bahkan di wa dlu. Klo jnt gaperna
ngepick up klo ga di wa. Makanya
aku mesti kudu wa cs jnt</t>
  </si>
  <si>
    <t>cikiebokkie
WTS SKZ 🇲🇾 ONLY • Felix,Changbin
Jewel PC [SET] - RM38 • Chan Jewel
PC - RM28 • Changbin Red Frame
- RM10 • Seungmin Red Frame - RM12
*cb jewel pc have defect 🖇 Exc
pos (jnt) 🖇 shopeepay/online banking
❌ NO rush postage 📩DM if interested
#pasarskz https://t.co/xZvb38hB1r</t>
  </si>
  <si>
    <t>newstayskz
WTS SKZ 🇲🇾 ONLY • Felix,Changbin
Jewel PC [SET] - RM38 • Chan Jewel
PC - RM28 • Changbin Red Frame
- RM10 • Seungmin Red Frame - RM12
*cb jewel pc have defect 🖇 Exc
pos (jnt) 🖇 shopeepay/online banking
❌ NO rush postage 📩DM if interested
#pasarskz https://t.co/xZvb38hB1r</t>
  </si>
  <si>
    <t>rhyuwanda
BUMN Pos Indonesia membuka lowongan
kerja untuk lulusan SMA yang akan
ditutup sampai 23 September 2021.
Simak di sini persyaratannya. https://t.co/xL4PswA0hY</t>
  </si>
  <si>
    <t>chyuns99
WTS SKZ 🇲🇾 ONLY • Felix,Changbin
Jewel PC [SET] - RM38 • Chan Jewel
PC - RM28 • Changbin Red Frame
- RM10 • Seungmin Red Frame - RM12
*cb jewel pc have defect 🖇 Exc
pos (jnt) 🖇 shopeepay/online banking
❌ NO rush postage 📩DM if interested
#pasarskz https://t.co/xZvb38hB1r</t>
  </si>
  <si>
    <t>fais_mohder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</si>
  <si>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yellowlixeu
WTS SKZ 🇲🇾 ONLY • Felix,Changbin
Jewel PC [SET] - RM38 • Chan Jewel
PC - RM28 • Changbin Red Frame
- RM10 • Seungmin Red Frame - RM12
*cb jewel pc have defect 🖇 Exc
pos (jnt) 🖇 shopeepay/online banking
❌ NO rush postage 📩DM if interested
#pasarskz https://t.co/xZvb38hB1r</t>
  </si>
  <si>
    <t>nur_alisyaaa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</si>
  <si>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saifull04800784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</si>
  <si>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jierahrsli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</si>
  <si>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qwertyahsksk
WTS SKZ 🇲🇾 ONLY • Felix,Changbin
Jewel PC [SET] - RM38 • Chan Jewel
PC - RM28 • Changbin Red Frame
- RM10 • Seungmin Red Frame - RM12
*cb jewel pc have defect 🖇 Exc
pos (jnt) 🖇 shopeepay/online banking
❌ NO rush postage 📩DM if interested
#pasarskz https://t.co/xZvb38hB1r</t>
  </si>
  <si>
    <t>sevngjinluvr
WTS SKZ 🇲🇾 ONLY • Felix,Changbin
Jewel PC [SET] - RM38 • Chan Jewel
PC - RM28 • Changbin Red Frame
- RM10 • Seungmin Red Frame - RM12
*cb jewel pc have defect 🖇 Exc
pos (jnt) 🖇 shopeepay/online banking
❌ NO rush postage 📩DM if interested
#pasarskz https://t.co/xZvb38hB1r</t>
  </si>
  <si>
    <t>gembrit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</si>
  <si>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amwidyou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</si>
  <si>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kabigon89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</si>
  <si>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m_sael
J&amp;amp;T? Emang problematik itu
kurir. Ternyata krn masalah penggajian
toh Belom sempat ngumpulin trust
kayak JNE/Tiki, udah mulai kesalip
marketnya sama sicepat https://t.co/cTR3cC0DC0</t>
  </si>
  <si>
    <t>khan0348700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</si>
  <si>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_chrisnini
WTS Black frame changbin, i.n:
rm8 each ds: rm22 each normal pc:
rm20 each i.n nacific: rm15 (excl
pos) Jnt- wm: rm8 - em: rm14 Postage
on thursday Help me clear my extras🥺
#pasarSKZ https://t.co/hU7Tw2eAyd</t>
  </si>
  <si>
    <t>jiniretselling
WTS Black frame changbin, i.n:
rm8 each ds: rm22 each normal pc:
rm20 each i.n nacific: rm15 (excl
pos) Jnt- wm: rm8 - em: rm14 Postage
on thursday Help me clear my extras🥺
#pasarSKZ https://t.co/hU7Tw2eAyd</t>
  </si>
  <si>
    <t>jiniretsmole
WTS Black frame changbin, i.n:
rm8 each ds: rm22 each normal pc:
rm20 each i.n nacific: rm15 (excl
pos) Jnt- wm: rm8 - em: rm14 Postage
on thursday Help me clear my extras🥺
#pasarSKZ https://t.co/hU7Tw2eAyd</t>
  </si>
  <si>
    <t>_h0wling_
WTS Black frame changbin, i.n:
rm8 each ds: rm22 each normal pc:
rm20 each i.n nacific: rm15 (excl
pos) Jnt- wm: rm8 - em: rm14 Postage
on thursday Help me clear my extras🥺
#pasarSKZ https://t.co/hU7Tw2eAyd</t>
  </si>
  <si>
    <t>aimonogatari_
@xylonj_ Pake POS bisa, pake JNE
bisaa</t>
  </si>
  <si>
    <t xml:space="preserve">xylonj_
</t>
  </si>
  <si>
    <t>abdulre26789541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</si>
  <si>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parvinabasi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</si>
  <si>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cranberiesh
Maap sicepat, idxpress, sma jnt
ak tidak mau pake lagi😭🥲</t>
  </si>
  <si>
    <t>leenoninxx
WTS Black frame changbin, i.n:
rm8 each ds: rm22 each normal pc:
rm20 each i.n nacific: rm15 (excl
pos) Jnt- wm: rm8 - em: rm14 Postage
on thursday Help me clear my extras🥺
#pasarSKZ https://t.co/hU7Tw2eAyd</t>
  </si>
  <si>
    <t>stayeri1
WTS Black frame changbin, i.n:
rm8 each ds: rm22 each normal pc:
rm20 each i.n nacific: rm15 (excl
pos) Jnt- wm: rm8 - em: rm14 Postage
on thursday Help me clear my extras🥺
#pasarSKZ https://t.co/hU7Tw2eAyd</t>
  </si>
  <si>
    <t>alikmrdnn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</si>
  <si>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pln_123
@Jahja81285550 @IndiHome Hi Kak,
pembayaran tagihan rekening dapat
melalui ATM, PT POS Indonesia atau
Alfamart dan Indomaret ya. Tks
-zulmi</t>
  </si>
  <si>
    <t xml:space="preserve">anissaherdian
</t>
  </si>
  <si>
    <t xml:space="preserve">indihome
</t>
  </si>
  <si>
    <t xml:space="preserve">jahja81285550
</t>
  </si>
  <si>
    <t>ivonnnn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</si>
  <si>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4v0cado1
@lovlypjs_ @Breadeujinnie @sshmyyy
Haihh takut nk guna jnt dh sebelum
ni takut nk guna pos laju sebab
dorg suka peram brg 😭</t>
  </si>
  <si>
    <t xml:space="preserve">sshmyyy
</t>
  </si>
  <si>
    <t xml:space="preserve">breadeujinnie
</t>
  </si>
  <si>
    <t xml:space="preserve">lovlypjs_
</t>
  </si>
  <si>
    <t>bknsquare
Follow @Coltliq90 || Pos Indonesia
Jobs: Oranger Loket https://t.co/fIeCtHgMVG</t>
  </si>
  <si>
    <t>oyehero4200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</si>
  <si>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malangdorn1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</si>
  <si>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fatemeh50692110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</si>
  <si>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bangqiha
WTS Black frame changbin, i.n:
rm8 each ds: rm22 each normal pc:
rm20 each i.n nacific: rm15 (excl
pos) Jnt- wm: rm8 - em: rm14 Postage
on thursday Help me clear my extras🥺
#pasarSKZ https://t.co/hU7Tw2eAyd</t>
  </si>
  <si>
    <t>skzanddstay
WTS Black frame changbin, i.n:
rm8 each ds: rm22 each normal pc:
rm20 each i.n nacific: rm15 (excl
pos) Jnt- wm: rm8 - em: rm14 Postage
on thursday Help me clear my extras🥺
#pasarSKZ https://t.co/hU7Tw2eAyd</t>
  </si>
  <si>
    <t>ponilempar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</si>
  <si>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theblsss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</si>
  <si>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siskaaudhina
keren banget ngirim paket pake
Pos Indonesia. minggu sore kirim,
bolakbalik cek resi paket ga gerak
samsek. ga curiga sih, mikirku
karena hari minggu, eh sore ini
tadi udah sampe ke penerima. padahal
di Pangkalan Bun🙂 24 jam Jogja-Kalteng,
ajaib sih ini. masih bingung. kok
bisa</t>
  </si>
  <si>
    <t>wolfzenluv
WTS SKZ 🇲🇾 ONLY • Felix,Changbin
Jewel PC [SET] - RM38 • Chan Jewel
PC - RM28 • Changbin Red Frame
- RM10 • Seungmin Red Frame - RM12
*cb jewel pc have defect 🖇 Exc
pos (jnt) 🖇 shopeepay/online banking
❌ NO rush postage 📩DM if interested
#pasarskz https://t.co/xZvb38hB1r</t>
  </si>
  <si>
    <t>kotamagetan_
Forum Industri Kecil Menengah Jawa
Timur Wilayah Magetan dan PT. Pos
Indonesia Cabang #Magetan Bersama-sama
Menjemput Cahaya Terang https://t.co/BD8VoQZc81</t>
  </si>
  <si>
    <t>mahdibagheli1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</si>
  <si>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yanup77
Selamat ulang tahun ke-275 PT Pos
Indonesia (Persero) @PosIndonesia,
semoga sukses menjadi postal operator,
penyedia jasa kurir, logistik,
dan keuangan paling kompetitif.
#DigitalBisa #UntukIndonesiaLebihBaik
https://t.co/mAF5n8bNNz</t>
  </si>
  <si>
    <t xml:space="preserve">posindonesia
</t>
  </si>
  <si>
    <t>telkomindonesia
Sobat, peringatan Hari Bakti Postel
dilatari sejarah perjuangan pahlawan
Angkatan Muda Pos, Telegrap dan
Telepon (AMPTT) yang merebut jawatan
PTT dari tentara Jepang saat itu,
yang membuat Pos dan Telekomunikasi
Indonesia dapat berjalan dan berkembang
hingga hari ini. https://t.co/X2R9DcN1Q1</t>
  </si>
  <si>
    <t>gustavog22
Koeman acaba de dizer na coletiva
pós jogo que não tem como fazer
esse Barcelona jogar o Tiki Taki.
Esse cara é foda.</t>
  </si>
  <si>
    <t>ikertxu_cero8
Lo de Tiki Taki lo ha dicho así
como cuando de pequeño te enfadabas
con tu primo que le gustaba jugar
al PES y lo llamabas POS creyendo
que le ofendías y solo quedabas
como gilipollas.</t>
  </si>
  <si>
    <t>alifmuamin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</si>
  <si>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alyssaaudy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</si>
  <si>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cheesychoc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</si>
  <si>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ko2w
Book Depository gak nyampe itu
salah Kantor Pos Indonesia bukan
ya?</t>
  </si>
  <si>
    <t>eljohnfmpku
Sahabat El John, ikuti #SpecialTalkShow
POSPAY bersama PT. Pos Indonesia
dengan narasumber Bapak Teddy Kurniawan,
selaku Executive General Manager
KCU Pekanbaru, PT. Pos Indonesia
Wilayah Riau. Selasa, 21 September
2021, mulai jam 1 siang, hanya
di Radio El John 102.6 FM. https://t.co/5rIXVp0HbT</t>
  </si>
  <si>
    <t>mcrkluv
wts lfb 🇲🇾 chenle boring ver
pc rm27 exc pos -still can nego
-please adopt him ㅠㅠ -dm for more
info !! accept shopeepay rm6 em
/ rm10 wm (jnt) #pasarNCT</t>
  </si>
  <si>
    <t>hazirahbodo
wts lfb 🇲🇾 chenle boring ver
pc rm27 exc pos -still can nego
-please adopt him ㅠㅠ -dm for more
info !! accept shopeepay rm6 em
/ rm10 wm (jnt) #pasarNCT</t>
  </si>
  <si>
    <t>fiyybby_
Astaghfirullah nyeri,emg gaberes
nih jnt semoga sicepat fine" aja:"
gilasih https://t.co/FUSPgb3hPo</t>
  </si>
  <si>
    <t>gorugodore
@fiyybby_ iya aku juga suka tuh
sicepat sama anteraja, malah akhir2
ini jne bagus</t>
  </si>
  <si>
    <t>yuniyunayy
@sicepat_ekspres Mantap min, banyakin
diskon2 utk kirim ke daerah Indonesia
Timur dong hihi</t>
  </si>
  <si>
    <t>sicepat_ekspres
BEST(Besok Sampai Tujuan) mengutamakan
kecepatan, kepastian dan keamanan
pengiriman dengan jangkauan pengiriman
ke kota-kota besar di Indonesia.
Kirim paket kamu sebelum pukul
18:00 dengan BEST, paket akan sampai
diesok hari, termasuk hari minggu
dan hari libur nasional. https://t.co/0cFevE0XKV</t>
  </si>
  <si>
    <t>_daisybea17
Haiyaaa pos laju ngan jnt tok polah
aku mlas nak berbisness</t>
  </si>
  <si>
    <t>ainulyakin1003
Selamat HARI SANTRI 2021 Santri
siap menjadi pengisi dari beberapa
pos kekuatan yang kosong untuk
menjadikan Bangsa Indonesia menjadi
bangsa yang lebih mandiri serta
berdedikasi. @mahdikherid @amrudinnejad__
@ephanc_cc @YaqutCQoumas @gusmusgusmu
#SantriSiagaJiwaRaga https://t.co/hPCfa9HASm</t>
  </si>
  <si>
    <t xml:space="preserve">gusmusgusmu
</t>
  </si>
  <si>
    <t xml:space="preserve">yaqutcqoumas
</t>
  </si>
  <si>
    <t xml:space="preserve">ephanc_cc
</t>
  </si>
  <si>
    <t xml:space="preserve">amrudinnejad__
</t>
  </si>
  <si>
    <t xml:space="preserve">mahdikherid
</t>
  </si>
  <si>
    <t>eonsirtus
Selamat HARI SANTRI 2021 Santri
siap menjadi pengisi dari beberapa
pos kekuatan yang kosong untuk
menjadikan Bangsa Indonesia menjadi
bangsa yang lebih mandiri serta
berdedikasi. @mahdikherid @amrudinnejad__
@ephanc_cc @YaqutCQoumas @gusmusgusmu
#SantriSiagaJiwaRaga https://t.co/hPCfa9HASm</t>
  </si>
  <si>
    <t>banserblitar
Selamat HARI SANTRI 2021 Santri
siap menjadi pengisi dari beberapa
pos kekuatan yang kosong untuk
menjadikan Bangsa Indonesia menjadi
bangsa yang lebih mandiri serta
berdedikasi. @mahdikherid @amrudinnejad__
@ephanc_cc @YaqutCQoumas @gusmusgusmu
#SantriSiagaJiwaRaga https://t.co/hPCfa9HASm</t>
  </si>
  <si>
    <t>harir16191604
Selamat HARI SANTRI 2021 Santri
siap menjadi pengisi dari beberapa
pos kekuatan yang kosong untuk
menjadikan Bangsa Indonesia menjadi
bangsa yang lebih mandiri serta
berdedikasi. @mahdikherid @amrudinnejad__
@ephanc_cc @YaqutCQoumas @gusmusgusmu
#SantriSiagaJiwaRaga https://t.co/hPCfa9HASm</t>
  </si>
  <si>
    <t>kariadi_tv
Selamat HARI SANTRI 2021 Santri
siap menjadi pengisi dari beberapa
pos kekuatan yang kosong untuk
menjadikan Bangsa Indonesia menjadi
bangsa yang lebih mandiri serta
berdedikasi. @mahdikherid @amrudinnejad__
@ephanc_cc @YaqutCQoumas @gusmusgusmu
#SantriSiagaJiwaRaga https://t.co/hPCfa9HASm</t>
  </si>
  <si>
    <t>novisherliana
Selamat HARI SANTRI 2021 Santri
siap menjadi pengisi dari beberapa
pos kekuatan yang kosong untuk
menjadikan Bangsa Indonesia menjadi
bangsa yang lebih mandiri serta
berdedikasi. @mahdikherid @amrudinnejad__
@ephanc_cc @YaqutCQoumas @gusmusgusmu
#SantriSiagaJiwaRaga https://t.co/hPCfa9HASm</t>
  </si>
  <si>
    <t>arifrah90154134
Selamat HARI SANTRI 2021 Santri
siap menjadi pengisi dari beberapa
pos kekuatan yang kosong untuk
menjadikan Bangsa Indonesia menjadi
bangsa yang lebih mandiri serta
berdedikasi. @mahdikherid @amrudinnejad__
@ephanc_cc @YaqutCQoumas @gusmusgusmu
#SantriSiagaJiwaRaga https://t.co/hPCfa9HASm</t>
  </si>
  <si>
    <t>ansoermansoer
Selamat HARI SANTRI 2021 Santri
siap menjadi pengisi dari beberapa
pos kekuatan yang kosong untuk
menjadikan Bangsa Indonesia menjadi
bangsa yang lebih mandiri serta
berdedikasi. @mahdikherid @amrudinnejad__
@ephanc_cc @YaqutCQoumas @gusmusgusmu
#SantriSiagaJiwaRaga https://t.co/hPCfa9HASm</t>
  </si>
  <si>
    <t>jnedepok_id
Mau kirim barang wajib cantumkan
ALAMAT LENGKAP sertakan KODE POS
&amp;amp; NOMOR AKTIF pengirim &amp;amp;
penerima, jangan sampai salah yaah
#JNE</t>
  </si>
  <si>
    <t>choliqlz
Selamat HARI SANTRI 2021 Santri
siap menjadi pengisi dari beberapa
pos kekuatan yang kosong untuk
menjadikan Bangsa Indonesia menjadi
bangsa yang lebih mandiri serta
berdedikasi. @mahdikherid @amrudinnejad__
@ephanc_cc @YaqutCQoumas @gusmusgusmu
#SantriSiagaJiwaRaga https://t.co/hPCfa9HASm</t>
  </si>
  <si>
    <t>aimalfaruq_zaim
Selamat HARI SANTRI 2021 Santri
siap menjadi pengisi dari beberapa
pos kekuatan yang kosong untuk
menjadikan Bangsa Indonesia menjadi
bangsa yang lebih mandiri serta
berdedikasi. @mahdikherid @amrudinnejad__
@ephanc_cc @YaqutCQoumas @gusmusgusmu
#SantriSiagaJiwaRaga https://t.co/hPCfa9HASm</t>
  </si>
  <si>
    <t>farobiz
Selamat HARI SANTRI 2021 Santri
siap menjadi pengisi dari beberapa
pos kekuatan yang kosong untuk
menjadikan Bangsa Indonesia menjadi
bangsa yang lebih mandiri serta
berdedikasi. @mahdikherid @amrudinnejad__
@ephanc_cc @YaqutCQoumas @gusmusgusmu
#SantriSiagaJiwaRaga https://t.co/hPCfa9HASm</t>
  </si>
  <si>
    <t>ansorkotakediri
Selamat HARI SANTRI 2021 Santri
siap menjadi pengisi dari beberapa
pos kekuatan yang kosong untuk
menjadikan Bangsa Indonesia menjadi
bangsa yang lebih mandiri serta
berdedikasi. @mahdikherid @amrudinnejad__
@ephanc_cc @YaqutCQoumas @gusmusgusmu
#SantriSiagaJiwaRaga https://t.co/hPCfa9HASm</t>
  </si>
  <si>
    <t>a88ytjhan88
@KantorPosJKB kalo barang ketinggalan
di indonesia mau invoice dari mana?
Sulap?? Buat surat keterangan bahasa
inggris, emang yg kerja di kantor
pos bisa bahasa inggris?? Indonesia
ini aneh gak ada invoice malah
hrs menyiapkan “invoice palsu”</t>
  </si>
  <si>
    <t xml:space="preserve">kantorposjkb
</t>
  </si>
  <si>
    <t>padangjobs_id
Lowongan Kerja Sumbar PT Pos Indonesia
(Persero) September 2021 https://t.co/alSgPkof9m</t>
  </si>
  <si>
    <t>471_eb
Selamat HARI SANTRI 2021 Santri
siap menjadi pengisi dari beberapa
pos kekuatan yang kosong untuk
menjadikan Bangsa Indonesia menjadi
bangsa yang lebih mandiri serta
berdedikasi. @mahdikherid @amrudinnejad__
@ephanc_cc @YaqutCQoumas @gusmusgusmu
#SantriSiagaJiwaRaga https://t.co/hPCfa9HASm</t>
  </si>
  <si>
    <t>atikahlahhh
Aku jual air ICE TEA. Htr agent
dekat Selangor. Total 20botol.
Yg selamat cuma 6botol. Aku pos
kat lain semua selamat sbb aku
wrap pakai buble wrap aku. Tapi
yg agent ni jnt buka dia wrap pakai
buble wrap dia. Sampai kt agent
hancur weh🥲🥲🥲total air ni boleh
beli susu anak aku https://t.co/eC3yIcvxcs</t>
  </si>
  <si>
    <t>jaimahmembara_
Selamat HARI SANTRI 2021 Santri
siap menjadi pengisi dari beberapa
pos kekuatan yang kosong untuk
menjadikan Bangsa Indonesia menjadi
bangsa yang lebih mandiri serta
berdedikasi. @mahdikherid @amrudinnejad__
@ephanc_cc @YaqutCQoumas @gusmusgusmu
#SantriSiagaJiwaRaga https://t.co/hPCfa9HASm</t>
  </si>
  <si>
    <t>kompaskerja
Lowongan Kerja Minimal SMA/Sederajat
PT Pos Indonesia (BUMN) September
2021 https://t.co/tjzCsGQnOD</t>
  </si>
  <si>
    <t>astronphile
@GGSell_fess Oalah jnt, kukira
sicepat.. Paket aku ada yg begitu,
kayaknya lg disortir nder. Pas
dicek resi gaada kelanjutan, tau2
dah sampe rumah..</t>
  </si>
  <si>
    <t xml:space="preserve">ggsell_fess
</t>
  </si>
  <si>
    <t>ydwsgf
Gercep bgt pesanan ke rumah juga
langsung dikirim, hari ini dapet
2 paket anteraja semua tp datengnya
satu satu, kalo sicepat sm jnt
dulu barengan dianternya ke rumah
pas udah soree</t>
  </si>
  <si>
    <t>gondron13473091
Selamat HARI SANTRI 2021 Santri
siap menjadi pengisi dari beberapa
pos kekuatan yang kosong untuk
menjadikan Bangsa Indonesia menjadi
bangsa yang lebih mandiri serta
berdedikasi. @mahdikherid @amrudinnejad__
@ephanc_cc @YaqutCQoumas @gusmusgusmu
#SantriSiagaJiwaRaga https://t.co/hPCfa9HASm</t>
  </si>
  <si>
    <t>woozisparks
@bertanyarl Kalo jnt biasanya doi
hrs ngechat kurirnya duku br bisa
di pickup. Kl sicepat langsung
aja gamake chat</t>
  </si>
  <si>
    <t>baratropot
Sudah isi isi kelengkapan terjebak
di pembayaran virtual account yg
harus pake bank BNI..😁😁.. biaya
perpanjang sim C 75rb + ongkos
kirim pos indonesia 25rb..</t>
  </si>
  <si>
    <t>butterflyyyyy02
#grabexpress #gosend #shopee #anteraja
#ninjaexpress #jne #jnt #sicepat
#tiki #kantorpos #kurir</t>
  </si>
  <si>
    <t>dasterhejo
@pos_indonesia @posindonesia279
@PosIndo ayolah tertibkan prokes
ditempat kerjanya. CC : @erickthohir
ada yg bandel dg prokes https://t.co/LJ38CeRVvM</t>
  </si>
  <si>
    <t xml:space="preserve">posindonesia279
</t>
  </si>
  <si>
    <t xml:space="preserve">posindo
</t>
  </si>
  <si>
    <t>pos_indonesia
Education's purpose is to replace
an empty mind with an open one.</t>
  </si>
  <si>
    <t>biowan3254
Pesanan dari aliexpress nyampe
juga. 1 bulan. Ngaret di pos indonesia
yaa ampe harus dijemput sendiri
karna barang gak gerak2 dr hari
jumat. Total tebus 20 rb pajak
+ biaya admin pos 10 rb 🙄 Tapi
begitu liat isi bukunya auto happy
cz itsa succulent, baby!! 😍 https://t.co/BhXEjCszGg</t>
  </si>
  <si>
    <t>anisofeaaaaaa
Hari aku takdak mood la semua org
nak call pakcik makcik abg jnt
abg pos laju abg dhl ayoooo</t>
  </si>
  <si>
    <t>cixbaely
WTS SKZ 🇲🇾 ONLY • Felix,Changbin
Jewel PC [SET] - RM38 • Chan Jewel
PC - RM28 • Changbin Red Frame
- RM10 • Seungmin Red Frame - RM12
*cb jewel pc have defect 🖇 Exc
pos (jnt) 🖇 shopeepay/online banking
❌ NO rush postage 📩DM if interested
#pasarskz https://t.co/xZvb38hB1r</t>
  </si>
  <si>
    <t>gesuriid
Ketua Komisi V DPR RI Lasarus mengatakan,
Pos Lintas Batas Negara (PLBN)
seperti di Aruk Kabupaten Sambas
dan PLBN Entikong merupakan titik
penting dalam upaya memutus rantai
penyebaran COVID-19 dari luar wilayah
Indonesia. https://t.co/2e9EM3bVPT
#pdiperjuangan</t>
  </si>
  <si>
    <t>festifiki
Biasanya pake jasa jnt, jne, sicepat,
kantor pos gak pernah kecewa. Ini
nyoba pake jasa @anteraja_id gilaaaa
lama bgt</t>
  </si>
  <si>
    <t xml:space="preserve">anteraja_id
</t>
  </si>
  <si>
    <t>eunoiahoon
@forjayyeon weverse bisa pake opsi
j&amp;amp;t sicepat jne 😭</t>
  </si>
  <si>
    <t xml:space="preserve">forjayyeon
</t>
  </si>
  <si>
    <t>kemlu_ri
2. Terutama dlm mendukung konektivitas
&amp;amp; pembangunan di Indonesia
melalui layanan pos. Sebagai anggota
POC, Indonesia berhak untuk memperjuangkan
kepentingan pos nasional, agar
dapat diakomodasi oleh UPU. Selengkapnya
https://t.co/uTCYv56Crg #IndonesiaUntukDunia
#IniDiplomasi https://t.co/3I96k7Qqy0</t>
  </si>
  <si>
    <t>zakierivaldi
2. Terutama dlm mendukung konektivitas
&amp;amp; pembangunan di Indonesia
melalui layanan pos. Sebagai anggota
POC, Indonesia berhak untuk memperjuangkan
kepentingan pos nasional, agar
dapat diakomodasi oleh UPU. Selengkapnya
https://t.co/uTCYv56Crg #IndonesiaUntukDunia
#IniDiplomasi https://t.co/3I96k7Qqy0</t>
  </si>
  <si>
    <t>ljtzys
skrg jnt dah super laju. semalam
pos hari ni sampai. poslaju pun
sama laju jugak. mcm ni shopping
pun best 😂</t>
  </si>
  <si>
    <t>sdnagr
To πολύ το... τίκι-τάκι (ή πως
κάνεις τον Πικέ σέντερ φορ για
να πάρεις βαθμό με τη Γρανάδα)
https://t.co/z2rOQyqitt</t>
  </si>
  <si>
    <t>budiatnogr
@FerdinandHaean3 Sebelum ngelapor
paling sampe pos penjagan dia disuruh
menyanyikan lagu Indonesia Raya
bang 😅🤣😆</t>
  </si>
  <si>
    <t xml:space="preserve">ferdinandhaean3
</t>
  </si>
  <si>
    <t>wickysky_
@ndhrahzaidi jnt ni pelik tau ada
sekali tu pos pc 7.30 je tau2 smlm
8.50 dia igt kelakar ke😭</t>
  </si>
  <si>
    <t xml:space="preserve">ndhrahzaidi
</t>
  </si>
  <si>
    <t>kucingduakepala
@zainulazrii Lom msuk 2 mnggu gk
la, sminggu gia dh, hri ke 5 bok
kede ya pos, nak nunggu gk dh k
jnt!!</t>
  </si>
  <si>
    <t xml:space="preserve">zainulazrii
</t>
  </si>
  <si>
    <t>bcpasarbaru
@setianiary_ Selamat sore Kak.
Baik, apakah yang dimaksud adalah
reekspor ke negara asal? Jika ya,
untuk pengajuan permohonan reekspor
dapat ke lantai 1 Blok B, Gedung
Pos Indonesia Jakarta Pusat. Trims
~zia</t>
  </si>
  <si>
    <t xml:space="preserve">setianiary_
</t>
  </si>
  <si>
    <t>pascallen_
@scralachtica @CommuterLine Kalo
logiknya gini, pegawai pos Indonesia
ngga boleh ngirim surat lewat pos
Indonesia ya?</t>
  </si>
  <si>
    <t xml:space="preserve">commuterline
</t>
  </si>
  <si>
    <t xml:space="preserve">scralachtica
</t>
  </si>
  <si>
    <t>rizkamarhani
halo min @bravobeacukai saya sudah
melunasi pajaknya di Tokopedia,
untuk resi sambungan ke POS Indonesia
itu ceknya di mana ya? Soalnya
saya udah pakai 2 nomor resi pengiriman
sebelumnya, nomor resi tidak valid
:( https://t.co/U8W59LSNEf</t>
  </si>
  <si>
    <t>bravobeacukai
@for__DY jika menggunakan jasa
EMS/ pos indonesia silakan konfirmasi
ke call center 1500161 kak, karena
mereka yg menentukan akan proses
clearence ke kantor beacukai yg
mana. ~dnp</t>
  </si>
  <si>
    <t>bagheli1plus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</si>
  <si>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anaknda_
@kasihrindu19 Tq mekda 😭😭😭 Mohon
abg Jnt pos yang ni kat sis 😆😆🤣🤣🤣
Mekda makankan untuk sis 🤣</t>
  </si>
  <si>
    <t xml:space="preserve">kasihrindu19
</t>
  </si>
  <si>
    <t>greysavyor
@bertanyarl normal si, enakan pake
sicepat soalnya beneran cepet,
jnt nomer 2, jne skip lah</t>
  </si>
  <si>
    <t>yuuutzh_
@sellkpopfess Nder dm aku sini
lagi butuh banget, aku bisa jadi
admin rekap sama admin packing,
rumah deket sicepat,jnt,jne,id
express, aku dom semarang, aku
juga udah kebiasaan packing barang</t>
  </si>
  <si>
    <t xml:space="preserve">sellkpopfess
</t>
  </si>
  <si>
    <t>blvckalter
@TahuKukus_ Mau kirim lewat apa?
Jne? Jnt? Sicepat?</t>
  </si>
  <si>
    <t xml:space="preserve">tahukukus_
</t>
  </si>
  <si>
    <t>teeuhaa
SEUNGKWAN HENGGARAE PC 🖇️ RM26
exc pos 🌟 freebies 🖇️ RM8 (jnt
only) 🖇️ no rush postage due to
work :) 🖇️ strictly no backout
hmu while u can #pasarSVT #pasarkpop
@GEROBOKSVT_MY @svtmarketmy @svtradingmy
@SVTRADEMY @SVTTRADINGMY help rt
thank you~ https://t.co/OI9OVwkNwH
https://t.co/tisLR6IjXj</t>
  </si>
  <si>
    <t xml:space="preserve">svttradingmy
</t>
  </si>
  <si>
    <t xml:space="preserve">svtrademy
</t>
  </si>
  <si>
    <t xml:space="preserve">svtradingmy
</t>
  </si>
  <si>
    <t xml:space="preserve">svtmarketmy
</t>
  </si>
  <si>
    <t xml:space="preserve">geroboksvt_my
</t>
  </si>
  <si>
    <t>masyarakatradio
@ib_ost @BudiPra87870630 @PosIndo
Udah saya skrinsut dan kirim ke
whatsapp pribadi direksi @posindo
(Dir Keu) Semoga ditindaklanjuti
untuk keselamatan bersama dan kebaikan
PT POS Indonesia yang kita cintai
🙏</t>
  </si>
  <si>
    <t>ib_ost
@ib_ost @BudiPra87870630 @PosIndo
Udah saya skrinsut dan kirim ke
whatsapp pribadi direksi @posindo
(Dir Keu) Semoga ditindaklanjuti
untuk keselamatan bersama dan kebaikan
PT POS Indonesia yang kita cintai
🙏</t>
  </si>
  <si>
    <t xml:space="preserve">budipra87870630
</t>
  </si>
  <si>
    <t>kalonginsomnia
Oke ternyata : ninja, jne sama
sicepat. Sama sama 4 hari kalau
dari bekasi ke salatiga. Semua
udah aku cobain 😅</t>
  </si>
  <si>
    <t>almahendraf
21 sept 2021 hari jadi komunitas
postcrossing indonesia ke 10 tahun.
Seneng bisa join di komunitas kartu
pos ini belajar banyak hal juga.
Cuma sayang di masa pandemi jadi
kurang intensitas buat berkirim
kartu pos lagi. Kenangan foto beberapa
tahun lalu. #postcrossing https://t.co/5kaCvPo1aW</t>
  </si>
  <si>
    <t>niizaaar
Ada yg pernah kirim2 barang ke
Dubai engga yah? Mahal bgt pake
pos Indonesia</t>
  </si>
  <si>
    <t>milkycocho
guysss lebih cepet jnt apa sicepat???</t>
  </si>
  <si>
    <t>anwarashburn
@nasibujangg @ShopeeMY Bad aku
hari2 pos guna jnt esok nya mesti
sampai. The quickest la kalau courier
lain ni taktau la</t>
  </si>
  <si>
    <t xml:space="preserve">shopeemy
</t>
  </si>
  <si>
    <t xml:space="preserve">nasibujangg
</t>
  </si>
  <si>
    <t>jjkthygie
still scared to using other than
pos indonesia 🙃</t>
  </si>
  <si>
    <t>jekeyy1201
@jajanbhlabels rmh ku dket eskpedisi
jnt&amp;amp;sicepat</t>
  </si>
  <si>
    <t>dw_sardjono
Bismillah Ijin Lapak Tweeps🙏 Harga
Promo Bibit Kunyit Hitam (kaempferia
parviflora) Untuk minggu ini. 1
paket isi 2 bibit polibag Hanya
150k belum ongkir. Total ada 10
paket (sementara ini) Pengiriman
Luar P. Jawa via Tiki dan Pos.
Monggo..Order bisa DM 🙏 Ijin RT
Gais https://t.co/MZxJ2xDCB5</t>
  </si>
  <si>
    <t>andrifigfarm
Bismillah Ijin Lapak Tweeps🙏 Harga
Promo Bibit Kunyit Hitam (kaempferia
parviflora) Untuk minggu ini. 1
paket isi 2 bibit polibag Hanya
150k belum ongkir. Total ada 10
paket (sementara ini) Pengiriman
Luar P. Jawa via Tiki dan Pos.
Monggo..Order bisa DM 🙏 Ijin RT
Gais https://t.co/MZxJ2xDCB5</t>
  </si>
  <si>
    <t>widddigidaw
@menfesssyg Bisa nder, setauku
pos indonesia sm j&amp;amp;t ada sistem
cod</t>
  </si>
  <si>
    <t xml:space="preserve">menfesssyg
</t>
  </si>
  <si>
    <t>95tdoongz
@restbuy walaupun gua sering pake
jnt, sicepat lebih cepet</t>
  </si>
  <si>
    <t xml:space="preserve">restbuy
</t>
  </si>
  <si>
    <t>putr4sj
Bantuan dalam program BST @KemensosRI
dicairkan dengan menggunakan beberapa
cara, antara lain melalui Kantor
Pos Indonesia dan beberapa bank.
Cek rekening siapa tahu dapat program
BST https://t.co/59OxOUsAlQ https://t.co/2VJ95BWmKY</t>
  </si>
  <si>
    <t xml:space="preserve">kemensosri
</t>
  </si>
  <si>
    <t>mktbhbooks
Dapatkan buku ni untuk tau variasi
bacaan2 dalam solat. Buku poket,
bahasa indonesia mudah. Cuma RM4.00
saja tak termasuk pos. Bagus juga
kalau bagi pada keluarga dan kawan2.
Pertanyaan/Pembelian/Waqaf: https://t.co/G6zxYkPLX7
https://t.co/vQtGvPiIfj</t>
  </si>
  <si>
    <t>pinknjill
@bertanyarl Pos aja, soalnya kalo
jnt sicepat bakal ditolak Kecuali
kamu bohong soal isi paketnya,
tp kalo knp2 mereka ga akan tanggung
jawab</t>
  </si>
  <si>
    <t>_dwinand
gw jg bisa kalo cuman ngepos dpt
kiriman barang tiap hari, dari
grebfud dari gofud dari jne, jnt,
sicepat, dari belanja online, captionnya
yg kaya "makasih yaaa bestie akuuuu
@ sikampret kirimannyaa kebetulan
banget lagi butuh iniii yaampuun
kamu tau aja, luvvv pokoknya" https://t.co/lTOMqqbfH6</t>
  </si>
  <si>
    <t>ahjoss10
Bismillah Ijin Lapak Tweeps🙏 Harga
Promo Bibit Kunyit Hitam (kaempferia
parviflora) Untuk minggu ini. 1
paket isi 2 bibit polibag Hanya
150k belum ongkir. Total ada 10
paket (sementara ini) Pengiriman
Luar P. Jawa via Tiki dan Pos.
Monggo..Order bisa DM 🙏 Ijin RT
Gais https://t.co/MZxJ2xDCB5</t>
  </si>
  <si>
    <t>sonbl05
✈️Pengiriman Bisa lewat JNE, J&amp;amp;T,
sicepat, ninja express</t>
  </si>
  <si>
    <t>jeonghaniyoo_m
@dagangkr wts diri sendiri buat
jadi admin packing. aku lagi free
banget, ekspedisi juga deket deket
ada ninja, tiki, jne, jnt, sicepat,
id exp. dom cianjur jawa barat
udah pengalaman packing karena
jualan juga di oren, fee bisa dibicarakan🙏🏻siapa
tau berminat yuk dm</t>
  </si>
  <si>
    <t xml:space="preserve">chanbabygiri
</t>
  </si>
  <si>
    <t xml:space="preserve">jualanengene
</t>
  </si>
  <si>
    <t>ateynnnn
Tgoklaa hampa yang dah postage.
Hari ni pos, esok sampai. Alhamdulillah
laa jnt laju area kg pelet 😂 https://t.co/s9SGynGw1M</t>
  </si>
  <si>
    <t xml:space="preserve">nurulhidayah_94
</t>
  </si>
  <si>
    <t>itsme0605
@menfesssyg Cek aja ongkirnya di
google nder. Tinggal kamu pilih
aja mau make pos, jnt, jne, atau
sicepat, atau yg lainnya. Tinggal
masukin kecamatan pengirim sama
penerima sama berat Itu udh ada
nanti ongkir sama estimasinya.
Kalau aku cek di aplikasi biasanya
karna aku jualan.</t>
  </si>
  <si>
    <t>sparepartfjbj
Saya menjual BODY SET HONDA WIN
P... seharga Rp750.000. Dapatkan
di Shopee sekarang! https://t.co/rpAQQPc1q9
#ShopeeID https://t.co/7zeasuB49j</t>
  </si>
  <si>
    <t>0bokuto
Btw setelah dia lulus, gue cinlol
lagi dengan anak basket yup ini
katolik. Lebih lagi ye pressurenya.
Apalagi pas tanding, sama2 tanding,
sama2 kalah juga. Deket bgt kek
prangko pos indonesia dah kita.
Tapi yeah jauh deh bahkan sampe
skrg. Sedih sih tp gpp soalnye</t>
  </si>
  <si>
    <t>julyas43
@stanmenfess Yaelah cuma ngumpulin
berkas aja kudu datengin kantor
tujuan? Hey Pos Indonesia didirikan
sebelum kamu lahir buat apa?</t>
  </si>
  <si>
    <t xml:space="preserve">stanmenfess
</t>
  </si>
  <si>
    <t>h_e_qal
@S_GraciaJKT48 Klo di Indonesia
squid game.. -Lempar sendal (bikin
susunan sendal bentuk Segitiga)
trus di lempar pake sendal / kayu
- BT 7 (bete 7) - Colek Sabun -
suit lompat - ular naga panjang
- Kotak Pos belum diisi mari kita
isi dengan para penumpang... -
abc 5 dasar - dll</t>
  </si>
  <si>
    <t xml:space="preserve">s_graciajkt48
</t>
  </si>
  <si>
    <t>aikerja
Lowongan Kerja - Info Lowongan
Kerja ... . PT Pos Indonesia (Persero)
merupakan salah satu perusa...
- https://t.co/h5JuwBTd7j https://t.co/nHZb0eaSz8</t>
  </si>
  <si>
    <t>nursyhra_
@ariffl5 sbb mu jnt ni pos laju
haha https://t.co/jfuaexsxMK</t>
  </si>
  <si>
    <t xml:space="preserve">ariffl5
</t>
  </si>
  <si>
    <t>asgcaseba
Ready stock siap kirim ke seluruh
Indonesia via pos paket tercatat.
Minat bisa ke WA 08119997148 https://t.co/dW7rgCxNnm</t>
  </si>
  <si>
    <t xml:space="preserve">afiqahamni1
</t>
  </si>
  <si>
    <t>cygyt
@ilhamdw Pos Indonesia lah pak....</t>
  </si>
  <si>
    <t xml:space="preserve">ilhamdw
</t>
  </si>
  <si>
    <t>shhxtty
@treasuremarkets rumahku jg dkt
jne jnt sicepat🙌</t>
  </si>
  <si>
    <t xml:space="preserve">treasuremarkets
</t>
  </si>
  <si>
    <t>nrnshaik19
Aku pos mask tu smlm jgk, siap
bgi arahan aku pos dulu pastu send
bukti shipping fee?!?!?!? Eh aku
ni bukan seller and kami jarang
p pos pos barang, lagi lagi nk
travel smpai sungai tiram smata
mata nk tolong hg guna courier
jnt, salam apa tkdk pastu duk bagi
arahan suruh</t>
  </si>
  <si>
    <t>naaabihaaa
siapa pulak pos barang letak nombor
aku ni, kantoi dah jnt mesej bagi
tracking number 🤣</t>
  </si>
  <si>
    <t>bcbanjarmasin_
Sejalan dengan Peraturan Menteri
Keuangan (PMK) nomor 109/PMK.04/2020
tentang Kawasan Pabean dan Tempat
Penimbunan Sementara, Tim Monitoring
dan Evaluasi KPPBC TMP B Banjarmasin
telah melaksanakan Monev Kawasan
Pabean dan Tempat Penimbunan Sementara
di PT. Pos Indonesia https://t.co/JtbcPa8Vjx</t>
  </si>
  <si>
    <t>kalokamubisa
@ihvjjktch @sbyfess Walah, ngga
ada nder aku.. Atau kalo ngga,
gosend in ke jnt Aku kemaren gitu,
butuh kirim ke sicepat tapi ngga
ada orang, jadi tak gosenin ke
sicepat, sama pak gojek nya nanti
difotoin tanda terima</t>
  </si>
  <si>
    <t xml:space="preserve">sbyfess
</t>
  </si>
  <si>
    <t xml:space="preserve">ihvjjktch
</t>
  </si>
  <si>
    <t>awwbubuu
@lampungbase Pos Indonesia coba</t>
  </si>
  <si>
    <t xml:space="preserve">lampungbase
</t>
  </si>
  <si>
    <t>marlyanamn
Semua call jawab benda sama. Bila
request nak tahu apa progress daripada
previous complaints semua terkial
jawab. Aku tau banyak dah complaint
orang ramai pasal jnt. Ni bukan
barang aku pos, ni barang patut
terima.</t>
  </si>
  <si>
    <t>sayangtravis
@treasuremarkets akuu bisa udh
freeong min 10.000 domnya tangerang.
rumah deket jnt sicepat jne dkk</t>
  </si>
  <si>
    <t>ohmasgoff
Pos Indonesia ki dah mahal ruwet.
Lha bagemana kita nggak pake jasti2
aja....</t>
  </si>
  <si>
    <t>milkeuta
@menfesssyg Pos indonesia vs j*e/jn*
( jasa pengiriman brg) kali ya</t>
  </si>
  <si>
    <t>adityaraa27
@karawangfess Online aja, kirim
nya pake jne trucking atau sicepat
biar ongkirnya murah</t>
  </si>
  <si>
    <t xml:space="preserve">karawangfess
</t>
  </si>
  <si>
    <t>itzelworid
@Anyaslalusalah Kmren juga ada
yg inget kata tukang pos. Gue gatau
kang pos anjir, jne jnt aja gue
ga ajak ngobrol</t>
  </si>
  <si>
    <t xml:space="preserve">anyaslalusalah
</t>
  </si>
  <si>
    <t>atshushichun
@mohmahfudmd ini seh hrsny udah
tidak usah ditanya samsat mana
krn semua samsat yg ada di Indonesia
selalu melakukan pungli dan satu
lg utk kepolisian Indonesia agar
polisi lalu lintas itu difungsikan
sebagaimana mestinya bukan duduk2
di pos yg ngatur lalin pak ogah(bogor).</t>
  </si>
  <si>
    <t xml:space="preserve">mohmahfudmd
</t>
  </si>
  <si>
    <t>gopinda901
REKON BST KABUPATEN BULELENG DENGAN
ANGGARAN BTT BERSAMA PT POS INDONESIA
TAHAP I BULAN JULI TAHUN 2021 https://t.co/oZ0yyUS68w</t>
  </si>
  <si>
    <t>crossvinee
WTS SKZ JEWEL CASE 🇲🇾 ONLY 💰RM48
• Lee Know Cover, Felix Frame PC
, Changbin Red Frame [SET ONLY]
• Hyungline Mini Photobook ** leeknow
photobook have minor defect 🖇
Exc pos (jnt) 🖇 shopeepay/online
banking ❌ NO rush postage 📩DM
if interested #pasarskz https://t.co/00HQ1cH7ZD</t>
  </si>
  <si>
    <t>hunjisvngs
WTS SKZ JEWEL CASE 🇲🇾 ONLY 💰RM48
• Lee Know Cover, Felix Frame PC
, Changbin Red Frame [SET ONLY]
• Hyungline Mini Photobook ** leeknow
photobook have minor defect 🖇
Exc pos (jnt) 🖇 shopeepay/online
banking ❌ NO rush postage 📩DM
if interested #pasarskz https://t.co/00HQ1cH7ZD</t>
  </si>
  <si>
    <t>hyunjiyoungein
WTS SKZ JEWEL CASE 🇲🇾 ONLY 💰RM48
• Lee Know Cover, Felix Frame PC
, Changbin Red Frame [SET ONLY]
• Hyungline Mini Photobook ** leeknow
photobook have minor defect 🖇
Exc pos (jnt) 🖇 shopeepay/online
banking ❌ NO rush postage 📩DM
if interested #pasarskz https://t.co/00HQ1cH7ZD</t>
  </si>
  <si>
    <t>minnieeeeyey
WTS SKZ JEWEL CASE 🇲🇾 ONLY 💰RM48
• Lee Know Cover, Felix Frame PC
, Changbin Red Frame [SET ONLY]
• Hyungline Mini Photobook ** leeknow
photobook have minor defect 🖇
Exc pos (jnt) 🖇 shopeepay/online
banking ❌ NO rush postage 📩DM
if interested #pasarskz https://t.co/00HQ1cH7ZD</t>
  </si>
  <si>
    <t>skzstaycmchhysj
WTS SKZ JEWEL CASE 🇲🇾 ONLY 💰RM48
• Lee Know Cover, Felix Frame PC
, Changbin Red Frame [SET ONLY]
• Hyungline Mini Photobook ** leeknow
photobook have minor defect 🖇
Exc pos (jnt) 🖇 shopeepay/online
banking ❌ NO rush postage 📩DM
if interested #pasarskz https://t.co/00HQ1cH7ZD</t>
  </si>
  <si>
    <t>bbokfreckkie
WTS SKZ JEWEL CASE 🇲🇾 ONLY 💰RM48
• Lee Know Cover, Felix Frame PC
, Changbin Red Frame [SET ONLY]
• Hyungline Mini Photobook ** leeknow
photobook have minor defect 🖇
Exc pos (jnt) 🖇 shopeepay/online
banking ❌ NO rush postage 📩DM
if interested #pasarskz https://t.co/00HQ1cH7ZD</t>
  </si>
  <si>
    <t>favorskz
WTS SKZ JEWEL CASE 🇲🇾 ONLY 💰RM48
• Lee Know Cover, Felix Frame PC
, Changbin Red Frame [SET ONLY]
• Hyungline Mini Photobook ** leeknow
photobook have minor defect 🖇
Exc pos (jnt) 🖇 shopeepay/online
banking ❌ NO rush postage 📩DM
if interested #pasarskz https://t.co/00HQ1cH7ZD</t>
  </si>
  <si>
    <t>haafiieezaa98
WTS SKZ JEWEL CASE 🇲🇾 ONLY 💰RM48
• Lee Know Cover, Felix Frame PC
, Changbin Red Frame [SET ONLY]
• Hyungline Mini Photobook ** leeknow
photobook have minor defect 🖇
Exc pos (jnt) 🖇 shopeepay/online
banking ❌ NO rush postage 📩DM
if interested #pasarskz https://t.co/00HQ1cH7ZD</t>
  </si>
  <si>
    <t>mongmongmy
WTS SKZ JEWEL CASE 🇲🇾 ONLY 💰RM48
• Lee Know Cover, Felix Frame PC
, Changbin Red Frame [SET ONLY]
• Hyungline Mini Photobook ** leeknow
photobook have minor defect 🖇
Exc pos (jnt) 🖇 shopeepay/online
banking ❌ NO rush postage 📩DM
if interested #pasarskz https://t.co/00HQ1cH7ZD</t>
  </si>
  <si>
    <t>enhanreals
WTS SKZ JEWEL CASE 🇲🇾 ONLY 💰RM48
• Lee Know Cover, Felix Frame PC
, Changbin Red Frame [SET ONLY]
• Hyungline Mini Photobook ** leeknow
photobook have minor defect 🖇
Exc pos (jnt) 🖇 shopeepay/online
banking ❌ NO rush postage 📩DM
if interested #pasarskz https://t.co/00HQ1cH7ZD</t>
  </si>
  <si>
    <t>ansnisnis
WTS SKZ JEWEL CASE 🇲🇾 ONLY 💰RM48
• Lee Know Cover, Felix Frame PC
, Changbin Red Frame [SET ONLY]
• Hyungline Mini Photobook ** leeknow
photobook have minor defect 🖇
Exc pos (jnt) 🖇 shopeepay/online
banking ❌ NO rush postage 📩DM
if interested #pasarskz https://t.co/00HQ1cH7ZD</t>
  </si>
  <si>
    <t>abbykhai11
WTS SKZ JEWEL CASE 🇲🇾 ONLY 💰RM48
• Lee Know Cover, Felix Frame PC
, Changbin Red Frame [SET ONLY]
• Hyungline Mini Photobook ** leeknow
photobook have minor defect 🖇
Exc pos (jnt) 🖇 shopeepay/online
banking ❌ NO rush postage 📩DM
if interested #pasarskz https://t.co/00HQ1cH7ZD</t>
  </si>
  <si>
    <t>nychnie
WTS SKZ JEWEL CASE 🇲🇾 ONLY 💰RM48
• Lee Know Cover, Felix Frame PC
, Changbin Red Frame [SET ONLY]
• Hyungline Mini Photobook ** leeknow
photobook have minor defect 🖇
Exc pos (jnt) 🖇 shopeepay/online
banking ❌ NO rush postage 📩DM
if interested #pasarskz https://t.co/00HQ1cH7ZD</t>
  </si>
  <si>
    <t>14quokka
WTS SKZ JEWEL CASE 🇲🇾 ONLY 💰RM48
• Lee Know Cover, Felix Frame PC
, Changbin Red Frame [SET ONLY]
• Hyungline Mini Photobook ** leeknow
photobook have minor defect 🖇
Exc pos (jnt) 🖇 shopeepay/online
banking ❌ NO rush postage 📩DM
if interested #pasarskz https://t.co/00HQ1cH7ZD</t>
  </si>
  <si>
    <t>aanisnana
Parcel berpuluh2 sampai rumah 😁😁
abang jnt dgn pos laju siap nyembang
depan rumah 🤣🤣</t>
  </si>
  <si>
    <t>_hanjillipop
WTS SKZ JEWEL CASE 🇲🇾 ONLY 💰RM48
• Lee Know Cover, Felix Frame PC
, Changbin Red Frame [SET ONLY]
• Hyungline Mini Photobook ** leeknow
photobook have minor defect 🖇
Exc pos (jnt) 🖇 shopeepay/online
banking ❌ NO rush postage 📩DM
if interested #pasarskz https://t.co/00HQ1cH7ZD</t>
  </si>
  <si>
    <t>tvstvmy
Pembinaan pos itu bertujuan mengimbangi
pos kawalan Tentera Nasional Indonesia
(TNI) serta memperkukuhkan lagi
kawalan sempadan Sarawak-Kalimantan.
#tvs #tvsmy #beinformed #mindef
https://t.co/F4XBFvXKFz</t>
  </si>
  <si>
    <t>prncsflwr_
WTS SKZ JEWEL CASE 🇲🇾 ONLY 💰RM48
• Lee Know Cover, Felix Frame PC
, Changbin Red Frame [SET ONLY]
• Hyungline Mini Photobook ** leeknow
photobook have minor defect 🖇
Exc pos (jnt) 🖇 shopeepay/online
banking ❌ NO rush postage 📩DM
if interested #pasarskz https://t.co/00HQ1cH7ZD</t>
  </si>
  <si>
    <t>stayawl
WTS SKZ JEWEL CASE 🇲🇾 ONLY 💰RM48
• Lee Know Cover, Felix Frame PC
, Changbin Red Frame [SET ONLY]
• Hyungline Mini Photobook ** leeknow
photobook have minor defect 🖇
Exc pos (jnt) 🖇 shopeepay/online
banking ❌ NO rush postage 📩DM
if interested #pasarskz https://t.co/00HQ1cH7ZD</t>
  </si>
  <si>
    <t>nctrting
[HELP RT] WTS | MY MSIA MALAYSIA
🇲🇾 ONLY NCT DREAM HOT SAUCE ALBUM
- Boring ver - Sealed - on hand
🏷 RM 75 🚚 price alr inc pos (jnt)
💚 Will inc freebies ^^ 💌 dm for
more pic/interested #pasarNCT #pasarNCTmy
#mynctjual #NCT https://t.co/PiUx4CbLoO</t>
  </si>
  <si>
    <t>nxnadoongies
[HELP RT] WTS | MY MSIA MALAYSIA
🇲🇾 ONLY NCT DREAM HOT SAUCE ALBUM
- Boring ver - Sealed - on hand
🏷 RM 75 🚚 price alr inc pos (jnt)
💚 Will inc freebies ^^ 💌 dm for
more pic/interested #pasarNCT #pasarNCTmy
#mynctjual #NCT https://t.co/PiUx4CbLoO</t>
  </si>
  <si>
    <t>myncteam
[HELP RT] WTS | MY MSIA MALAYSIA
🇲🇾 ONLY NCT DREAM HOT SAUCE ALBUM
- Boring ver - Sealed - on hand
🏷 RM 75 🚚 price alr inc pos (jnt)
💚 Will inc freebies ^^ 💌 dm for
more pic/interested #pasarNCT #pasarNCTmy
#mynctjual #NCT https://t.co/PiUx4CbLoO</t>
  </si>
  <si>
    <t>pasarnct
[HELP RT] WTS | MY MSIA MALAYSIA
🇲🇾 ONLY NCT DREAM HOT SAUCE ALBUM
- Boring ver - Sealed - on hand
🏷 RM 75 🚚 price alr inc pos (jnt)
💚 Will inc freebies ^^ 💌 dm for
more pic/interested #pasarNCT #pasarNCTmy
#mynctjual #NCT https://t.co/PiUx4CbLoO</t>
  </si>
  <si>
    <t>elninosaurus
[HELP RT] WTS | MY MSIA MALAYSIA
🇲🇾 ONLY NCT DREAM HOT SAUCE ALBUM
- Boring ver - Sealed - on hand
🏷 RM 75 🚚 price alr inc pos (jnt)
💚 Will inc freebies ^^ 💌 dm for
more pic/interested #pasarNCT #pasarNCTmy
#mynctjual #NCT https://t.co/PiUx4CbLoO</t>
  </si>
  <si>
    <t>perikertas17
@CaratShopINA Aku mah anter sendiri
ke konter klo jnt jne. Enakan sicepat
nder</t>
  </si>
  <si>
    <t>bucinhwghyunjin
WTS SKZ JEWEL CASE 🇲🇾 ONLY 💰RM48
• Lee Know Cover, Felix Frame PC
, Changbin Red Frame [SET ONLY]
• Hyungline Mini Photobook ** leeknow
photobook have minor defect 🖇
Exc pos (jnt) 🖇 shopeepay/online
banking ❌ NO rush postage 📩DM
if interested #pasarskz https://t.co/00HQ1cH7ZD</t>
  </si>
  <si>
    <t>stxrslight
⠀⠀⠀⠀ ⠀ ── 📬 Pos Indonesia mengirimkan
dokumen untuk @ferskjaen ⠀⠀⠀⠀ ⠀
https://t.co/SHlxTvOntU</t>
  </si>
  <si>
    <t xml:space="preserve">ferskjaen
</t>
  </si>
  <si>
    <t>hohochamzzz
WTS SKZ JEWEL CASE 🇲🇾 ONLY 💰RM48
• Lee Know Cover, Felix Frame PC
, Changbin Red Frame [SET ONLY]
• Hyungline Mini Photobook ** leeknow
photobook have minor defect 🖇
Exc pos (jnt) 🖇 shopeepay/online
banking ❌ NO rush postage 📩DM
if interested #pasarskz https://t.co/00HQ1cH7ZD</t>
  </si>
  <si>
    <t>sumasenyangyang
[HELP RT] WTS | MY MSIA MALAYSIA
🇲🇾 ONLY NCT DREAM HOT SAUCE ALBUM
- Boring ver - Sealed - on hand
🏷 RM 75 🚚 price alr inc pos (jnt)
💚 Will inc freebies ^^ 💌 dm for
more pic/interested #pasarNCT #pasarNCTmy
#mynctjual #NCT https://t.co/PiUx4CbLoO</t>
  </si>
  <si>
    <t>piecesofhyune
WTS SKZ JEWEL CASE 🇲🇾 ONLY 💰RM48
• Lee Know Cover, Felix Frame PC
, Changbin Red Frame [SET ONLY]
• Hyungline Mini Photobook ** leeknow
photobook have minor defect 🖇
Exc pos (jnt) 🖇 shopeepay/online
banking ❌ NO rush postage 📩DM
if interested #pasarskz https://t.co/00HQ1cH7ZD</t>
  </si>
  <si>
    <t>wirawankrisna
#BUMNBangkrut ya emang resiko persaingan,
belum lagi kalau nggak ada inovasi
Sebut saja Pos Indonesia yang baru
mulai, tapi sudah ketinggalan😁
Paling top tuh yang udah monopoli
tapi masih rugi tuh, mending duitnya
@KemenBUMN buat beli bitcoin sekalian
😁👍👍</t>
  </si>
  <si>
    <t xml:space="preserve">kemenbumn
</t>
  </si>
  <si>
    <t>dearczennies_
[HELP RT] WTS | MY MSIA MALAYSIA
🇲🇾 ONLY NCT DREAM HOT SAUCE ALBUM
- Boring ver - Sealed - on hand
🏷 RM 75 🚚 price alr inc pos (jnt)
💚 Will inc freebies ^^ 💌 dm for
more pic/interested #pasarNCT #pasarNCTmy
#mynctjual #NCT https://t.co/PiUx4CbLoO</t>
  </si>
  <si>
    <t>infokuis
Kali ini Sicepat Ekspress indonesia
mau kasih Fujifilm Instax SQ-1
yang kece ini nih, kamu mau? Untuk
info lengkapnya bisa kalian dapatkan
disini ==&amp;gt; Kali ini Mimin mau
kasih Fujifilm Instax SQ-1 yang
kece ini nih, kamu mau? https://t.co/faNVKdJiDs</t>
  </si>
  <si>
    <t>tenlee_107
[HELP RT] WTS | MY MSIA MALAYSIA
🇲🇾 ONLY NCT DREAM HOT SAUCE ALBUM
- Boring ver - Sealed - on hand
🏷 RM 75 🚚 price alr inc pos (jnt)
💚 Will inc freebies ^^ 💌 dm for
more pic/interested #pasarNCT #pasarNCTmy
#mynctjual #NCT https://t.co/PiUx4CbLoO</t>
  </si>
  <si>
    <t>matchclctte
🛵ONGKOS KIRIM • By owner area
Malang Raya: 2.000/KM • By GO-SEND/Grab
• Luar kota by paxel, jnt atau
pos ❗potongan ongkir: •buy 4 pack
potongan 5K •buy 7 pack potongan
10K •buy 10 pack potongan 15K 📌Pengiriman
luar kota non-paxel wajib extra
packing +5K</t>
  </si>
  <si>
    <t>shahrinazakaria
MasyaAllah 😱 tudiaaa lajuu bak
hangg 🤣,baru je pos smlm,tup tup
haqini dh nyampeii ye 🤭😝 Alhamdulillah
Thank You Dear &amp;amp; Jnt 💖! https://t.co/ZSwBYVRIQk</t>
  </si>
  <si>
    <t>proxpective
⠀⠀⠀⠀ ⠀ ── 📬 Pos Indonesia mengirimkan
dokumen untuk @HERECITAL ⠀⠀⠀⠀ ⠀
https://t.co/JZKtNp9ElY</t>
  </si>
  <si>
    <t xml:space="preserve">herecital
</t>
  </si>
  <si>
    <t>half_moonxstars
Mending jne, jnt, atau sicepat
si?</t>
  </si>
  <si>
    <t>nctmydream_
[HELP RT] WTS | MY MSIA MALAYSIA
🇲🇾 ONLY NCT DREAM HOT SAUCE ALBUM
- Boring ver - Sealed - on hand
🏷 RM 75 🚚 price alr inc pos (jnt)
💚 Will inc freebies ^^ 💌 dm for
more pic/interested #pasarNCT #pasarNCTmy
#mynctjual #NCT https://t.co/PiUx4CbLoO</t>
  </si>
  <si>
    <t>nctmy95
[HELP RT] WTS | MY MSIA MALAYSIA
🇲🇾 ONLY NCT DREAM HOT SAUCE ALBUM
- Boring ver - Sealed - on hand
🏷 RM 75 🚚 price alr inc pos (jnt)
💚 Will inc freebies ^^ 💌 dm for
more pic/interested #pasarNCT #pasarNCTmy
#mynctjual #NCT https://t.co/PiUx4CbLoO</t>
  </si>
  <si>
    <t>dhinijogja
Pemerintah melalui Kementerian
PUPR tengah menyelesaikan pembangunan
Pos Lintas Batas Negara (PLBN)
Jagoi Babang di Kab. Bengkayang
Kalbar untuk memperkuat kedaulatan
Negara Kesatuan Republik Indonesia
(NKRI) di perbatasan sebagai garda
terdepan. @jokowi https://t.co/yOvusPR1xk
https://t.co/GkHk2nqIpA</t>
  </si>
  <si>
    <t>pasarnctrt
[HELP RT] WTS | MY MSIA MALAYSIA
🇲🇾 ONLY NCT DREAM HOT SAUCE ALBUM
- Boring ver - Sealed - on hand
🏷 RM 75 🚚 price alr inc pos (jnt)
💚 Will inc freebies ^^ 💌 dm for
more pic/interested #pasarNCT #pasarNCTmy
#mynctjual #NCT https://t.co/PiUx4CbLoO</t>
  </si>
  <si>
    <t>zigichild
@convomf untung no wa aku gapernah
disebarluaskan, kalopun ada no
ga dikenal ngechat palingan kurir
gojek/shopee/jnt/sicepat dkk</t>
  </si>
  <si>
    <t xml:space="preserve">convomf
</t>
  </si>
  <si>
    <t>jjeyaz
@fiddinroyan komisaris sama ceo
beda ya, ceo pos indonesia udh
kren bgt, inovasinya banyak, yg
awalnya ketinggalan dngn jnt dan
jne, kini mulai menyusul</t>
  </si>
  <si>
    <t xml:space="preserve">fiddinroyan
</t>
  </si>
  <si>
    <t>nblnndf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</si>
  <si>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fuznalaela
Jnt, jne, maap aku lagi ga bisa
berpaling dari sicepat. Udah murah,
bisa nyampe sehari lagi😘</t>
  </si>
  <si>
    <t>lem0n4de_sh0p
[HELP RT] WTS | MY MSIA MALAYSIA
🇲🇾 ONLY NCT DREAM HOT SAUCE ALBUM
- Boring ver - Sealed - on hand
🏷 RM 75 🚚 price alr inc pos (jnt)
💚 Will inc freebies ^^ 💌 dm for
more pic/interested #pasarNCT #pasarNCTmy
#mynctjual #NCT https://t.co/PiUx4CbLoO</t>
  </si>
  <si>
    <t>ilusikmu
PUPR tengah menyelesaikan pembangunan
Pos Lintas Batas Negara (PLBN)
Jagoi Babang di Kabupaten Bengkayang
Provinsi Kalimantan Barat (Kalbar)
untuk memperkuat kedaulatan Negara
Kesatuan Republik Indonesia (NKRI)
di perbatasan sebagai garda terdepan.
@jokowi https://t.co/bVKIizJHnY</t>
  </si>
  <si>
    <t>ndukla2
PUPR tengah menyelesaikan pembangunan
Pos Lintas Batas Negara (PLBN)
Jagoi Babang di Kabupaten Bengkayang
Provinsi Kalimantan Barat (Kalbar)
untuk memperkuat kedaulatan Negara
Kesatuan Republik Indonesia (NKRI)
di perbatasan sebagai garda terdepan.
@jokowi https://t.co/bVKIizJHnY</t>
  </si>
  <si>
    <t>sunyibiar
PUPR tengah menyelesaikan pembangunan
Pos Lintas Batas Negara (PLBN)
Jagoi Babang di Kabupaten Bengkayang
Provinsi Kalimantan Barat (Kalbar)
untuk memperkuat kedaulatan Negara
Kesatuan Republik Indonesia (NKRI)
di perbatasan sebagai garda terdepan.
@jokowi https://t.co/bVKIizJHnY</t>
  </si>
  <si>
    <t>winkiwinki_
PUPR tengah menyelesaikan pembangunan
Pos Lintas Batas Negara (PLBN)
Jagoi Babang di Kabupaten Bengkayang
Provinsi Kalimantan Barat (Kalbar)
untuk memperkuat kedaulatan Negara
Kesatuan Republik Indonesia (NKRI)
di perbatasan sebagai garda terdepan.
@jokowi https://t.co/bVKIizJHnY</t>
  </si>
  <si>
    <t>intanint
PUPR tengah menyelesaikan pembangunan
Pos Lintas Batas Negara (PLBN)
Jagoi Babang di Kabupaten Bengkayang
Provinsi Kalimantan Barat (Kalbar)
untuk memperkuat kedaulatan Negara
Kesatuan Republik Indonesia (NKRI)
di perbatasan sebagai garda terdepan.
@jokowi https://t.co/bVKIizJHnY</t>
  </si>
  <si>
    <t>_mintcholatte
@Askrlfess AKU DEKET JNT JNE SICEPAT
WAHANA NINJA EXPRESS</t>
  </si>
  <si>
    <t xml:space="preserve">askrlfess
</t>
  </si>
  <si>
    <t>azrnazol
Me everytime abang grab food, food
panda, jnt, pos laju etc: Bang
letak atas tembok je bang 📢</t>
  </si>
  <si>
    <t>lokersumatera1
Lowongan Kerja Palembang, PT. Pos
Indonesia (Persero) - Kantor Pos
30000 sebagai Oranger Antaran.
Deadline 25 September 2021 #lokersumatera
#lowongankerja #kurir #palembang
#lokerpalembang https://t.co/a1pI7GElz0</t>
  </si>
  <si>
    <t>ateezmart
atzm ALBUM ATEEZ ZERO : FEVER PART
3 BUNDLE (A ver, Z ver, Diary ver)
✅ 3 POB KTOWN4U sortir member ✅
3 poster ✅ barang sudah ada di
kantor pos indonesia ✅ ems tax
❌ packing Rp 800.000 dm @seoulutionid</t>
  </si>
  <si>
    <t>seoulutionid
WTS / WANT TO SELL ALBUM ATEEZ
ZERO : FEVER PART 3 BUNDLE (A ver,
Z ver, Diary ver) ✅ 3 POB KTOWN4U
sortir member ✅ 3 poster ✅ barang
sudah ada di kantor pos indonesia
✅ ems tax ❌ packing Rp 800.000</t>
  </si>
  <si>
    <t>fallinstaar
WTS / WANT TO SELL ALBUM ATEEZ
ZERO : FEVER PART 3 BUNDLE (A ver,
Z ver, Diary ver) ✅ 3 POB KTOWN4U
sortir member ✅ 3 poster ✅ barang
sudah ada di kantor pos indonesia
✅ ems tax ❌ packing Rp 800.000</t>
  </si>
  <si>
    <t>leeehovo
@yuyujuyu_ wkwk terutama jnt sicepat,
mantap lah pokoknya🤣👍</t>
  </si>
  <si>
    <t xml:space="preserve">yuyujuyu_
</t>
  </si>
  <si>
    <t>jaerimcoty
@bbysaturnusca kalo dari shopee
gabisa milih, aku lupa matiin ekspedisi
sicepat krn kemarin ada yg request
pake sicepat biasanya juga pake
jnt</t>
  </si>
  <si>
    <t xml:space="preserve">bbysaturnusca
</t>
  </si>
  <si>
    <t>benarmalay
Malaysia Mahu Bina 10 Pos Kawalan
Ketenteraan di Sempadan Sarawak-
Kalimantan — BeritaBenar https://t.co/cjoQRn59GN</t>
  </si>
  <si>
    <t>cristykatt
Anda pos era verdad, siempre tenia
la duda de lo de Indonesia https://t.co/MS0gfVo0QH</t>
  </si>
  <si>
    <t>alifpribadi
❌Sicepat❌ ❌J&amp;amp;T express❌ ❌JNE❌
📦⚽️ 𝙵𝙴𝙳𝙴𝚇 𝙴𝚇𝙿𝚁𝙴𝚂𝚂
📦⚽️ #SpeziaJuve #ForzaJuve https://t.co/AgcOJrn7lv</t>
  </si>
  <si>
    <t>juventusfcid
❌Sicepat❌ ❌J&amp;amp;T express❌ ❌JNE❌
📦⚽️ 𝙵𝙴𝙳𝙴𝚇 𝙴𝚇𝙿𝚁𝙴𝚂𝚂
📦⚽️ #SpeziaJuve #ForzaJuve https://t.co/AgcOJrn7lv</t>
  </si>
  <si>
    <t>pra_dypta
@juventusfcid @federicochiesa Cc:
@sicepat_ekspres @jntexpressid
@JNE_ID @JNECare Lumayan min dapat
promo gratisan nih di akun official
Juve 😁</t>
  </si>
  <si>
    <t xml:space="preserve">federicochiesa
</t>
  </si>
  <si>
    <t xml:space="preserve">jnecare
</t>
  </si>
  <si>
    <t xml:space="preserve">jne_id
</t>
  </si>
  <si>
    <t xml:space="preserve">jntexpressid
</t>
  </si>
  <si>
    <t>junaidi_afif
❌Sicepat❌ ❌J&amp;amp;T express❌ ❌JNE❌
📦⚽️ 𝙵𝙴𝙳𝙴𝚇 𝙴𝚇𝙿𝚁𝙴𝚂𝚂
📦⚽️ #SpeziaJuve #ForzaJuve https://t.co/AgcOJrn7lv</t>
  </si>
  <si>
    <t>muhammad_akbarr
❌Sicepat❌ ❌J&amp;amp;T express❌ ❌JNE❌
📦⚽️ 𝙵𝙴𝙳𝙴𝚇 𝙴𝚇𝙿𝚁𝙴𝚂𝚂
📦⚽️ #SpeziaJuve #ForzaJuve https://t.co/AgcOJrn7lv</t>
  </si>
  <si>
    <t>riduch
❌Sicepat❌ ❌J&amp;amp;T express❌ ❌JNE❌
📦⚽️ 𝙵𝙴𝙳𝙴𝚇 𝙴𝚇𝙿𝚁𝙴𝚂𝚂
📦⚽️ #SpeziaJuve #ForzaJuve https://t.co/AgcOJrn7lv</t>
  </si>
  <si>
    <t>fajar_bdmn
AnterAE ga ada? RT @juventusfcid:
❌Sicepat❌ ❌J&amp;amp;T express❌ ❌JNE❌
📦⚽️ 𝙵𝙴𝙳𝙴𝚇 𝙴𝚇𝙿𝚁𝙴𝚂𝚂
📦⚽️ #SpeziaJuve #ForzaJuve https://t.co/jTcmm34M5w</t>
  </si>
  <si>
    <t>ahmaadzulfikar
❌Sicepat❌ ❌J&amp;amp;T express❌ ❌JNE❌
📦⚽️ 𝙵𝙴𝙳𝙴𝚇 𝙴𝚇𝙿𝚁𝙴𝚂𝚂
📦⚽️ #SpeziaJuve #ForzaJuve https://t.co/AgcOJrn7lv</t>
  </si>
  <si>
    <t>sarfd
❌Sicepat❌ ❌J&amp;amp;T express❌ ❌JNE❌
📦⚽️ 𝙵𝙴𝙳𝙴𝚇 𝙴𝚇𝙿𝚁𝙴𝚂𝚂
📦⚽️ #SpeziaJuve #ForzaJuve https://t.co/AgcOJrn7lv</t>
  </si>
  <si>
    <t>robygessyromany
❌Sicepat❌ ❌J&amp;amp;T express❌ ❌JNE❌
📦⚽️ 𝙵𝙴𝙳𝙴𝚇 𝙴𝚇𝙿𝚁𝙴𝚂𝚂
📦⚽️ #SpeziaJuve #ForzaJuve https://t.co/AgcOJrn7lv</t>
  </si>
  <si>
    <t>syarifiirvan
❌Sicepat❌ ❌J&amp;amp;T express❌ ❌JNE❌
📦⚽️ 𝙵𝙴𝙳𝙴𝚇 𝙴𝚇𝙿𝚁𝙴𝚂𝚂
📦⚽️ #SpeziaJuve #ForzaJuve https://t.co/AgcOJrn7lv</t>
  </si>
  <si>
    <t>krisnapraditya2
❌Sicepat❌ ❌J&amp;amp;T express❌ ❌JNE❌
📦⚽️ 𝙵𝙴𝙳𝙴𝚇 𝙴𝚇𝙿𝚁𝙴𝚂𝚂
📦⚽️ #SpeziaJuve #ForzaJuve https://t.co/AgcOJrn7lv</t>
  </si>
  <si>
    <t>captainfaried
❌Sicepat❌ ❌J&amp;amp;T express❌ ❌JNE❌
📦⚽️ 𝙵𝙴𝙳𝙴𝚇 𝙴𝚇𝙿𝚁𝙴𝚂𝚂
📦⚽️ #SpeziaJuve #ForzaJuve https://t.co/AgcOJrn7lv</t>
  </si>
  <si>
    <t>sonnarutoluffy
❌Sicepat❌ ❌J&amp;amp;T express❌ ❌JNE❌
📦⚽️ 𝙵𝙴𝙳𝙴𝚇 𝙴𝚇𝙿𝚁𝙴𝚂𝚂
📦⚽️ #SpeziaJuve #ForzaJuve https://t.co/AgcOJrn7lv</t>
  </si>
  <si>
    <t>cindercells
❌Sicepat❌ ❌J&amp;amp;T express❌ ❌JNE❌
📦⚽️ 𝙵𝙴𝙳𝙴𝚇 𝙴𝚇𝙿𝚁𝙴𝚂𝚂
📦⚽️ #SpeziaJuve #ForzaJuve https://t.co/AgcOJrn7lv</t>
  </si>
  <si>
    <t>pojhur
❌Sicepat❌ ❌J&amp;amp;T express❌ ❌JNE❌
📦⚽️ 𝙵𝙴𝙳𝙴𝚇 𝙴𝚇𝙿𝚁𝙴𝚂𝚂
📦⚽️ #SpeziaJuve #ForzaJuve https://t.co/AgcOJrn7lv</t>
  </si>
  <si>
    <t>dawifezi2
❌Sicepat❌ ❌J&amp;amp;T express❌ ❌JNE❌
📦⚽️ 𝙵𝙴𝙳𝙴𝚇 𝙴𝚇𝙿𝚁𝙴𝚂𝚂
📦⚽️ #SpeziaJuve #ForzaJuve https://t.co/AgcOJrn7lv</t>
  </si>
  <si>
    <t>_iansyah
Bismillah Ijin Lapak Tweeps🙏 Harga
Promo Bibit Kunyit Hitam (kaempferia
parviflora) Untuk minggu ini. 1
paket isi 2 bibit polibag Hanya
150k belum ongkir. Total ada 10
paket (sementara ini) Pengiriman
Luar P. Jawa via Tiki dan Pos.
Monggo..Order bisa DM 🙏 Ijin RT
Gais https://t.co/MZxJ2xDCB5</t>
  </si>
  <si>
    <t>sosistdamn1
❌Sicepat❌ ❌J&amp;amp;T express❌ ❌JNE❌
📦⚽️ 𝙵𝙴𝙳𝙴𝚇 𝙴𝚇𝙿𝚁𝙴𝚂𝚂
📦⚽️ #SpeziaJuve #ForzaJuve https://t.co/AgcOJrn7lv</t>
  </si>
  <si>
    <t>titanjerami
❌Sicepat❌ ❌J&amp;amp;T express❌ ❌JNE❌
📦⚽️ 𝙵𝙴𝙳𝙴𝚇 𝙴𝚇𝙿𝚁𝙴𝚂𝚂
📦⚽️ #SpeziaJuve #ForzaJuve https://t.co/AgcOJrn7lv</t>
  </si>
  <si>
    <t>rian2290
❌Sicepat❌ ❌J&amp;amp;T express❌ ❌JNE❌
📦⚽️ 𝙵𝙴𝙳𝙴𝚇 𝙴𝚇𝙿𝚁𝙴𝚂𝚂
📦⚽️ #SpeziaJuve #ForzaJuve https://t.co/AgcOJrn7lv</t>
  </si>
  <si>
    <t>ndhan_rom
❌Sicepat❌ ❌J&amp;amp;T express❌ ❌JNE❌
📦⚽️ 𝙵𝙴𝙳𝙴𝚇 𝙴𝚇𝙿𝚁𝙴𝚂𝚂
📦⚽️ #SpeziaJuve #ForzaJuve https://t.co/AgcOJrn7lv</t>
  </si>
  <si>
    <t>kharisma_juve
❌Sicepat❌ ❌J&amp;amp;T express❌ ❌JNE❌
📦⚽️ 𝙵𝙴𝙳𝙴𝚇 𝙴𝚇𝙿𝚁𝙴𝚂𝚂
📦⚽️ #SpeziaJuve #ForzaJuve https://t.co/AgcOJrn7lv</t>
  </si>
  <si>
    <t>sandiagnelli
❌Sicepat❌ ❌J&amp;amp;T express❌ ❌JNE❌
📦⚽️ 𝙵𝙴𝙳𝙴𝚇 𝙴𝚇𝙿𝚁𝙴𝚂𝚂
📦⚽️ #SpeziaJuve #ForzaJuve https://t.co/AgcOJrn7lv</t>
  </si>
  <si>
    <t>hcnaramas_
❌Sicepat❌ ❌J&amp;amp;T express❌ ❌JNE❌
📦⚽️ 𝙵𝙴𝙳𝙴𝚇 𝙴𝚇𝙿𝚁𝙴𝚂𝚂
📦⚽️ #SpeziaJuve #ForzaJuve https://t.co/AgcOJrn7lv</t>
  </si>
  <si>
    <t>danuarya_p
❌Sicepat❌ ❌J&amp;amp;T express❌ ❌JNE❌
📦⚽️ 𝙵𝙴𝙳𝙴𝚇 𝙴𝚇𝙿𝚁𝙴𝚂𝚂
📦⚽️ #SpeziaJuve #ForzaJuve https://t.co/AgcOJrn7lv</t>
  </si>
  <si>
    <t>mfajriyansyah
❌Sicepat❌ ❌J&amp;amp;T express❌ ❌JNE❌
📦⚽️ 𝙵𝙴𝙳𝙴𝚇 𝙴𝚇𝙿𝚁𝙴𝚂𝚂
📦⚽️ #SpeziaJuve #ForzaJuve https://t.co/AgcOJrn7lv</t>
  </si>
  <si>
    <t>__elbeh
❌Sicepat❌ ❌J&amp;amp;T express❌ ❌JNE❌
📦⚽️ 𝙵𝙴𝙳𝙴𝚇 𝙴𝚇𝙿𝚁𝙴𝚂𝚂
📦⚽️ #SpeziaJuve #ForzaJuve https://t.co/AgcOJrn7lv</t>
  </si>
  <si>
    <t>yourbabetonight
❌Sicepat❌ ❌J&amp;amp;T express❌ ❌JNE❌
📦⚽️ 𝙵𝙴𝙳𝙴𝚇 𝙴𝚇𝙿𝚁𝙴𝚂𝚂
📦⚽️ #SpeziaJuve #ForzaJuve https://t.co/AgcOJrn7lv</t>
  </si>
  <si>
    <t>25yuyun
Pagi Sebelum aku umumin karena
kali ini aku bakal kasih ke banyak
akun Bagi pemenang yg "mau" ambil
hadiahnya baca ini dulu ya -Bersedia
bayar ongkir manual (JNE/jnt/wahana)+
10k -ss namamu SBG pemenang -dm
aku dgn isi Denimalz/Petit: Gender:
Nama: Hp: Alamat: Kode pos: -</t>
  </si>
  <si>
    <t>gandalah
❌Sicepat❌ ❌J&amp;amp;T express❌ ❌JNE❌
📦⚽️ 𝙵𝙴𝙳𝙴𝚇 𝙴𝚇𝙿𝚁𝙴𝚂𝚂
📦⚽️ #SpeziaJuve #ForzaJuve https://t.co/AgcOJrn7lv</t>
  </si>
  <si>
    <t>zanpaqu07
❌Sicepat❌ ❌J&amp;amp;T express❌ ❌JNE❌
📦⚽️ 𝙵𝙴𝙳𝙴𝚇 𝙴𝚇𝙿𝚁𝙴𝚂𝚂
📦⚽️ #SpeziaJuve #ForzaJuve https://t.co/AgcOJrn7lv</t>
  </si>
  <si>
    <t>artshs10
❌Sicepat❌ ❌J&amp;amp;T express❌ ❌JNE❌
📦⚽️ 𝙵𝙴𝙳𝙴𝚇 𝙴𝚇𝙿𝚁𝙴𝚂𝚂
📦⚽️ #SpeziaJuve #ForzaJuve https://t.co/AgcOJrn7lv</t>
  </si>
  <si>
    <t>hadirdinsos
Berita | REKON BST KABUPATEN BULELENG
DENGAN ANGGARAN BTT BERSAMA PT
POS INDONESIA TAHAP I BULAN JULI
TAHUN 2021 https://t.co/SRT6cDwPs1
https://t.co/tZK5kTLjCa</t>
  </si>
  <si>
    <t>akbartigabelas
❌Sicepat❌ ❌J&amp;amp;T express❌ ❌JNE❌
📦⚽️ 𝙵𝙴𝙳𝙴𝚇 𝙴𝚇𝙿𝚁𝙴𝚂𝚂
📦⚽️ #SpeziaJuve #ForzaJuve https://t.co/AgcOJrn7lv</t>
  </si>
  <si>
    <t>asfarinaaaa_
harini semua serba tak kena, tengok
parcel shopee express lembab nak
mampus, (delay delivery sebab salah
poskod) pastu peram lama2 parcel)
padahal jnt pos laju elok je hantar,
takde pun salah poskod?????? Aku
tak ubah pun alamat aku.</t>
  </si>
  <si>
    <t>ardiez1897
❌Sicepat❌ ❌J&amp;amp;T express❌ ❌JNE❌
📦⚽️ 𝙵𝙴𝙳𝙴𝚇 𝙴𝚇𝙿𝚁𝙴𝚂𝚂
📦⚽️ #SpeziaJuve #ForzaJuve https://t.co/AgcOJrn7lv</t>
  </si>
  <si>
    <t>ekodwiee
❌Sicepat❌ ❌J&amp;amp;T express❌ ❌JNE❌
📦⚽️ 𝙵𝙴𝙳𝙴𝚇 𝙴𝚇𝙿𝚁𝙴𝚂𝚂
📦⚽️ #SpeziaJuve #ForzaJuve https://t.co/AgcOJrn7lv</t>
  </si>
  <si>
    <t>nuytarigan
❌Sicepat❌ ❌J&amp;amp;T express❌ ❌JNE❌
📦⚽️ 𝙵𝙴𝙳𝙴𝚇 𝙴𝚇𝙿𝚁𝙴𝚂𝚂
📦⚽️ #SpeziaJuve #ForzaJuve https://t.co/AgcOJrn7lv</t>
  </si>
  <si>
    <t>oecsik
Hai kak! aku make pake ems / rln
tracked ke us kita perlu isi form
gitu ga kakk? oya pas ke kantor
pos nya kita p… — iya isi cds dulu
online, nanti kita print terus
ditempel ke paketnya (jadi bentuknya
kayak resi jnt dari shopee).… https://t.co/nuZpBZdcV4</t>
  </si>
  <si>
    <t>prabhusindewa
❌Sicepat❌ ❌J&amp;amp;T express❌ ❌JNE❌
📦⚽️ 𝙵𝙴𝙳𝙴𝚇 𝙴𝚇𝙿𝚁𝙴𝚂𝚂
📦⚽️ #SpeziaJuve #ForzaJuve https://t.co/AgcOJrn7lv</t>
  </si>
  <si>
    <t>faridfadhil14
❌Sicepat❌ ❌J&amp;amp;T express❌ ❌JNE❌
📦⚽️ 𝙵𝙴𝙳𝙴𝚇 𝙴𝚇𝙿𝚁𝙴𝚂𝚂
📦⚽️ #SpeziaJuve #ForzaJuve https://t.co/AgcOJrn7lv</t>
  </si>
  <si>
    <t>henry_ogi
❌Sicepat❌ ❌J&amp;amp;T express❌ ❌JNE❌
📦⚽️ 𝙵𝙴𝙳𝙴𝚇 𝙴𝚇𝙿𝚁𝙴𝚂𝚂
📦⚽️ #SpeziaJuve #ForzaJuve https://t.co/AgcOJrn7lv</t>
  </si>
  <si>
    <t>_afaz
❌Sicepat❌ ❌J&amp;amp;T express❌ ❌JNE❌
📦⚽️ 𝙵𝙴𝙳𝙴𝚇 𝙴𝚇𝙿𝚁𝙴𝚂𝚂
📦⚽️ #SpeziaJuve #ForzaJuve https://t.co/AgcOJrn7lv</t>
  </si>
  <si>
    <t>eldayato
❌Sicepat❌ ❌J&amp;amp;T express❌ ❌JNE❌
📦⚽️ 𝙵𝙴𝙳𝙴𝚇 𝙴𝚇𝙿𝚁𝙴𝚂𝚂
📦⚽️ #SpeziaJuve #ForzaJuve https://t.co/AgcOJrn7lv</t>
  </si>
  <si>
    <t>achmadsreza
❌Sicepat❌ ❌J&amp;amp;T express❌ ❌JNE❌
📦⚽️ 𝙵𝙴𝙳𝙴𝚇 𝙴𝚇𝙿𝚁𝙴𝚂𝚂
📦⚽️ #SpeziaJuve #ForzaJuve https://t.co/AgcOJrn7lv</t>
  </si>
  <si>
    <t>tirkapoor
❌Sicepat❌ ❌J&amp;amp;T express❌ ❌JNE❌
📦⚽️ 𝙵𝙴𝙳𝙴𝚇 𝙴𝚇𝙿𝚁𝙴𝚂𝚂
📦⚽️ #SpeziaJuve #ForzaJuve https://t.co/AgcOJrn7lv</t>
  </si>
  <si>
    <t>satlantas_ds
Apel pagi di pos terpadu penyekatan
Nursaadah pada 23 sept 2021 @polisi_indonesia
@direktoratlalulintaspoldasumut
@ntmc_polri @polisi_indonesia https://t.co/fi6Ff1FEDo</t>
  </si>
  <si>
    <t>seellacc
yang cari admin packing bisa yaaa^^
feenya bisa diomongin di dm^^ ⭕packing
photocard / postcard / barang"
kecil kaya pin button, dsb. ‼️album
boleh dm dulu ya biar menyesuaikan
keinginan ✅packing dari aku ✅ada
shopee gratong xtra ✅rumah deket
sicepat &amp;amp; jnt</t>
  </si>
  <si>
    <t>peeloffsmile
jnt kan sebenarnya servis dia not
bad jugak tau, laju.. seller tu
pos parcel semalam, harini dah
sampai kat tmpt sendiri, argh suka
suka 😆😆</t>
  </si>
  <si>
    <t>namujoon__
Jnt makin teruk tp pos laju makin
bagus ye sekarang. Sehari je dah
sampai. Keep it up poslaju!</t>
  </si>
  <si>
    <t>ridzki_ss
❌Sicepat❌ ❌J&amp;amp;T express❌ ❌JNE❌
📦⚽️ 𝙵𝙴𝙳𝙴𝚇 𝙴𝚇𝙿𝚁𝙴𝚂𝚂
📦⚽️ #SpeziaJuve #ForzaJuve https://t.co/AgcOJrn7lv</t>
  </si>
  <si>
    <t>hanifinho
❌Sicepat❌ ❌J&amp;amp;T express❌ ❌JNE❌
📦⚽️ 𝙵𝙴𝙳𝙴𝚇 𝙴𝚇𝙿𝚁𝙴𝚂𝚂
📦⚽️ #SpeziaJuve #ForzaJuve https://t.co/AgcOJrn7lv</t>
  </si>
  <si>
    <t>kaptenupil
❌Sicepat❌ ❌J&amp;amp;T express❌ ❌JNE❌
📦⚽️ 𝙵𝙴𝙳𝙴𝚇 𝙴𝚇𝙿𝚁𝙴𝚂𝚂
📦⚽️ #SpeziaJuve #ForzaJuve https://t.co/AgcOJrn7lv</t>
  </si>
  <si>
    <t>faayyyh
hii , me and my friend finally
decided to open awb service. courier
provided: 🌹jnt 🌹pos laju each
postage only (can be up to 5kg
each parcel) 🌸RM9 more than 10
parcel 🌸RM7/each hit my dm for
more details</t>
  </si>
  <si>
    <t>cococheezy
hii , me and my friend finally
decided to open awb service. courier
provided: 🌹jnt 🌹pos laju each
postage only (can be up to 5kg
each parcel) 🌸RM9 more than 10
parcel 🌸RM7/each hit my dm for
more details</t>
  </si>
  <si>
    <t>aidilzulkefli_
binate pos laju babi, betak nok
mapuh pengurusan. kelmarin pos,
harini tkdok dale sistem lg. baik
jnt la blako. marin pos, harini
sapa duk kb doh.</t>
  </si>
  <si>
    <t>thisisfair99
❌Sicepat❌ ❌J&amp;amp;T express❌ ❌JNE❌
📦⚽️ 𝙵𝙴𝙳𝙴𝚇 𝙴𝚇𝙿𝚁𝙴𝚂𝚂
📦⚽️ #SpeziaJuve #ForzaJuve https://t.co/AgcOJrn7lv</t>
  </si>
  <si>
    <t>fredsepra
❌Sicepat❌ ❌J&amp;amp;T express❌ ❌JNE❌
📦⚽️ 𝙵𝙴𝙳𝙴𝚇 𝙴𝚇𝙿𝚁𝙴𝚂𝚂
📦⚽️ #SpeziaJuve #ForzaJuve https://t.co/AgcOJrn7lv</t>
  </si>
  <si>
    <t>keychushoppu
@JapanMerchFess Pake Pos Indonesia
nder</t>
  </si>
  <si>
    <t xml:space="preserve">japanmerchfess
</t>
  </si>
  <si>
    <t>ayraayrong
@banjarbase kena kawa di pilih
jnt eco atau sicepat halu</t>
  </si>
  <si>
    <t xml:space="preserve">banjarbase
</t>
  </si>
  <si>
    <t>areizaldy
Yang mau cari dan beli rumah di
perumahan, gua rekomendasikan di
Citra Indah City, Cluster Bukit
Pinus Blok Q5, Kecamatan Jonggol,
Kabupaten Bogor, Propinsi Jawa
Barat, Kode pos 16380, Indonesia,
Bumi. https://t.co/3mNYBAQ2Ix</t>
  </si>
  <si>
    <t>zkrhm
sicepat : sat set... paqeet JNE
: harap bersabaaar... ini masih
di sorting center</t>
  </si>
  <si>
    <t>abdullah_s3eed_
❌Sicepat❌ ❌J&amp;amp;T express❌ ❌JNE❌
📦⚽️ 𝙵𝙴𝙳𝙴𝚇 𝙴𝚇𝙿𝚁𝙴𝚂𝚂
📦⚽️ #SpeziaJuve #ForzaJuve https://t.co/AgcOJrn7lv</t>
  </si>
  <si>
    <t>kuyaaglaya
❌Sicepat❌ ❌J&amp;amp;T express❌ ❌JNE❌
📦⚽️ 𝙵𝙴𝙳𝙴𝚇 𝙴𝚇𝙿𝚁𝙴𝚂𝚂
📦⚽️ #SpeziaJuve #ForzaJuve https://t.co/AgcOJrn7lv</t>
  </si>
  <si>
    <t>btstreamingid
Indomy yg ada instagram atau tiktok
boleh share goals yg di pos @IDWantsColdplay🤗
👇👇👇👇👇👇👇 Tiktok : https://t.co/Z1vASdr0uh
Instagram : https://t.co/UN0HqvgIjW</t>
  </si>
  <si>
    <t xml:space="preserve">idwantscoldplay
</t>
  </si>
  <si>
    <t>jhope_indonesia
Indomy yg ada instagram atau tiktok
boleh share goals yg di pos @IDWantsColdplay🤗
👇👇👇👇👇👇👇 Tiktok : https://t.co/Z1vASdr0uh
Instagram : https://t.co/UN0HqvgIjW</t>
  </si>
  <si>
    <t>dvisyyy_
hii , me and my friend finally
decided to open awb service. courier
provided: 🌹jnt 🌹pos laju each
postage only (can be up to 5kg
each parcel) 🌸RM9 more than 10
parcel 🌸RM7/each hit my dm for
more details</t>
  </si>
  <si>
    <t>rrenle00
Ini yg admin go yg lagi nyari admin
packing atau atur data bisa tawarin
ke aku sini, dom semarang rumah
deket j&amp;amp;t/jne/sicepat, aku
ada shopee juga testinya juga ada💙</t>
  </si>
  <si>
    <t>kakayy
There's a gold rush happening in
the logistics industry. In today's
free story, @nfreischlad unpacks
Indonesia's SiCepat's sprawling
business, as it aims for a US$2
billion IPO on the IDX in 2022.
Only at @TheKenWeb https://t.co/zbnkEL1jWe</t>
  </si>
  <si>
    <t xml:space="preserve">thekenweb
</t>
  </si>
  <si>
    <t>jonrussell
There's a gold rush happening in
the logistics industry. In today's
free story, @nfreischlad unpacks
Indonesia's SiCepat's sprawling
business, as it aims for a US$2
billion IPO on the IDX in 2022.
Only at @TheKenWeb https://t.co/zbnkEL1jWe</t>
  </si>
  <si>
    <t xml:space="preserve">nfreischlad
</t>
  </si>
  <si>
    <t>ahmadyasiin
❌Sicepat❌ ❌J&amp;amp;T express❌ ❌JNE❌
📦⚽️ 𝙵𝙴𝙳𝙴𝚇 𝙴𝚇𝙿𝚁𝙴𝚂𝚂
📦⚽️ #SpeziaJuve #ForzaJuve https://t.co/AgcOJrn7lv</t>
  </si>
  <si>
    <t>gio40351985
❌Sicepat❌ ❌J&amp;amp;T express❌ ❌JNE❌
📦⚽️ 𝙵𝙴𝙳𝙴𝚇 𝙴𝚇𝙿𝚁𝙴𝚂𝚂
📦⚽️ #SpeziaJuve #ForzaJuve https://t.co/AgcOJrn7lv</t>
  </si>
  <si>
    <t>ashataee
hii , me and my friend finally
decided to open awb service. courier
provided: 🌹jnt 🌹pos laju each
postage only (can be up to 5kg
each parcel) 🌸RM9 more than 10
parcel 🌸RM7/each hit my dm for
more details</t>
  </si>
  <si>
    <t>jngwoozeus
hii , me and my friend finally
decided to open awb service. courier
provided: 🌹jnt 🌹pos laju each
postage only (can be up to 5kg
each parcel) 🌸RM9 more than 10
parcel 🌸RM7/each hit my dm for
more details</t>
  </si>
  <si>
    <t>psrnctrt
[HELP RT] WTS | MY MSIA MALAYSIA
🇲🇾 ONLY NCT DREAM HOT SAUCE ALBUM
- Boring ver - Sealed - on hand
🏷 RM 75 🚚 price alr inc pos (jnt)
💚 Will inc freebies ^^ 💌 dm for
more pic/interested #pasarNCT #pasarNCTmy
#mynctjual #NCT https://t.co/PiUx4CbLoO</t>
  </si>
  <si>
    <t>bnnk_info
Terimakasih para penggiat P4GN
Bantul yang akan beraksi menumpas
narkoba di lingkungan swasta🔥🔥🔥
@logiccoffee.id @gojekindonesia
@bpcphribantul @hipmibantul @jne.yogyakarta
@sicepat.jogja @sicepat_ekspres
@pitabiruadv @pita_mayangsinta
@rosinhoteljogja @baleayuresto.id
https://t.co/UcmbQI3Ilz</t>
  </si>
  <si>
    <t xml:space="preserve">baleayuresto
</t>
  </si>
  <si>
    <t xml:space="preserve">rosinhoteljogja
</t>
  </si>
  <si>
    <t xml:space="preserve">pitabiruadv
</t>
  </si>
  <si>
    <t xml:space="preserve">sicepat
</t>
  </si>
  <si>
    <t xml:space="preserve">jne
</t>
  </si>
  <si>
    <t xml:space="preserve">hipmibantul
</t>
  </si>
  <si>
    <t xml:space="preserve">gojekindonesia
</t>
  </si>
  <si>
    <t xml:space="preserve">logiccoffee
</t>
  </si>
  <si>
    <t>rozzy_bwin
❌Sicepat❌ ❌J&amp;amp;T express❌ ❌JNE❌
📦⚽️ 𝙵𝙴𝙳𝙴𝚇 𝙴𝚇𝙿𝚁𝙴𝚂𝚂
📦⚽️ #SpeziaJuve #ForzaJuve https://t.co/AgcOJrn7lv</t>
  </si>
  <si>
    <t>bagusfitrian
Mahal bgt ongkir uniqlo, kirain
pake jnt apa sicepat tahunye ninja
express wkwk</t>
  </si>
  <si>
    <t>disnakerja_com
Lowongan Kerja PT POS Indonesia
(Persero) https://t.co/u6neYWancn</t>
  </si>
  <si>
    <t>tribunnews
Lowongan Kerja PT Pos Indonesia
Persero Makassar 2021 Frontliner,
Dibuka hingga 24 September 2021
https://t.co/g9xiZ6kgUg</t>
  </si>
  <si>
    <t>taggie_03
hii , me and my friend finally
decided to open awb service. courier
provided: 🌹jnt 🌹pos laju each
postage only (can be up to 5kg
each parcel) 🌸RM9 more than 10
parcel 🌸RM7/each hit my dm for
more details</t>
  </si>
  <si>
    <t>xrzlx
❌Sicepat❌ ❌J&amp;amp;T express❌ ❌JNE❌
📦⚽️ 𝙵𝙴𝙳𝙴𝚇 𝙴𝚇𝙿𝚁𝙴𝚂𝚂
📦⚽️ #SpeziaJuve #ForzaJuve https://t.co/AgcOJrn7lv</t>
  </si>
  <si>
    <t>calleenreesa
✅proof detail depan belakang setiap
postcard ✅DM only 🚚 Jnt/sicepat/tiki/lion/JNE</t>
  </si>
  <si>
    <t>sylvkartika
Udah tanya ke security apartemen
ga ada yg terima, dan anehnya ya
nulis nama securitynya “Mas” dan
gw ga punya security namanya “Mas”
pun klo JNE klo barang cargo itu
saya ditelfon krn barangnya besar.
Poor service @sicepat_ekspres SLA
juga lama, padahal tinggal kontak
kurir aja https://t.co/PtOeNFzTjt</t>
  </si>
  <si>
    <t>df9994447
Udah tanya ke security apartemen
ga ada yg terima, dan anehnya ya
nulis nama securitynya “Mas” dan
gw ga punya security namanya “Mas”
pun klo JNE klo barang cargo itu
saya ditelfon krn barangnya besar.
Poor service @sicepat_ekspres SLA
juga lama, padahal tinggal kontak
kurir aja https://t.co/PtOeNFzTjt</t>
  </si>
  <si>
    <t>luvmlikeudu
@sellkpopfess Aku dom bdg nder,
ada rumah kosong punya ortu bisa
buat simpen dan packing barangnya
disitu. Expedisi yg deket jnt,
jne, sicepat, anteraja udh ada
no kurirnya juga🥰</t>
  </si>
  <si>
    <t>siiandhy
❌Sicepat❌ ❌J&amp;amp;T express❌ ❌JNE❌
📦⚽️ 𝙵𝙴𝙳𝙴𝚇 𝙴𝚇𝙿𝚁𝙴𝚂𝚂
📦⚽️ #SpeziaJuve #ForzaJuve https://t.co/AgcOJrn7lv</t>
  </si>
  <si>
    <t>miyongyu
help rt 🇲🇾 | wts the boyz sunwoo
younghoon hyunjae sangyeon kevin
pc #pasartheboyz #pasartbz - prices
in pic &amp;amp; exc pos - postage
rm6wm shopee jnt (+ rm3 packaging)
- postage on weekend - serious
buyer only - fast payment - can
reserved but no backout. - condition
10/10 https://t.co/qAMrpUUJqO</t>
  </si>
  <si>
    <t>tyongluvb
help rt 🇲🇾 #pasarpiwon wts intak
p1ay set -selling in set rm25 exc
pos -full set without id photo
only -can reserve but no backout
-no fussy buyer -postage rm6 jnt
shopee (+ rm3 packaging) https://t.co/MJM3VpJ7y6</t>
  </si>
  <si>
    <t>jentokiee
help rt 🇲🇾 | wts the boyz sunwoo
younghoon hyunjae sangyeon kevin
pc #pasartheboyz #pasartbz - prices
in pic &amp;amp; exc pos - postage
rm6wm shopee jnt (+ rm3 packaging)
- postage on weekend - serious
buyer only - fast payment - can
reserved but no backout. - condition
10/10 https://t.co/qAMrpUUJqO</t>
  </si>
  <si>
    <t>wh0junie
help rt 🇲🇾 | wts the boyz sunwoo
younghoon hyunjae sangyeon kevin
pc #pasartheboyz #pasartbz - prices
in pic &amp;amp; exc pos - postage
rm6wm shopee jnt (+ rm3 packaging)
- postage on weekend - serious
buyer only - fast payment - can
reserved but no backout. - condition
10/10 https://t.co/qAMrpUUJqO</t>
  </si>
  <si>
    <t>chocoboyksw
help rt 🇲🇾 | wts the boyz sunwoo
younghoon hyunjae sangyeon kevin
pc #pasartheboyz #pasartbz - prices
in pic &amp;amp; exc pos - postage
rm6wm shopee jnt (+ rm3 packaging)
- postage on weekend - serious
buyer only - fast payment - can
reserved but no backout. - condition
10/10 https://t.co/qAMrpUUJqO</t>
  </si>
  <si>
    <t>jasaraharjaaceh
Hai Jasfren, hari ini Pembina Samsat
Aceh yang terdiri dari Dirlantas
Polda Aceh, Kepala BPKA, dan Kepala
PT Jasa Raharja Cabang Aceh menandatangi
perpanjangan Perjanjian Kerjasama
Pelayanan Pembayaran Pajak Kendaraan
Bermotor melalui PT. Pos Indonesia
#PKS #PKB #SWDKLLJ #PNBP https://t.co/A0DkJ7RSvI</t>
  </si>
  <si>
    <t>anggita02727756
Pemerintah menyelesaikan pembangunan
Pos Lintas Batas Negara (PLBN)
Jagoi Babang di Kabupaten Bengkayang,
Provinsi Kalimantan Barat. Pembangunan
PLBN merupakan wujud nyata implementasi
dalam membangun Indonesia dari
pinggiran dalam rangka menjaga
kedaulatan NKRI. https://t.co/Qsx3c0IBD8</t>
  </si>
  <si>
    <t>3kimandimdead
(WTS/HELP RT) ALL SF9 PCS RM10
EACH ‼️ - postage rm10 em/wm (FIXED)
- using JNT - FPFS - SHOPEEPAY/BANKIN✅
- NO BACKOUT ❌ - TAKE MORE THAN
RM50 FREE POS‼️ #pasarSF9 @pasarSF9my
help rt. https://t.co/187gbquXxe</t>
  </si>
  <si>
    <t xml:space="preserve">pasarsf9my
</t>
  </si>
  <si>
    <t>jihoneybebe
(WTS/HELP RT) ALL SF9 PCS RM10
EACH ‼️ - postage rm10 em/wm (FIXED)
- using JNT - FPFS - SHOPEEPAY/BANKIN✅
- NO BACKOUT ❌ - TAKE MORE THAN
RM50 FREE POS‼️ #pasarSF9 @pasarSF9my
help rt. https://t.co/187gbquXxe</t>
  </si>
  <si>
    <t>sukulent_kaktus
Jadi tunggu apalagii yukk order,
untuk price list nya bisa ketuk
dm kita di Intagram : skulen_cactus
Twitter : sukulentku_. 🤗🤗 Dan
untuk pengiriman nya kita menggunakan
jasa kirim (jnt/jne/sicepat/ninja
express) , gojek, grab, ataupun
bisa COD (untuk sekitaran kab bandung)
🥳</t>
  </si>
  <si>
    <t>awenk_bukar
❌Sicepat❌ ❌J&amp;amp;T express❌ ❌JNE❌
📦⚽️ 𝙵𝙴𝙳𝙴𝚇 𝙴𝚇𝙿𝚁𝙴𝚂𝚂
📦⚽️ #SpeziaJuve #ForzaJuve https://t.co/AgcOJrn7lv</t>
  </si>
  <si>
    <t>tibott2
BST kembali diperpanjang untuk
dua bulan yakni bulan Mei dan Juni
2021 dengan indeks Rp300 ribu/bulan/Keluarga
Penerima Manfaat (KPM). BST menyasar
10 juta KPM dengan penyaluran dilakukan
melalui PT Pos Indonesia. #BansosLanjutTerus
https://t.co/kTGIC0DqCm</t>
  </si>
  <si>
    <t>anak_sultanjaya
BST kembali diperpanjang untuk
dua bulan yakni bulan Mei dan Juni
2021 dengan indeks Rp300 ribu/bulan/Keluarga
Penerima Manfaat (KPM). BST menyasar
10 juta KPM dengan penyaluran dilakukan
melalui PT Pos Indonesia. #BansosLanjutTerus
https://t.co/kTGIC0DqCm</t>
  </si>
  <si>
    <t>hendrimbahe_10
❌Sicepat❌ ❌J&amp;amp;T express❌ ❌JNE❌
📦⚽️ 𝙵𝙴𝙳𝙴𝚇 𝙴𝚇𝙿𝚁𝙴𝚂𝚂
📦⚽️ #SpeziaJuve #ForzaJuve https://t.co/AgcOJrn7lv</t>
  </si>
  <si>
    <t>aly_pemuda
BST kembali diperpanjang untuk
dua bulan yakni bulan Mei dan Juni
2021 dengan indeks Rp300 ribu/bulan/Keluarga
Penerima Manfaat (KPM). BST menyasar
10 juta KPM dengan penyaluran dilakukan
melalui PT Pos Indonesia. #BansosLanjutTerus
https://t.co/kTGIC0DqCm</t>
  </si>
  <si>
    <t>naj_2709
pemerintah memperpanjang program
BST selama dua bulan, yaitu pada
Mei dan Juni 2021 dengan indeks
bantuan Rp 300.000 per bulan per
KPM. Program BST yang menyasar
10 juta KPM tersebut disalurkan
pemerintah melalui PT Pos Indonesia.
#BansosLanjutTerus https://t.co/zn965fx92l</t>
  </si>
  <si>
    <t>youngfarrel27
BST kembali diperpanjang untuk
dua bulan yakni bulan Mei dan Juni
2021 dengan indeks Rp300 ribu/bulan/Keluarga
Penerima Manfaat (KPM). BST menyasar
10 juta KPM dengan penyaluran dilakukan
melalui PT Pos Indonesia. #BansosLanjutTerus
https://t.co/kTGIC0DqCm</t>
  </si>
  <si>
    <t>ariestarico2
pemerintah memperpanjang program
BST selama dua bulan, yaitu pada
Mei dan Juni 2021 dengan indeks
bantuan Rp 300.000 per bulan per
KPM. Program BST yang menyasar
10 juta KPM tersebut disalurkan
pemerintah melalui PT Pos Indonesia.
#BansosLanjutTerus https://t.co/zn965fx92l</t>
  </si>
  <si>
    <t>giewhydi
PT SiCepat Express Indonesia memborong
saham PT Digital Mediatama Maxima
Tbk. sebanyak 5 juta lembar. SiCepat
merupakan salah satu portofolio
investasi yang dimiliki oleh MDI
Ventures. MDI Ventures merupakan
ventura yang menjadi anak usaha
@TelkomIndonesia https://t.co/GUT2vwx4bk</t>
  </si>
  <si>
    <t>rizkidikka
BST kembali diperpanjang untuk
dua bulan yakni bulan Mei dan Juni
2021 dengan indeks Rp300 ribu/bulan/Keluarga
Penerima Manfaat (KPM). BST menyasar
10 juta KPM dengan penyaluran dilakukan
melalui PT Pos Indonesia. #BansosLanjutTerus
https://t.co/kTGIC0DqCm</t>
  </si>
  <si>
    <t>berli_flo
BST kembali diperpanjang untuk
dua bulan yakni bulan Mei dan Juni
2021 dengan indeks Rp300 ribu/bulan/Keluarga
Penerima Manfaat (KPM). BST menyasar
10 juta KPM dengan penyaluran dilakukan
melalui PT Pos Indonesia. #BansosLanjutTerus
https://t.co/kTGIC0DqCm</t>
  </si>
  <si>
    <t>marv3lll
pemerintah memperpanjang program
BST selama dua bulan, yaitu pada
Mei dan Juni 2021 dengan indeks
bantuan Rp 300.000 per bulan per
KPM. Program BST yang menyasar
10 juta KPM tersebut disalurkan
pemerintah melalui PT Pos Indonesia.
#BansosLanjutTerus https://t.co/zn965fx92l</t>
  </si>
  <si>
    <t>o1sahi
@treasuremembers kalo kita gak
ditakdirkan bersama tandanya adalah
salah satu nomor telepon kode pos
kecamatan di Indonesia arahkan
ke sekolah sama sekali tidak memiliki
izin bertanya kepada saya https://t.co/PBDVgDE17j</t>
  </si>
  <si>
    <t xml:space="preserve">treasuremembers
</t>
  </si>
  <si>
    <t>bey_heri
❌Sicepat❌ ❌J&amp;amp;T express❌ ❌JNE❌
📦⚽️ 𝙵𝙴𝙳𝙴𝚇 𝙴𝚇𝙿𝚁𝙴𝚂𝚂
📦⚽️ #SpeziaJuve #ForzaJuve https://t.co/AgcOJrn7lv</t>
  </si>
  <si>
    <t>panterorison20
BST kembali diperpanjang untuk
dua bulan yakni bulan Mei dan Juni
2021 dengan indeks Rp300 ribu/bulan/Keluarga
Penerima Manfaat (KPM). BST menyasar
10 juta KPM dengan penyaluran dilakukan
melalui PT Pos Indonesia. #BansosLanjutTerus
https://t.co/kTGIC0DqCm</t>
  </si>
  <si>
    <t>adenugraha999
❌Sicepat❌ ❌J&amp;amp;T express❌ ❌JNE❌
📦⚽️ 𝙵𝙴𝙳𝙴𝚇 𝙴𝚇𝙿𝚁𝙴𝚂𝚂
📦⚽️ #SpeziaJuve #ForzaJuve https://t.co/AgcOJrn7lv</t>
  </si>
  <si>
    <t>sydneyx5w
pemerintah memperpanjang program
BST selama dua bulan, yaitu pada
Mei dan Juni 2021 dengan indeks
bantuan Rp 300.000 per bulan per
KPM. Program BST yang menyasar
10 juta KPM tersebut disalurkan
pemerintah melalui PT Pos Indonesia.
#BansosLanjutTerus https://t.co/zn965fx92l</t>
  </si>
  <si>
    <t>farrel27
BST kembali diperpanjang untuk
dua bulan yakni bulan Mei dan Juni
2021 dengan indeks Rp300 ribu/bulan/Keluarga
Penerima Manfaat (KPM). BST menyasar
10 juta KPM dengan penyaluran dilakukan
melalui PT Pos Indonesia. #BansosLanjutTerus
https://t.co/kTGIC0DqCm</t>
  </si>
  <si>
    <t>babyericsohn
help rt 🇲🇾 | wts the boyz sunwoo
younghoon hyunjae sangyeon kevin
pc #pasartheboyz #pasartbz - prices
in pic &amp;amp; exc pos - postage
rm6wm shopee jnt (+ rm3 packaging)
- postage on weekend - serious
buyer only - fast payment - can
reserved but no backout. - condition
10/10 https://t.co/qAMrpUUJqO</t>
  </si>
  <si>
    <t>rakustudiojogja
❌Sicepat❌ ❌J&amp;amp;T express❌ ❌JNE❌
📦⚽️ 𝙵𝙴𝙳𝙴𝚇 𝙴𝚇𝙿𝚁𝙴𝚂𝚂
📦⚽️ #SpeziaJuve #ForzaJuve https://t.co/AgcOJrn7lv</t>
  </si>
  <si>
    <t>_adeputra
❌Sicepat❌ ❌J&amp;amp;T express❌ ❌JNE❌
📦⚽️ 𝙵𝙴𝙳𝙴𝚇 𝙴𝚇𝙿𝚁𝙴𝚂𝚂
📦⚽️ #SpeziaJuve #ForzaJuve https://t.co/AgcOJrn7lv</t>
  </si>
  <si>
    <t>putiandamdewi16
BST kembali diperpanjang untuk
dua bulan yakni bulan Mei dan Juni
2021 dengan indeks Rp300 ribu/bulan/Keluarga
Penerima Manfaat (KPM). BST menyasar
10 juta KPM dengan penyaluran dilakukan
melalui PT Pos Indonesia. #BansosLanjutTerus
https://t.co/kTGIC0DqCm</t>
  </si>
  <si>
    <t>hhjdinn
@dedekayen Aku gada wa si kurir
karna aku jarang pake sicepat,
ini juga karna tokonya sicepat
doang, biasanya pake jnt terus,
kantor sicepat disini aja aku gatau
lik</t>
  </si>
  <si>
    <t xml:space="preserve">dedekayen
</t>
  </si>
  <si>
    <t>ta_k3n
BST kembali diperpanjang untuk
dua bulan yakni bulan Mei dan Juni
2021 dengan indeks Rp300 ribu/bulan/Keluarga
Penerima Manfaat (KPM). BST menyasar
10 juta KPM dengan penyaluran dilakukan
melalui PT Pos Indonesia. #BansosLanjutTerus
https://t.co/kTGIC0DqCm</t>
  </si>
  <si>
    <t>kemenkumham_jtm
Terkait UKK Imigrasi Bojonegoro,
ULP di mall wilayah Surabaya maupun
Kerjasama dengan PT Pos Indonesia.
(Humas Kemenkumham Jatim) #KemenkumhamRI
#KumhamPASTI @rbkunwas https://t.co/RG47KIBueN</t>
  </si>
  <si>
    <t xml:space="preserve">rbkunwas
</t>
  </si>
  <si>
    <t>pkspekayon
PKS Minta Pemerintah perhatikan
Jalur Lintas Batas Tradisional
untuk memutus rantai penyebaran
Covid-19 dari luar wilayah Indonesia.
~ Aleg PKS, Toriq Hidayat. https://t.co/S3qaGSD7fS</t>
  </si>
  <si>
    <t>pksejahtera
PKS Minta Pemerintah perhatikan
Jalur Lintas Batas Tradisional
untuk memutus rantai penyebaran
Covid-19 dari luar wilayah Indonesia.
~ Aleg PKS, Toriq Hidayat. https://t.co/S3qaGSD7fS</t>
  </si>
  <si>
    <t>dmncbgs
@ponakan_zeus26 besok paketnya
pake Pos Indonesia aja berarti</t>
  </si>
  <si>
    <t xml:space="preserve">ponakan_zeus26
</t>
  </si>
  <si>
    <t>hoonqhwadxjj
help rt 🇲🇾 | wts the boyz sunwoo
younghoon hyunjae sangyeon kevin
pc #pasartheboyz #pasartbz - prices
in pic &amp;amp; exc pos - postage
rm6wm shopee jnt (+ rm3 packaging)
- postage on weekend - serious
buyer only - fast payment - can
reserved but no backout. - condition
10/10 https://t.co/qAMrpUUJqO</t>
  </si>
  <si>
    <t>caratsmarket
Cwta kalo kirim ke ln pake pos
indonesia bayarnya bisa pake debit
ga ya?</t>
  </si>
  <si>
    <t>thisuglyducklin
@Masajhiajhi Sampaikan sendiri
saya bukan pos indonesia 😝</t>
  </si>
  <si>
    <t xml:space="preserve">masajhiajhi
</t>
  </si>
  <si>
    <t>caesarygesa
𝐀𝐫𝐢 ga pernah pakai itu. Palingan
jnt jne sicepat instant same day
gitu aja</t>
  </si>
  <si>
    <t>prakamaulana
@sicepat_ekspres 002745392347 lambat
banget si cepat pelayanan lebih
parah dari JNE</t>
  </si>
  <si>
    <t>liliiluuu
@ShopeeID Iya tp pengirimannya
bisa pake sicepat?apa jnt ajaaa:)</t>
  </si>
  <si>
    <t xml:space="preserve">shopeeid
</t>
  </si>
  <si>
    <t>nurlimreski
Pos Indonesia tidak masuk?? https://t.co/dsWJ9Cx5Bs</t>
  </si>
  <si>
    <t>twitlowongan
#Lowongan WAREHOUSE OPERATOR PT.
Pos Logistik Indonesia (Anak BUMN
PT. Pos Indonesia (Persero) | Semua
Jurusan | Penempatan di Banyak
Kota). Syarat, Lokasi &amp;amp; Cara
Melamar Baca Di: https://t.co/j0Gu9zOGMu
https://t.co/S63zISccBX</t>
  </si>
  <si>
    <t>imanhidayat85
#Lowongan WAREHOUSE OPERATOR PT.
Pos Logistik Indonesia (Anak BUMN
PT. Pos Indonesia (Persero) | Semua
Jurusan | Penempatan di Banyak
Kota). Syarat, Lokasi &amp;amp; Cara
Melamar Baca Di: https://t.co/j0Gu9zOGMu
https://t.co/S63zISccBX</t>
  </si>
  <si>
    <t>dnyrstn_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</si>
  <si>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canduayamgeprek
@awwgill jne n sicepat bisa si</t>
  </si>
  <si>
    <t xml:space="preserve">awwgill
</t>
  </si>
  <si>
    <t>leezxv
gerigitan betul sya ni pos laju
sma jnt apa juga drg buat parcel
sya lama2 d kk😭😭</t>
  </si>
  <si>
    <t>ray_prakarsa
❌Sicepat❌ ❌J&amp;amp;T express❌ ❌JNE❌
📦⚽️ 𝙵𝙴𝙳𝙴𝚇 𝙴𝚇𝙿𝚁𝙴𝚂𝚂
📦⚽️ #SpeziaJuve #ForzaJuve https://t.co/AgcOJrn7lv</t>
  </si>
  <si>
    <t>nanasisterrr
Yg keinget skg sih museum sribaduga,
museum pos indonesia https://t.co/HtPMshUMlE</t>
  </si>
  <si>
    <t>nugraha16_
❌Sicepat❌ ❌J&amp;amp;T express❌ ❌JNE❌
📦⚽️ 𝙵𝙴𝙳𝙴𝚇 𝙴𝚇𝙿𝚁𝙴𝚂𝚂
📦⚽️ #SpeziaJuve #ForzaJuve https://t.co/AgcOJrn7lv</t>
  </si>
  <si>
    <t>rezaaadtya
❌Sicepat❌ ❌J&amp;amp;T express❌ ❌JNE❌
📦⚽️ 𝙵𝙴𝙳𝙴𝚇 𝙴𝚇𝙿𝚁𝙴𝚂𝚂
📦⚽️ #SpeziaJuve #ForzaJuve https://t.co/AgcOJrn7lv</t>
  </si>
  <si>
    <t>derryaulia
❌Sicepat❌ ❌J&amp;amp;T express❌ ❌JNE❌
📦⚽️ 𝙵𝙴𝙳𝙴𝚇 𝙴𝚇𝙿𝚁𝙴𝚂𝚂
📦⚽️ #SpeziaJuve #ForzaJuve https://t.co/AgcOJrn7lv</t>
  </si>
  <si>
    <t>bukansamsmith
@pandabeardada Bukaannn. Masih
jauh dari fithub. Clue: yg deket
pos polisi benhil sama jne benhil.</t>
  </si>
  <si>
    <t xml:space="preserve">pandabeardada
</t>
  </si>
  <si>
    <t>korantempo
Benda pos lain yang masih banyak
penggemar adalah kartu pos. Secara
global, para penggemar kartu pos
punya cara unik dalam bertukar
benda ini: lewat wadah Postcrossing.
Ada juga kolektor personal yang
menggemari kartu pos atas alasan…
https://t.co/K84kg6Sfhk #KoranTempo</t>
  </si>
  <si>
    <t>sokojogja
Benda pos lain yang masih banyak
penggemar adalah kartu pos. Secara
global, para penggemar kartu pos
punya cara unik dalam bertukar
benda ini: lewat wadah Postcrossing.
Ada juga kolektor personal yang
menggemari kartu pos atas alasan…
https://t.co/K84kg6Sfhk #KoranTempo</t>
  </si>
  <si>
    <t>jggkkie
@etereojin di aku sicepat malah
cpt bgt jnt lama 😦</t>
  </si>
  <si>
    <t xml:space="preserve">etereojin
</t>
  </si>
  <si>
    <t>floraisonvie
@ghastpiracy wkwkwkw iyah aku gold
member tiap minggu 10 freeong dan
cashback 10rebu😂 gimana gue ga
cuan, hemat 2jutaan gue sejak pake
tokped dan kurirnya pake JNT atau
sicepat which means ga lama2 walaupun
ditulis sampe tujuan 4 hari sering
bgt cuma sehari 2 hari</t>
  </si>
  <si>
    <t xml:space="preserve">ghastpiracy
</t>
  </si>
  <si>
    <t>pasartheboyz
help rt 🇲🇾 | wts the boyz sunwoo
younghoon hyunjae sangyeon kevin
pc #pasartheboyz #pasartbz - prices
in pic &amp;amp; exc pos - postage
rm6wm shopee jnt (+ rm3 packaging)
- postage on weekend - serious
buyer only - fast payment - can
reserved but no backout. - condition
10/10 https://t.co/qAMrpUUJqO</t>
  </si>
  <si>
    <t>gudangloker_com
Lowongan Kerja PT Pos Logistik
Indonesia Tahun 2021 https://t.co/eBiEKsoWVE</t>
  </si>
  <si>
    <t>_n0t4lfiaccount
@melissaarfa sampe sih, yang bikin
lama di indonya, mereka pakai pos
soalnya dan yatau sendiri pos indonesia
gimana</t>
  </si>
  <si>
    <t xml:space="preserve">melissaarfa
</t>
  </si>
  <si>
    <t>lokernesiaid
Lowongan Kerja Pos Logistik Indonesia
Surabaya September 2021 https://t.co/aEFNUeee7m</t>
  </si>
  <si>
    <t>eunhatelkomsel
sicepat udh bagus banget di gue
baru kemaren sore di kirim dari
nganjuk, hari ini udh di bandung
sedangkan si jnt estimasi harus
sampe sebelum tgl 23.. tapi sampe
sekarang ga nyampe lol</t>
  </si>
  <si>
    <t>akuratco
Anak usaha PT Pos Indonesia (Persero)
yakni Pos Logistik Indonesia tengah
membuka lowongan kerja, yuk intip!
https://t.co/M5uNJdQ02i</t>
  </si>
  <si>
    <t>muse_indonesia
Lisensi: GET ‼ Kali ini, kami sudah
mengamankan hak tayang untuk anime
chibi "Kaginado" yang bakal bikin
kalian nostalgia maksimal! ⚠ Jadwal
dan platform penayangan akan kami
infokan segera. Pos ini bukan penumuman
penayangan di YouTube ⚠ Website：https://t.co/e8dLJ7iMYY
https://t.co/XD5OZAO26c</t>
  </si>
  <si>
    <t>sparklingpjh
@jbudam Untuk aku sndri yg kota
bandung sebenernya pake id selalu
cepet, cmn kurang tau klo di luar
bandung itu agak lebih lama, biasa
jnt/sicepat 1-2 hari klo id bisa
2-3 hari</t>
  </si>
  <si>
    <t xml:space="preserve">jbudam
</t>
  </si>
  <si>
    <t>sendalpupus
@namakunida Paling bener jnt/sicepat</t>
  </si>
  <si>
    <t xml:space="preserve">namakunida
</t>
  </si>
  <si>
    <t>smootieskies
Beria la buat gambar passport beli
kat shopee sebab murah. Sekali
jnt dok buat peram barang aku 😤
dah la nak pos segala document
harini haihh 🤬</t>
  </si>
  <si>
    <t>mitraloker
Lowongan Kerja Semua Jurusan PT
Pos Logistik Indonesia September
2021 https://t.co/EYuPjOeK2C</t>
  </si>
  <si>
    <t>_44ngel_
Mana abang jnt niii, nak pergi
pos barang ni 😭😭</t>
  </si>
  <si>
    <t>indojobinfo
Lowongan Kerja Semua Jurusan PT
Pos Logistik Indonesia September
2021 https://t.co/ZQCjMXK2aZ</t>
  </si>
  <si>
    <t>dyodks
Jnt nak pos sekilo rm12 😱😱😱😱😱
da kenape mahal sgt??????</t>
  </si>
  <si>
    <t>meneertang
@bravobeacukai Baik Kak, akan aku
cek berkala ya di web Pos Indonesia
nya. Nanti diserahkan per email
ke kurirnya kah?</t>
  </si>
  <si>
    <t>crownjxno
@keziegy di daerah ku jnt sama
sicepat sama ajaa</t>
  </si>
  <si>
    <t>dochil97
@VChristyano Mau lewat mana JNE
apa TIKI apa KANTOR POS apa SICEPAT</t>
  </si>
  <si>
    <t xml:space="preserve">vchristyano
</t>
  </si>
  <si>
    <t>birthhdayboyy
@keziegy sicepat sama jnt</t>
  </si>
  <si>
    <t>jnvcarts
@keziegy jnt or sicepat, tapi mending
jnt</t>
  </si>
  <si>
    <t>meisyarahma0109
@jualanlabels halo kak,aku bersedia
untuk admin packing,btw dom aku
karawang dan kebetulan rumah aku
juga deket jnt,jne,sicepat.aku
akan memberikan yang terbaik trmksh</t>
  </si>
  <si>
    <t>draftanakunpad
- guys ada yang tau kalau kita
mau liat info loker jasa pengiriman
(ex. Sicepat, jnt, jne) itu dimana
ya?</t>
  </si>
  <si>
    <t>jieyalahh
Tapi shopee express sini bagus.
Sama je macam jnt, semalam pos
harini sampai. Kadang pukul 10
malam pun dia hantar lagi (~‾▿‾)~</t>
  </si>
  <si>
    <t>nauttella
sicepat cpt bgt ish mo sungkem
galagi pake jne</t>
  </si>
  <si>
    <t>idealtouse
Harusnya paket aku sampe besok
ni kalo pake sicepat, klo jnt express
ndk tau lah tu~</t>
  </si>
  <si>
    <t>isrdotcom
INFO LOKER BUMN! PT POS Logistik
Indonesia Buka Lowongan Untuk Lulusan
Min D3 Terbaru September 2021 #loker
#lowongankerja https://t.co/YBt2b9q9Kk</t>
  </si>
  <si>
    <t>pajakbela
Kunjungan kerja ini bertujuan untuk
meningkatkan kerja sama antara
Kanwil DJP Bengkulu dan Lampung
dengan Pos Indonesia KCU Wilayah
Lampung dalam bidang pengawasan
Bea Meterai dan pemanfaaran Geo
Tagging bersama @PosIndonesia #sinergi
#pajakkitauntukkita #pajakkuatindonesiamaju</t>
  </si>
  <si>
    <t xml:space="preserve">ditjenpajakri
</t>
  </si>
  <si>
    <t>pajakmanna
Kunjungan kerja ini bertujuan untuk
meningkatkan kerja sama antara
Kanwil DJP Bengkulu dan Lampung
dengan Pos Indonesia KCU Wilayah
Lampung dalam bidang pengawasan
Bea Meterai dan pemanfaaran Geo
Tagging bersama @PosIndonesia #sinergi
#pajakkitauntukkita #pajakkuatindonesiamaju</t>
  </si>
  <si>
    <t>sherlynzlee
@Askrlfess mending plastikin lagi
sendiri. pake map dulu kalau perlu
sebelum diplastikin..... aku kalau
dokumen penting biasanya pos sih,
jarang jne. ngirim kertas pake
jne mentok soal statistik tahun
lalu doang ke temen......</t>
  </si>
  <si>
    <t>temandeeptalk
@Askrlfess kmaren mau ngirim ijazah
gtu malah di tolak sma jnt nya,,
mending pos aja</t>
  </si>
  <si>
    <t>dodotcantik
Otw Surabaya lagiiii barang berat
tapi ongkir tetep ringan pake Grab
Express x Anteraja. Maapin iklan
hahaahah lagi tergilak gilak akutuh
sama si Grab, babay JNE, JNT, SiCepat,
Gojek. https://t.co/ZO2wHLnuiO</t>
  </si>
  <si>
    <t>shattapyou
@lonelyboy77x Haa jap nak hantar..
nk by jnt ke pos? 🤣</t>
  </si>
  <si>
    <t xml:space="preserve">lonelyboy77x
</t>
  </si>
  <si>
    <t>tsyahana
Jnt kat lahat mmg terbaik lah.
Harini pos esok dh sampai. Even
sis terkejut hantar JB pun esok
tu sampai dh. Then senang, drop
off je takyah nak masuk dalam.</t>
  </si>
  <si>
    <t>deobimarket
help rt 🇲🇾 wts sunwoo haknyeon
kick pc #pasartheboyz #pasartbz
-both rm 28 exc pos -postage rm
6 shopee jnt (add rm 3 packaging)
-postage on weekend -serious buyer
only -can reserve but no backout
-fast payment -sunwoo pc have slightly
defect -haknyeon pc condition 10/10
https://t.co/aJwzHUeo9D</t>
  </si>
  <si>
    <t>pasartheboyzmy
help rt 🇲🇾 wts sunwoo haknyeon
kick pc #pasartheboyz #pasartbz
-both rm 28 exc pos -postage rm
6 shopee jnt (add rm 3 packaging)
-postage on weekend -serious buyer
only -can reserve but no backout
-fast payment -sunwoo pc have slightly
defect -haknyeon pc condition 10/10
https://t.co/aJwzHUeo9D</t>
  </si>
  <si>
    <t>mybigbozz
Lowongan Kerja PT Pos Logistik
Indonesia https://t.co/VNgJkDYVm4
https://t.co/Emjz91aK2q</t>
  </si>
  <si>
    <t>hyjinjinn
poster weverse gue ilang di anteraja,
bilangnya mau diproses dr minggu
lalu. gue follow up malah gadibaca
wa gue, dianggurin aja gitu~ hmm
cuktau ajanih mending jnt atoga
sicepat dah</t>
  </si>
  <si>
    <t>cikguainan
@kam_camelia Dia rasa membazir
buat le sendiri. Kotak sendiri.
Lampu sendiri. Reben sendiri. Jajan
sendiri. Nak personal touch sangat
kan. Ha lepas tu beratur pulak
dalam jnt untuk pos. Dekat situ
dah sekurang-kurangnya dua tempat
dia kena check in checkout.</t>
  </si>
  <si>
    <t xml:space="preserve">kam_camelia
</t>
  </si>
  <si>
    <t>bbyerics
help rt 🇲🇾 wts sunwoo haknyeon
kick pc #pasartheboyz #pasartbz
-both rm 28 exc pos -postage rm
6 shopee jnt (add rm 3 packaging)
-postage on weekend -serious buyer
only -can reserve but no backout
-fast payment -sunwoo pc have slightly
defect -haknyeon pc condition 10/10
https://t.co/aJwzHUeo9D</t>
  </si>
  <si>
    <t>kharismaselaras
Lowongan Kerja PT Pos Logistik
Indonesia https://t.co/Lmd85Akyqz</t>
  </si>
  <si>
    <t>bursakerja20
Info Loker! PT SiCepat Ekspres
Indonesia Buka Lowongan Kerja untuk
Lulusan Minimal D3: Info Loker!
PT SiCepat Ekspres Indonesia Buka
Lowongan Kerja untuk Lulusan Minimal
D3. Erlyn Pratiwi 24 September
2021, 13:30 WIB. https://t.co/DpQhk32ulg
#loker #lowongankerja</t>
  </si>
  <si>
    <t>makhlukhalusss
@squidwrd__ kenapa ngga uninstall
aja app nya dan beralih ke pos
Indonesia</t>
  </si>
  <si>
    <t xml:space="preserve">squidwrd__
</t>
  </si>
  <si>
    <t>bazaardeobi
help rt 🇲🇾 wts sunwoo haknyeon
kick pc #pasartheboyz #pasartbz
-both rm 28 exc pos -postage rm
6 shopee jnt (add rm 3 packaging)
-postage on weekend -serious buyer
only -can reserve but no backout
-fast payment -sunwoo pc have slightly
defect -haknyeon pc condition 10/10
https://t.co/aJwzHUeo9D</t>
  </si>
  <si>
    <t>haiqal_mahtiar
@aly4chan Nk jnt ke pos laju?</t>
  </si>
  <si>
    <t xml:space="preserve">aly4chan
</t>
  </si>
  <si>
    <t>pingpongshh
pos la cepat roti thailand tu kan
berkulat dalam lori jnt</t>
  </si>
  <si>
    <t>ajisaazeez
Semoga sempat sampai jnt untuk
pos barang</t>
  </si>
  <si>
    <t>ireneizbaee
when will ppl realise sellers takleh
bagi free shipping bcs jnt bukan
bapak saya punya, saya tak balut
pc awak guna daun, bukan pergi
pos barang awak naik unta, bukan
bukan bukannnnnnnn https://t.co/aQqhbMbDbE</t>
  </si>
  <si>
    <t>nraisyah_12
help rt 🇲🇾 wts sunwoo haknyeon
kick pc #pasartheboyz #pasartbz
-both rm 28 exc pos -postage rm
6 shopee jnt (add rm 3 packaging)
-postage on weekend -serious buyer
only -can reserve but no backout
-fast payment -sunwoo pc have slightly
defect -haknyeon pc condition 10/10
https://t.co/aJwzHUeo9D</t>
  </si>
  <si>
    <t>pks_psrebo
PKS Minta Pemerintah perhatikan
Jalur Lintas Batas Tradisional
untuk memutus rantai penyebaran
Covid-19 dari luar wilayah Indonesia.
~ Aleg PKS, Toriq Hidayat. https://t.co/S3qaGSD7fS</t>
  </si>
  <si>
    <t>soorisaa
Small giveaway for 🇲🇾 STAY ❣️
1pc I.N ds noeasy ⚡ Just like,
rt, n comment any skz pic. Will
end esok anytime, sbb nak terus
pos dgn parcel my buyer yg lain.
**postage on winner - rm5 jnt #pasarSKZ
https://t.co/tpNyxYmUWB</t>
  </si>
  <si>
    <t>seungvocado22
Small giveaway for 🇲🇾 STAY ❣️
1pc I.N ds noeasy ⚡ Just like,
rt, n comment any skz pic. Will
end esok anytime, sbb nak terus
pos dgn parcel my buyer yg lain.
**postage on winner - rm5 jnt #pasarSKZ
https://t.co/tpNyxYmUWB</t>
  </si>
  <si>
    <t>lcvely_wn
Small giveaway for 🇲🇾 STAY ❣️
1pc I.N ds noeasy ⚡ Just like,
rt, n comment any skz pic. Will
end esok anytime, sbb nak terus
pos dgn parcel my buyer yg lain.
**postage on winner - rm5 jnt #pasarSKZ
https://t.co/tpNyxYmUWB</t>
  </si>
  <si>
    <t>widodo025
@bettylhestariie kirim ny mw lewt
sicepat apa lwt jne jne ni</t>
  </si>
  <si>
    <t xml:space="preserve">bettylhestariie
</t>
  </si>
  <si>
    <t>nabilaaptrs
seru bngt skrg tetanggannya sm
#shopeeexpress @jntexpressid @JNE_ID
@sicepat_ekspres ditunggu yang
lainnya yyyy🤩</t>
  </si>
  <si>
    <t>shadatuzn
Hritu i ada beli something and
then i tanya lh dia "u guna jnt
ke" and then dia reply "i will
use poslaju, but if you want jnt
boleh je", astu tdi dia bgi tracking
number pos laju HAHAHAHA💀</t>
  </si>
  <si>
    <t>jeonginfoxyy
Small giveaway for 🇲🇾 STAY ❣️
1pc I.N ds noeasy ⚡ Just like,
rt, n comment any skz pic. Will
end esok anytime, sbb nak terus
pos dgn parcel my buyer yg lain.
**postage on winner - rm5 jnt #pasarSKZ
https://t.co/tpNyxYmUWB</t>
  </si>
  <si>
    <t>teutoong21
Small giveaway for 🇲🇾 STAY ❣️
1pc I.N ds noeasy ⚡ Just like,
rt, n comment any skz pic. Will
end esok anytime, sbb nak terus
pos dgn parcel my buyer yg lain.
**postage on winner - rm5 jnt #pasarSKZ
https://t.co/tpNyxYmUWB</t>
  </si>
  <si>
    <t>guardianfa
@nastitintan sicepat, jnt menjangkau
daerah gini gak ya</t>
  </si>
  <si>
    <t xml:space="preserve">nastitintan
</t>
  </si>
  <si>
    <t>iyenstars
Small giveaway for 🇲🇾 STAY ❣️
1pc I.N ds noeasy ⚡ Just like,
rt, n comment any skz pic. Will
end esok anytime, sbb nak terus
pos dgn parcel my buyer yg lain.
**postage on winner - rm5 jnt #pasarSKZ
https://t.co/tpNyxYmUWB</t>
  </si>
  <si>
    <t>iouhrj
sekarang aman sicepat apa jnt sih
kalo buat pc 😓</t>
  </si>
  <si>
    <t>cthe0luvr
help rt 🇲🇾 #pasarpiwon wts intak
p1ay set -selling in set rm25 exc
pos -full set without id photo
only -can reserve but no backout
-no fussy buyer -postage rm6 jnt
shopee (+ rm3 packaging) https://t.co/MJM3VpJ7y6</t>
  </si>
  <si>
    <t>briankhis
Ada yg pernah kirim dokumen antar
kota pake jasa pos/JNE? Prosesnya
gimna ya? Help</t>
  </si>
  <si>
    <t>ainthesame
@briankhis amaan kok. tegantung
deh kan ada macem2 jenisnya, tp
kisaran belasan ribu sih pos/jne
itu aku dari bekasi-bandung. kalau
pos kayanya ada web yg buat cek
harga gitu dej</t>
  </si>
  <si>
    <t>hopills
@pacarbighit Mungkin ga pake ekspedisi
macem jnt atau sicepat, atau mungkin
kamu dah ga memenuhi kriteria lagi.
Coba cek di bagian notifikasi penjual
aja nder</t>
  </si>
  <si>
    <t xml:space="preserve">pacarbighit
</t>
  </si>
  <si>
    <t>pasarpiwon
help rt 🇲🇾 #pasarpiwon wts intak
p1ay set -selling in set rm25 exc
pos -full set without id photo
only -can reserve but no backout
-no fussy buyer -postage rm6 jnt
shopee (+ rm3 packaging) https://t.co/MJM3VpJ7y6</t>
  </si>
  <si>
    <t>jeromechanhee
help rt 🇲🇾 wts sunwoo haknyeon
kick pc #pasartheboyz #pasartbz
-both rm 28 exc pos -postage rm
6 shopee jnt (add rm 3 packaging)
-postage on weekend -serious buyer
only -can reserve but no backout
-fast payment -sunwoo pc have slightly
defect -haknyeon pc condition 10/10
https://t.co/aJwzHUeo9D</t>
  </si>
  <si>
    <t>depoksenju
warna pos indonesia demi Allah
jelek https://t.co/kU2ojpb4mz</t>
  </si>
  <si>
    <t>worriwart
@convomf kangen ke perpus BI atau
VDB terus mampir ke Pos Indonesia
buat kirim postcards tiap Jumat
sore. tt ___ tt</t>
  </si>
  <si>
    <t>kusumastianto
Titip Bagus, Jastip yg tau tau
nemu diskon 70% 😅 IG: https://t.co/m0tJmyeoyr
📱 WA &amp;amp; Line: 085326*22*72
DM yaa ☺️ 🏦 Mandiri, BCA, Muamalat,
a.n Angga P. 💳 GoPay &amp;amp; Ovo
a.n. Angga P. 🛒 Shopee, Tokopedia
&amp;amp; Bukalapak 📦 JNE, J&amp;amp;T,
Wahana, Pos, Lion dan Cargo dari
Gresik https://t.co/P3q4s9CgKC</t>
  </si>
  <si>
    <t>bluebir56633512
Titip Bagus, Jastip yg tau tau
nemu diskon 70% 😅 IG: https://t.co/m0tJmyeoyr
📱 WA &amp;amp; Line: 085326*22*72
DM yaa ☺️ 🏦 Mandiri, BCA, Muamalat,
a.n Angga P. 💳 GoPay &amp;amp; Ovo
a.n. Angga P. 🛒 Shopee, Tokopedia
&amp;amp; Bukalapak 📦 JNE, J&amp;amp;T,
Wahana, Pos, Lion dan Cargo dari
Gresik https://t.co/P3q4s9CgKC</t>
  </si>
  <si>
    <t>egghannie
Small giveaway for 🇲🇾 STAY ❣️
1pc I.N ds noeasy ⚡ Just like,
rt, n comment any skz pic. Will
end esok anytime, sbb nak terus
pos dgn parcel my buyer yg lain.
**postage on winner - rm5 jnt #pasarSKZ
https://t.co/tpNyxYmUWB</t>
  </si>
  <si>
    <t>spartanwisata
Kemensos salurkan 200,660 paket
masker dan vitamin melalui PT Pos
Logistik Indonesia dengan menerapkan
prokes secara ketat sehingga paket
dijamin higienis. Jokowi Lawan
Pandemi https://t.co/c7zug0pJFS</t>
  </si>
  <si>
    <t>sohyunjae
❗️help rt❗️WTS BTS pc 🇲🇾 -must
bought by set -dm to buy 🚚 price
exc pos -rm8 jnt -rm7 pgeon #pasarbts
help rt thanks 💜 @pasarBTS @malaysia_trade
@kpopsellingmy_ @BTStrading_MY
https://t.co/dFPJuTpr2F</t>
  </si>
  <si>
    <t xml:space="preserve">btstrading_my
</t>
  </si>
  <si>
    <t xml:space="preserve">kpopsellingmy_
</t>
  </si>
  <si>
    <t xml:space="preserve">malaysia_trade
</t>
  </si>
  <si>
    <t xml:space="preserve">pasarbts
</t>
  </si>
  <si>
    <t>vointeuir
❗️help rt❗️WTS BTS pc 🇲🇾 -dm
to buy 🚚 price exc pos -rm8 jnt
-rm7 pgeon #pasarbts help rt thanks
💜 @pasarBTS @malaysia_trade @kpopsellingmy_
@BTStrading_MY https://t.co/SmFtwQCQBv</t>
  </si>
  <si>
    <t>vssyie
❗️help rt❗️WTS BTS pc 🇲🇾 -must
bought by set -dm to buy 🚚 price
exc pos -rm8 jnt -rm7 pgeon #pasarbts
help rt thanks 💜 @pasarBTS @malaysia_trade
@kpopsellingmy_ @BTStrading_MY
https://t.co/dFPJuTpr2F</t>
  </si>
  <si>
    <t>taestrowbeary
❗️help rt❗️WTS BTS pc 🇲🇾 -dm
to buy 🚚 price exc pos -rm8 jnt
-rm7 pgeon #pasarbts help rt thanks
💜 @pasarBTS @malaysia_trade @kpopsellingmy_
@BTStrading_MY https://t.co/SmFtwQCQBv</t>
  </si>
  <si>
    <t>lvlyytaetae
❗️help rt❗️WTS BTS pc 🇲🇾 -dm
to buy 🚚 price exc pos -rm8 jnt
-rm7 pgeon #pasarbts help rt thanks
💜 @pasarBTS @malaysia_trade @kpopsellingmy_
@BTStrading_MY https://t.co/7L7uTdjfLv</t>
  </si>
  <si>
    <t>kittywonieee
❗️help rt❗️WTS BTS pc 🇲🇾 -dm
to buy 🚚 price exc pos -rm8 jnt
-rm7 pgeon #pasarbts help rt thanks
💜 @pasarBTS @malaysia_trade @kpopsellingmy_
@BTStrading_MY https://t.co/7L7uTdjfLv</t>
  </si>
  <si>
    <t>jeonginfoxyny
Small giveaway for 🇲🇾 STAY ❣️
1pc I.N ds noeasy ⚡ Just like,
rt, n comment any skz pic. Will
end esok anytime, sbb nak terus
pos dgn parcel my buyer yg lain.
**postage on winner - rm5 jnt #pasarSKZ
https://t.co/tpNyxYmUWB</t>
  </si>
  <si>
    <t>aesthetichees
❗️help rt❗️WTS BTS pc 🇲🇾 -dm
to buy 🚚 price exc pos -rm8 jnt
-rm7 pgeon #pasarbts help rt thanks
💜 @pasarBTS @malaysia_trade @kpopsellingmy_
@BTStrading_MY https://t.co/7L7uTdjfLv</t>
  </si>
  <si>
    <t>jkzty
❗️help rt❗️WTS BTS pc 🇲🇾 -dm
to buy 🚚 price exc pos -rm8 jnt
-rm7 pgeon #pasarbts help rt thanks
💜 @pasarBTS @malaysia_trade @kpopsellingmy_
@BTStrading_MY https://t.co/7L7uTdjfLv</t>
  </si>
  <si>
    <t>seaguling
❗️help rt❗️WTS BTS pc 🇲🇾 -dm
to buy 🚚 price exc pos -rm8 jnt
-rm7 pgeon #pasarbts help rt thanks
💜 @pasarBTS @malaysia_trade @kpopsellingmy_
@BTStrading_MY https://t.co/7L7uTdjfLv</t>
  </si>
  <si>
    <t>tinyyyjungwon
❗️help rt❗️WTS BTS pc 🇲🇾 -dm
to buy 🚚 price exc pos -rm8 jnt
-rm7 pgeon #pasarbts help rt thanks
💜 @pasarBTS @malaysia_trade @kpopsellingmy_
@BTStrading_MY https://t.co/3uGQns9Elj</t>
  </si>
  <si>
    <t>purpleejinnie
❗️help rt❗️WTS BTS pc 🇲🇾 -must
bought by set -dm to buy 🚚 price
exc pos -rm8 jnt -rm7 pgeon #pasarbts
help rt thanks 💜 @pasarBTS @malaysia_trade
@kpopsellingmy_ @BTStrading_MY
https://t.co/dFPJuTpr2F</t>
  </si>
  <si>
    <t>hairulpasya
Desa menjadi pelopor Indonesia
Sehat, Gus Halim imbau pos gebang
desa kembali dijaga 24 jam. @halimiskandarnu
@malik_haramain @imansyukri @yusradaridesa
@tppkemendes @azzameldzikrie @Brigade01Arwan1
@cik_mashuri @TppLampung https://t.co/CdmF7KoGrq</t>
  </si>
  <si>
    <t xml:space="preserve">tpplampung
</t>
  </si>
  <si>
    <t>pld_dedy
Desa menjadi pelopor Indonesia
Sehat, Gus Halim imbau pos gebang
desa kembali dijaga 24 jam. @halimiskandarnu
@malik_haramain @imansyukri @yusradaridesa
@tppkemendes @azzameldzikrie @Brigade01Arwan1
@cik_mashuri @TppLampung https://t.co/CdmF7KoGrq</t>
  </si>
  <si>
    <t xml:space="preserve">cik_mashuri
</t>
  </si>
  <si>
    <t xml:space="preserve">brigade01arwan1
</t>
  </si>
  <si>
    <t xml:space="preserve">azzameldzikrie
</t>
  </si>
  <si>
    <t xml:space="preserve">tppkemendes
</t>
  </si>
  <si>
    <t xml:space="preserve">yusradaridesa
</t>
  </si>
  <si>
    <t xml:space="preserve">imansyukri
</t>
  </si>
  <si>
    <t xml:space="preserve">malik_haramain
</t>
  </si>
  <si>
    <t xml:space="preserve">halimiskandarnu
</t>
  </si>
  <si>
    <t>gusdinsurabaya
Pengurus DPW Partai UKM Indonesia
Provinsi Banten Siap Kibarkan Bendera
di Seluruh Banten https://t.co/5X81KgUjRd
lewat @BATARA POS</t>
  </si>
  <si>
    <t xml:space="preserve">batara
</t>
  </si>
  <si>
    <t>taehusna
❗️help rt❗️WTS BTS pc 🇲🇾 -must
bought by set -dm to buy 🚚 price
exc pos -rm8 jnt -rm7 pgeon #pasarbts
help rt thanks 💜 @pasarBTS @malaysia_trade
@kpopsellingmy_ @BTStrading_MY
https://t.co/dFPJuTpr2F</t>
  </si>
  <si>
    <t>_chemog_
@mizanpilus_ Buat lahh malay subtitle
dari espisode 1-9 baru best. And
pos kt Youtube. Nampaknya youtubers
Indonesia laju buat krja</t>
  </si>
  <si>
    <t xml:space="preserve">mizanpilus_
</t>
  </si>
  <si>
    <t>blueanchovy_
@masdonge Kalo shopee paling jne,jng,jne
jtr,antareja,sicepat sama ninja
coba cek jne jtr kak</t>
  </si>
  <si>
    <t xml:space="preserve">masdonge
</t>
  </si>
  <si>
    <t>kendari_pos
Menko Airlangga : UMKM usAHA Membangun
Ekonomi Indonesia https://t.co/sfC5CrkaVc</t>
  </si>
  <si>
    <t>jnoslatte
Small giveaway for 🇲🇾 STAY ❣️
1pc I.N ds noeasy ⚡ Just like,
rt, n comment any skz pic. Will
end esok anytime, sbb nak terus
pos dgn parcel my buyer yg lain.
**postage on winner - rm5 jnt #pasarSKZ
https://t.co/tpNyxYmUWB</t>
  </si>
  <si>
    <t>bunnykie
❗️help rt❗️WTS BTS pc 🇲🇾 -dm
to buy 🚚 price exc pos -rm8 jnt
-rm7 pgeon #pasarbts help rt thanks
💜 @pasarBTS @malaysia_trade @kpopsellingmy_
@BTStrading_MY https://t.co/7L7uTdjfLv</t>
  </si>
  <si>
    <t>infolokerserang
Lowongan Kerja PT Sicepat Ekspres
Indonesia Penempatan Cilegon https://t.co/2OHGXKOZw8</t>
  </si>
  <si>
    <t>dinotaete
❗️help rt❗️WTS BTS pc 🇲🇾 -must
bought by set -dm to buy 🚚 price
exc pos -rm8 jnt -rm7 pgeon #pasarbts
help rt thanks 💜 @pasarBTS @malaysia_trade
@kpopsellingmy_ @BTStrading_MY
https://t.co/dFPJuTpr2F</t>
  </si>
  <si>
    <t>drp_supportina
Bugs! sendiri merupakan k-site
music app yang paling mudah penggunaannya
karena dapat diverifikasi dengan
nomor Internasional (termasuk Indonesia).
Tutorial pembuatan akun dan sebagainya
akan segera kami pos, untuk mempermudah
kalian dalam mempelajarinya 😊</t>
  </si>
  <si>
    <t>vantaesfm
❗️help rt❗️WTS BTS pc 🇲🇾 -must
bought by set -dm to buy 🚚 price
exc pos -rm8 jnt -rm7 pgeon #pasarbts
help rt thanks 💜 @pasarBTS @malaysia_trade
@kpopsellingmy_ @BTStrading_MY
https://t.co/dFPJuTpr2F</t>
  </si>
  <si>
    <t>glitterzkoo
❗️help rt❗️WTS BTS pc 🇲🇾 -must
bought by set -dm to buy 🚚 price
exc pos -rm8 jnt -rm7 pgeon #pasarbts
help rt thanks 💜 @pasarBTS @malaysia_trade
@kpopsellingmy_ @BTStrading_MY
https://t.co/dFPJuTpr2F</t>
  </si>
  <si>
    <t>jamaisvuphoria
@milktypjm Skrg jnt jujurly agak
susah buat di mintain pick up 😒
mending si cepat gaada nomer kurir
pun bisa di pick up. Tapi bner
si sicepat biasanya bisa pick up
jam 1-5 sore doang wkwkw</t>
  </si>
  <si>
    <t xml:space="preserve">milktypjm
</t>
  </si>
  <si>
    <t>depok_pos
UI Terbaik di Indonesia Versi Lembaga
Riset Dunia https://t.co/7WJfcnAgRd</t>
  </si>
  <si>
    <t>lunarwolfj
Kyknya klo pos kluarin perangko
seokjin. Jne jnt dll bkl kalah
karena semua ngirim pake perangko
seokjin 😂 https://t.co/vjBQV3ANIK</t>
  </si>
  <si>
    <t>alyessamariani
Saya beli dari sg. besi dan pos
ke batalion 18 ramd (para), kem
sri pantai, trg, beberapa minggu
lepas. Mungkin cawangan tadbir
belum terima. Dah semak proof jnt
mmg tepat lokasinya. @MarkasATM
@tudm_rasmi @tldm_rasmi @MINDEFMalaysia
@TenteraDarat @ISTANANEGARA_ https://t.co/4dv9jAAjP0</t>
  </si>
  <si>
    <t xml:space="preserve">istananegara_
</t>
  </si>
  <si>
    <t xml:space="preserve">tenteradarat
</t>
  </si>
  <si>
    <t xml:space="preserve">mindefmalaysia
</t>
  </si>
  <si>
    <t xml:space="preserve">tldm_rasmi
</t>
  </si>
  <si>
    <t xml:space="preserve">tudm_rasmi
</t>
  </si>
  <si>
    <t xml:space="preserve">markasatm
</t>
  </si>
  <si>
    <t>wintervecember_
❗️help rt❗️WTS BTS pc 🇲🇾 -must
bought by set -dm to buy 🚚 price
exc pos -rm8 jnt -rm7 pgeon #pasarbts
help rt thanks 💜 @pasarBTS @malaysia_trade
@kpopsellingmy_ @BTStrading_MY
https://t.co/dFPJuTpr2F</t>
  </si>
  <si>
    <t>flowtaekoo
❗️help rt❗️WTS BTS pc 🇲🇾 -must
bought by set -dm to buy 🚚 price
exc pos -rm8 jnt -rm7 pgeon #pasarbts
help rt thanks 💜 @pasarBTS @malaysia_trade
@kpopsellingmy_ @BTStrading_MY
https://t.co/dFPJuTpr2F</t>
  </si>
  <si>
    <t>hengkyfathurr
Lama gw ga beli di @TokopediaCare
gara gara penjualnya cuma pakai
@tokopedia aja , gw ga tau kalau
@tokopedia kerja sama dengan expendisi
baru yg ga profesional, harusnya
seleksi expedisi, kita pakai @JNE_ID
@jntexpressid @sicepat_ekspres
ga bermasalah baru kali ini bermasalah</t>
  </si>
  <si>
    <t xml:space="preserve">tokopedia
</t>
  </si>
  <si>
    <t xml:space="preserve">tokopediacare
</t>
  </si>
  <si>
    <t>picknava3
Jasa ekspedisi yang saya pakai
: JNE SICEPAT GOSEND</t>
  </si>
  <si>
    <t>lauvkia
❗️help rt❗️WTS BTS pc 🇲🇾 -must
bought by set -dm to buy 🚚 price
exc pos -rm8 jnt -rm7 pgeon #pasarbts
help rt thanks 💜 @pasarBTS @malaysia_trade
@kpopsellingmy_ @BTStrading_MY
https://t.co/dFPJuTpr2F</t>
  </si>
  <si>
    <t>syazzyjinbts
@doeeyeskook Eheheheh... Sbb cuti
harini.. Tu yg pack tu sbb dh ckp
nk pos harini kan.. Hahaha!! Tggu
jnt pickup je ni sbb xde transport
nk kluar.. Huhu</t>
  </si>
  <si>
    <t xml:space="preserve">doeeyeskook
</t>
  </si>
  <si>
    <t>blkhairtannies
❗️help rt❗️WTS BTS pc 🇲🇾 -must
bought by set -dm to buy 🚚 price
exc pos -rm8 jnt -rm7 pgeon #pasarbts
help rt thanks 💜 @pasarBTS @malaysia_trade
@kpopsellingmy_ @BTStrading_MY
https://t.co/dFPJuTpr2F</t>
  </si>
  <si>
    <t>jeonbunnyqis
❗️help rt❗️WTS BTS pc 🇲🇾 -must
bought by set -dm to buy 🚚 price
exc pos -rm8 jnt -rm7 pgeon #pasarbts
help rt thanks 💜 @pasarBTS @malaysia_trade
@kpopsellingmy_ @BTStrading_MY
https://t.co/dFPJuTpr2F</t>
  </si>
  <si>
    <t>busannfairies
❗️help rt❗️WTS BTS pc 🇲🇾 -must
bought by set -dm to buy 🚚 price
exc pos -rm8 jnt -rm7 pgeon #pasarbts
help rt thanks 💜 @pasarBTS @malaysia_trade
@kpopsellingmy_ @BTStrading_MY
https://t.co/dFPJuTpr2F</t>
  </si>
  <si>
    <t>ho6ism
❗️help rt❗️WTS BTS pc 🇲🇾 -must
bought by set -dm to buy 🚚 price
exc pos -rm8 jnt -rm7 pgeon #pasarbts
help rt thanks 💜 @pasarBTS @malaysia_trade
@kpopsellingmy_ @BTStrading_MY
https://t.co/dFPJuTpr2F</t>
  </si>
  <si>
    <t>arnabjungkook
❗️help rt❗️WTS BTS pc 🇲🇾 -dm
to buy 🚚 price exc pos -rm8 jnt
-rm7 pgeon #pasarbts help rt thanks
💜 @pasarBTS @malaysia_trade @kpopsellingmy_
@BTStrading_MY https://t.co/7L7uTdjfLv</t>
  </si>
  <si>
    <t>mydearjiminie
❗️help rt❗️WTS BTS pc 🇲🇾 -dm
to buy 🚚 price exc pos -rm8 jnt
-rm7 pgeon #pasarbts help rt thanks
💜 @pasarBTS @malaysia_trade @kpopsellingmy_
@BTStrading_MY https://t.co/IFNm5tW17j</t>
  </si>
  <si>
    <t>jks_ladyice
❗️help rt❗️WTS BTS pc 🇲🇾 -dm
to buy 🚚 price exc pos -rm8 jnt
-rm7 pgeon #pasarbts help rt thanks
💜 @pasarBTS @malaysia_trade @kpopsellingmy_
@BTStrading_MY https://t.co/IFNm5tW17j</t>
  </si>
  <si>
    <t>lilhannies
❗️help rt❗️WTS BTS pc 🇲🇾 -dm
to buy 🚚 price exc pos -rm8 jnt
-rm7 pgeon #pasarbts help rt thanks
💜 @pasarBTS @malaysia_trade @kpopsellingmy_
@BTStrading_MY https://t.co/SmFtwQCQBv</t>
  </si>
  <si>
    <t xml:space="preserve">qtpjvn
</t>
  </si>
  <si>
    <t>cheriekoo_
❗️help rt❗️WTS BTS pc 🇲🇾 -dm
to buy 🚚 price exc pos -rm8 jnt
-rm7 pgeon #pasarbts help rt thanks
💜 @pasarBTS @malaysia_trade @kpopsellingmy_
@BTStrading_MY https://t.co/IFNm5tW17j</t>
  </si>
  <si>
    <t>thenexteleanor
❗️help rt❗️WTS BTS pc 🇲🇾 -dm
to buy 🚚 price exc pos -rm8 jnt
-rm7 pgeon #pasarbts help rt thanks
💜 @pasarBTS @malaysia_trade @kpopsellingmy_
@BTStrading_MY https://t.co/IFNm5tW17j</t>
  </si>
  <si>
    <t>clwdygguk
❗️help rt❗️WTS BTS pc 🇲🇾 -must
bought by set -dm to buy 🚚 price
exc pos -rm8 jnt -rm7 pgeon #pasarbts
help rt thanks 💜 @pasarBTS @malaysia_trade
@kpopsellingmy_ @BTStrading_MY
https://t.co/dFPJuTpr2F</t>
  </si>
  <si>
    <t>yuuusshi
Sekali pos dari shopee dapat kemek
sbb jnt hantar hahaha /s https://t.co/LNOLvr9GIN</t>
  </si>
  <si>
    <t>dinaacooky
❗️help rt❗️WTS BTS pc 🇲🇾 -dm
to buy 🚚 price exc pos -rm8 jnt
-rm7 pgeon #pasarbts help rt thanks
💜 @pasarBTS @malaysia_trade @kpopsellingmy_
@BTStrading_MY https://t.co/IFNm5tW17j</t>
  </si>
  <si>
    <t>piwpiwjoon
❗️help rt❗️WTS BTS pc 🇲🇾 -dm
to buy 🚚 price exc pos -rm8 jnt
-rm7 pgeon #pasarbts help rt thanks
💜 @pasarBTS @malaysia_trade @kpopsellingmy_
@BTStrading_MY https://t.co/IFNm5tW17j</t>
  </si>
  <si>
    <t>ffairykoo
❗️help rt❗️WTS BTS pc 🇲🇾 -dm
to buy 🚚 price exc pos -rm8 jnt
-rm7 pgeon #pasarbts help rt thanks
💜 @pasarBTS @malaysia_trade @kpopsellingmy_
@BTStrading_MY https://t.co/IFNm5tW17j</t>
  </si>
  <si>
    <t>bangtansbaby13
❗️help rt❗️WTS BTS pc 🇲🇾 -dm
to buy 🚚 price exc pos -rm8 jnt
-rm7 pgeon #pasarbts help rt thanks
💜 @pasarBTS @malaysia_trade @kpopsellingmy_
@BTStrading_MY https://t.co/IFNm5tW17j</t>
  </si>
  <si>
    <t>bangpdwife
❗️help rt❗️WTS BTS pc 🇲🇾 -dm
to buy 🚚 price exc pos -rm8 jnt
-rm7 pgeon #pasarbts help rt thanks
💜 @pasarBTS @malaysia_trade @kpopsellingmy_
@BTStrading_MY https://t.co/IFNm5tW17j</t>
  </si>
  <si>
    <t>pjmnjjkk
❗️help rt❗️WTS BTS pc 🇲🇾 -dm
to buy 🚚 price exc pos -rm8 jnt
-rm7 pgeon #pasarbts help rt thanks
💜 @pasarBTS @malaysia_trade @kpopsellingmy_
@BTStrading_MY https://t.co/IFNm5tW17j</t>
  </si>
  <si>
    <t>jiminiekiyowoo
❗️help rt❗️WTS BTS pc 🇲🇾 -dm
to buy 🚚 price exc pos -rm8 jnt
-rm7 pgeon #pasarbts help rt thanks
💜 @pasarBTS @malaysia_trade @kpopsellingmy_
@BTStrading_MY https://t.co/IFNm5tW17j</t>
  </si>
  <si>
    <t>yyoongs93
❗️help rt❗️WTS BTS pc 🇲🇾 -dm
to buy 🚚 price exc pos -rm8 jnt
-rm7 pgeon #pasarbts help rt thanks
💜 @pasarBTS @malaysia_trade @kpopsellingmy_
@BTStrading_MY https://t.co/IFNm5tW17j</t>
  </si>
  <si>
    <t>lyayae_
❗️help rt❗️WTS BTS pc 🇲🇾 -dm
to buy 🚚 price exc pos -rm8 jnt
-rm7 pgeon #pasarbts help rt thanks
💜 @pasarBTS @malaysia_trade @kpopsellingmy_
@BTStrading_MY https://t.co/IFNm5tW17j</t>
  </si>
  <si>
    <t>sitirdeenaa
@rashiqahhhh Weh tapi pos laju
memang laju la sekarangggg, kalah
jnt</t>
  </si>
  <si>
    <t xml:space="preserve">rashiqahhhh
</t>
  </si>
  <si>
    <t>t_mikhwan
id express persis sicepat Rans
j&amp;amp;t psg pati, min @jnt_kruengmane?</t>
  </si>
  <si>
    <t xml:space="preserve">jnt_kruengmane
</t>
  </si>
  <si>
    <t>jci_pekanbaru
❌Sicepat❌ ❌J&amp;amp;T express❌ ❌JNE❌
📦⚽️ 𝙵𝙴𝙳𝙴𝚇 𝙴𝚇𝙿𝚁𝙴𝚂𝚂
📦⚽️ #SpeziaJuve #ForzaJuve https://t.co/AgcOJrn7lv</t>
  </si>
  <si>
    <t>jaemdoongiessss
@sksksinjun jauh di mata, jnt dekat
dihati 😇 boleh pos 😇😇😇👍🏻👍🏻👍🏻👍🏻</t>
  </si>
  <si>
    <t xml:space="preserve">sksksinjun
</t>
  </si>
  <si>
    <t>ktaehmybae
❗️help rt❗️WTS BTS pc 🇲🇾 -dm
to buy 🚚 price exc pos -rm8 jnt
-rm7 pgeon #pasarbts help rt thanks
💜 @pasarBTS @malaysia_trade @kpopsellingmy_
@BTStrading_MY https://t.co/IFNm5tW17j</t>
  </si>
  <si>
    <t>skylova2
❗️help rt❗️WTS BTS pc 🇲🇾 -dm
to buy 🚚 price exc pos -rm8 jnt
-rm7 pgeon #pasarbts help rt thanks
💜 @pasarBTS @malaysia_trade @kpopsellingmy_
@BTStrading_MY https://t.co/IFNm5tW17j</t>
  </si>
  <si>
    <t>akittendust
Kurir yg dateng hari ini: 1. Id
express 2. Jnt 3. Sicepat Kurang
jne gaksii 😇</t>
  </si>
  <si>
    <t>wanshaidin1
Pos barang tengah hari ke Kuantan
pakai JNT. Pukul 3.30 tadi dah
sampai. JNT ni ikut branch ke macam
mana? Lajunyaa</t>
  </si>
  <si>
    <t>imnicekeepgoing
❗️help rt❗️WTS BTS pc 🇲🇾 -dm
to buy 🚚 price exc pos -rm8 jnt
-rm7 pgeon #pasarbts help rt thanks
💜 @pasarBTS @malaysia_trade @kpopsellingmy_
@BTStrading_MY https://t.co/SmFtwQCQBv</t>
  </si>
  <si>
    <t>qilahshafie69
Best jugak pos barang guna jnt
ni. Barang 100ish je tapi dia cover
300 if ada rosak or pecah.</t>
  </si>
  <si>
    <t>shrfhbgtn
❗️help rt❗️WTS BTS pc 🇲🇾 -dm
to buy 🚚 price exc pos -rm8 jnt
-rm7 pgeon #pasarbts help rt thanks
💜 @pasarBTS @malaysia_trade @kpopsellingmy_
@BTStrading_MY https://t.co/IFNm5tW17j</t>
  </si>
  <si>
    <t>usagiescape
@bdngfess sicepat dan jnt</t>
  </si>
  <si>
    <t xml:space="preserve">bdngfess
</t>
  </si>
  <si>
    <t>ezzyyall
@bdngfess Sicepat sama jnt</t>
  </si>
  <si>
    <t>emirvan96
❌Sicepat❌ ❌J&amp;amp;T express❌ ❌JNE❌
📦⚽️ 𝙵𝙴𝙳𝙴𝚇 𝙴𝚇𝙿𝚁𝙴𝚂𝚂
📦⚽️ #SpeziaJuve #ForzaJuve https://t.co/AgcOJrn7lv</t>
  </si>
  <si>
    <t>cap_bintang
@bdngfess Jnt jeung sicepat</t>
  </si>
  <si>
    <t>mungillicious
@bdngfess Jnt, sicepat</t>
  </si>
  <si>
    <t>kimonechi
@Yukkishii ututu sini JNE, JNT
dan Sicepat terbuka untukku pacc</t>
  </si>
  <si>
    <t xml:space="preserve">yukkishii
</t>
  </si>
  <si>
    <t>faeezah01774194
@effaalyaa @maisarahhhh____ Jnt
tulis delayed due to external factor.
Sahih ke sebab pos covid ni?</t>
  </si>
  <si>
    <t xml:space="preserve">maisarahhhh____
</t>
  </si>
  <si>
    <t xml:space="preserve">effaalyaa
</t>
  </si>
  <si>
    <t>miliondez
@menodewi Mending sicepat opo jnt
lek</t>
  </si>
  <si>
    <t xml:space="preserve">menodewi
</t>
  </si>
  <si>
    <t>heymingyuu
@gyucheoli ohh kalo jnt setauku
harus punya nomor telp kurirnya
jadi nanti kita chat dia minta
jemput paketnyaa, tapi kalo sicepat
aku kurang tauu</t>
  </si>
  <si>
    <t xml:space="preserve">gyucheoli
</t>
  </si>
  <si>
    <t>claruskv
@haniphoria Mau pake JNE atau sicepat
kak? Jika ingin perlindungan tambahan
bisa check out bubble wrap juga
yah kak</t>
  </si>
  <si>
    <t xml:space="preserve">haniphoria
</t>
  </si>
  <si>
    <t>inipandaa_
@bdngfess jnt, sicepat</t>
  </si>
  <si>
    <t>taeilcarts
@reenjeun sampeee, klo sicepat/jnt
pasti dianter biasanya</t>
  </si>
  <si>
    <t xml:space="preserve">reenjeun
</t>
  </si>
  <si>
    <t>tetehdrinktea
@bdngfess Jnt sicepat</t>
  </si>
  <si>
    <t>siapakahaquw
Kemarin jne lama soalnya udh well
known bgt. Skrg jnt mulai lama
kirimnya, dan sicepat sm anteraja
mulai bersaing sama 2 j-j ichuu</t>
  </si>
  <si>
    <t>potolawas
(bersama anjing bernama "Bagus"),
dr. Nauta, Letnan Aldewereld van
Rozenburg, dan Letnan ten Seldam.
2. Januari 1896: Pos militer Belanda
di Bilul 3. Pos militer Belanda
di Lambaro 4. 12 April 1896: Pos
militer Belanda di Bilul • 📸:
Atlas Van Stolk via Indonesia-zaman-doeloe</t>
  </si>
  <si>
    <t>micimochi
@translate_n Yang Inggris atau
yg Indonesia? DM nama, alamat lengkap
(kecamatan, propinsi, kode pos)
dan no HP ya</t>
  </si>
  <si>
    <t xml:space="preserve">translate_n
</t>
  </si>
  <si>
    <t>koranbumn
Pos Indonesia Kejar Target Pendistribusian
BST di Wilayah Terluar yang Belum
Selesai https://t.co/bdqUPJHg3y</t>
  </si>
  <si>
    <t>kemkominfo
Selamat Hari Bhakti Postel ke-76!
Tanggal ini menjadi tanggal bersejarah
karena pos, telegraf, dan telepon
yang semula di bawah pemerintahan
Jepang, berhasil direbut oleh putra
putri Indonesia. Yuk simak sejarah
singkatnya 👇🏻 https://t.co/mjQErzAiWV</t>
  </si>
  <si>
    <t>joyxvc1
@BighitKantin Aku bisa tp dom sumatra
ntar bisa ganti alamat koo,klo
mau coba dm aja ,aku on nin jnt
eco sama sicepat jg Fee up to u
aja xixi Yu dm</t>
  </si>
  <si>
    <t xml:space="preserve">bighitkantin
</t>
  </si>
  <si>
    <t>characterofr
@3dhaTia Skrg mau jnt/sicepat tetep
aja ancur2 juga pas dateng dusnya
ka 🙃</t>
  </si>
  <si>
    <t xml:space="preserve">3dhatia
</t>
  </si>
  <si>
    <t>jjaeluvm
I NAK JUAL BARANG TAPI MAK I MALAS
PERGI PEJABAT POS TAPI JNT DALAM
TAMAN I DEKAT JE BOLEH JALAN KAKI
TAPI KENA JOGING TAPI I MALAS NAK
KELUAR RUMAH TAPI TAK TAHU NAK
JUAL APA TAPI KALAU JUAL KAWAN
BOLEH JUGAK TAPI HM TAPI NANTI
MAK DIA MARAH TAPIII</t>
  </si>
  <si>
    <t>hellloimsthn
@Askrlfess Jnt sm sicepat</t>
  </si>
  <si>
    <t>p3psodent
@bukanfahiraa Kantor Pusat PT POS
Indonesia, Jalan Cilaki no 73 Bandung,
Jawa Barat https://t.co/JLXrsRGubQ</t>
  </si>
  <si>
    <t xml:space="preserve">bukanfahiraa
</t>
  </si>
  <si>
    <t>jerukcina
@Askrlfess sicepat tp sejak dipilihin
sm oren jd pake jnt</t>
  </si>
  <si>
    <t>lvlyjbblyy
@Askrlfess Sicepat sm jnt</t>
  </si>
  <si>
    <t>lightaboo
@Askrlfess Jnt jne oke, sicepat
gkdlu</t>
  </si>
  <si>
    <t>univ_mhthamrin
Hallao mhs UMHT Diharapkan dapat
mengikuti kegiatan "Sosialisasi
&amp;amp; Pembukaan POS SAPA UMHT"
*Pos Sahabat Perempuan dan Anak=POS
SAPA* Terimakasih @ M.H. Thamrin
University Jakarta, Indonesia https://t.co/vEyfhnHMD1</t>
  </si>
  <si>
    <t>artsyyflower
❗️help rt❗️WTS BTS pc 🇲🇾 -dm
to buy 🚚 price exc pos -rm8 jnt
-rm7 pgeon #pasarbts help rt thanks
💜 @pasarBTS @malaysia_trade @kpopsellingmy_
@BTStrading_MY https://t.co/IFNm5tW17j</t>
  </si>
  <si>
    <t>flirtswkook
❗️help rt❗️WTS BTS pc 🇲🇾 -dm
to buy 🚚 price exc pos -rm8 jnt
-rm7 pgeon #pasarbts help rt thanks
💜 @pasarBTS @malaysia_trade @kpopsellingmy_
@BTStrading_MY https://t.co/IFNm5tW17j</t>
  </si>
  <si>
    <t>jinkidubuu
@justicefyingme undangannya lwt
jne apa sicepat laa🤭</t>
  </si>
  <si>
    <t xml:space="preserve">justicefyingme
</t>
  </si>
  <si>
    <t>jcpacaran
@sunustm OALAH kayaknya boleh lain
kali gue pake jnt dah, sicepat
seru si CUMAN KURIRNYA KAYAK CUEK
BGTZZZ tau tau depan rumah</t>
  </si>
  <si>
    <t xml:space="preserve">sunustm
</t>
  </si>
  <si>
    <t>hjia__
wts unsealed digipack blue ver
rm 30 all inclusion postage rm
8 jnt (pos using box) freebies
will given 🤍 can reserve 🥰 -
bole dm for more detail 🦋 #pasarexomy
#pasarexo @pasar_EXO @KogiEXOrealPC
https://t.co/d9HCkSLd1L</t>
  </si>
  <si>
    <t xml:space="preserve">kogiexorealpc
</t>
  </si>
  <si>
    <t>syafiqaaazm
wts unsealed digipack blue ver
rm 30 all inclusion postage rm
8 jnt (pos using box) freebies
will given 🤍 can reserve 🥰 -
bole dm for more detail 🦋 #pasarexomy
#pasarexo @pasar_EXO @KogiEXOrealPC
https://t.co/d9HCkSLd1L</t>
  </si>
  <si>
    <t>byeommin
maybe time ni rasa simpati dah
hilang yelah awal awal i kesian
jugak tapi lama lama hilang sabar
i desak at last dia post album
tu guna pos laju i tak tau mana
dia dapat stock pb1 (2) tu yelah
sbab dia kata parcel yg dia dah
hantar kat jnt tu hilang tapi i
peduli apa asal i dapat</t>
  </si>
  <si>
    <t>unclemuthu05
@aaariniii @JNECare kalo ada jasa
pengiriman yg lain mending yg lain
deh gan, kecuali mmg gk ada pilihan
lain, saya beli 4 barang 2 dari
@JNECare @JNE_ID dan 2 dari sicepat
estimasi hari ini sampa, 2 barang
diterima kemaren dan dari jne sampai
sekarang belum ada update, parah
sih pelayanannya.</t>
  </si>
  <si>
    <t xml:space="preserve">om_hendri
</t>
  </si>
  <si>
    <t xml:space="preserve">aaariniii
</t>
  </si>
  <si>
    <t>jeneralkenobii
@UncleMuthu05 @JNECare @JNE_ID
wkwkwk asli, sekarang mah bagusan
anteraja, sicepat, dll. tapi seller
gaada alternatif laen selain jne,
mau gamau dah. emang udh ketinggalan
jauh kurir ekspedisi satu ini ketimbang
kompetitor lainnya🤣</t>
  </si>
  <si>
    <t>aniszulkifle
lembab nyo pos laju ni.. kalu.
seller guna jnt mesti harini dah
sampai parcel</t>
  </si>
  <si>
    <t>ahidahid
Dari awal udah curiga kenapa tokonya
ga ngaktifin sicepat halu (ekonomi).
Kayanya yg punya wahana juga. Terjawab
sudah, print resi tokped pun di
label yg sama. Terus labelnya sisaan
J&amp;amp;T lagi (atau jangan2 yg punya
J&amp;amp;t juga 😂) @txtdarionlshop
@txtdrikurir https://t.co/1Atbal6akN</t>
  </si>
  <si>
    <t xml:space="preserve">txtdrikurir
</t>
  </si>
  <si>
    <t>reloadnih
Dari awal udah curiga kenapa tokonya
ga ngaktifin sicepat halu (ekonomi).
Kayanya yg punya wahana juga. Terjawab
sudah, print resi tokped pun di
label yg sama. Terus labelnya sisaan
J&amp;amp;T lagi (atau jangan2 yg punya
J&amp;amp;t juga 😂) @txtdarionlshop
@txtdrikurir https://t.co/1Atbal6akN</t>
  </si>
  <si>
    <t xml:space="preserve">txtdarionlshop
</t>
  </si>
  <si>
    <t>mkomeliya
Mungkin persetase ini berdasarkan
pemaparan dari Dirjen Penyelenggaraan
Pos dan Informatika @kemkominfo
Ahmad M Ramli yang menyatakan pengguna
smartphone 89% atau 167 juta. entah
darimana datanya, tetapi ada yang
aneh sih.🤣 https://t.co/azmWUoJi9o
https://t.co/4dxG46DPCw</t>
  </si>
  <si>
    <t>smolwoonie
wts unsealed digipack blue ver
rm 30 all inclusion postage rm
8 jnt (pos using box) freebies
will given 🤍 can reserve 🥰 -
bole dm for more detail 🦋 #pasarexomy
#pasarexo @pasar_EXO @KogiEXOrealPC
https://t.co/d9HCkSLd1L</t>
  </si>
  <si>
    <t>izzarose
❗️help rt❗️WTS BTS pc 🇲🇾 -dm
to buy 🚚 price exc pos -rm8 jnt
-rm7 pgeon #pasarbts help rt thanks
💜 @pasarBTS @malaysia_trade @kpopsellingmy_
@BTStrading_MY https://t.co/IFNm5tW17j</t>
  </si>
  <si>
    <t>ndanaaaaaa
Sekarang JNT lemot banget dah,
enakan pake sicepat sama idexpress</t>
  </si>
  <si>
    <t>cxlendulx
@anlmsraa Saya jarang pos barang.
Tapi range RM 10 je rasanya. Susu
ni total berat sekali kotak dalam
1.5kg. Sini ada JnT, pos laju,
ninja van. Nanti saya try search
kat google harga. PM la alamat
nama and num. Kalau sempat esok
lepas habis kerja kat PPV, saya
pos.</t>
  </si>
  <si>
    <t xml:space="preserve">anlmsraa
</t>
  </si>
  <si>
    <t>bandungnewsid
https://t.co/baurEn5spd https://t.co/bAC9D6Bx71</t>
  </si>
  <si>
    <t>republikaonline
Poltekpos yang masuk dalam jaringan
68 Perguruan Tinggi yang tergabung
Pusat ASEAN https://t.co/oaQ25Zo0RR</t>
  </si>
  <si>
    <t>bunnedu
Poltekpos yang masuk dalam jaringan
68 Perguruan Tinggi yang tergabung
Pusat ASEAN https://t.co/oaQ25Zo0RR</t>
  </si>
  <si>
    <t>allif33
Laju ye jnt ni. Semalam aku pos
harini dah sampai hahahahaana🤣</t>
  </si>
  <si>
    <t>drjoealexander
Currently there few items that
stuck at JnT agents, Pos Laju Bintulu
and otw to Belaga.</t>
  </si>
  <si>
    <t>cringeunicorn_
@ruangaleeya jnt ke pos laju?</t>
  </si>
  <si>
    <t xml:space="preserve">ruangaleeya
</t>
  </si>
  <si>
    <t>jonguparx
@yewdams LEWAT JNE JNT ATAU SICEPAT
BIASA GA MAS ? 🥺</t>
  </si>
  <si>
    <t xml:space="preserve">yewdams
</t>
  </si>
  <si>
    <t>kinanthings
ajg lah shopee ga enak bgt milih
kurirnya belakangan jd suka lupa
hHhhHhh mending otomatis milih
jnt atau sicepat, ini pake kurirnya
sendiri si idexpress 😪 gimana
ye kadang gaje aja gt trackingnya
dan ga secepat yg dua tadi🙃</t>
  </si>
  <si>
    <t>kbharianaceh
https://t.co/6htuXtw996</t>
  </si>
  <si>
    <t>chyoevil13
Gerai jne jnt sicepat https://t.co/bhrfXX7MBz</t>
  </si>
  <si>
    <t>birrubiw
@kalonamuse Sicepat emg beneran
cepat si, kalo jne sehari checkout
beneran besok sampe? dulu jnt gtu,
sekarang malah lama:(</t>
  </si>
  <si>
    <t xml:space="preserve">kalonamuse
</t>
  </si>
  <si>
    <t>binbreacker
@tdcwonwoo askdjak sicepat di dom
ka yaya adalah jnt di domku slalu
telat dn bkin susah klo pickup</t>
  </si>
  <si>
    <t xml:space="preserve">tdcwonwoo
</t>
  </si>
  <si>
    <t>hj7bkt20sgr3
@JapanMerchFess mungkin bisa pake
ems..? aku biasanya kalo mau kirim
barang ke luar negri selain perkertasan/dokumen
gitu pake ems, tapi kalo barang
ringan kaya kertas/dokumen gt baru
pake pos indonesia</t>
  </si>
  <si>
    <t>yojeong9196
Ehh..pembetulan, jumaat dpt surprise
dm, smlm dia pos, hari ni sampai.
cepat betul servis jnt ni. Padu
jnt padu !</t>
  </si>
  <si>
    <t>portalkalbar1
Lowongan Kerja PT POS Indonesia
(Persero) untuk wilayah nusa tenggara
timur https://t.co/wEiylaLK65 https://t.co/5wJqYNzEVy</t>
  </si>
  <si>
    <t>cwecani
@ctbzale hai nder, aku bisa bantu
packing. dom pemalang, jateng.
deket sama ekspedisi jne jnt sicepat,
bisa komunikasi sama kurirnya juga</t>
  </si>
  <si>
    <t xml:space="preserve">ctbzale
</t>
  </si>
  <si>
    <t>fluff__yunicorn
@bertanyarl Fedex? Pos indonesia?</t>
  </si>
  <si>
    <t>bkipm_kkp
Tak hanya itu, masih ada layanan
“Pos Lelaki” yang merupakan hasil
kerjasama dengan PT.Pos Indonesia.,"
ungkapnya. Dengan moto MASAGI (Mastikein
Sakabeh Amanah teu GIwar), BKIPM
Bandung akan terus berupaya memberikan
pelayanan terbaik, bebas dari korupsi.</t>
  </si>
  <si>
    <t>wilkerjalaludin
Tak hanya itu, masih ada layanan
“Pos Lelaki” yang merupakan hasil
kerjasama dengan PT.Pos Indonesia.,"
ungkapnya. Dengan moto MASAGI (Mastikein
Sakabeh Amanah teu GIwar), BKIPM
Bandung akan terus berupaya memberikan
pelayanan terbaik, bebas dari korupsi.</t>
  </si>
  <si>
    <t>craemkoo
❗️help rt❗️WTS BTS pc 🇲🇾 -dm
to buy 🚚 price exc pos -rm8 jnt
-rm7 pgeon #pasarbts help rt thanks
💜 @pasarBTS @malaysia_trade @kpopsellingmy_
@BTStrading_MY https://t.co/7L7uTdjfLv</t>
  </si>
  <si>
    <t>imanassrii
❗️help rt❗️WTS BTS pc 🇲🇾 -dm
to buy 🚚 price exc pos -rm8 jnt
-rm7 pgeon #pasarbts help rt thanks
💜 @pasarBTS @malaysia_trade @kpopsellingmy_
@BTStrading_MY https://t.co/7L7uTdjfLv</t>
  </si>
  <si>
    <t>yangf41ry
❗️help rt❗️WTS BTS pc 🇲🇾 -dm
to buy 🚚 price exc pos -rm8 jnt
-rm7 pgeon #pasarbts help rt thanks
💜 @pasarBTS @malaysia_trade @kpopsellingmy_
@BTStrading_MY https://t.co/7L7uTdjfLv</t>
  </si>
  <si>
    <t>occeanview
kalau ada GO atau olshopnya butuh
admin packing daerah jawa timur
bisa dm aku yaa, udah berpengalaman
setahunan, deket sama ekspedisi
kaya jnt, jne, pos, id express
sama sicepat</t>
  </si>
  <si>
    <t>tariprinsa
@txtdariolshop_ Anda expressn👍
pos 👌 jnt ❤️ sicepat 👌</t>
  </si>
  <si>
    <t xml:space="preserve">txtdariolshop_
</t>
  </si>
  <si>
    <t>lcadies
📢 barang co 25.9 udh dikirim semua
yaaa ke jnt sama sicepat. untuk
yzy dan soljack lg otw rumah udah
dico. makasiii</t>
  </si>
  <si>
    <t>bnnksleman
Sudah saatnya bangsa Indonesia
menuju era digital Selamat Hari
Bhakti Pos dan Telekomunikasi tahun
2021 #BersihNarkobaBersihCovid19
#WarOnDrugs #indonesiabersinar
#indonesiatangguhindonesiatumbuh
#hidup100persen https://t.co/xRUBklRlHi</t>
  </si>
  <si>
    <t>dyanahr
@syazkurus Selalu dekat shopee
laju je kalau guna jnt. Hari ni
orang tu pos, esok sampai</t>
  </si>
  <si>
    <t xml:space="preserve">syazkurus
</t>
  </si>
  <si>
    <t>orchidpoison
untuk ekspedisinya kalian bisa
pakai ekspedisi terdekat kalian
seperti: paxel, JNE, J&amp;amp;T, pos,
sicepat juga anteraja! “Bi, nanti
cara tau kita dapet voucher/free
productnya gimana ya?” nanti akan
ada notifikasi masuk ke akunmu
mengenai reward yang kamu dapat!</t>
  </si>
  <si>
    <t>fokus_satu
Politeknik Pos Indonesia dan Kemenlu
RI Teken MoU Pusat Studi ASEAN
https://t.co/yRTd9HjBYm</t>
  </si>
  <si>
    <t>sapepulakni
@syazkurus sama je macam kau hantar
kat jnt tu, time kau hantar kalau
awal, so petang jnt tu dah gerak,
tapi tulah benda pos ni mcm2 boleh
jadi. try je la dulu guna shopee
tu nk biasakan. kl area aku volunteer
jadi bahan ujikaji kakakaka</t>
  </si>
  <si>
    <t>khairudinzack07
@MohdRuzainii @MamatDinzz Baik
boleh. Pos bayaq jnt mcm biasa.
Pilihan bijak. Size sempit lg.
barang baru belum diteroka.</t>
  </si>
  <si>
    <t xml:space="preserve">mamatdinzz
</t>
  </si>
  <si>
    <t xml:space="preserve">mohdruzainii
</t>
  </si>
  <si>
    <t>bobahyuck
OPEN/BUKA JASA ADMIN PACKING •Dom
Bandung •Dekat Ekspedisi (JNE,
J&amp;amp;T, TIKI, SiCepat) •🍊 belom
freeong •Alat &amp;amp; bahan packing
bisa dari aku/kalian •Fee bisa
dibicarakan yg lg cari admin packing
bisa langsung dm aku yaa^^ tags
dicari need butuh admin packing
dom Bandung</t>
  </si>
  <si>
    <t>putrirahmayln
Jadi males deh pake sicepat &amp;amp;
id express, ini udah keberapa kali
ya mau anter paket di atas jam
9 malem…..ganggu tau ga😩 pake
jnt atau jne ga pernah tuh ada
kurir yg mo nganter paket lewat
dr jam 6 sore</t>
  </si>
  <si>
    <t>himasurautm
Indonesia ditunjang oleh insfrastruktur
jejaring yang dimilikinya. Selamat
Hari Pos Telekomunikasi Telegraf!
Mari bersama-sama kita wujudkan
komunikasi yang baik, karena komunikasi
menjadi pondasi utama dalam bersosialisasi.</t>
  </si>
  <si>
    <t>helloindonesian
https://t.co/bLH6zPpPBi - The Day
of the Republic of Indonesia Telecommunications
Telecommunications Post is often
referred to as PT Pos Indonesia.
The flow of telephone and telegraph
technology developments that entered
Indonesia also changed the postal
https://t.co/JNoQTiNC3d https://t.co/sK6hG5EP55</t>
  </si>
  <si>
    <t>rsupelitahusada
Peristiwa tersebut diperingati
menjadi hari bakti PTT atau Hari
Pos Telekomunikasi Telegraf Indonesia,
yang diperingati setiap tanggal
27 September. #haripostelekomunikasitelegraf
#ptt #haribaktipos #rsupelitahusada
#gunungkidul</t>
  </si>
  <si>
    <t>karanganyarkab
Selamat Hari Bhakti Postel ke-76!
Tanggal ini menjadi tanggal bersejarah
karena pos, telegraf, dan telepon
yang semula di bawah pemerintahan
Jepang, berhasil direbut oleh putra
putri Indonesia. Yuk simak sejarah
singkatnya 👇🏻 https://t.co/mjQErzAiWV</t>
  </si>
  <si>
    <t>writerwkamah
Selamat Hari Bhakti Postel ke-76!
Tanggal ini menjadi tanggal bersejarah
karena pos, telegraf, dan telepon
yang semula di bawah pemerintahan
Jepang, berhasil direbut oleh putra
putri Indonesia. Yuk simak sejarah
singkatnya 👇🏻 https://t.co/mjQErzAiWV</t>
  </si>
  <si>
    <t>infomjkt
Memperingati Hari Bakti Postel
Indonesia ke 76. Kantor Pos Mojokerto
mengadakan pemeriksaan mata gratis
&amp;amp; kegiatan donor darah, bekerjasama
dengan Palang Merah Indonesia.
Senin 27 September 2021. Info lengkap
cek poster #infomjkt #eventmjkt
#infomojokerto #eventmojokerto
https://t.co/NyGgLByLkE</t>
  </si>
  <si>
    <t>masdoddd
Memperingati Hari Bakti Postel
Indonesia ke 76. Kantor Pos Mojokerto
mengadakan pemeriksaan mata gratis
&amp;amp; kegiatan donor darah, bekerjasama
dengan Palang Merah Indonesia.
Senin 27 September 2021. Info lengkap
cek poster #infomjkt #eventmjkt
#infomojokerto #eventmojokerto
https://t.co/NyGgLByLkE</t>
  </si>
  <si>
    <t>bawaslutator
#SahabatBawaslu sejarah Hari Bhakti
Postel 27 September adalah dilatarbelakangi
peristiwa perebutan kantor Jawatan
Pos, Telegraf, dan Telepon, pada
era pemerintah Jepang. Peristiwa
itu terjadi sesaat setelah deklarasi
kemerdekaan Indonesia. #BawasluTanaToraja
#CegahAwasiTindak https://t.co/2XHTI8lZUK</t>
  </si>
  <si>
    <t>along_pura
@rindubeneran Ready Stock Obat
telat bulan / Pelancar haid ( Cytotec
Misoprostol ) 100 % Aman &amp;amp;
Resmi Terdaftar di BPOM &amp;amp; DINKE
More info pemesanan ☎ Wa: 081 329
689 666 HOTLINE 24 JAM Pemesanan
kami kirim via Jne.Pos.Tiki Pembayaran
via bank Bri.Bca.Mandiri Free ongkir
seluruh indonesia</t>
  </si>
  <si>
    <t xml:space="preserve">relyourbae2
</t>
  </si>
  <si>
    <t xml:space="preserve">geboyy__
</t>
  </si>
  <si>
    <t xml:space="preserve">masgah_
</t>
  </si>
  <si>
    <t xml:space="preserve">ayydafryanti
</t>
  </si>
  <si>
    <t xml:space="preserve">lindrayyy
</t>
  </si>
  <si>
    <t xml:space="preserve">diaryfirda
</t>
  </si>
  <si>
    <t xml:space="preserve">ayubsr
</t>
  </si>
  <si>
    <t xml:space="preserve">morethanurbby
</t>
  </si>
  <si>
    <t xml:space="preserve">deviinaja
</t>
  </si>
  <si>
    <t xml:space="preserve">mutuallandfess
</t>
  </si>
  <si>
    <t xml:space="preserve">billaameliaa
</t>
  </si>
  <si>
    <t xml:space="preserve">kingnftpromoter
</t>
  </si>
  <si>
    <t xml:space="preserve">noviadmyy
</t>
  </si>
  <si>
    <t xml:space="preserve">chitaglorya
</t>
  </si>
  <si>
    <t xml:space="preserve">jbartspace_nft
</t>
  </si>
  <si>
    <t xml:space="preserve">rindubeneran
</t>
  </si>
  <si>
    <t>sur_dchuvalier
Selamat Hari Bhakti Postel ke-76!
Tanggal ini menjadi tanggal bersejarah
karena pos, telegraf, dan telepon
yang semula di bawah pemerintahan
Jepang, berhasil direbut oleh putra
putri Indonesia. Yuk simak sejarah
singkatnya 👇🏻 https://t.co/mjQErzAiWV</t>
  </si>
  <si>
    <t>kominfosumbar
Selamat Hari Bhakti Postel ke-76!
Tanggal ini menjadi tanggal bersejarah
karena pos, telegraf, dan telepon
yang semula di bawah pemerintahan
Jepang, berhasil direbut oleh putra
putri Indonesia. Yuk simak sejarah
singkatnya 👇🏻 https://t.co/mjQErzAiWV</t>
  </si>
  <si>
    <t>rumahkipkunsil
Hari Bhakti Postel 27 September
jadi momentum peringatan pengambilalihan
Kantor Pusat Jawatan Pos, Telegraf,
dan Telepon (PTT) di Bandung oleh
pemuda Indonesia dari kekuasaan
kekuasaan Jepang. Perebutan kendali
Jawatan PTT itu dipelopori oleh
Angkatan Muda Pos, Telegrap, dan</t>
  </si>
  <si>
    <t>lib1_alfawy
Semoga PT Pos indonesia bisa terus
berkembang, dan juga dapat memberikan
manfaat berkelanjutan bagi masyarakat
Indonesia. #SmartPeople #PerpustakaanAlFalaahiyyah
https://t.co/ZUzO2TNfcu</t>
  </si>
  <si>
    <t>kominfodiy
Sejarahnya tanggal 27 September
setiap tahunnya diperingati sebagai
Hari Bhakti Postel bertolak dari
diambil-alihnya Jawatan Pos Telegraf
&amp;amp; Telepon dari kekuasaan pemerintahan
Jepang oleh putra putri Indonesia
yg tergabung dlm Angkatan Muda
PTT yg disingkat AMPTT pada 27/09/1945.</t>
  </si>
  <si>
    <t>himafifmipaunri
Hari Bhakti Postel 27 September
jadi momentum peringatan pengambilalihan
Kantor Pusat Jawatan Pos, Telegraf,
dan Telepon (PTT) di Bandung oleh
pemuda Indonesia dari kekuasaan
kekuasaan Jepang. Perebutan kendali
Jawatan PTT itu dipelopori oleh
Angkatan Muda Pos, Telegrap, dan</t>
  </si>
  <si>
    <t>coklatkita
Pos hadir sebagai sarana komunikasi
dan informasi yang mempunyai peran
penting dan strategis dalam kehidupan
masyarakat. Banyak kenangan yang
tersimpan bersama Pos Indonesia.
Selamat memperingati Hari Pos Telekomunikasi
Telegraf. #CoklatKita #HariPosTelekomunikasiTelegraf
https://t.co/l0ZnDRGmb2</t>
  </si>
  <si>
    <t>d4mbpoltekpos
Selamat Hari Bhakti Postel ke 76
Semoga PT Pos Indonesia (Persero)
makin maju dan sejahtera. @posindonesia.ig
@poltekposindonesia #d4mbpoltekpos
https://t.co/0hd6czYKV1</t>
  </si>
  <si>
    <t>lowongankerjalu
Lowongan Kerja SMA Sederajat Kantor
Pos Indonesia  Oranger Loket Kualifikasi
: Diutamakan Berpenampilan menarik,
Sopan &amp;amp; Rapi Belum menikah,
Usia minimal 18-35 tahun Pendidikan
minimal SLTA atau sederajat Menguasai
komputer (Micro…https://t.co/pbIeDo2E2t
https://t.co/9H19CZ8Z6a</t>
  </si>
  <si>
    <t>bolmongkpu
Selamat Hari Bhakti Pos dan Telekomunikasi
2021. Mari bersama kita dukung
perkembangan industri telekomunikasi
Indonesia agar semakin tangguh
dan semakin bertumbuh. #KPUMelayani
#HariBhaktiPosTel2021</t>
  </si>
  <si>
    <t>kejariindramayu
https://t.co/o0T12typlI Kejaksaan
Negeri Indramayu Denny Achmad,
S.H.,M.H Mengucapkan Selamat Hari
Pos Telekomunikasi Telegraf (PTT)
2021. "Pos mempunyai pengaruh besar
dalam sejarah bangsa Indonesia"
posindonesia.ig kejaksaan.ri jaksa_agungri
kejaksaanrb kejati_jabar das https://t.co/ToZrNcXscm</t>
  </si>
  <si>
    <t>cindysirait
76 Tahun Hari Bhakti Pos &amp;amp;
Telekomunikasi #Indonesia #Postel
#PosTelekomunikasi #KemenKominfo
#Pos #KementerianKominfo #Telekomunikasi
#Info #Kominfo #Komunikasi</t>
  </si>
  <si>
    <t>ant_surf_fish
76 Tahun Hari Bhakti Pos &amp;amp;
Telekomunikasi #Indonesia #Postel
#PosTelekomunikasi #KemenKominfo
#Pos #KementerianKominfo #Telekomunikasi
#Info #Kominfo #Komunikasi</t>
  </si>
  <si>
    <t>pp234sc
76 Tahun Hari Bhakti Pos &amp;amp;
Telekomunikasi #Indonesia #Postel
#PosTelekomunikasi #KemenKominfo
#Pos #KementerianKominfo #Telekomunikasi
#Info #Kominfo #Komunikasi</t>
  </si>
  <si>
    <t>ncit31
#CHENLE #PASARNCT 🖇 Chenle boring
pc - RM30 wm / RM40 em - price
already incpos &amp;gt;&amp;lt; - use jnt
, will pos out the day u make the
payment - no backout buyer ❌ -
dm me for more pic / vid https://t.co/Dtb9rcDRhU</t>
  </si>
  <si>
    <t>ikimlyth
#CHENLE #PASARNCT 🖇 Chenle boring
pc - RM30 wm / RM40 em - price
already incpos &amp;gt;&amp;lt; - use jnt
, will pos out the day u make the
payment - no backout buyer ❌ -
dm me for more pic / vid https://t.co/Dtb9rcDRhU</t>
  </si>
  <si>
    <t>loeyyeojaa
wts unsealed digipack blue ver
rm 30 all inclusion postage rm
8 jnt (pos using box) freebies
will given 🤍 can reserve 🥰 -
bole dm for more detail 🦋 #pasarexomy
#pasarexo @pasar_EXO @KogiEXOrealPC
https://t.co/d9HCkSLd1L</t>
  </si>
  <si>
    <t>oshh____
wts unsealed digipack blue ver
rm 30 all inclusion postage rm
8 jnt (pos using box) freebies
will given 🤍 can reserve 🥰 -
bole dm for more detail 🦋 #pasarexomy
#pasarexo @pasar_EXO @KogiEXOrealPC
https://t.co/d9HCkSLd1L</t>
  </si>
  <si>
    <t>ikpkominfosbs
Kepala Perwakilan Konsulat Jenderal
Republik Indonesia (KJRI) Kuching,
Yonny Tri Prayitno melakukan silaturahmi
dengan Pemerintah Kabupaten Sambas
di Pos Lintas Batas Negara (PLBN)
Aruk, Kecamatan Sajingan Besar.
Sabtu, 27 September 2021 https://t.co/Bu03eWr2nZ</t>
  </si>
  <si>
    <t>radiopatria
#PatriaToday ► Ahmad melalui WhatsApp
berbagi informasi kami @radiopatria
di 081334256006 mengharapkan pihak
#PTKAI (Kereta Api Indonesia) untuk
mengfungsikan lagi petugas pos
jaga di perlintasan Kereta Api
(KA) di perlintasan KA Garum tepatnya
selatan perempatan Garum #Blitar.
https://t.co/UQiQpMfF3Z</t>
  </si>
  <si>
    <t>tvrisumbar
Selamat hari Pos Telekomunikasi
Telegraf ke -76 tahun 2021 ' Semakin
Digital , Indonesia Semakin Tangguh
Dan Tumbuh ' #HariPosTelekomunikasiTelegraf
#HariPTT76 #HariBhaktiPostel #MediaPemersatuBangsa
https://t.co/3wdcb6qNIW</t>
  </si>
  <si>
    <t>theiconomic
Paxel berkolaborasi dengan SiCepat
sebagai partner last mile dan PT
Logitek Digital Nusantara (LDN),
anak perusahaan PT Telefast Indonesia
Tbk (TFAS) sebagai penyedia sistem
di 10 kota Selengkapnya https://t.co/2bFZdNqgNc</t>
  </si>
  <si>
    <t>himasejarahfkip
Kemudian PTT dirubah namanya menjadi
“Jawatan PTT Republik Indonesia”.
Peristiwa tersebut diperingati
sebagai Hari Bhakti PTT atau Hari
Bhakti Parpostel. Setelah Indonesia
memproklamasikan kemerdekaan, maka
perjalanan dan perkembangan pos
selanjutnya diatur oleh negara.</t>
  </si>
  <si>
    <t>kpuberau
Hai #TemanPemilih, KPU Kabupaten
Berau mengucapkan Selamat Hari
Bhakti Pos dan Telekomunikasi Nasional.
Semakin Digital Indonesia, Semakin
Tangguh dan Tumbuh. https://t.co/J2wRZnfMAc</t>
  </si>
  <si>
    <t>antara_lkbn
Teman Antara ada yang punya pengalaman
berkesan selama menggunakan jasa
dan layanan Pos Indonesia tidak?
Ceritakan pengalaman kalian dengan
membalas tweet di bawah ini ya!</t>
  </si>
  <si>
    <t>tabda_tabdi
@sorceressmyr weleh, aku kaya gt
sama JNT dan JNE mbak..kalau si
cepat mesti selalu gercep. Mana
aku lupa ngubah ekspedisi ke sicepat
pula buat pesanannya mb Myr 😭</t>
  </si>
  <si>
    <t xml:space="preserve">sorceressmyr
</t>
  </si>
  <si>
    <t>zibellebeaute
Selamat memperingati Hari Pos Telekomunikasi
Telegraf 2021. Pertama kali transaksi
lewat Pos tahun berapa sahabat
Zi bellian? ●●● Share jawaban masing
masing dikolom komentar yuk #haripos
#informasi #indonesia #haripostelekomikasitelegraf
#skincareindonesia #skincarezibelle
https://t.co/I9xlCTXRI0</t>
  </si>
  <si>
    <t>auwich
Perjalanan NFTku salah satunya
dimulai dari karyawisata SD ke
Museum Pos Indonesia dan I'm excited
to see where they're going now
https://t.co/h4iE91w0Lz via @YouTube</t>
  </si>
  <si>
    <t xml:space="preserve">youtube
</t>
  </si>
  <si>
    <t>bpskabmuba
Selamat Hari Pos Telekomunikasi
Telegraf (PTT) Sobat Data. Semoga
perhubungan komunikasi dapat memberikan
manfaat yang berkelanjutan untuk
kesejahteraan masyarakat Indonesia.
#KalenderStatistikMuba https://t.co/xhCFf2LQJ6</t>
  </si>
  <si>
    <t>jaemistvy
PLISS SICEPAT LAMA BANGET BUSET.
SILAMBAT SIH HARUSNYA. MEMANG TETAP
JOSS PAKE JNT. SICEPAT ARE SUCKS</t>
  </si>
  <si>
    <t>smks_jannah
#SobatJatim tahukah kamu bahwa
hari ini diperingati sebagai Hari
Bhakti Pos dan Telegraf (POSTEL)
ke-76? Tahun ini tema yang diangkat
adalah "Semakin Digital, Indonesia
Semakin Tangguh dan Tumbuh". https://t.co/GBahoP6axd</t>
  </si>
  <si>
    <t>bkdjatim
#SobatJatim tahukah kamu bahwa
hari ini diperingati sebagai Hari
Bhakti Pos dan Telegraf (POSTEL)
ke-76? Tahun ini tema yang diangkat
adalah "Semakin Digital, Indonesia
Semakin Tangguh dan Tumbuh". https://t.co/GBahoP6axd</t>
  </si>
  <si>
    <t>pranatahumas
Halo #Rekanhumas di Seluruh Indonesia,
setiap tanggal 27 September diperingati
sebagai Hari Bhakti Pos dan Telekomunikasi,
semakin digital Indonesia semakin
tangguh dan tumbuh. #Pranatahumas
#IprahumasIndonesia #haribaktipostel2021
https://t.co/Y3LzYopovQ</t>
  </si>
  <si>
    <t>carilokermedan
Lowongan Kerja Tamatan S1 Di PT.
Sicepat Ekspres Indonesia Penempatan:
Sumatera Utara September 2021 Posisi
ibutuhkan: 1. STAFF HUMAN RESOURCE
BUSINESS PARTNER (HRBP) Info lengkap
klik link dibawah https://t.co/FVJK9oy1UK
Tgl. Loker : 27 September 2021
#LokerMedan #MedanLoker</t>
  </si>
  <si>
    <t>yuan_info
Lowongan Kerja Tamatan S1 Di PT.
Sicepat Ekspres Indonesia Penempatan:
Sumatera Utara September 2021 Posisi
ibutuhkan: 1. STAFF HUMAN RESOURCE
BUSINESS PARTNER (HRBP) Info lengkap
klik link dibawah https://t.co/FVJK9oy1UK
Tgl. Loker : 27 September 2021
#LokerMedan #MedanLoker</t>
  </si>
  <si>
    <t>shun_chan_chan
@IdTiki PERCUMA PUNYA MEDSOS TAPI
NO RESPON!! BEDA AMA JNE,SICEPAT,J&amp;amp;T
YANG QUICK RESPOND!!!</t>
  </si>
  <si>
    <t xml:space="preserve">idtiki
</t>
  </si>
  <si>
    <t>tarbantinbooks
Pewahyuan tentang kekuasaan dan
ketaatan yg harus anda ketahui
utk mendapatkan perkenanan Allah
dlm hidup anda👍Delivery Malang
kota 10K (spd mtr), luar Kota Malang
via JNE, J&amp;amp;T, POS WA/Line:
+6282143502209 IG: tarbantinbookstoremalang
MAKE GREAT GENERATION #bukubagus
#goodbooks https://t.co/LjacnnFF5I</t>
  </si>
  <si>
    <t>tictactoe_app
@busifess Langsung aja ke pos Indonesia
kayanya (?)</t>
  </si>
  <si>
    <t xml:space="preserve">busifess
</t>
  </si>
  <si>
    <t>kpudonggala
KPU Donggala mengucapkan Selamat
Hari Bakti Pos, Telegraph, dan
Telekomunikasi ke 76 Tahun 2021.
Dengan berjalannya waktu, Pos Indonesia
kini telah mampu menunjukkan kreatifitasnya
dalam pengembangan pos di Indonesia.
#HariPTT2021 #KPUDonggala #KPUMelayani
https://t.co/ATpl5M4En0</t>
  </si>
  <si>
    <t>kpujakartatimur
Selamat Hari Bhakti Postel (Pos
dan Telekomunikasi), 27 September
2021. "Semakin Digital Indonesia
semakin Tangguh dan Tumbuh". https://t.co/uzwTtK5bwH</t>
  </si>
  <si>
    <t>yainiakuu
RANDOM BGT ANYINGG ngapaiinn coba
muter lagu mars Pos Indonesia jam
segini 😭😭</t>
  </si>
  <si>
    <t>xxllyamr
@rmdhntyamanda19 ku kirim pake
jnt apa jne? apa pake pos indonesia🤔</t>
  </si>
  <si>
    <t xml:space="preserve">rmdhntyamanda19
</t>
  </si>
  <si>
    <t>harrynuriman
(2) Saat ini ada 4000 kantor pos
dan 28000 Agen Pos yang tersebar
di seluruh wilayah Indonesia. #27Sept
@PosIndonesia</t>
  </si>
  <si>
    <t>rriprograma3
#LAPORANREPORTER Hari Bakti Postel
transportasi digital menjadi langkah
PT Pos Indonesia untuk menjawab
tantangan zaman. Reporter RRI (B)
Selengkapnya di 88,8FM PRO 3 RRI.
-AMD</t>
  </si>
  <si>
    <t>thanksindomie
#SobatJatim tahukah kamu bahwa
hari ini diperingati sebagai Hari
Bhakti Pos dan Telegraf (POSTEL)
ke-76? Tahun ini tema yang diangkat
adalah "Semakin Digital, Indonesia
Semakin Tangguh dan Tumbuh". https://t.co/GBahoP6axd</t>
  </si>
  <si>
    <t>himapentikaunri
Republik Indonesia sering disebut
dengan PT Pos Indonesia. Arus perkembangan
Teknologi Telepon dan Telegraf
yang masuk ke Indonesia pun mengubah
sistem pelayanan pos di Indonesia.
Untuk itu, kami segenap Himpunan
Mahasiswa Pendidikan Matematika
mengucapkan :</t>
  </si>
  <si>
    <t>taqimovic_
Sobat, peringatan Hari Bakti Postel
dilatari sejarah perjuangan pahlawan
Angkatan Muda Pos, Telegrap dan
Telepon (AMPTT) yang merebut jawatan
PTT dari tentara Jepang saat itu,
yang membuat Pos dan Telekomunikasi
Indonesia dapat berjalan dan berkembang
hingga hari ini. https://t.co/X2R9DcN1Q1</t>
  </si>
  <si>
    <t>h0swee
Parah banget sih pos indonesia,
instansi pemerintah tp ga memadai.
Gabisa bayar pake kartu 🙄 cashless
dong, dunia udah maju</t>
  </si>
  <si>
    <t>putribigwin_
Sobat, peringatan Hari Bakti Postel
dilatari sejarah perjuangan pahlawan
Angkatan Muda Pos, Telegrap dan
Telepon (AMPTT) yang merebut jawatan
PTT dari tentara Jepang saat itu,
yang membuat Pos dan Telekomunikasi
Indonesia dapat berjalan dan berkembang
hingga hari ini. https://t.co/X2R9DcN1Q1</t>
  </si>
  <si>
    <t>humas_jogja
Adapun pada agenda tersebut, dilakukan
pula penandatanganan kerjasama
antara Dinas Koperasi dan UKM DIY
dengan PT. Pos Indonesia terkait
siskon dan gratis ongkos kirim
ke luar negeri bagi UKM DIY. #SriSultanHBX
#GKRHemas #UMKMNaikKelas #Sibakul
#DinkopDIY #PosIndonesia https://t.co/lO1d3Atd54</t>
  </si>
  <si>
    <t>leis_94
Sobat, peringatan Hari Bakti Postel
dilatari sejarah perjuangan pahlawan
Angkatan Muda Pos, Telegrap dan
Telepon (AMPTT) yang merebut jawatan
PTT dari tentara Jepang saat itu,
yang membuat Pos dan Telekomunikasi
Indonesia dapat berjalan dan berkembang
hingga hari ini. https://t.co/X2R9DcN1Q1</t>
  </si>
  <si>
    <t>kpukotadenpasar
KPU Kota Denpasar mengucapkan Selamat
Hari Bakti Pos &amp;amp; Telekomunikasi.
Semakin Digital Indonesia, Semakin
Tangguh dan Tumbuh. "Ngulati Denpasar
Shanti" @kpu_ri @kpu_bali https://t.co/LLo45VTjjX
https://t.co/fbTmtVLzoM</t>
  </si>
  <si>
    <t>tatihar_10
Sobat, peringatan Hari Bakti Postel
dilatari sejarah perjuangan pahlawan
Angkatan Muda Pos, Telegrap dan
Telepon (AMPTT) yang merebut jawatan
PTT dari tentara Jepang saat itu,
yang membuat Pos dan Telekomunikasi
Indonesia dapat berjalan dan berkembang
hingga hari ini. https://t.co/X2R9DcN1Q1</t>
  </si>
  <si>
    <t>deasokanews
Pos kawalan sempadan Malaysia –
Indonesia akan dibina di Simanggaris,
Kalabakan @DeasokaNews #Deasoka
#pos #sempadan #pm #kalabakan #sabah
#BreakingNews https://t.co/Xj7onKVbX0</t>
  </si>
  <si>
    <t>nisazain_
why jnt never reply our dm? pos
laju rajin je reply dm</t>
  </si>
  <si>
    <t>medilow
Lowongan Kerja BUMN SMA SMK D3
S1 PT. Pos Indonesia (Persero)
September 2021 https://t.co/ZL95qeMP27</t>
  </si>
  <si>
    <t>ndasmuyee
@jongseongcarts iyaa emang kalau
jne kayak gitu kekurangannya, tp
itu di shopeenyaa kalau di cek
di web aman kokk tapi, kalau untuk
dateng box mulus atau engga dijamin
jne paling mulus kataku wkkwkw
klo kayak anteraja/sicepat masih
suka penyok kalau jnt okelah tapi
aku prnah kasus ilang</t>
  </si>
  <si>
    <t xml:space="preserve">jongseongcarts
</t>
  </si>
  <si>
    <t>legalcentric
Selamat Hari Pos Telekomunikasi
Telegraf (PTT) - 27 September 2021.
“Semoga Pos Indonesia dapat meningkatkan
kualitas pelayanan menjadi lebih
baik.” #haripostelekomunikasitelegraf
#legalcentric https://t.co/HZ759WpEqc</t>
  </si>
  <si>
    <t>perancahrindu
Sobat, peringatan Hari Bakti Postel
dilatari sejarah perjuangan pahlawan
Angkatan Muda Pos, Telegrap dan
Telepon (AMPTT) yang merebut jawatan
PTT dari tentara Jepang saat itu,
yang membuat Pos dan Telekomunikasi
Indonesia dapat berjalan dan berkembang
hingga hari ini. https://t.co/X2R9DcN1Q1</t>
  </si>
  <si>
    <t>bawasludepok_
Bawaslu Kota Depok mengucapkan
Selamat Hari Bakti Pos dan Telekomunikasi
ke-76! Tanggal ini menjadi tanggal
bersejarah karena pos, telegraf,
dan telepon yang semula di bawah
pemerintahan Jepang, berhasil direbut
oleh putra putri Indonesia. @bawaslu_RI
@Bawaslu_Jabar https://t.co/xnR0ZP8aDo</t>
  </si>
  <si>
    <t xml:space="preserve">bawaslu_jabar
</t>
  </si>
  <si>
    <t xml:space="preserve">bawaslu_ri
</t>
  </si>
  <si>
    <t>immaturekids_
#CHENLE #PASARNCT 🖇 Chenle boring
pc - RM30 wm / RM40 em - price
already incpos &amp;gt;&amp;lt; - use jnt
, will pos out the day u make the
payment - no backout buyer ❌ -
dm me for more pic / vid https://t.co/Dtb9rcDRhU</t>
  </si>
  <si>
    <t>himaska_unri
Selamat Hari Pos Telekomunikasi
Telegraf Nasional, Sobatika!👋
Jadikan momentum ini sebagai bentuk
penghargaan kita kepada penyebar
Informasi kepada masyarakat di
Indonesia. https://t.co/i8MQ9MM4Eg
• HIMASKA? Selalu Solid untuk Matematika
Jaya! • - CENTROID GENERATION -</t>
  </si>
  <si>
    <t>cerita_parapuan
Lowongan Kerja BUMN Lulusan SMA
di Pos Indonesia Timor Tengah Utara
https://t.co/fvtMvupoSo</t>
  </si>
  <si>
    <t>rnarendro_w
jnt x antaraja x sicepat ya gini
dah sesama ekspedisi ngupi ngudud
wkwkwk https://t.co/xtUKnrbR8D</t>
  </si>
  <si>
    <t>myaccnotyours_
WTS SKZ  🇲🇾 ONLY • I.N Jewel
Pc - RM23 • I.N Red Frame - RM10
- BUY BOTH RM30 - • Seungmin Red
Frame - RM12 🖇 Exc pos (jnt) 🖇
shopeepay/online banking ❌ NO rush
postage 📩DM if interested #pasarskz
https://t.co/PGp3cqcYxI</t>
  </si>
  <si>
    <t>jiniretkkami
WTS SKZ  🇲🇾 ONLY • I.N Jewel
Pc - RM23 • I.N Red Frame - RM10
- BUY BOTH RM30 - • Seungmin Red
Frame - RM12 🖇 Exc pos (jnt) 🖇
shopeepay/online banking ❌ NO rush
postage 📩DM if interested #pasarskz
https://t.co/PGp3cqcYxI</t>
  </si>
  <si>
    <t>frckleslixie
WTS SKZ  🇲🇾 ONLY • I.N Jewel
Pc - RM23 • I.N Red Frame - RM10
- BUY BOTH RM30 - • Seungmin Red
Frame - RM12 🖇 Exc pos (jnt) 🖇
shopeepay/online banking ❌ NO rush
postage 📩DM if interested #pasarskz
https://t.co/PGp3cqcYxI</t>
  </si>
  <si>
    <t>xoicedteaa
WTS SKZ  🇲🇾 ONLY • I.N Jewel
Pc - RM23 • I.N Red Frame - RM10
- BUY BOTH RM30 - • Seungmin Red
Frame - RM12 🖇 Exc pos (jnt) 🖇
shopeepay/online banking ❌ NO rush
postage 📩DM if interested #pasarskz
https://t.co/PGp3cqcYxI</t>
  </si>
  <si>
    <t>knowleebb
WTS SKZ  🇲🇾 ONLY • I.N Jewel
Pc - RM23 • I.N Red Frame - RM10
- BUY BOTH RM30 - • Seungmin Red
Frame - RM12 🖇 Exc pos (jnt) 🖇
shopeepay/online banking ❌ NO rush
postage 📩DM if interested #pasarskz
https://t.co/PGp3cqcYxI</t>
  </si>
  <si>
    <t>apmoestopo
Hari Bakti Postel diperingati pada
tanggal 27 September setiap tahunnya.
Pada tahun 2021 ini, Hari Bakti
Postel (Pos Telekomunikasi Telegraf)
memperingati ulang tahunnya yang
ke-76. Semakin digital Indonesia,
Semakin tangguh dan tumbuh! #hariptt
#moestopo https://t.co/pNK9dMAEks</t>
  </si>
  <si>
    <t>humasresmesuji
Sat lantas Polres Mesuji Memberikan
Bansos Berupa Paket Sembako Kepada
Petugas Pos/Kurir Pos Indonesia
Di Simpang Pematang Mesuji Dalam
rangka Hut Pos Indonesia Ke 75
https://t.co/gd9T7MYOp4</t>
  </si>
  <si>
    <t>codex_telkom
Sobat, peringatan Hari Bakti Postel
dilatari sejarah perjuangan pahlawan
Angkatan Muda Pos, Telegrap dan
Telepon (AMPTT) yang merebut jawatan
PTT dari tentara Jepang saat itu,
yang membuat Pos dan Telekomunikasi
Indonesia dapat berjalan dan berkembang
hingga hari ini. https://t.co/X2R9DcN1Q1</t>
  </si>
  <si>
    <t>bpsjatim
#SobatJatim tahukah kamu bahwa
hari ini diperingati sebagai Hari
Bhakti Pos dan Telegraf (POSTEL)
ke-76? Tahun ini tema yang diangkat
adalah "Semakin Digital, Indonesia
Semakin Tangguh dan Tumbuh". https://t.co/GBahoP6axd</t>
  </si>
  <si>
    <t>anshaeyn
WTS SKZ  🇲🇾 ONLY • I.N Jewel
Pc - RM23 • I.N Red Frame - RM10
- BUY BOTH RM30 - • Seungmin Red
Frame - RM12 🖇 Exc pos (jnt) 🖇
shopeepay/online banking ❌ NO rush
postage 📩DM if interested #pasarskz
https://t.co/PGp3cqcYxI</t>
  </si>
  <si>
    <t>bandung_goid
Awal mula hari peringatan ini karena
peristiwa Angkatan Muda Pos Telekomunikasi
Telegraf mengambil alih kekuasaan
PTT di Bandung dari kekuasaan Jepang
dan secara resmi berubah menjadi
PTT Republik Indonesia. Lalu mengalami
beberapa perubahan hingga menjadi
PT. Pos Indonesia. https://t.co/tNdnW24ZFi</t>
  </si>
  <si>
    <t>seputaran_bdg
Awal mula hari peringatan ini karena
peristiwa Angkatan Muda Pos Telekomunikasi
Telegraf mengambil alih kekuasaan
PTT di Bandung dari kekuasaan Jepang
dan secara resmi berubah menjadi
PTT Republik Indonesia. Lalu mengalami
beberapa perubahan hingga menjadi
PT. Pos Indonesia. https://t.co/tNdnW24ZFi</t>
  </si>
  <si>
    <t>maretaprilmeiye
Sobat, peringatan Hari Bakti Postel
dilatari sejarah perjuangan pahlawan
Angkatan Muda Pos, Telegrap dan
Telepon (AMPTT) yang merebut jawatan
PTT dari tentara Jepang saat itu,
yang membuat Pos dan Telekomunikasi
Indonesia dapat berjalan dan berkembang
hingga hari ini. https://t.co/X2R9DcN1Q1</t>
  </si>
  <si>
    <t>imiblkpadang
SELAMAT HARI POS TELEKOMUNIKASI
TELEGRAF (PTT) 2021. Pada saat
pemerintahan Jepang di Indonesia,
jawatan PTT dikuasai oleh militer
Jepang. Angkatan Muda PTT kemudian
mengambil alih kekuasaan jawatan
PTT tersebut dan kemudian secara
resmi berubah menjadi https://t.co/N0tQbp6tJD</t>
  </si>
  <si>
    <t>fiersabesari
[ MALAM PUNCAK DIESNATALIS ] BEM
POLTEKPOS proudly present DIES
NATALIS 2018 "Peace Of Heart Join
Harmony" Tuesday, 16 Oct 2018 Auditorium
Politeknik Pos Indonesia Contact
Person : 089644237901 (Anggita)
081615923775 (Faqih) https://t.co/aQoEWKIeOU</t>
  </si>
  <si>
    <t>orangekampus
#SobatKampusOrange #Logisticians
&amp;amp; #Transporters Selamat Hari
Bhakti Postel Ke-76 Tahun Ambil
Kesempatan Beasiswa Ikatan Dinas
PT Pos Indonesia #YPBPI #POLTEKPOS
#STIMLOG #KeluargaPosIndonesia
https://t.co/a8VKXGVM6S</t>
  </si>
  <si>
    <t>kamadjajaklog
Penandatanganan MoU Kerjasama Kamadjaja
Logistics dengan PoltekPos (Politeknik
Pos Indonesia) yang diwakili oleh
Direktur PoltekPos Bpk. Agus Purnomo
https://t.co/CjKWlZsNdy</t>
  </si>
  <si>
    <t>linomeow_8
WTS SKZ  🇲🇾 ONLY • I.N Jewel
Pc - RM23 • I.N Red Frame - RM10
- BUY BOTH RM30 - • Seungmin Red
Frame - RM12 🖇 Exc pos (jnt) 🖇
shopeepay/online banking ❌ NO rush
postage 📩DM if interested #pasarskz
https://t.co/PGp3cqcYxI</t>
  </si>
  <si>
    <t>ayoesfa
Sobat, peringatan Hari Bakti Postel
dilatari sejarah perjuangan pahlawan
Angkatan Muda Pos, Telegrap dan
Telepon (AMPTT) yang merebut jawatan
PTT dari tentara Jepang saat itu,
yang membuat Pos dan Telekomunikasi
Indonesia dapat berjalan dan berkembang
hingga hari ini. https://t.co/X2R9DcN1Q1</t>
  </si>
  <si>
    <t>blksamarinda
Selamat Hari Pos Telekomunikasi
Telegraf (PTT). Semoga perhubungan
komunikasi dapat memberikan manfaat
yang berkelanjutan untuk kesejahteraan
masyarakat Indonesia. https://t.co/YxV2ZM2bxD</t>
  </si>
  <si>
    <t>officialwasa48
Kirim pake pos indonesia dri awal
september sampai sekarang blm nyampe-nyampe
🤦 pake ekspedisi swasta kirim
tgl 21 dah sampe hari ini. Emg
harga ga pernah boong 😅</t>
  </si>
  <si>
    <t>lebotquidittg
Kirim pake pos indonesia dri awal
september sampai sekarang blm nyampe-nyampe
🤦 pake ekspedisi swasta kirim
tgl 21 dah sampe hari ini. Emg
harga ga pernah boong 😅</t>
  </si>
  <si>
    <t>jk_daulay
Kepolisian Negara Republik Indonesia
Mengucapkan Selamat Memperingati
Hari Bhakti Pos dan Telekomunikasi
(Postel) ke-76 27 September 2021
"Semakin Digital, Indonesia Semakin
Tangguh dan Tumbuh" https://t.co/ICfk4Eejq6</t>
  </si>
  <si>
    <t>divhumas_polri
Kepolisian Negara Republik Indonesia
Mengucapkan Selamat Memperingati
Hari Bhakti Pos dan Telekomunikasi
(Postel) ke-76 27 September 2021
"Semakin Digital, Indonesia Semakin
Tangguh dan Tumbuh" https://t.co/ICfk4Eejq6</t>
  </si>
  <si>
    <t>1_shieldnkri
Kepolisian Negara Republik Indonesia
Mengucapkan Selamat Memperingati
Hari Bhakti Pos dan Telekomunikasi
(Postel) ke-76 27 September 2021
"Semakin Digital, Indonesia Semakin
Tangguh dan Tumbuh" https://t.co/ICfk4Eejq6</t>
  </si>
  <si>
    <t>jeeennn
Sobat, peringatan Hari Bakti Postel
dilatari sejarah perjuangan pahlawan
Angkatan Muda Pos, Telegrap dan
Telepon (AMPTT) yang merebut jawatan
PTT dari tentara Jepang saat itu,
yang membuat Pos dan Telekomunikasi
Indonesia dapat berjalan dan berkembang
hingga hari ini. https://t.co/X2R9DcN1Q1</t>
  </si>
  <si>
    <t>felixsuryadi2
Sobat, peringatan Hari Bakti Postel
dilatari sejarah perjuangan pahlawan
Angkatan Muda Pos, Telegrap dan
Telepon (AMPTT) yang merebut jawatan
PTT dari tentara Jepang saat itu,
yang membuat Pos dan Telekomunikasi
Indonesia dapat berjalan dan berkembang
hingga hari ini. https://t.co/X2R9DcN1Q1</t>
  </si>
  <si>
    <t>himapefsi
Pos hadir sebagai sarana komunikasi
dan informasi. Pos sebagai jaminan
hak setiap warga Negara untuk berkomunikasi
dan memperoleh informasi sesuai
dengan Undang-Undang Dasar Negara
Republik Indonesia Tahun 1945.
Selamat Hari Pos Telekomunikasi
Telegraf, Pefsier!</t>
  </si>
  <si>
    <t>tatakamu_
Kepolisian Negara Republik Indonesia
Mengucapkan Selamat Memperingati
Hari Bhakti Pos dan Telekomunikasi
(Postel) ke-76 27 September 2021
"Semakin Digital, Indonesia Semakin
Tangguh dan Tumbuh" https://t.co/ICfk4Eejq6</t>
  </si>
  <si>
    <t>tanthiaa
Kepolisian Negara Republik Indonesia
Mengucapkan Selamat Memperingati
Hari Bhakti Pos dan Telekomunikasi
(Postel) ke-76 27 September 2021
"Semakin Digital, Indonesia Semakin
Tangguh dan Tumbuh" https://t.co/ICfk4Eejq6</t>
  </si>
  <si>
    <t>samsatdigital
Karena Aplikasi SIGNAL telah bekerja
sama dengan PT. Pos Indonesia sebagai
jasa pengiriman terpercaya untuk
pengiriman dokumen kamu.</t>
  </si>
  <si>
    <t>dickowijaya
@SamsatDigital mana follow up nya
ya min ? udah di kasih emailnya,
udah di chat di live chat, udah
di reply email sebelum nya .. ga
dapat tanggapan.. di sini aja deh
saya attach jawaban dari pihak
POS INDONESIA nya ya. https://t.co/bd3oi0Fi5g</t>
  </si>
  <si>
    <t>rizaldiyos1
Kepolisian Negara Republik Indonesia
Mengucapkan Selamat Memperingati
Hari Bhakti Pos dan Telekomunikasi
(Postel) ke-76 27 September 2021
"Semakin Digital, Indonesia Semakin
Tangguh dan Tumbuh" https://t.co/ICfk4Eejq6</t>
  </si>
  <si>
    <t>silakmu
Kepolisian Negara Republik Indonesia
Mengucapkan Selamat Memperingati
Hari Bhakti Pos dan Telekomunikasi
(Postel) ke-76 27 September 2021
"Semakin Digital, Indonesia Semakin
Tangguh dan Tumbuh" https://t.co/ICfk4Eejq6</t>
  </si>
  <si>
    <t>x4riph0bi4
Korang ok ke kalau aku enable jnt
je kat kedai shopee aku? Sebab
jnt kalau pos harini, esok terus
sampai. Kalau lain2, 2-3 hari baru
sampai.</t>
  </si>
  <si>
    <t>himapbsifkipur1
Ditetapkannya 27 September sebagai
Hari Postel adalah hasil dari perjuangan
para putra-putri Indonesia yang
tergabung dalam Angkatan Muda Pos
Telegraf dan Telepon yang (AMPTT)
dari kekuasaan pemerintahan Jepang.
Kejadian tersebut berlangsung hanya
dalam kurun waktu satu bulan.</t>
  </si>
  <si>
    <t>himakompolban
Badan usaha milik negara yang bergerak
dalam bidang pos dan telekomunikasi
adalah PN Postel yang sejak 1965
telah dipecah dan saat ini dikenal
sebagai PT Pos Indonesia (Persero)
serta PT Telkom Indonesia (Persero)
Tbk di bawah koordinasi Kementerian
BUMN RI</t>
  </si>
  <si>
    <t>anjasmara_ferry
Kepolisian Negara Republik Indonesia
Mengucapkan Selamat Memperingati
Hari Bhakti Pos dan Telekomunikasi
(Postel) ke-76 27 September 2021
"Semakin Digital, Indonesia Semakin
Tangguh dan Tumbuh" https://t.co/ICfk4Eejq6</t>
  </si>
  <si>
    <t>teiyongg
GUYS PENGIRIMAN BISA JNT JNE SICEPAT
JUGA YAKKK, GAAA CUMA ANTERAJA
AJAAA</t>
  </si>
  <si>
    <t>sofyarega
GUYS PENGIRIMAN BISA JNT JNE SICEPAT
JUGA YAKKK, GAAA CUMA ANTERAJA
AJAAA</t>
  </si>
  <si>
    <t>mhafizzz19
Jnt scam ke harini pos kasut smpai
rm16?!</t>
  </si>
  <si>
    <t>anfariz92
#SobatJatim tahukah kamu bahwa
hari ini diperingati sebagai Hari
Bhakti Pos dan Telegraf (POSTEL)
ke-76? Tahun ini tema yang diangkat
adalah "Semakin Digital, Indonesia
Semakin Tangguh dan Tumbuh". https://t.co/GBahoP6axd</t>
  </si>
  <si>
    <t>bumnjdih
#BeritaBUMN Poltekpos melakukan
penandatanganan MoU dengan Ditjen
Kerja Sama ASEAN Kementerian Luar
Negeri Republik Indonesia, sebagai
Pusat Studi ASEAN dalam bidang
Logistics, Supply Chain Management
and E-Commerce. https://t.co/d3xDpXopUh
https://t.co/KkmnaIy3JV</t>
  </si>
  <si>
    <t>denpasarkota
Selamat Hari Bakti PT Pos Indonesia
Hari Bhakti Postel pada 27 September
jadi momentum peringatan sejarah
pengambilalihan Kantor Pusat Jawatan
Pos, Telegraf, dan Telepon (PTT)
di Bandung oleh pemuda Indonesia
dari kekuasaan penjajah Jepang.
Perebutan kendali Jawatan PTT itu</t>
  </si>
  <si>
    <t>citraemillia
Sobat, peringatan Hari Bakti Postel
dilatari sejarah perjuangan pahlawan
Angkatan Muda Pos, Telegrap dan
Telepon (AMPTT) yang merebut jawatan
PTT dari tentara Jepang saat itu,
yang membuat Pos dan Telekomunikasi
Indonesia dapat berjalan dan berkembang
hingga hari ini. https://t.co/cJhosI8kVH</t>
  </si>
  <si>
    <t>diskominfopwk
Selamat Hari Pos, Telekomunikasi,
dan Telegraf Republik Indonesia
yang ke-76. Semakin Digital Indonesia
Semakin Tangguh dan Tumbuh. #haripostelekomunikasitelegraf
#DiskominfoPurwakarta #Purwakarta
#JawaBarat #Kominfo https://t.co/Zl2JZOXrGd</t>
  </si>
  <si>
    <t>infobdg
Menjelajahi Era Surat Menyurat
di Museum Pos Indonesia https://t.co/N2lK1GM55o
#infoBDG https://t.co/atqTPRi7AN</t>
  </si>
  <si>
    <t>vincentera1
Selamat Hari Bhakti Postel ke-76!
Tanggal ini menjadi tanggal bersejarah
karena pos, telegraf, dan telepon
yang semula di bawah pemerintahan
Jepang, berhasil direbut oleh putra
putri Indonesia. Yuk simak sejarah
singkatnya 👇🏻 https://t.co/mjQErzAiWV</t>
  </si>
  <si>
    <t>evikaathalia
Sobat, peringatan Hari Bakti Postel
dilatari sejarah perjuangan pahlawan
Angkatan Muda Pos, Telegrap dan
Telepon (AMPTT) yang merebut jawatan
PTT dari tentara Jepang saat itu,
yang membuat Pos dan Telekomunikasi
Indonesia dapat berjalan dan berkembang
hingga hari ini. https://t.co/X2R9DcN1Q1</t>
  </si>
  <si>
    <t>kita_official_
Kerapatan Indonesia Tanah Air Selamat
Hari Bakti Pos Telekomunikasi 27
September KITA Sehat KITA Kuat
KITA Bangkit #POSTEL https://t.co/TYeTaC0pTG</t>
  </si>
  <si>
    <t>yazmato
OPEN/BUKA JASA ADMIN PACKING •Dom
Bekasi •Dekat Ekspedisi (JNE, J&amp;amp;T,
TIKI, SiCepat) •🍊 belom freeong
•Alat &amp;amp; bahan packing bisa
dari aku/kalian •Fee bisa dibicarakan
yg lg cari admin packing bisa langsung
dm aku yaa^^ tag dicari need butuh
admin packing dom bekasi/jakarta</t>
  </si>
  <si>
    <t>masellbuy
@jualanengene Tergantung ekspedisi,
kalo sicepat biasanya pick up jari
yg sama. Kalo jnt harus chat kurirnya
sih, itupun kadang bisa nunggu
beberapa hari</t>
  </si>
  <si>
    <t>sassysleep_
berteman baik dengan kurir jnt
sicepat id express jne dan tukang
roti keliling🥴</t>
  </si>
  <si>
    <t>fattireyz
Tumben JNE kosong.. Jd bisa foto
dulu 😅. Beres JNE lanjut kantor
pos sama J&amp;amp;T.. https://t.co/ChNOHqQ1ZS</t>
  </si>
  <si>
    <t>zomet13
Tumben JNE kosong.. Jd bisa foto
dulu 😅. Beres JNE lanjut kantor
pos sama J&amp;amp;T.. https://t.co/ChNOHqQ1ZS</t>
  </si>
  <si>
    <t>skzmarketmy
wts 🇲🇾 jeongin appmus RM30 jeongin
nasific RM30 changbin appmus RM30
changbin std pc RM20 exc pos 🚚
poslaju/jnt RM14 WM RM8 EM xpress
poslaju RM6 EM/WM https://t.co/8UnfkEuDW6</t>
  </si>
  <si>
    <t>anade04973624
wts 🇲🇾 jeongin appmus RM30 jeongin
nasific RM30 changbin appmus RM30
changbin std pc RM20 exc pos 🚚
poslaju/jnt RM14 WM RM8 EM xpress
poslaju RM6 EM/WM https://t.co/8UnfkEuDW6</t>
  </si>
  <si>
    <t>yeoninnie
wts 🇲🇾 jeongin appmus RM30 jeongin
nasific RM30 changbin appmus RM30
changbin std pc RM20 exc pos 🚚
poslaju/jnt RM14 WM RM8 EM xpress
poslaju RM6 EM/WM https://t.co/8UnfkEuDW6</t>
  </si>
  <si>
    <t>yseohui96
Kepolisian Negara Republik Indonesia
Mengucapkan Selamat Memperingati
Hari Bhakti Pos dan Telekomunikasi
(Postel) ke-76 27 September 2021
"Semakin Digital, Indonesia Semakin
Tangguh dan Tumbuh" https://t.co/ICfk4Eejq6</t>
  </si>
  <si>
    <t>revmen_id
Selamat Hari Bakti Pos dan Telekomunikasi.
Teruslah berinovasi, berkreasi
dan bersama-sama mengambil peran
untuk kemajuan transformasi digital
Indonesia. https://t.co/fSJ1NakDkF</t>
  </si>
  <si>
    <t>andidewiyahooc1
Selamat Hari Bakti Pos dan Telekomunikasi.
Teruslah berinovasi, berkreasi
dan bersama-sama mengambil peran
untuk kemajuan transformasi digital
Indonesia. https://t.co/fSJ1NakDkF</t>
  </si>
  <si>
    <t>aynbla
Kalau aku buat rank delivery based
on experience kan between jnt,
shopee dengan pos….. 1) jnt 2)
pos 3) ninja dll 10) shopee express
bapak lembab</t>
  </si>
  <si>
    <t>jdihkpumgl
Selamat Hari Pos Telekomunikasi
Telegragf yang ke 76 tahun 27 September
2021, Semakin Digital Indonesia
Semakin Tangguh Dan Tumbuh. #jdihkpukabmagelang
#kpukabmagelang #haripostelekomunikasitelegraf
https://t.co/lETmtAGIO1</t>
  </si>
  <si>
    <t>sitinoerhayati
Selamat Hari Pos Telekomunikasi
Telegragf yang ke 76 tahun 27 September
2021, Semakin Digital Indonesia
Semakin Tangguh Dan Tumbuh. #jdihkpukabmagelang
#kpukabmagelang #haripostelekomunikasitelegraf
https://t.co/lETmtAGIO1</t>
  </si>
  <si>
    <t>juyeonspicy
Tinggal kenalan sama abang jnt
aja Sicepat udah kenal Pos ems
kenal Anteraha kenal</t>
  </si>
  <si>
    <t>herlin_673yp
Kepolisian Negara Republik Indonesia
Mengucapkan Selamat Memperingati
Hari Bhakti Pos dan Telekomunikasi
(Postel) ke-76 27 September 2021
"Semakin Digital, Indonesia Semakin
Tangguh dan Tumbuh" https://t.co/ICfk4Eejq6</t>
  </si>
  <si>
    <t>flobamoraglobal
Agenda transformatif tidak hanya
ditujukan agar sektor pos dan telekomunikasi
Indonesia dapat semakin maju, tetapi
juga untuk mendorong perluasan
akses dan kebermanfaatan teknologi
digital, agar dpt dirasakan secara
nyata oleh seluruh lapisan masyarakat
Indonesia tanpa terkecuali https://t.co/iXjbYlRh8Z</t>
  </si>
  <si>
    <t>mmrrllssyyffqq
Jnt mmg ada masalah ke skrg? Barang
aku pos sampai skrg stuck dah nk
dekat seminggu 🥲</t>
  </si>
  <si>
    <t>swoozidk
Bagusan pake sicepat atau jnt??
Bingung</t>
  </si>
  <si>
    <t>lcvingwoo_
@swoozidk aku skrg pake sicepat
soalnya udh 2 kali ada masalah
sama jnt</t>
  </si>
  <si>
    <t>humasjabar
Selamat Hari Bhakti Pos &amp;amp; Telekomunikasi
(Postel) Ke-76 🥳 @PosIndonesia
“Semakin Digital Indonesia” Semakin
Tangguh &amp;amp; Tumbuh” #HUTBhaktiPos
#HariBhaktiPos #JaBarSehatLahirBatin
#Silihtulungan https://t.co/ywu7LcVriw</t>
  </si>
  <si>
    <t>repkemanz
@ckinoza Ak dlu msa boleh plih.
2 jer. X pos laju, jnt. Dhl ecommerce
pn lmbt. Dh la x taw rmh ak. Mklum
la kg. Ssh la nk cri. Tp rider
jnt boleh jer cri. Poslaju tolak
tepi la. Mmg expert dh haha. Ptut
shopee kne bt rating utk delivery
partner jgak. Snb. Agak lmbt sgt.
1* je. Brg lain.+</t>
  </si>
  <si>
    <t xml:space="preserve">ckinoza
</t>
  </si>
  <si>
    <t>ide2nesia
Tumben JNE kosong.. Jd bisa foto
dulu 😅. Beres JNE lanjut kantor
pos sama J&amp;amp;T.. https://t.co/ChNOHqQ1ZS</t>
  </si>
  <si>
    <t>mudha_satriya
Kepolisian Negara Republik Indonesia
Mengucapkan Selamat Memperingati
Hari Bhakti Pos dan Telekomunikasi
(Postel) ke-76 27 September 2021
"Semakin Digital, Indonesia Semakin
Tangguh dan Tumbuh" https://t.co/ICfk4Eejq6</t>
  </si>
  <si>
    <t>nikfaez_
cassete dah sampai. rim pos dalam
kuantan pun slow jnt ni. biasa
laju je</t>
  </si>
  <si>
    <t>marwansr
@beacukaiRI Punten, ingin tanya,
Kak. Kalau impor barang harga &amp;gt;50$
dari aliexpress, apakah biaya bea
cukai nya dibayar ke kurir POS
Indonesia saat antar barangnya?
Terimakasih.</t>
  </si>
  <si>
    <t xml:space="preserve">beacukairi
</t>
  </si>
  <si>
    <t>djppikominfo
Selamat Hari Bhakti Postel ke-76.
Ayo! Dengan adanya hari bhakti
postel kita teruskan perjuangan
para veteran postel dalam memajukan
pos dan telekomunikasi di Indonesia.
“Semakin Digital, Indonesia Semakin
Tangguh dan Tumbuh” #Haribhaktipostel
#sobatppi #ditjenppi https://t.co/WqtQELcUJi</t>
  </si>
  <si>
    <t>joshyyyy111
Postage 📬 RM6 wm/em (flexi) 📬
RM8 wm (JnT, Pos Laju, Pgeon)</t>
  </si>
  <si>
    <t>polresrembang86
Kepolisian Negara Republik Indonesia
Mengucapkan Selamat Memperingati
Hari Bhakti Pos dan Telekomunikasi
(Postel) ke-76 27 September 2021
"Semakin Digital, Indonesia Semakin
Tangguh dan Tumbuh" https://t.co/6ngJOBCy6U</t>
  </si>
  <si>
    <t>psychoddle
@justlilbitchy jnt apa sicepat
nic</t>
  </si>
  <si>
    <t xml:space="preserve">justlilbitchy
</t>
  </si>
  <si>
    <t>tiarakhansaaa
Sobat, peringatan Hari Bakti Postel
dilatari sejarah perjuangan pahlawan
Angkatan Muda Pos, Telegrap dan
Telepon (AMPTT) yang merebut jawatan
PTT dari tentara Jepang saat itu,
yang membuat Pos dan Telekomunikasi
Indonesia dapat berjalan dan berkembang
hingga hari ini. https://t.co/X2R9DcN1Q1</t>
  </si>
  <si>
    <t>_averain99
2 to 3 weeks onward, memang berderet
la ni parcel dtg rumah. Mmng abg
jnt atau lgi2 pos laju bosan sdh
dtg rumah 😂😭 my wallet is crying
:')</t>
  </si>
  <si>
    <t>nynassuh
[ help rt pls 💗 ] hiiii. helping
my friend to clear slot for slow
acid! Only johnny slot available!
Please dm me if youre interested!
^🥰💗 WTS NCT127 SLOW ACID (JOHNNY
PC) - RM35 exc pos! 📫 + Rm7 postage
(jnt WM/ Flexiprepaid EM) #pasarNCT
https://t.co/3zIgBkReZy</t>
  </si>
  <si>
    <t>fullsunbb_
[ help rt pls 💗 ] hiiii. helping
my friend to clear slot for slow
acid! Only johnny slot available!
Please dm me if youre interested!
^🥰💗 WTS NCT127 SLOW ACID (JOHNNY
PC) - RM35 exc pos! 📫 + Rm7 postage
(jnt WM/ Flexiprepaid EM) #pasarNCT
https://t.co/3zIgBkReZy</t>
  </si>
  <si>
    <t>permanamukim
Kepolisian Negara Republik Indonesia
Mengucapkan Selamat Memperingati
Hari Bhakti Pos dan Telekomunikasi
(Postel) ke-76 27 September 2021
"Semakin Digital, Indonesia Semakin
Tangguh dan Tumbuh" https://t.co/ICfk4Eejq6</t>
  </si>
  <si>
    <t>davinardsyah
Sobat, peringatan Hari Bakti Postel
dilatari sejarah perjuangan pahlawan
Angkatan Muda Pos, Telegrap dan
Telepon (AMPTT) yang merebut jawatan
PTT dari tentara Jepang saat itu,
yang membuat Pos dan Telekomunikasi
Indonesia dapat berjalan dan berkembang
hingga hari ini. https://t.co/X2R9DcN1Q1</t>
  </si>
  <si>
    <t>bikinlaparmata
Museum Pos Indonesia pun menjadi
salah satu pilihan wisata Bandung
yang bisa menambah wawasan Anda,
Traveler. Seru! https://t.co/w4xOFeH5VE</t>
  </si>
  <si>
    <t>tuanwidi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</si>
  <si>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whenscarves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</si>
  <si>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jiaeffendie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</si>
  <si>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torantula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</si>
  <si>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funjunkies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</si>
  <si>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dipurwantto
by @PMI_KabSemarang #StokDarah
Senin 27 Sept 2021 Pkl 20.20 WIB
MOBILE UNIT Selasa 28 Sept 2021
PT Pos Indonesia Ungaran Pkl 09.00
WIB INFO LAYANAN -Darah Pasien
24 Jam -Donor Darah di PMI Pkl
08.00-20.00 WIB Visit https://t.co/SWiQS1roBk
#DonorDong #PMISelaluBantu https://t.co/wtYEFIpnVR</t>
  </si>
  <si>
    <t>pmi_kabsemarang
#StokDarah Selasa 28 Sept 2021
Pkl 07.10 WIB MOBILE UNIT Selasa
28 Sept 2021 PT Pos Indonesia Ungaran
Pkl 09.00 WIB INFO LAYANAN -Darah
Pasien 24 Jam -Donor Darah di PMI
Pkl 08.00-20.00 WIB Visit https://t.co/cCFb9wyKIP
@PMIJawaTengah @palangmerah @InfoUngaran
@Blood4LifeID https://t.co/DchubjeCnJ</t>
  </si>
  <si>
    <t>blood4lifeid
By @PMI_KabSemarang: #StokDarah
Selasa 28 Sept 2021 Pkl 07.10 WIB
MOBILE UNIT Selasa 28 Sept 2021
PT Pos Indonesia Ungaran Pkl 09.00
WIB INFO LAYANAN -Darah Pasien
24 Jam -Donor Darah di PMI Pkl
08.00-20.00 WIB Visit https://t.co/SWiQS1roBk
#DonorDong https://t.co/UpBLQ1ELco</t>
  </si>
  <si>
    <t>dw19kur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</si>
  <si>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itsnaini_alan
Selamat Hari Bhakti Postel ke-76
27 September 2021 mjd tgl bersejarah
karena pos, telegraf, dan telepon
yang semula di bawah pemerintahan
Jepang, berhasil direbut oleh putra
putri Indonesia. #HariBhaktiPostel2021
#HariBhaktiPostel76 https://t.co/hz0VYQguZb</t>
  </si>
  <si>
    <t>ppid_sragen
Selamat Hari Bhakti Postel ke-76
27 September 2021 mjd tgl bersejarah
karena pos, telegraf, dan telepon
yang semula di bawah pemerintahan
Jepang, berhasil direbut oleh putra
putri Indonesia. #HariBhaktiPostel2021
#HariBhaktiPostel76 https://t.co/hz0VYQguZb</t>
  </si>
  <si>
    <t>anisprasety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</si>
  <si>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el_maqnuah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</si>
  <si>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_u5er5_
@nanjirouechizen jnt ada. pos hrini
esk smpai. 😂</t>
  </si>
  <si>
    <t xml:space="preserve">nanjirouechizen
</t>
  </si>
  <si>
    <t>reskrimrestaptk
Kepolisian Negara Republik Indonesia
Mengucapkan Selamat Memperingati
Hari Bhakti Pos dan Telekomunikasi
(Postel) ke-76 27 September 2021
"Semakin Digital, Indonesia Semakin
Tangguh dan Tumbuh" https://t.co/YDIwbh7YMx</t>
  </si>
  <si>
    <t>nararara17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</si>
  <si>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hendrichalid
@erickthohir Waktu 2 tahun lagi,
apakah ada perubahan pada PT. POS
INDONESIA ?</t>
  </si>
  <si>
    <t>negarakecil
Tumben JNE kosong.. Jd bisa foto
dulu 😅. Beres JNE lanjut kantor
pos sama J&amp;amp;T.. https://t.co/ChNOHqQ1ZS</t>
  </si>
  <si>
    <t>ekapuspitaward1
Sobat, peringatan Hari Bakti Postel
dilatari sejarah perjuangan pahlawan
Angkatan Muda Pos, Telegrap dan
Telepon (AMPTT) yang merebut jawatan
PTT dari tentara Jepang saat itu,
yang membuat Pos dan Telekomunikasi
Indonesia dapat berjalan dan berkembang
hingga hari ini. https://t.co/X2R9DcN1Q1</t>
  </si>
  <si>
    <t>humaspemkotbkl
Pemerintah Kota Bengkulu mengucapkan
selamat Hari Bhakti Pos dan Telekomunikasi
ke 76 Tahun "Semakin Digital Indonesia,
Semakin Tangguh dan Tumbuh" . .
. #bengkulubahagia #helmihasan
#dedywahyudi #bengkulukotahadits
#hd #insyaallah #bahagiadanreligius
#bengkulubisa https://t.co/flX3OXbXP1</t>
  </si>
  <si>
    <t>rezanurazar
@cisska_rahayu Si owen fpl62 jg
6gw pertama msh di 1jutaan musim
lalu klo ga salah, pda akhirnya
pos 2 indonesia😁</t>
  </si>
  <si>
    <t xml:space="preserve">cisska_rahayu
</t>
  </si>
  <si>
    <t>moncherriees
owner GO INA yang cari admin packing
aku ready bgt✋🏻✋🏻✋🏻 dom : bks
🍊 : bisa freeong ekspedisi : jnt
(ada kurir yg bisa pickup), sicepat
jne deket bgt packing bisa dari
aku/bebas fee bs didiskusikan😉
t. butuh need admin packing go
jkt bks depok bu</t>
  </si>
  <si>
    <t>mykimchillstore
WTS SKZ PC 🇲🇾 ONLY • DS Pc -
RM26 • Lee Know Beret - RM22 •
Han Red - RM20 • Chan, Changbin,
I.N Std PC - RM18 🖇 Exc pos jnt/flexi
🖇 shopeepay/online banking ❌ NO
rush postage 📩DM if interested
#pasarskz https://t.co/AfDTajoVDq</t>
  </si>
  <si>
    <t>elgowh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</si>
  <si>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bbplk_serang
Selamat Hari Pos Telekomunikasi
Telegraf Semakin digital, Indonesia
semakin Tangguh dan Tumbuh #bbplkserang
#kemnakerri #kemnaker https://t.co/gjg3Dts0Wt</t>
  </si>
  <si>
    <t>hash1r4_
@rekkaal Yang lebih kirim lewat
pos aja yaa atau ngga jnt 🙏🏼</t>
  </si>
  <si>
    <t xml:space="preserve">rekkaal
</t>
  </si>
  <si>
    <t>wicaksono_pe
@MinangGermanic How is catholic
church, a mere part of the whole
system, a successor of Rome? Like
if Indonesia dissolve and the only
thing that survive is Kantor Pos
that doesn't mean it is its succesor.
Its just a vestigial part of it
that somehow survive the cataclysm.</t>
  </si>
  <si>
    <t>minanggermanic
Kantor Pos is the Second Indonesia
confirmed(they're staffed by pureblood
Javanese) https://t.co/efkMfOBuzn</t>
  </si>
  <si>
    <t>spy_zone85
@ABSetyono @PlateJohnny @kemkominfo
@henrysubiakto @KSPgoid @setkabgoid
@KemensetnegRI @BAKTIKominfo @Dennysiregar7
@tb_aank @Aryprasetyo85 Menurut
Johnny G Plate, upaya itu sama
seperti perjuangan Soetoko bersama
para pahlawan Angkatan Muda Pos,
Telegraf dan Telepon (AMPTT), di
mana AMPTT membebaskan jawatan
PTT yang sekaligus merintis awal
mula sektor pos dan telekomunikasi
Indonesia. @kemkominfo @Aryprasetyo85</t>
  </si>
  <si>
    <t xml:space="preserve">aryprasetyo85
</t>
  </si>
  <si>
    <t xml:space="preserve">tb_aank
</t>
  </si>
  <si>
    <t xml:space="preserve">dennysiregar7
</t>
  </si>
  <si>
    <t xml:space="preserve">baktikominfo
</t>
  </si>
  <si>
    <t xml:space="preserve">kemensetnegri
</t>
  </si>
  <si>
    <t xml:space="preserve">setkabgoid
</t>
  </si>
  <si>
    <t xml:space="preserve">kspgoid
</t>
  </si>
  <si>
    <t xml:space="preserve">henrysubiakto
</t>
  </si>
  <si>
    <t xml:space="preserve">absetyono
</t>
  </si>
  <si>
    <t xml:space="preserve">platejohnny
</t>
  </si>
  <si>
    <t>luluiii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</si>
  <si>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kantahkabsragen
Selamat Hari Bhakti Postel ke-76
27 September 2021 mjd tgl bersejarah
karena pos, telegraf, dan telepon
yang semula di bawah pemerintahan
Jepang, berhasil direbut oleh putra
putri Indonesia. #HariBhaktiPostel2021
#HariBhaktiPostel76 https://t.co/hz0VYQguZb</t>
  </si>
  <si>
    <t>hahakimiiiiii
MN90 for sale Remote dumborc 6
channel ESC hobbywing 1060 Servo
3kg Axle metal Stering link metal
Get all accessories dalam gambar.
RC dalam keadaan sangat baik Baru
sekali je main panjat bukit. Harga
dipinta rm500. Boleh nego lagi
sampai jadi. pos bayar sendiri
JNT#bantu rt 🙇‍♂️ https://t.co/LTYW7wWkha</t>
  </si>
  <si>
    <t>anwarkhairi
MN90 for sale Remote dumborc 6
channel ESC hobbywing 1060 Servo
3kg Axle metal Stering link metal
Get all accessories dalam gambar.
RC dalam keadaan sangat baik Baru
sekali je main panjat bukit. Harga
dipinta rm500. Boleh nego lagi
sampai jadi. pos bayar sendiri
JNT#bantu rt 🙇‍♂️ https://t.co/LTYW7wWkha</t>
  </si>
  <si>
    <t>lokershareinone
41. https://t.co/0FoOOGr9pS 42.
https://t.co/VGnVNTlEsD 43. https://t.co/Zy0yvWTf3M
44. https://t.co/HJgngs31hg 45.
https://t.co/cRRV7J2yA6 #Lokershareinone
#Lokerinone #LokerMedan #KarirMedan
#LowonganKerjaMedan #LokerSumut
#KarirSumut #JobMedan  #J…https://t.co/VyOUEm6rxx</t>
  </si>
  <si>
    <t>b4esuzypuji
Tujuan ngirim pesan singkat kek
chat atao SMS gtu supaya cepet
dapat balasan dalam hitungan menit.
Tau km gini lama balasnya mending
pake jasa pos, jnt, JNE dsbg.</t>
  </si>
  <si>
    <t>adarndresser
MN90 for sale Remote dumborc 6
channel ESC hobbywing 1060 Servo
3kg Axle metal Stering link metal
Get all accessories dalam gambar.
RC dalam keadaan sangat baik Baru
sekali je main panjat bukit. Harga
dipinta rm500. Boleh nego lagi
sampai jadi. pos bayar sendiri
JNT#bantu rt 🙇‍♂️ https://t.co/LTYW7wWkha</t>
  </si>
  <si>
    <t>3andalas
Tumben JNE kosong.. Jd bisa foto
dulu 😅. Beres JNE lanjut kantor
pos sama J&amp;amp;T.. https://t.co/ChNOHqQ1ZS</t>
  </si>
  <si>
    <t>astritriast
Sobat, peringatan Hari Bakti Postel
dilatari sejarah perjuangan pahlawan
Angkatan Muda Pos, Telegrap dan
Telepon (AMPTT) yang merebut jawatan
PTT dari tentara Jepang saat itu,
yang membuat Pos dan Telekomunikasi
Indonesia dapat berjalan dan berkembang
hingga hari ini. https://t.co/X2R9DcN1Q1</t>
  </si>
  <si>
    <t>littleboozi
[ help rt pls 💗 ] hiiii. helping
my friend to clear slot for slow
acid! Only johnny slot available!
Please dm me if youre interested!
^🥰💗 WTS NCT127 SLOW ACID (JOHNNY
PC) - RM35 exc pos! 📫 + Rm7 postage
(jnt WM/ Flexiprepaid EM) #pasarNCT
https://t.co/3zIgBkReZy</t>
  </si>
  <si>
    <t>cherlyalviani
Sobat, peringatan Hari Bakti Postel
dilatari sejarah perjuangan pahlawan
Angkatan Muda Pos, Telegrap dan
Telepon (AMPTT) yang merebut jawatan
PTT dari tentara Jepang saat itu,
yang membuat Pos dan Telekomunikasi
Indonesia dapat berjalan dan berkembang
hingga hari ini. https://t.co/X2R9DcN1Q1</t>
  </si>
  <si>
    <t>nasruddinharon
MN90 for sale Remote dumborc 6
channel ESC hobbywing 1060 Servo
3kg Axle metal Stering link metal
Get all accessories dalam gambar.
RC dalam keadaan sangat baik Baru
sekali je main panjat bukit. Harga
dipinta rm500. Boleh nego lagi
sampai jadi. pos bayar sendiri
JNT#bantu rt 🙇‍♂️ https://t.co/LTYW7wWkha</t>
  </si>
  <si>
    <t>mpo_ani
Sobat, peringatan Hari Bakti Postel
dilatari sejarah perjuangan pahlawan
Angkatan Muda Pos, Telegrap dan
Telepon (AMPTT) yang merebut jawatan
PTT dari tentara Jepang saat itu,
yang membuat Pos dan Telekomunikasi
Indonesia dapat berjalan dan berkembang
hingga hari ini. https://t.co/X2R9DcN1Q1</t>
  </si>
  <si>
    <t>alkecilsaja
Tumben JNE kosong.. Jd bisa foto
dulu 😅. Beres JNE lanjut kantor
pos sama J&amp;amp;T.. https://t.co/ChNOHqQ1ZS</t>
  </si>
  <si>
    <t>yanguning2
Tumben JNE kosong.. Jd bisa foto
dulu 😅. Beres JNE lanjut kantor
pos sama J&amp;amp;T.. https://t.co/ChNOHqQ1ZS</t>
  </si>
  <si>
    <t xml:space="preserve">nitarose38
</t>
  </si>
  <si>
    <t xml:space="preserve">queen__lagi
</t>
  </si>
  <si>
    <t xml:space="preserve">_mrs_cemploooon
</t>
  </si>
  <si>
    <t>danicdanic
kantor pos di UK ternyata kaya
jne yaa.. kaga sempet foto2 soalnya
udah bingung sndiri wkkwk. Td sih
lbh jelek dr ini wkwkwk, trs sbelahnya
ada yg jual ATK gtu https://t.co/AAmt3eIMaV</t>
  </si>
  <si>
    <t>btsmarketmy
[HELP RT] WTS MY 🇲🇾 WTS JIMIN
SET BTS BUTTER WEVERSE POB 🪄JIMIN
POB PC(❌tin case) AND JIMIN FILM
STRIP RM100 include pos 🍭loose
-(pc rm38) (film strip rm62) ✅
Condition pc 9/10,film strip 10/10
will use JnT DM for close up of
interested @BTSMarketMY @pasarBTS
@BTStrading_MY https://t.co/7ao7UUHvAy</t>
  </si>
  <si>
    <t>blinkuelilies
[HELP RT] WTS MY 🇲🇾 WTS JIMIN
SET BTS BUTTER WEVERSE POB 🪄JIMIN
POB PC(❌tin case) AND JIMIN FILM
STRIP RM100 include pos 🍭loose
-(pc rm38) (film strip rm62) ✅
Condition pc 9/10,film strip 10/10
will use JnT DM for close up of
interested @BTSMarketMY @pasarBTS
@BTStrading_MY https://t.co/7ao7UUHvAy</t>
  </si>
  <si>
    <t>bonno35583659
Sobat, peringatan Hari Bakti Postel
dilatari sejarah perjuangan pahlawan
Angkatan Muda Pos, Telegrap dan
Telepon (AMPTT) yang merebut jawatan
PTT dari tentara Jepang saat itu,
yang membuat Pos dan Telekomunikasi
Indonesia dapat berjalan dan berkembang
hingga hari ini. https://t.co/X2R9DcN1Q1</t>
  </si>
  <si>
    <t>inisial_jj
Sobat, peringatan Hari Bakti Postel
dilatari sejarah perjuangan pahlawan
Angkatan Muda Pos, Telegrap dan
Telepon (AMPTT) yang merebut jawatan
PTT dari tentara Jepang saat itu,
yang membuat Pos dan Telekomunikasi
Indonesia dapat berjalan dan berkembang
hingga hari ini. https://t.co/X2R9DcN1Q1</t>
  </si>
  <si>
    <t>inagobes26
Sobat, peringatan Hari Bakti Postel
dilatari sejarah perjuangan pahlawan
Angkatan Muda Pos, Telegrap dan
Telepon (AMPTT) yang merebut jawatan
PTT dari tentara Jepang saat itu,
yang membuat Pos dan Telekomunikasi
Indonesia dapat berjalan dan berkembang
hingga hari ini. https://t.co/X2R9DcN1Q1</t>
  </si>
  <si>
    <t>camelaila1
Tumben JNE kosong.. Jd bisa foto
dulu 😅. Beres JNE lanjut kantor
pos sama J&amp;amp;T.. https://t.co/ChNOHqQ1ZS</t>
  </si>
  <si>
    <t>ryuzaky46
Sobat, peringatan Hari Bakti Postel
dilatari sejarah perjuangan pahlawan
Angkatan Muda Pos, Telegrap dan
Telepon (AMPTT) yang merebut jawatan
PTT dari tentara Jepang saat itu,
yang membuat Pos dan Telekomunikasi
Indonesia dapat berjalan dan berkembang
hingga hari ini. https://t.co/X2R9DcN1Q1</t>
  </si>
  <si>
    <t xml:space="preserve">infoungaran
</t>
  </si>
  <si>
    <t xml:space="preserve">palangmerah
</t>
  </si>
  <si>
    <t xml:space="preserve">pmijawatengah
</t>
  </si>
  <si>
    <t>yoesfat
Sobat, peringatan Hari Bakti Postel
dilatari sejarah perjuangan pahlawan
Angkatan Muda Pos, Telegrap dan
Telepon (AMPTT) yang merebut jawatan
PTT dari tentara Jepang saat itu,
yang membuat Pos dan Telekomunikasi
Indonesia dapat berjalan dan berkembang
hingga hari ini. https://t.co/X2R9DcN1Q1</t>
  </si>
  <si>
    <t>lulusyukk
@kpopstorefess Halo,Barangkali
kk masih bth bantuan,udh biasa
pegang sps, gdoc, gform, sklh di
administrasi juga. Rmh dkt jnt,jne,
sicepat, anteraja. biasa packing
pc juga.ada alat packing. Shopee
freeong. Fast respon wa, line,
serius bukan cm lg senggang. Barangkali
masih butuh bantuan hmu ya</t>
  </si>
  <si>
    <t xml:space="preserve">jaywones
</t>
  </si>
  <si>
    <t xml:space="preserve">lariesmanis
</t>
  </si>
  <si>
    <t xml:space="preserve">wh_nini
</t>
  </si>
  <si>
    <t xml:space="preserve">myxiaodejun
</t>
  </si>
  <si>
    <t xml:space="preserve">whdksskosh
</t>
  </si>
  <si>
    <t xml:space="preserve">kpopstorefess
</t>
  </si>
  <si>
    <t>gldenvnte
@taetaelvly Km naik jnt aja ak
sicepat</t>
  </si>
  <si>
    <t xml:space="preserve">taetaelvly
</t>
  </si>
  <si>
    <t>openkerja
Lowongan Kerja Kantor Pos Indonesia
Batas Lamaran: 30 September 2021
Posisi, Lokasi, Kualifikasi dan
Panduan melamar buka link: https://t.co/SKiGXXW4ht
• "GABUNG DI CHANNEL TELEGRAM 👉
https://t.co/SfaaWgxZ1h (GRATIS)"</t>
  </si>
  <si>
    <t>winterpeachyy
@gldenvnte pake pos indonesia aja
sya:')</t>
  </si>
  <si>
    <t>tbssouvenir
You are the perfection of God💕Nampan
cantiknya ready utk penyajian hidangan
makin menawan, buruan gercep yaaaa😍Limited
Edition💞Delivery Malang kota 10k
(spd mtr), luar Kota Malang via
JNE, J&amp;amp;T, POS WA/Line: +6282143502209
IG: tarbantinsouvenir #tray #nampan
#baki #penyajian https://t.co/mTIu3FiXNO</t>
  </si>
  <si>
    <t>datel7190
Sobat, peringatan Hari Bakti Postel
dilatari sejarah perjuangan pahlawan
Angkatan Muda Pos, Telegrap dan
Telepon (AMPTT) yang merebut jawatan
PTT dari tentara Jepang saat itu,
yang membuat Pos dan Telekomunikasi
Indonesia dapat berjalan dan berkembang
hingga hari ini. https://t.co/X2R9DcN1Q1</t>
  </si>
  <si>
    <t>lowongankerja07
Lowongan Kerja D3 S1 PT Sicepat
Ekspres Indonesia September 2021
https://t.co/5Gd5F85h1K</t>
  </si>
  <si>
    <t>roistorez
Lowongan Kerja D3 S1 PT Sicepat
Ekspres Indonesia September 2021
https://t.co/oUzjJ77rUS</t>
  </si>
  <si>
    <t>lim_pato
Trimakasih @korlantasid sim c saya
sudah jadi. Penantian ( 07 Sept
- 24 Sept ) serta trimakasih Pos
Indonesia yang sudah mengantarkan.
https://t.co/LrN8U3e6xt</t>
  </si>
  <si>
    <t xml:space="preserve">korlantasid
</t>
  </si>
  <si>
    <t>kyufiies
jujur capek banget di daerahku
gaad pos indonesia</t>
  </si>
  <si>
    <t>sitimaharani39
Halo admin @bravobeacukai ini apa
benar? Dan apa ini berlaku untuk
semua perusahaan pengiriman seperti
misalnya Pos Indonesia/DHL juga?
https://t.co/9bMLtaTv2p</t>
  </si>
  <si>
    <t xml:space="preserve">stephanus168
</t>
  </si>
  <si>
    <t xml:space="preserve">ichihoony
</t>
  </si>
  <si>
    <t xml:space="preserve">alphinside
</t>
  </si>
  <si>
    <t xml:space="preserve">meily1106
</t>
  </si>
  <si>
    <t xml:space="preserve">for__dy
</t>
  </si>
  <si>
    <t>euisnurhalimah6
Sobat, peringatan Hari Bakti Postel
dilatari sejarah perjuangan pahlawan
Angkatan Muda Pos, Telegrap dan
Telepon (AMPTT) yang merebut jawatan
PTT dari tentara Jepang saat itu,
yang membuat Pos dan Telekomunikasi
Indonesia dapat berjalan dan berkembang
hingga hari ini. https://t.co/X2R9DcN1Q1</t>
  </si>
  <si>
    <t>jawapos
Peringati Postel, PT Pos Indonesia
Bertransformasi ke Arah Digital
https://t.co/UKrsug08eR</t>
  </si>
  <si>
    <t>karangpos
KantorPos KarangSatria Menyediakan
Materai 6000 dan 10000 Ingin Bayar
Tagihan - Cicilan - Iuran BPJS
pakai POS INDONESIA sedia POSFIN
untuk melayani segala pembayaran
Pengiriman Tetap Jalan KilatKhusus-
Ekonomi- Express https://t.co/4uGxkk6vVU
https://t.co/D7wv91aftN</t>
  </si>
  <si>
    <t>gdlks12
jnt seberang perai selatan ni problem
ka stuck since 26 tak gerak gerak
padahal brg aku pos semalam elok
ja dah sampai selangor</t>
  </si>
  <si>
    <t>ardhobani
Sobat, peringatan Hari Bakti Postel
dilatari sejarah perjuangan pahlawan
Angkatan Muda Pos, Telegrap dan
Telepon (AMPTT) yang merebut jawatan
PTT dari tentara Jepang saat itu,
yang membuat Pos dan Telekomunikasi
Indonesia dapat berjalan dan berkembang
hingga hari ini. https://t.co/X2R9DcN1Q1</t>
  </si>
  <si>
    <t>bbamwin
WTS -jb mirror card RM 10 exc pos
-youngjae bookmark RM 7 -buy both
RM 15 exc pos -use jnt RM8 wm//
em dm - no backout seller // time
waster will be block - rts: need
money for studies #pasarGOT7 https://t.co/LDhmV2m0Sz</t>
  </si>
  <si>
    <t>pelangii_senja
Sobat, peringatan Hari Bakti Postel
dilatari sejarah perjuangan pahlawan
Angkatan Muda Pos, Telegrap dan
Telepon (AMPTT) yang merebut jawatan
PTT dari tentara Jepang saat itu,
yang membuat Pos dan Telekomunikasi
Indonesia dapat berjalan dan berkembang
hingga hari ini. https://t.co/X2R9DcN1Q1</t>
  </si>
  <si>
    <t>infosebelah
@PlateJohnny : Agenda transformatif
ini tidak hanya ditujukan agar
sektor pos dan telekomunikasi Indonesia
dapat semakin maju, tetapi juga
untuk mendorong perluasan akses
dan kebermanfaatan teknologi digital
https://t.co/OjrOyYQORs</t>
  </si>
  <si>
    <t>tinggibdnalami
BARANG PACKING!! SIAP KIRIM! TRUSTED
OLSHOP! Pengiriman dengan JNE/POS.
PIN:778B048 WA:081322071239 https://t.co/YAweyQPETT</t>
  </si>
  <si>
    <t>rakyatsulsel
Kembangkan Tri Dharma Perguruan
Tinggi, Rektor UIM – PT Pos Indonesia
Regional II Jakarta Teken MoU https://t.co/6QlJN54f11</t>
  </si>
  <si>
    <t>pacarminbin
Twitternya pos indonesia apasi</t>
  </si>
  <si>
    <t>berjakey
@Askrlfess sicepat atau jnt</t>
  </si>
  <si>
    <t>matchxlouds
@Askrlfess sicepat/jnt</t>
  </si>
  <si>
    <t>sandaranscoups
@Askrlfess Kota besar pilih jnt
/ sicepat</t>
  </si>
  <si>
    <t>shiningstar0606
WTS SKZ PC 🇲🇾 ONLY • DS Pc -
RM26 • Lee Know Beret - RM22 •
Han Red - RM20 • Chan, Changbin,
I.N Std PC - RM18 🖇 Exc pos jnt/flexi
🖇 shopeepay/online banking ❌ NO
rush postage 📩DM if interested
#pasarskz https://t.co/AfDTajoVDq</t>
  </si>
  <si>
    <t>kiwlunaa
@Askrlfess aku prefer sicepat &amp;amp;
jnt, btw yg cari jasa hapus akun
bisa di aku yaa, tanpa email &amp;amp;
password, payment setelah akun
berhasil terhapus😍</t>
  </si>
  <si>
    <t>junxoala
@Askrlfess Sicepat/jnt</t>
  </si>
  <si>
    <t>captainllama_
@Askrlfess Jnt/sicepat</t>
  </si>
  <si>
    <t>ibigwintday
@sobatmkji jnt emang biasanya gitu.
mending sicepat tapi kurirnya biasanya
keliling dulu</t>
  </si>
  <si>
    <t xml:space="preserve">sobatmkji
</t>
  </si>
  <si>
    <t>dwuagg
@Askrlfess Sicepat jnt</t>
  </si>
  <si>
    <t>seelaaa_
@yvelixie_bang28 Kata seller nya
sicepat di daerah dia emang jelek
rating nya 🥺 di daerah aku nya
mah suka cepet emang, tapi lebih
cepet jnt</t>
  </si>
  <si>
    <t xml:space="preserve">skizfm
</t>
  </si>
  <si>
    <t>yvelixie_bang28
@seelaaa_ Eh aku pake sicepat malah
cepet bgt daripada jnt</t>
  </si>
  <si>
    <t>je_ariff
Buat yang mau ngirim barang ke
pos/JNE dan sebagainya, sebaiknya
dipacking dari rumah. Atau minimal
ditulis alamat tujuan dan pengirim
dulu ya dari rumah</t>
  </si>
  <si>
    <t>truplapng
Postal code of West Papua province
- sorted by Regency / City - page
1 - Kode POS Indonesia https://t.co/Be9JLpKKLH
@free_west_papua</t>
  </si>
  <si>
    <t xml:space="preserve">free_west_papua
</t>
  </si>
  <si>
    <t>asabri_official
Kegiatan ini dibuka oleh Kakancab
ASABRI Madiun Hery Nurdi dan dihadiri
oleh perwakilan Bank Mantap, Bank
Bukopin, BRI, BNI, BPD JATIM, BTN,
BWS, dan PT Pos Indonesia. #kegiatanAsabri
#Asabrievents https://t.co/6cIqZsTq4x</t>
  </si>
  <si>
    <t>bvttercupp
@Askrlfess sicepat/jnt jos gandos</t>
  </si>
  <si>
    <t>rhutiyyy
Sobat, peringatan Hari Bakti Postel
dilatari sejarah perjuangan pahlawan
Angkatan Muda Pos, Telegrap dan
Telepon (AMPTT) yang merebut jawatan
PTT dari tentara Jepang saat itu,
yang membuat Pos dan Telekomunikasi
Indonesia dapat berjalan dan berkembang
hingga hari ini. https://t.co/X2R9DcN1Q1</t>
  </si>
  <si>
    <t>_gita05
Bismillah.. Selamat malam, buat
teman-teman yang masih harus keluar
rumah, WFO, yuk, stok masker kece
dari aku, tinggal pilih, ada Mouson
KN95 5ply, Mouson KF94 4ply, Mouson
Kids 4ply, sama Shumu KF94 5ply.
🤗💞 Kirim via POS, JNE, J&amp;amp;T,
Tiki. Whatsapp: https://t.co/Ab2OEE0Uzy
https://t.co/99rfCi3OLC</t>
  </si>
  <si>
    <t>dattebayo96_
@Askrlfess Jnt, sicepat</t>
  </si>
  <si>
    <t>enjoyourmark
@dagangkorea aku bisa nderr, aku
dom jatim. packingku rapi kokk,
bisa di cek di testi shopeeku.
rumahku deket ekspedisi jnt, jne,
tiki, indah logistik sama sicepat
^^</t>
  </si>
  <si>
    <t>najusaaaaa
@Askrlfess Kalo aku sih seringnya
sicepat, kalo gada sicepat baru
jnt</t>
  </si>
  <si>
    <t>ummunaha
PT Pos Indonesia kembali membuka
lowongan kerja, minimal lulusan
SMA dengan batas waktu penerimaan
lamaran sampai 30 September 2021.
https://t.co/kI3zEKjoEQ</t>
  </si>
  <si>
    <t>peachyjaemine
@sellkpopfess aku dom jakarta nder,
deket juga sama ekspedisi kaya
j&amp;amp;t, sicepat, jne, anteraja.
aku sering packing buat barang
wtsan pribadi, dan alhamdulillah
customer selalu puas sama hasil
packing ku. shopee ku juga bisa
freeong, dan kebetulan lagi bu
juga karena abis di scam. hmu ya
nder:(</t>
  </si>
  <si>
    <t xml:space="preserve">rdsandyutama
</t>
  </si>
  <si>
    <t>peuniels
dulu jnt laju, pos laju lembab..
skng dah terbalik pulak</t>
  </si>
  <si>
    <t>beritasulselcom
Rektor UIM Teken MOU PT Pos Indonesia
Regional II Jakarta - https://t.co/C7v8HOM6gy
https://t.co/kCg8aQzuj9</t>
  </si>
  <si>
    <t>labonnoangel
Menteri BUMN Erick thohir inginkan
seluruh BUMN segera transformasi
digital krn byk dampak baiknya.
slh satunya PT POS Indonesia. Dengan
transformasi digital bumn bisa
lebih baik lagi utk memberikan
pelayanan untuk masyarakat Indonesia
@erickthohir #ETDorongDigitalisasiBUMN
https://t.co/9F21n3joyr</t>
  </si>
  <si>
    <t>GraphSource░TwitterSearch▓GraphTerm░sicepat OR pos indonesia OR jne OR jnt OR tiki OR wahana▓ImportDescription░The graph represents a network of 1.315 Twitter users whose recent tweets contained "sicepat OR pos indonesia OR jne OR jnt OR tiki OR wahana", or who were replied to or mentioned in those tweets, taken from a data set limited to a maximum of 18.000 tweets.  The network was obtained from Twitter on Tuesday, 28 September 2021 at 05:44 UTC._x000D_
_x000D_
The tweets in the network were tweeted over the 9-day, 11-hour, 9-minute period from Saturday, 18 September 2021 at 18:15 UTC to Tuesday, 28 September 2021 at 05:24 UTC._x000D_
_x000D_
Additional tweets that were mentioned in this data set were also collected from prior time periods.  These tweets may expand the complete time period of the data._x000D_
_x000D_
There is an edge for each "replies-to" relationship in a tweet, an edge for each "mentions" relationship in a tweet, and a self-loop edge for each tweet that is not a "replies-to" or "mentions".▓ImportSuggestedTitle░sicepat OR pos indonesia OR jne OR jnt OR tiki OR wahana Twitter NodeXL SNA Map and Report for Tuesday, 28 September 2021 at 05:39 UTC▓ImportSuggestedFileNameNoExtension░2021-09-28 05-39-59 NodeXL Twitter Search sicepat OR pos indonesia OR jne OR jnt OR tiki OR wahana</t>
  </si>
  <si>
    <t>Directed</t>
  </si>
  <si>
    <t>&lt;?xml version="1.0" encoding="utf-8"?&gt;_x000D_
&lt;configuration&gt;_x000D_
  &lt;configSections&gt;_x000D_
    &lt;sectionGroup name="userSettings" type="System.Configuration.UserSettingsGroup, System, Version=2.0.0.0, Culture=neutral, PublicKeyToken=b77a5c561934e089"&gt;_x000D_
      &lt;section name="AutoScaleUserSettings"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 name="PlugInUserSettings" type="System.Configuration.ClientSettingsSection, System, Version=2.0.0.0, Culture=neutral, PublicKeyToken=b77a5c561934e089" allowExeDefinition="MachineToLocalUser" requirePermission="false" /&gt;_x000D_
    &lt;/sectionGroup&gt;_x000D_
  &lt;/configSections&gt;_x000D_
  &lt;userSettings&gt;_x000D_
    &lt;AutoScaleUserSettings&gt;_x000D_
      &lt;setting name="AutoScale" serializeAs="String"&gt;_x000D_
        &lt;value&gt;False&lt;/value&gt;_x000D_
      &lt;/setting&gt;_x000D_
    &lt;/AutoScaleUserSettings&gt;_x000D_
    &lt;GraphZoomAndScaleUserSettings&gt;_x000D_
      &lt;setting name="GraphScale" serializeAs="String"&gt;_x000D_
        &lt;value&gt;1&lt;/value&gt;_x000D_
      &lt;/setting&gt;_x000D_
    &lt;/GraphZoomAndScaleUserSettings&gt;_x000D_
    &lt;GeneralUserSettings4&gt;_x000D_
      &lt;setting name="NewWorkbookGraphDirectedness" serializeAs="String"&gt;_x000D_
        &lt;value&gt;Directed&lt;/value&gt;_x000D_
      &lt;/setting&gt;_x000D_
      &lt;setting name="ReadGroupLabels" serializeAs="String"&gt;_x000D_
        &lt;value&gt;True&lt;/value&gt;_x000D_
      &lt;/setting&gt;_x000D_
      &lt;setting name="ReadVertexLabels" serializeAs="String"&gt;_x000D_
        &lt;value&gt;True&lt;/value&gt;_x000D_
      &lt;/setting&gt;_x000D_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&lt;/GeneralUserSettings4&gt;_x000D_
    &lt;PlugInUserSettings&gt;_x000D_
      &lt;setting name="PlugInFolderPath" serializeAs="String"&gt;_x000D_
        &lt;value /&gt;_x000D_
      &lt;/setting&gt;_x000D_
    &lt;/PlugInUserSettings&gt;_x000D_
  &lt;/userSettings&gt;_x000D_
&lt;/configuration&gt;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</si>
</sst>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11">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13" fillId="0" borderId="0" xfId="9" applyFill="1" applyAlignment="1"/>
    <xf numFmtId="0" fontId="0" fillId="0" borderId="0" xfId="0" quotePrefix="1" applyAlignment="1"/>
    <xf numFmtId="0" fontId="0" fillId="0" borderId="0" xfId="0" quotePrefix="1" applyFill="1" applyAlignment="1"/>
    <xf numFmtId="0" fontId="13" fillId="0" borderId="0" xfId="9" applyAlignment="1"/>
    <xf numFmtId="14" fontId="0" fillId="0" borderId="0" xfId="0" applyNumberFormat="1" applyAlignment="1"/>
    <xf numFmtId="14" fontId="0" fillId="0" borderId="0" xfId="0" applyNumberFormat="1" applyFill="1" applyAlignment="1"/>
    <xf numFmtId="3" fontId="0" fillId="0" borderId="0" xfId="0" applyNumberFormat="1" applyFill="1" applyAlignment="1"/>
    <xf numFmtId="11" fontId="0" fillId="0" borderId="0" xfId="0" applyNumberFormat="1" applyFill="1" applyAlignment="1"/>
    <xf numFmtId="1" fontId="11"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167" fontId="11"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0" fontId="0" fillId="0" borderId="0" xfId="2" applyNumberFormat="1" applyFont="1" applyBorder="1" applyAlignment="1"/>
    <xf numFmtId="20" fontId="0" fillId="0" borderId="0" xfId="0" applyNumberFormat="1" applyAlignment="1"/>
    <xf numFmtId="0" fontId="13" fillId="5" borderId="1" xfId="9" applyNumberFormat="1" applyFill="1" applyBorder="1" applyAlignment="1"/>
    <xf numFmtId="0" fontId="13" fillId="5" borderId="11" xfId="9" applyNumberFormat="1" applyFill="1" applyBorder="1" applyAlignment="1"/>
  </cellXfs>
  <cellStyles count="10">
    <cellStyle name="Hyperlink" xfId="9" builtinId="8"/>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 name="Normal" xfId="0" builtinId="0"/>
  </cellStyles>
  <dxfs count="162">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161"/>
      <tableStyleElement type="headerRow" dxfId="160"/>
    </tableStyle>
    <tableStyle name="NodeXL Table" pivot="0" count="1" xr9:uid="{00000000-0011-0000-FFFF-FFFF01000000}">
      <tableStyleElement type="headerRow" dxfId="15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Metrics'!$E$2:$E$41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D824-47BA-87E8-B23578389D60}"/>
            </c:ext>
          </c:extLst>
        </c:ser>
        <c:dLbls>
          <c:showLegendKey val="0"/>
          <c:showVal val="0"/>
          <c:showCatName val="0"/>
          <c:showSerName val="0"/>
          <c:showPercent val="0"/>
          <c:showBubbleSize val="0"/>
        </c:dLbls>
        <c:gapWidth val="0"/>
        <c:axId val="1490199200"/>
        <c:axId val="1490191584"/>
      </c:barChart>
      <c:catAx>
        <c:axId val="1490199200"/>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490191584"/>
        <c:crosses val="autoZero"/>
        <c:auto val="1"/>
        <c:lblAlgn val="ctr"/>
        <c:lblOffset val="100"/>
        <c:noMultiLvlLbl val="0"/>
      </c:catAx>
      <c:valAx>
        <c:axId val="149019158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9920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Metrics'!$G$2:$G$41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4B8D-4EB5-9A1D-848814BCA171}"/>
            </c:ext>
          </c:extLst>
        </c:ser>
        <c:dLbls>
          <c:showLegendKey val="0"/>
          <c:showVal val="0"/>
          <c:showCatName val="0"/>
          <c:showSerName val="0"/>
          <c:showPercent val="0"/>
          <c:showBubbleSize val="0"/>
        </c:dLbls>
        <c:gapWidth val="0"/>
        <c:axId val="1490188320"/>
        <c:axId val="1490192128"/>
      </c:barChart>
      <c:catAx>
        <c:axId val="1490188320"/>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490192128"/>
        <c:crosses val="autoZero"/>
        <c:auto val="1"/>
        <c:lblAlgn val="ctr"/>
        <c:lblOffset val="100"/>
        <c:noMultiLvlLbl val="0"/>
      </c:catAx>
      <c:valAx>
        <c:axId val="149019212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8832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Metrics'!$I$2:$I$41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C19F-405A-9629-98E1AA6F7503}"/>
            </c:ext>
          </c:extLst>
        </c:ser>
        <c:dLbls>
          <c:showLegendKey val="0"/>
          <c:showVal val="0"/>
          <c:showCatName val="0"/>
          <c:showSerName val="0"/>
          <c:showPercent val="0"/>
          <c:showBubbleSize val="0"/>
        </c:dLbls>
        <c:gapWidth val="0"/>
        <c:axId val="1490200832"/>
        <c:axId val="1490189952"/>
      </c:barChart>
      <c:catAx>
        <c:axId val="1490200832"/>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490189952"/>
        <c:crosses val="autoZero"/>
        <c:auto val="1"/>
        <c:lblAlgn val="ctr"/>
        <c:lblOffset val="100"/>
        <c:noMultiLvlLbl val="0"/>
      </c:catAx>
      <c:valAx>
        <c:axId val="149018995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20083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Metrics'!$K$2:$K$41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85BB-45B5-B154-36E12E550DF3}"/>
            </c:ext>
          </c:extLst>
        </c:ser>
        <c:dLbls>
          <c:showLegendKey val="0"/>
          <c:showVal val="0"/>
          <c:showCatName val="0"/>
          <c:showSerName val="0"/>
          <c:showPercent val="0"/>
          <c:showBubbleSize val="0"/>
        </c:dLbls>
        <c:gapWidth val="0"/>
        <c:axId val="1490188864"/>
        <c:axId val="1490192672"/>
      </c:barChart>
      <c:catAx>
        <c:axId val="149018886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490192672"/>
        <c:crosses val="autoZero"/>
        <c:auto val="1"/>
        <c:lblAlgn val="ctr"/>
        <c:lblOffset val="100"/>
        <c:noMultiLvlLbl val="0"/>
      </c:catAx>
      <c:valAx>
        <c:axId val="149019267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8886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Metrics'!$M$2:$M$41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74DB-4775-832E-6EC4ACDCB8C3}"/>
            </c:ext>
          </c:extLst>
        </c:ser>
        <c:dLbls>
          <c:showLegendKey val="0"/>
          <c:showVal val="0"/>
          <c:showCatName val="0"/>
          <c:showSerName val="0"/>
          <c:showPercent val="0"/>
          <c:showBubbleSize val="0"/>
        </c:dLbls>
        <c:gapWidth val="0"/>
        <c:axId val="1490194848"/>
        <c:axId val="1490201920"/>
      </c:barChart>
      <c:catAx>
        <c:axId val="1490194848"/>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490201920"/>
        <c:crosses val="autoZero"/>
        <c:auto val="1"/>
        <c:lblAlgn val="ctr"/>
        <c:lblOffset val="100"/>
        <c:noMultiLvlLbl val="0"/>
      </c:catAx>
      <c:valAx>
        <c:axId val="149020192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948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Metrics'!$O$2:$O$41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010E-49EB-B5C8-A7E7EECBC7AC}"/>
            </c:ext>
          </c:extLst>
        </c:ser>
        <c:dLbls>
          <c:showLegendKey val="0"/>
          <c:showVal val="0"/>
          <c:showCatName val="0"/>
          <c:showSerName val="0"/>
          <c:showPercent val="0"/>
          <c:showBubbleSize val="0"/>
        </c:dLbls>
        <c:gapWidth val="0"/>
        <c:axId val="1490195936"/>
        <c:axId val="1490202464"/>
      </c:barChart>
      <c:catAx>
        <c:axId val="1490195936"/>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490202464"/>
        <c:crosses val="autoZero"/>
        <c:auto val="1"/>
        <c:lblAlgn val="ctr"/>
        <c:lblOffset val="100"/>
        <c:noMultiLvlLbl val="0"/>
      </c:catAx>
      <c:valAx>
        <c:axId val="149020246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9593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Metrics'!$S$2:$S$41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EEA0-4DC8-AABB-C4F3A56E43EB}"/>
            </c:ext>
          </c:extLst>
        </c:ser>
        <c:dLbls>
          <c:showLegendKey val="0"/>
          <c:showVal val="0"/>
          <c:showCatName val="0"/>
          <c:showSerName val="0"/>
          <c:showPercent val="0"/>
          <c:showBubbleSize val="0"/>
        </c:dLbls>
        <c:gapWidth val="0"/>
        <c:axId val="1490193216"/>
        <c:axId val="1490198112"/>
      </c:barChart>
      <c:catAx>
        <c:axId val="1490193216"/>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490198112"/>
        <c:crosses val="autoZero"/>
        <c:auto val="1"/>
        <c:lblAlgn val="ctr"/>
        <c:lblOffset val="100"/>
        <c:noMultiLvlLbl val="0"/>
      </c:catAx>
      <c:valAx>
        <c:axId val="149019811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9321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Metrics'!$Q$2:$Q$41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B12A-41C9-9187-24568E23DDB7}"/>
            </c:ext>
          </c:extLst>
        </c:ser>
        <c:dLbls>
          <c:showLegendKey val="0"/>
          <c:showVal val="0"/>
          <c:showCatName val="0"/>
          <c:showSerName val="0"/>
          <c:showPercent val="0"/>
          <c:showBubbleSize val="0"/>
        </c:dLbls>
        <c:gapWidth val="0"/>
        <c:axId val="1490199744"/>
        <c:axId val="1490197024"/>
      </c:barChart>
      <c:catAx>
        <c:axId val="1490199744"/>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490197024"/>
        <c:crosses val="autoZero"/>
        <c:auto val="1"/>
        <c:lblAlgn val="ctr"/>
        <c:lblOffset val="100"/>
        <c:noMultiLvlLbl val="0"/>
      </c:catAx>
      <c:valAx>
        <c:axId val="149019702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9974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Metrics'!$U$2:$U$41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7147-42E5-B45B-DBCB65EEC25C}"/>
            </c:ext>
          </c:extLst>
        </c:ser>
        <c:dLbls>
          <c:showLegendKey val="0"/>
          <c:showVal val="0"/>
          <c:showCatName val="0"/>
          <c:showSerName val="0"/>
          <c:showPercent val="0"/>
          <c:showBubbleSize val="0"/>
        </c:dLbls>
        <c:gapWidth val="0"/>
        <c:axId val="1490189408"/>
        <c:axId val="1490190496"/>
      </c:barChart>
      <c:catAx>
        <c:axId val="1490189408"/>
        <c:scaling>
          <c:orientation val="minMax"/>
        </c:scaling>
        <c:delete val="1"/>
        <c:axPos val="b"/>
        <c:numFmt formatCode="#,##0.00" sourceLinked="1"/>
        <c:majorTickMark val="out"/>
        <c:minorTickMark val="none"/>
        <c:tickLblPos val="none"/>
        <c:crossAx val="1490190496"/>
        <c:crosses val="autoZero"/>
        <c:auto val="1"/>
        <c:lblAlgn val="ctr"/>
        <c:lblOffset val="100"/>
        <c:noMultiLvlLbl val="0"/>
      </c:catAx>
      <c:valAx>
        <c:axId val="1490190496"/>
        <c:scaling>
          <c:orientation val="minMax"/>
        </c:scaling>
        <c:delete val="1"/>
        <c:axPos val="l"/>
        <c:numFmt formatCode="General" sourceLinked="1"/>
        <c:majorTickMark val="out"/>
        <c:minorTickMark val="none"/>
        <c:tickLblPos val="none"/>
        <c:crossAx val="1490189408"/>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58</xdr:row>
      <xdr:rowOff>38100</xdr:rowOff>
    </xdr:from>
    <xdr:to>
      <xdr:col>1</xdr:col>
      <xdr:colOff>918209</xdr:colOff>
      <xdr:row>65</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72</xdr:row>
      <xdr:rowOff>38100</xdr:rowOff>
    </xdr:from>
    <xdr:to>
      <xdr:col>1</xdr:col>
      <xdr:colOff>918209</xdr:colOff>
      <xdr:row>79</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86</xdr:row>
      <xdr:rowOff>28575</xdr:rowOff>
    </xdr:from>
    <xdr:to>
      <xdr:col>1</xdr:col>
      <xdr:colOff>918209</xdr:colOff>
      <xdr:row>93</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100</xdr:row>
      <xdr:rowOff>9525</xdr:rowOff>
    </xdr:from>
    <xdr:to>
      <xdr:col>1</xdr:col>
      <xdr:colOff>918210</xdr:colOff>
      <xdr:row>107</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114</xdr:row>
      <xdr:rowOff>19050</xdr:rowOff>
    </xdr:from>
    <xdr:to>
      <xdr:col>2</xdr:col>
      <xdr:colOff>0</xdr:colOff>
      <xdr:row>121</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128</xdr:row>
      <xdr:rowOff>19050</xdr:rowOff>
    </xdr:from>
    <xdr:to>
      <xdr:col>1</xdr:col>
      <xdr:colOff>918210</xdr:colOff>
      <xdr:row>135</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156</xdr:row>
      <xdr:rowOff>9525</xdr:rowOff>
    </xdr:from>
    <xdr:to>
      <xdr:col>1</xdr:col>
      <xdr:colOff>918210</xdr:colOff>
      <xdr:row>163</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142</xdr:row>
      <xdr:rowOff>0</xdr:rowOff>
    </xdr:from>
    <xdr:to>
      <xdr:col>1</xdr:col>
      <xdr:colOff>918210</xdr:colOff>
      <xdr:row>149</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BB2287" totalsRowShown="0" headerRowDxfId="158" dataDxfId="97">
  <autoFilter ref="A2:BB2287" xr:uid="{00000000-0009-0000-0100-000001000000}"/>
  <tableColumns count="54">
    <tableColumn id="1" xr3:uid="{00000000-0010-0000-0000-000001000000}" name="Vertex 1" dataDxfId="73" dataCellStyle="NodeXL Required"/>
    <tableColumn id="2" xr3:uid="{00000000-0010-0000-0000-000002000000}" name="Vertex 2" dataDxfId="71" dataCellStyle="NodeXL Required"/>
    <tableColumn id="3" xr3:uid="{00000000-0010-0000-0000-000003000000}" name="Color" dataDxfId="72" dataCellStyle="NodeXL Visual Property"/>
    <tableColumn id="4" xr3:uid="{00000000-0010-0000-0000-000004000000}" name="Width" dataDxfId="107" dataCellStyle="NodeXL Visual Property"/>
    <tableColumn id="11" xr3:uid="{00000000-0010-0000-0000-00000B000000}" name="Style" dataDxfId="106" dataCellStyle="NodeXL Visual Property"/>
    <tableColumn id="5" xr3:uid="{00000000-0010-0000-0000-000005000000}" name="Opacity" dataDxfId="105" dataCellStyle="NodeXL Visual Property"/>
    <tableColumn id="6" xr3:uid="{00000000-0010-0000-0000-000006000000}" name="Visibility" dataDxfId="104" dataCellStyle="NodeXL Visual Property"/>
    <tableColumn id="10" xr3:uid="{00000000-0010-0000-0000-00000A000000}" name="Label" dataDxfId="103" dataCellStyle="NodeXL Label"/>
    <tableColumn id="12" xr3:uid="{00000000-0010-0000-0000-00000C000000}" name="Label Text Color" dataDxfId="102" dataCellStyle="NodeXL Label"/>
    <tableColumn id="13" xr3:uid="{00000000-0010-0000-0000-00000D000000}" name="Label Font Size" dataDxfId="101" dataCellStyle="NodeXL Label"/>
    <tableColumn id="14" xr3:uid="{00000000-0010-0000-0000-00000E000000}" name="Reciprocated?" dataDxfId="100" dataCellStyle="NodeXL Graph Metric"/>
    <tableColumn id="7" xr3:uid="{00000000-0010-0000-0000-000007000000}" name="ID" dataDxfId="99" dataCellStyle="NodeXL Do Not Edit"/>
    <tableColumn id="9" xr3:uid="{00000000-0010-0000-0000-000009000000}" name="Dynamic Filter" dataDxfId="98" dataCellStyle="NodeXL Do Not Edit"/>
    <tableColumn id="8" xr3:uid="{00000000-0010-0000-0000-000008000000}" name="Add Your Own Columns Here" dataDxfId="70" dataCellStyle="NodeXL Other Column"/>
    <tableColumn id="15" xr3:uid="{00C100B1-3A06-4D5C-BCD6-A7B2AE8B34D2}" name="Relationship" dataDxfId="69" dataCellStyle="Normal"/>
    <tableColumn id="16" xr3:uid="{B1DFC836-CF7C-4438-B30B-FC23B4FEDCE8}" name="Relationship Date (UTC)" dataDxfId="68" dataCellStyle="Normal"/>
    <tableColumn id="17" xr3:uid="{8BAA03A1-B619-443E-8F8B-C314AFC10262}" name="Tweet" dataDxfId="67" dataCellStyle="Normal"/>
    <tableColumn id="18" xr3:uid="{8878030D-DBB4-4835-BC9F-7181296A0C1C}" name="URLs in Tweet" dataDxfId="66" dataCellStyle="Normal"/>
    <tableColumn id="19" xr3:uid="{56A174EC-6828-4559-9E46-F0C8D71E52C7}" name="Domains in Tweet" dataDxfId="65" dataCellStyle="Normal"/>
    <tableColumn id="20" xr3:uid="{D1CBC13F-524F-471E-8F51-30BF43AB114A}" name="Hashtags in Tweet" dataDxfId="64" dataCellStyle="Normal"/>
    <tableColumn id="21" xr3:uid="{551E5B45-B759-4ED5-A9EF-2389F2262970}" name="Media in Tweet" dataDxfId="63" dataCellStyle="Normal"/>
    <tableColumn id="22" xr3:uid="{0D5CE7FD-3C68-42BE-A409-B3C969E2680D}" name="Tweet Image File" dataDxfId="62" dataCellStyle="Normal"/>
    <tableColumn id="23" xr3:uid="{FB5EC941-8AD4-46AF-889A-F537AD540A8D}" name="Tweet Date (UTC)" dataDxfId="61" dataCellStyle="Normal"/>
    <tableColumn id="24" xr3:uid="{C92673C8-EE13-45BE-9235-1D725489FBEA}" name="Date" dataDxfId="60" dataCellStyle="Normal"/>
    <tableColumn id="25" xr3:uid="{6CA13619-8C3C-488F-9CB3-9BE6FFF734A3}" name="Time" dataDxfId="59" dataCellStyle="Normal"/>
    <tableColumn id="26" xr3:uid="{179DAA61-9348-40F6-9F9E-C32F9C9D17F2}" name="Twitter Page for Tweet" dataDxfId="58" dataCellStyle="Normal"/>
    <tableColumn id="27" xr3:uid="{66EF197E-A0F6-4085-8C42-C62FFAE5409E}" name="Latitude" dataDxfId="57" dataCellStyle="Normal"/>
    <tableColumn id="28" xr3:uid="{8A1462E2-C469-4FC3-BE3F-A58822CC942D}" name="Longitude" dataDxfId="56" dataCellStyle="Normal"/>
    <tableColumn id="29" xr3:uid="{50B38904-F663-4B84-A832-AB6B016DCF2A}" name="Imported ID" dataDxfId="55" dataCellStyle="Normal"/>
    <tableColumn id="30" xr3:uid="{F49BEFBB-7F47-4E65-8F90-172355A1E423}" name="In-Reply-To Tweet ID" dataDxfId="54" dataCellStyle="Normal"/>
    <tableColumn id="31" xr3:uid="{ACF0E64A-7980-4C91-82C9-70AA4B719074}" name="Favorited" dataDxfId="53" dataCellStyle="Normal"/>
    <tableColumn id="32" xr3:uid="{494AD65D-147A-4E7C-999F-1E20803E83FA}" name="Favorite Count" dataDxfId="52" dataCellStyle="Normal"/>
    <tableColumn id="33" xr3:uid="{386AD80C-9822-4CCE-A231-0EC216B865B5}" name="In-Reply-To User ID" dataDxfId="51" dataCellStyle="Normal"/>
    <tableColumn id="34" xr3:uid="{ED26E256-8DE0-41B9-8734-1F2ED5C84E9E}" name="Is Quote Status" dataDxfId="50" dataCellStyle="Normal"/>
    <tableColumn id="35" xr3:uid="{463B4245-B352-4D61-98C4-1DB327E13844}" name="Language" dataDxfId="49" dataCellStyle="Normal"/>
    <tableColumn id="36" xr3:uid="{29BBD203-D515-4C9D-A60F-28DD6BBBC794}" name="Possibly Sensitive" dataDxfId="48" dataCellStyle="Normal"/>
    <tableColumn id="37" xr3:uid="{83EB7AA5-9BF8-4DFF-81BB-BB72BC76B457}" name="Quoted Status ID" dataDxfId="47" dataCellStyle="Normal"/>
    <tableColumn id="38" xr3:uid="{FC3EF1DB-AB77-4848-9AE9-0357814C596B}" name="Retweeted" dataDxfId="46" dataCellStyle="Normal"/>
    <tableColumn id="39" xr3:uid="{8CB1B370-BB2D-4FBD-92EA-B047DAC12DB7}" name="Retweet Count" dataDxfId="45" dataCellStyle="Normal"/>
    <tableColumn id="40" xr3:uid="{71B1BBDC-FABC-4EA4-9C6F-D69E61DAED84}" name="Retweet ID" dataDxfId="44" dataCellStyle="Normal"/>
    <tableColumn id="41" xr3:uid="{8B92D8B7-CACB-4E54-A222-25F0CF2C966D}" name="Source" dataDxfId="43" dataCellStyle="Normal"/>
    <tableColumn id="42" xr3:uid="{61EDC75A-28F0-4DDD-9ED8-10856E86D2D3}" name="Truncated" dataDxfId="42" dataCellStyle="Normal"/>
    <tableColumn id="43" xr3:uid="{E24C1F73-39F5-4755-9388-047321510C31}" name="Unified Twitter ID" dataDxfId="41" dataCellStyle="Normal"/>
    <tableColumn id="44" xr3:uid="{A609781D-85BE-4A7E-96C6-22DD529D8E75}" name="Imported Tweet Type" dataDxfId="40" dataCellStyle="Normal"/>
    <tableColumn id="45" xr3:uid="{3A61BD0E-A7A0-4534-A852-D15D1E63736A}" name="Added By Extended Analysis" dataDxfId="39" dataCellStyle="Normal"/>
    <tableColumn id="46" xr3:uid="{34531706-4748-4DAE-A2AE-0099FC46A6BB}" name="Corrected By Extended Analysis" dataDxfId="38" dataCellStyle="Normal"/>
    <tableColumn id="47" xr3:uid="{BA99E7B4-F375-4C1E-B1D6-26FBD218A6F8}" name="Place Bounding Box" dataDxfId="37" dataCellStyle="Normal"/>
    <tableColumn id="48" xr3:uid="{6624013B-A913-402D-85F6-0395BCCA6B2A}" name="Place Country" dataDxfId="36" dataCellStyle="Normal"/>
    <tableColumn id="49" xr3:uid="{C7EA1B60-F8E1-4C03-8DEE-CA2C7C8DCB44}" name="Place Country Code" dataDxfId="35" dataCellStyle="Normal"/>
    <tableColumn id="50" xr3:uid="{FEA9685D-B997-40CA-9BCD-E0AE92E2F188}" name="Place Full Name" dataDxfId="34" dataCellStyle="Normal"/>
    <tableColumn id="51" xr3:uid="{2432A0EC-937B-4B2E-A05E-D72D2BF98FFE}" name="Place ID" dataDxfId="33" dataCellStyle="Normal"/>
    <tableColumn id="52" xr3:uid="{F937EDB5-EB47-465C-B3BE-ABC59D0F792F}" name="Place Name" dataDxfId="32" dataCellStyle="Normal"/>
    <tableColumn id="53" xr3:uid="{15662B71-3A49-46C5-9C83-B0640CDC3DAA}" name="Place Type" dataDxfId="31" dataCellStyle="Normal"/>
    <tableColumn id="54" xr3:uid="{D7F644E0-7027-4D31-B57A-3F8E90B0CDDE}" name="Place URL" dataDxfId="30" dataCellStyle="Normal"/>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AZ1317" totalsRowShown="0" headerRowDxfId="157" dataDxfId="74">
  <autoFilter ref="A2:AZ1317" xr:uid="{00000000-0009-0000-0100-000002000000}"/>
  <tableColumns count="52">
    <tableColumn id="1" xr3:uid="{00000000-0010-0000-0100-000001000000}" name="Vertex" dataDxfId="96" dataCellStyle="NodeXL Required"/>
    <tableColumn id="2" xr3:uid="{00000000-0010-0000-0100-000002000000}" name="Color" dataDxfId="95" dataCellStyle="NodeXL Visual Property"/>
    <tableColumn id="5" xr3:uid="{00000000-0010-0000-0100-000005000000}" name="Shape" dataDxfId="94" dataCellStyle="NodeXL Visual Property"/>
    <tableColumn id="6" xr3:uid="{00000000-0010-0000-0100-000006000000}" name="Size" dataDxfId="93" dataCellStyle="NodeXL Visual Property"/>
    <tableColumn id="4" xr3:uid="{00000000-0010-0000-0100-000004000000}" name="Opacity" dataDxfId="9" dataCellStyle="NodeXL Visual Property"/>
    <tableColumn id="7" xr3:uid="{00000000-0010-0000-0100-000007000000}" name="Image File" dataDxfId="7" dataCellStyle="NodeXL Visual Property"/>
    <tableColumn id="3" xr3:uid="{00000000-0010-0000-0100-000003000000}" name="Visibility" dataDxfId="8" dataCellStyle="NodeXL Visual Property"/>
    <tableColumn id="10" xr3:uid="{00000000-0010-0000-0100-00000A000000}" name="Label" dataDxfId="92" dataCellStyle="NodeXL Label"/>
    <tableColumn id="16" xr3:uid="{00000000-0010-0000-0100-000010000000}" name="Label Fill Color" dataDxfId="91" dataCellStyle="NodeXL Label"/>
    <tableColumn id="9" xr3:uid="{00000000-0010-0000-0100-000009000000}" name="Label Position" dataDxfId="2" dataCellStyle="NodeXL Label"/>
    <tableColumn id="8" xr3:uid="{00000000-0010-0000-0100-000008000000}" name="Tooltip" dataDxfId="0" dataCellStyle="NodeXL Label"/>
    <tableColumn id="18" xr3:uid="{00000000-0010-0000-0100-000012000000}" name="Layout Order" dataDxfId="1" dataCellStyle="NodeXL Layout"/>
    <tableColumn id="13" xr3:uid="{00000000-0010-0000-0100-00000D000000}" name="X" dataDxfId="90" dataCellStyle="NodeXL Layout"/>
    <tableColumn id="14" xr3:uid="{00000000-0010-0000-0100-00000E000000}" name="Y" dataDxfId="89" dataCellStyle="NodeXL Layout"/>
    <tableColumn id="12" xr3:uid="{00000000-0010-0000-0100-00000C000000}" name="Locked?" dataDxfId="88" dataCellStyle="NodeXL Layout"/>
    <tableColumn id="19" xr3:uid="{00000000-0010-0000-0100-000013000000}" name="Polar R" dataDxfId="87" dataCellStyle="NodeXL Layout"/>
    <tableColumn id="20" xr3:uid="{00000000-0010-0000-0100-000014000000}" name="Polar Angle" dataDxfId="86" dataCellStyle="NodeXL Layout"/>
    <tableColumn id="21" xr3:uid="{00000000-0010-0000-0100-000015000000}" name="Degree" dataDxfId="85" dataCellStyle="NodeXL Graph Metric"/>
    <tableColumn id="22" xr3:uid="{00000000-0010-0000-0100-000016000000}" name="In-Degree" dataDxfId="84" dataCellStyle="NodeXL Graph Metric"/>
    <tableColumn id="23" xr3:uid="{00000000-0010-0000-0100-000017000000}" name="Out-Degree" dataDxfId="83" dataCellStyle="NodeXL Graph Metric"/>
    <tableColumn id="24" xr3:uid="{00000000-0010-0000-0100-000018000000}" name="Betweenness Centrality" dataDxfId="82" dataCellStyle="NodeXL Graph Metric"/>
    <tableColumn id="25" xr3:uid="{00000000-0010-0000-0100-000019000000}" name="Closeness Centrality" dataDxfId="81" dataCellStyle="NodeXL Graph Metric"/>
    <tableColumn id="26" xr3:uid="{00000000-0010-0000-0100-00001A000000}" name="Eigenvector Centrality" dataDxfId="80" dataCellStyle="NodeXL Graph Metric"/>
    <tableColumn id="15" xr3:uid="{00000000-0010-0000-0100-00000F000000}" name="PageRank" dataDxfId="79" dataCellStyle="NodeXL Graph Metric"/>
    <tableColumn id="27" xr3:uid="{00000000-0010-0000-0100-00001B000000}" name="Clustering Coefficient" dataDxfId="78" dataCellStyle="NodeXL Graph Metric"/>
    <tableColumn id="29" xr3:uid="{00000000-0010-0000-0100-00001D000000}" name="Reciprocated Vertex Pair Ratio" dataDxfId="77" dataCellStyle="NodeXL Graph Metric"/>
    <tableColumn id="11" xr3:uid="{00000000-0010-0000-0100-00000B000000}" name="ID" dataDxfId="76" dataCellStyle="NodeXL Do Not Edit"/>
    <tableColumn id="28" xr3:uid="{00000000-0010-0000-0100-00001C000000}" name="Dynamic Filter" dataDxfId="75" dataCellStyle="NodeXL Do Not Edit"/>
    <tableColumn id="17" xr3:uid="{00000000-0010-0000-0100-000011000000}" name="Add Your Own Columns Here" dataDxfId="29" dataCellStyle="NodeXL Other Column"/>
    <tableColumn id="30" xr3:uid="{43ADB555-6209-4AF3-940E-2643DF09964A}" name="Name" dataDxfId="28" dataCellStyle="Normal"/>
    <tableColumn id="31" xr3:uid="{CDD84D74-0657-4C83-B39E-0C8A43D433B1}" name="User ID" dataDxfId="27" dataCellStyle="Normal"/>
    <tableColumn id="32" xr3:uid="{C95C9D2A-FCFC-463A-A73E-C34BE22B4724}" name="Followed" dataDxfId="26" dataCellStyle="Normal"/>
    <tableColumn id="33" xr3:uid="{B7A80855-6825-4526-9818-C386F416ADE3}" name="Followers" dataDxfId="25" dataCellStyle="Normal"/>
    <tableColumn id="34" xr3:uid="{A6F7135B-2D98-48A8-A930-9C482DDA56B1}" name="Tweets" dataDxfId="24" dataCellStyle="Normal"/>
    <tableColumn id="35" xr3:uid="{72B5EECD-0F4B-4364-A694-4A21F1E09F71}" name="Favorites" dataDxfId="23" dataCellStyle="Normal"/>
    <tableColumn id="36" xr3:uid="{0E986C25-DF1B-4649-A796-A0DA6FFF7E90}" name="Time Zone UTC Offset (Seconds)" dataDxfId="22" dataCellStyle="Normal"/>
    <tableColumn id="37" xr3:uid="{87A5F62F-6B14-45E8-AA45-1FB19DACA469}" name="Description" dataDxfId="21" dataCellStyle="Normal"/>
    <tableColumn id="38" xr3:uid="{665360E4-1461-4EAB-894B-FA20834322E9}" name="Location" dataDxfId="20" dataCellStyle="Normal"/>
    <tableColumn id="39" xr3:uid="{918BFAC3-196D-443F-9B95-9D24C5A0055E}" name="Web" dataDxfId="19" dataCellStyle="Normal"/>
    <tableColumn id="40" xr3:uid="{B87976CA-5CE0-4595-A02E-5E9E0A43714D}" name="Time Zone" dataDxfId="18" dataCellStyle="Normal"/>
    <tableColumn id="41" xr3:uid="{1FFD0EF1-206D-4C79-AD58-6EACCD417D7E}" name="Joined Twitter Date (UTC)" dataDxfId="17" dataCellStyle="Normal"/>
    <tableColumn id="42" xr3:uid="{37D23112-B8A7-4EB7-B7FD-E015DC68FC6D}" name="Profile Banner Url" dataDxfId="16" dataCellStyle="Normal"/>
    <tableColumn id="43" xr3:uid="{72652F6B-256F-446F-944E-809697EEED55}" name="Default Profile" dataDxfId="15" dataCellStyle="Normal"/>
    <tableColumn id="44" xr3:uid="{03E121D3-2C29-4F80-A2E8-0B841A053956}" name="Default Profile Image" dataDxfId="14" dataCellStyle="Normal"/>
    <tableColumn id="45" xr3:uid="{A5FEA30D-F6DB-4E77-916B-BF38D896D2D7}" name="Geo Enabled" dataDxfId="13" dataCellStyle="Normal"/>
    <tableColumn id="46" xr3:uid="{FE74BA0A-009C-4190-B07F-286EC29CC9C7}" name="Language" dataDxfId="12" dataCellStyle="Normal"/>
    <tableColumn id="47" xr3:uid="{AB9C4FFB-BB3D-4CC0-9CCE-7BA7D56167B5}" name="Listed Count" dataDxfId="11" dataCellStyle="Normal"/>
    <tableColumn id="48" xr3:uid="{F0FD1CA5-37B0-4D73-813F-554364E66BCA}" name="Profile Background Image Url" dataDxfId="10" dataCellStyle="Normal"/>
    <tableColumn id="49" xr3:uid="{5157CDB6-FE79-4FE5-A260-4DD3107F3C63}" name="Verified" dataDxfId="6" dataCellStyle="Normal"/>
    <tableColumn id="50" xr3:uid="{79B6CC95-48A3-4001-B227-44C2A993B53D}" name="Custom Menu Item Text" dataDxfId="5" dataCellStyle="Normal"/>
    <tableColumn id="51" xr3:uid="{6A6A1C0C-DFF2-4D2D-96C5-8142411C8763}" name="Custom Menu Item Action" dataDxfId="4" dataCellStyle="Normal"/>
    <tableColumn id="52" xr3:uid="{3F6CDBE7-7389-4240-B105-4B5C50A0CE82}" name="Tweeted Search Term?" dataDxfId="3" dataCellStyle="Normal"/>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X3" insertRow="1" totalsRowShown="0" headerRowDxfId="156">
  <autoFilter ref="A2:X3" xr:uid="{00000000-0009-0000-0100-000004000000}"/>
  <tableColumns count="24">
    <tableColumn id="1" xr3:uid="{00000000-0010-0000-0200-000001000000}" name="Group" dataDxfId="155" dataCellStyle="NodeXL Required"/>
    <tableColumn id="2" xr3:uid="{00000000-0010-0000-0200-000002000000}" name="Vertex Color" dataDxfId="154" dataCellStyle="NodeXL Visual Property"/>
    <tableColumn id="3" xr3:uid="{00000000-0010-0000-0200-000003000000}" name="Vertex Shape" dataDxfId="153" dataCellStyle="NodeXL Visual Property"/>
    <tableColumn id="22" xr3:uid="{00000000-0010-0000-0200-000016000000}" name="Visibility" dataDxfId="152" dataCellStyle="NodeXL Visual Property"/>
    <tableColumn id="4" xr3:uid="{00000000-0010-0000-0200-000004000000}" name="Collapsed?" dataCellStyle="NodeXL Visual Property"/>
    <tableColumn id="18" xr3:uid="{00000000-0010-0000-0200-000012000000}" name="Label" dataDxfId="151"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150" dataCellStyle="NodeXL Do Not Edit"/>
    <tableColumn id="19" xr3:uid="{00000000-0010-0000-0200-000013000000}" name="Collapsed Properties" dataDxfId="149" dataCellStyle="NodeXL Do Not Edit"/>
    <tableColumn id="5" xr3:uid="{00000000-0010-0000-0200-000005000000}" name="Vertices" dataDxfId="148" dataCellStyle="NodeXL Graph Metric"/>
    <tableColumn id="7" xr3:uid="{00000000-0010-0000-0200-000007000000}" name="Unique Edges" dataDxfId="147" dataCellStyle="NodeXL Graph Metric"/>
    <tableColumn id="8" xr3:uid="{00000000-0010-0000-0200-000008000000}" name="Edges With Duplicates" dataDxfId="146" dataCellStyle="NodeXL Graph Metric"/>
    <tableColumn id="9" xr3:uid="{00000000-0010-0000-0200-000009000000}" name="Total Edges" dataDxfId="145" dataCellStyle="NodeXL Graph Metric"/>
    <tableColumn id="10" xr3:uid="{00000000-0010-0000-0200-00000A000000}" name="Self-Loops" dataDxfId="144" dataCellStyle="NodeXL Graph Metric"/>
    <tableColumn id="24" xr3:uid="{00000000-0010-0000-0200-000018000000}" name="Reciprocated Vertex Pair Ratio" dataDxfId="143" dataCellStyle="NodeXL Graph Metric"/>
    <tableColumn id="25" xr3:uid="{00000000-0010-0000-0200-000019000000}" name="Reciprocated Edge Ratio" dataDxfId="142" dataCellStyle="NodeXL Graph Metric"/>
    <tableColumn id="11" xr3:uid="{00000000-0010-0000-0200-00000B000000}" name="Connected Components" dataDxfId="141" dataCellStyle="NodeXL Graph Metric"/>
    <tableColumn id="12" xr3:uid="{00000000-0010-0000-0200-00000C000000}" name="Single-Vertex Connected Components" dataDxfId="140" dataCellStyle="NodeXL Graph Metric"/>
    <tableColumn id="13" xr3:uid="{00000000-0010-0000-0200-00000D000000}" name="Maximum Vertices in a Connected Component" dataDxfId="139" dataCellStyle="NodeXL Graph Metric"/>
    <tableColumn id="14" xr3:uid="{00000000-0010-0000-0200-00000E000000}" name="Maximum Edges in a Connected Component" dataDxfId="138" dataCellStyle="NodeXL Graph Metric"/>
    <tableColumn id="15" xr3:uid="{00000000-0010-0000-0200-00000F000000}" name="Maximum Geodesic Distance (Diameter)" dataDxfId="137" dataCellStyle="NodeXL Graph Metric"/>
    <tableColumn id="16" xr3:uid="{00000000-0010-0000-0200-000010000000}" name="Average Geodesic Distance" dataDxfId="136" dataCellStyle="NodeXL Graph Metric"/>
    <tableColumn id="17" xr3:uid="{00000000-0010-0000-0200-000011000000}" name="Graph Density" dataDxfId="135" dataCellStyle="NodeXL Graph Metric"/>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2" totalsRowShown="0" headerRowDxfId="134" dataDxfId="133">
  <autoFilter ref="A1:C2" xr:uid="{00000000-0009-0000-0100-000005000000}"/>
  <tableColumns count="3">
    <tableColumn id="1" xr3:uid="{00000000-0010-0000-0300-000001000000}" name="Group" dataDxfId="132"/>
    <tableColumn id="2" xr3:uid="{00000000-0010-0000-0300-000002000000}" name="Vertex" dataDxfId="131"/>
    <tableColumn id="3" xr3:uid="{00000000-0010-0000-0300-000003000000}" name="Vertex ID" dataDxfId="130"/>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2" insertRow="1" totalsRowShown="0" dataCellStyle="NodeXL Graph Metric">
  <autoFilter ref="A1:B2" xr:uid="{00000000-0009-0000-0100-000006000000}"/>
  <tableColumns count="2">
    <tableColumn id="1" xr3:uid="{00000000-0010-0000-0400-000001000000}" name="Graph Metric" dataDxfId="129" dataCellStyle="NodeXL Graph Metric"/>
    <tableColumn id="2" xr3:uid="{00000000-0010-0000-0400-000002000000}" name="Value" dataDxfId="128"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36" totalsRowShown="0">
  <autoFilter ref="D1:U36" xr:uid="{00000000-0009-0000-0100-000003000000}"/>
  <tableColumns count="18">
    <tableColumn id="1" xr3:uid="{00000000-0010-0000-0500-000001000000}" name="Degree Bin" dataDxfId="127"/>
    <tableColumn id="2" xr3:uid="{00000000-0010-0000-0500-000002000000}" name="Degree Frequency" dataDxfId="126">
      <calculatedColumnFormula>COUNTIF(Vertices[Degree], "&gt;= " &amp; D2) - COUNTIF(Vertices[Degree], "&gt;=" &amp; D3)</calculatedColumnFormula>
    </tableColumn>
    <tableColumn id="3" xr3:uid="{00000000-0010-0000-0500-000003000000}" name="In-Degree Bin" dataDxfId="125"/>
    <tableColumn id="4" xr3:uid="{00000000-0010-0000-0500-000004000000}" name="In-Degree Frequency" dataDxfId="124">
      <calculatedColumnFormula>COUNTIF(Vertices[In-Degree], "&gt;= " &amp; F2) - COUNTIF(Vertices[In-Degree], "&gt;=" &amp; F3)</calculatedColumnFormula>
    </tableColumn>
    <tableColumn id="5" xr3:uid="{00000000-0010-0000-0500-000005000000}" name="Out-Degree Bin" dataDxfId="123"/>
    <tableColumn id="6" xr3:uid="{00000000-0010-0000-0500-000006000000}" name="Out-Degree Frequency" dataDxfId="122">
      <calculatedColumnFormula>COUNTIF(Vertices[Out-Degree], "&gt;= " &amp; H2) - COUNTIF(Vertices[Out-Degree], "&gt;=" &amp; H3)</calculatedColumnFormula>
    </tableColumn>
    <tableColumn id="7" xr3:uid="{00000000-0010-0000-0500-000007000000}" name="Betweenness Centrality Bin" dataDxfId="121"/>
    <tableColumn id="8" xr3:uid="{00000000-0010-0000-0500-000008000000}" name="Betweenness Centrality Frequency" dataDxfId="120">
      <calculatedColumnFormula>COUNTIF(Vertices[Betweenness Centrality], "&gt;= " &amp; J2) - COUNTIF(Vertices[Betweenness Centrality], "&gt;=" &amp; J3)</calculatedColumnFormula>
    </tableColumn>
    <tableColumn id="9" xr3:uid="{00000000-0010-0000-0500-000009000000}" name="Closeness Centrality Bin" dataDxfId="119"/>
    <tableColumn id="10" xr3:uid="{00000000-0010-0000-0500-00000A000000}" name="Closeness Centrality Frequency" dataDxfId="118">
      <calculatedColumnFormula>COUNTIF(Vertices[Closeness Centrality], "&gt;= " &amp; L2) - COUNTIF(Vertices[Closeness Centrality], "&gt;=" &amp; L3)</calculatedColumnFormula>
    </tableColumn>
    <tableColumn id="11" xr3:uid="{00000000-0010-0000-0500-00000B000000}" name="Eigenvector Centrality Bin" dataDxfId="117"/>
    <tableColumn id="12" xr3:uid="{00000000-0010-0000-0500-00000C000000}" name="Eigenvector Centrality Frequency" dataDxfId="116">
      <calculatedColumnFormula>COUNTIF(Vertices[Eigenvector Centrality], "&gt;= " &amp; N2) - COUNTIF(Vertices[Eigenvector Centrality], "&gt;=" &amp; N3)</calculatedColumnFormula>
    </tableColumn>
    <tableColumn id="18" xr3:uid="{00000000-0010-0000-0500-000012000000}" name="PageRank Bin" dataDxfId="115"/>
    <tableColumn id="17" xr3:uid="{00000000-0010-0000-0500-000011000000}" name="PageRank Frequency" dataDxfId="114">
      <calculatedColumnFormula>COUNTIF(Vertices[Eigenvector Centrality], "&gt;= " &amp; P2) - COUNTIF(Vertices[Eigenvector Centrality], "&gt;=" &amp; P3)</calculatedColumnFormula>
    </tableColumn>
    <tableColumn id="13" xr3:uid="{00000000-0010-0000-0500-00000D000000}" name="Clustering Coefficient Bin" dataDxfId="113"/>
    <tableColumn id="14" xr3:uid="{00000000-0010-0000-0500-00000E000000}" name="Clustering Coefficient Frequency" dataDxfId="112">
      <calculatedColumnFormula>COUNTIF(Vertices[Clustering Coefficient], "&gt;= " &amp; R2) - COUNTIF(Vertices[Clustering Coefficient], "&gt;=" &amp; R3)</calculatedColumnFormula>
    </tableColumn>
    <tableColumn id="15" xr3:uid="{00000000-0010-0000-0500-00000F000000}" name="Dynamic Filter Bin" dataDxfId="111"/>
    <tableColumn id="16" xr3:uid="{00000000-0010-0000-0500-000010000000}" name="Dynamic Filter Frequency" dataDxfId="110">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53:B54" insertRow="1" totalsRowShown="0" dataCellStyle="NodeXL Graph Metric">
  <autoFilter ref="A53:B54"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8" totalsRowShown="0" headerRowDxfId="109">
  <autoFilter ref="J1:K8"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2" totalsRowShown="0" headerRowDxfId="108">
  <autoFilter ref="M1:P2"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s://www.google.com/url?rct=j&amp;sa=t&amp;url=https%3A%2F%2Fkodepos.nomor.net%2F_kodepos.php%3F_i%3Dpulau-kodepos%26BK_HP%3DHP%26sby%3D000000%26daerah%3DPulau-South%2520Waigeo-Kab.-Raja%2520Ampat%26jobs%3DYef%2520Kawuto%26_en%3DENGLISH&amp;ct=ga&amp;cd=CAIyGmVlY2VkYTlmYzNhYjU3ZWM6Y29tOmVuOlVT&amp;usg=AFQjCNHIqyqGN66dQ2cJr9BWvOs-WbzTRQ&amp;utm_source=dlvr.it&amp;utm_medium=twitter" TargetMode="External"/><Relationship Id="rId7" Type="http://schemas.openxmlformats.org/officeDocument/2006/relationships/table" Target="../tables/table1.xml"/><Relationship Id="rId2" Type="http://schemas.openxmlformats.org/officeDocument/2006/relationships/hyperlink" Target="https://www.google.com/url?rct=j&amp;sa=t&amp;url=https%3A%2F%2Fbekasi.pikiran-rakyat.com%2Fbelia%2Fpr-122662628%2Finfo-loker-pt-sicepat-ekspres-indonesia-buka-lowongan-kerja-untuk-lulusan-minimal-d3&amp;ct=ga&amp;cd=CAIyGjJiMmE5MjhmODMwMjFjNzI6Y29tOmlkOlVT&amp;usg=AFQjCNGcJrUBHz067ZWt38LBsVdDx8qM5Q&amp;utm_source=dlvr.it&amp;utm_medium=twitter" TargetMode="External"/><Relationship Id="rId1" Type="http://schemas.openxmlformats.org/officeDocument/2006/relationships/hyperlink" Target="https://www.google.com/url?rct=j&amp;sa=t&amp;url=https%3A%2F%2Fm.tribunnews.com%2Fnasional%2F2021%2F09%2F23%2Flowongan-kerja-pt-pos-indonesia-persero-makassar-2021-frontliner-dibuka-hingga-24-september-2021&amp;ct=ga&amp;cd=CAIyGjJiMmE5MjhmODMwMjFjNzI6Y29tOmlkOlVT&amp;usg=AFQjCNEU5BB7QgR2kc_9NC1JiBDqEd_IJw&amp;utm_source=dlvr.it&amp;utm_medium=twitter" TargetMode="External"/><Relationship Id="rId6" Type="http://schemas.openxmlformats.org/officeDocument/2006/relationships/vmlDrawing" Target="../drawings/vmlDrawing1.vml"/><Relationship Id="rId5" Type="http://schemas.openxmlformats.org/officeDocument/2006/relationships/printerSettings" Target="../printerSettings/printerSettings1.bin"/><Relationship Id="rId4" Type="http://schemas.openxmlformats.org/officeDocument/2006/relationships/hyperlink" Target="https://www.google.com/url?rct=j&amp;sa=t&amp;url=https%3A%2F%2Fkodepos.nomor.net%2F_kodepos.php%3F_i%3Dkota-kodepos%26daerah%3DProvinsi%26jobs%3D60113%26urut%3D%26asc%3D000101%26sby%3D000000%26no1%3D2%26prov%3DWest%2BPapua%26_en%3DENGLISH&amp;ct=ga&amp;cd=CAIyGmVlY2VkYTlmYzNhYjU3ZWM6Y29tOmVuOlVT&amp;usg=AFQjCNF9MQc-fHYmfA0DnGaUWxooG07icw&amp;utm_source=dlvr.it&amp;utm_medium=twitter"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2287"/>
  <sheetViews>
    <sheetView workbookViewId="0">
      <pane xSplit="2" ySplit="2" topLeftCell="C3" activePane="bottomRight" state="frozen"/>
      <selection pane="topRight" activeCell="C1" sqref="C1"/>
      <selection pane="bottomLeft" activeCell="A3" sqref="A3"/>
      <selection pane="bottomRight" activeCell="A3" sqref="A3"/>
    </sheetView>
  </sheetViews>
  <sheetFormatPr defaultRowHeight="14.5" x14ac:dyDescent="0.35"/>
  <cols>
    <col min="1" max="2" width="10.453125" style="1" customWidth="1"/>
    <col min="3" max="3" width="7.81640625" style="3" bestFit="1" customWidth="1"/>
    <col min="4" max="4" width="8.7265625" style="2" bestFit="1" customWidth="1"/>
    <col min="5" max="5" width="7.7265625" style="2" bestFit="1" customWidth="1"/>
    <col min="6" max="6" width="9.81640625" style="2" bestFit="1" customWidth="1"/>
    <col min="7" max="7" width="11" style="3" bestFit="1" customWidth="1"/>
    <col min="8" max="8" width="8" style="1" bestFit="1" customWidth="1"/>
    <col min="9" max="9" width="12.26953125" style="3" bestFit="1" customWidth="1"/>
    <col min="10" max="10" width="12.453125" style="3" bestFit="1" customWidth="1"/>
    <col min="11" max="11" width="15.54296875" style="3" hidden="1" customWidth="1"/>
    <col min="12" max="12" width="11" hidden="1" customWidth="1"/>
    <col min="13" max="13" width="10.81640625" hidden="1" customWidth="1"/>
    <col min="14" max="14" width="16" bestFit="1" customWidth="1"/>
    <col min="15" max="15" width="12.26953125" bestFit="1" customWidth="1"/>
    <col min="16" max="16" width="13.36328125" bestFit="1" customWidth="1"/>
    <col min="17" max="17" width="8.1796875" bestFit="1" customWidth="1"/>
    <col min="18" max="18" width="9.08984375" bestFit="1" customWidth="1"/>
    <col min="19" max="19" width="12.453125" bestFit="1" customWidth="1"/>
    <col min="20" max="20" width="12.6328125" bestFit="1" customWidth="1"/>
    <col min="21" max="21" width="10.36328125" bestFit="1" customWidth="1"/>
    <col min="22" max="22" width="13.7265625" bestFit="1" customWidth="1"/>
    <col min="23" max="23" width="12.54296875" bestFit="1" customWidth="1"/>
    <col min="24" max="24" width="7" bestFit="1" customWidth="1"/>
    <col min="25" max="25" width="7.1796875" bestFit="1" customWidth="1"/>
    <col min="26" max="26" width="13.36328125" bestFit="1" customWidth="1"/>
    <col min="27" max="27" width="9.81640625" bestFit="1" customWidth="1"/>
    <col min="28" max="28" width="11.26953125" bestFit="1" customWidth="1"/>
    <col min="29" max="29" width="13.1796875" bestFit="1" customWidth="1"/>
    <col min="30" max="30" width="12.6328125" bestFit="1" customWidth="1"/>
    <col min="31" max="31" width="10.90625" bestFit="1" customWidth="1"/>
    <col min="32" max="32" width="9.81640625" bestFit="1" customWidth="1"/>
    <col min="33" max="33" width="12.6328125" bestFit="1" customWidth="1"/>
    <col min="34" max="34" width="10.08984375" bestFit="1" customWidth="1"/>
    <col min="35" max="35" width="10.90625" bestFit="1" customWidth="1"/>
    <col min="36" max="36" width="10.36328125" bestFit="1" customWidth="1"/>
    <col min="37" max="37" width="10.453125" bestFit="1" customWidth="1"/>
    <col min="38" max="38" width="12" bestFit="1" customWidth="1"/>
    <col min="39" max="39" width="9.90625" bestFit="1" customWidth="1"/>
    <col min="40" max="40" width="12.1796875" bestFit="1" customWidth="1"/>
    <col min="42" max="42" width="11.54296875" bestFit="1" customWidth="1"/>
    <col min="43" max="43" width="11.26953125" bestFit="1" customWidth="1"/>
    <col min="44" max="44" width="12.6328125" bestFit="1" customWidth="1"/>
    <col min="45" max="45" width="19.453125" bestFit="1" customWidth="1"/>
    <col min="46" max="46" width="18.1796875" bestFit="1" customWidth="1"/>
    <col min="47" max="47" width="15.81640625" bestFit="1" customWidth="1"/>
    <col min="48" max="48" width="9.7265625" bestFit="1" customWidth="1"/>
    <col min="49" max="49" width="14.453125" bestFit="1" customWidth="1"/>
    <col min="50" max="50" width="10.7265625" bestFit="1" customWidth="1"/>
    <col min="51" max="51" width="9.6328125" bestFit="1" customWidth="1"/>
    <col min="52" max="52" width="8" bestFit="1" customWidth="1"/>
    <col min="53" max="53" width="7.36328125" bestFit="1" customWidth="1"/>
    <col min="54" max="54" width="11" bestFit="1" customWidth="1"/>
  </cols>
  <sheetData>
    <row r="1" spans="1:54" x14ac:dyDescent="0.35">
      <c r="C1" s="18" t="s">
        <v>39</v>
      </c>
      <c r="D1" s="19"/>
      <c r="E1" s="19"/>
      <c r="F1" s="19"/>
      <c r="G1" s="18"/>
      <c r="H1" s="16" t="s">
        <v>43</v>
      </c>
      <c r="I1" s="54"/>
      <c r="J1" s="54"/>
      <c r="K1" s="35" t="s">
        <v>42</v>
      </c>
      <c r="L1" s="20" t="s">
        <v>40</v>
      </c>
      <c r="M1" s="20"/>
      <c r="N1" s="17" t="s">
        <v>41</v>
      </c>
    </row>
    <row r="2" spans="1:54" ht="30" customHeight="1" x14ac:dyDescent="0.35">
      <c r="A2" s="11" t="s">
        <v>0</v>
      </c>
      <c r="B2" s="11" t="s">
        <v>1</v>
      </c>
      <c r="C2" s="13" t="s">
        <v>2</v>
      </c>
      <c r="D2" s="13" t="s">
        <v>3</v>
      </c>
      <c r="E2" s="13" t="s">
        <v>130</v>
      </c>
      <c r="F2" s="13" t="s">
        <v>4</v>
      </c>
      <c r="G2" s="13" t="s">
        <v>11</v>
      </c>
      <c r="H2" s="11" t="s">
        <v>46</v>
      </c>
      <c r="I2" s="13" t="s">
        <v>160</v>
      </c>
      <c r="J2" s="13" t="s">
        <v>161</v>
      </c>
      <c r="K2" s="13" t="s">
        <v>165</v>
      </c>
      <c r="L2" s="13" t="s">
        <v>12</v>
      </c>
      <c r="M2" s="13" t="s">
        <v>38</v>
      </c>
      <c r="N2" s="13" t="s">
        <v>26</v>
      </c>
      <c r="O2" s="13" t="s">
        <v>177</v>
      </c>
      <c r="P2" s="13" t="s">
        <v>178</v>
      </c>
      <c r="Q2" s="13" t="s">
        <v>179</v>
      </c>
      <c r="R2" s="13" t="s">
        <v>180</v>
      </c>
      <c r="S2" s="13" t="s">
        <v>181</v>
      </c>
      <c r="T2" s="13" t="s">
        <v>182</v>
      </c>
      <c r="U2" s="13" t="s">
        <v>183</v>
      </c>
      <c r="V2" s="13" t="s">
        <v>184</v>
      </c>
      <c r="W2" s="13" t="s">
        <v>185</v>
      </c>
      <c r="X2" s="13" t="s">
        <v>186</v>
      </c>
      <c r="Y2" s="13" t="s">
        <v>187</v>
      </c>
      <c r="Z2" s="13" t="s">
        <v>188</v>
      </c>
      <c r="AA2" s="13" t="s">
        <v>189</v>
      </c>
      <c r="AB2" s="13" t="s">
        <v>190</v>
      </c>
      <c r="AC2" s="13" t="s">
        <v>191</v>
      </c>
      <c r="AD2" s="13" t="s">
        <v>192</v>
      </c>
      <c r="AE2" s="13" t="s">
        <v>193</v>
      </c>
      <c r="AF2" s="13" t="s">
        <v>194</v>
      </c>
      <c r="AG2" s="13" t="s">
        <v>195</v>
      </c>
      <c r="AH2" s="13" t="s">
        <v>196</v>
      </c>
      <c r="AI2" s="13" t="s">
        <v>197</v>
      </c>
      <c r="AJ2" s="13" t="s">
        <v>198</v>
      </c>
      <c r="AK2" s="13" t="s">
        <v>199</v>
      </c>
      <c r="AL2" s="13" t="s">
        <v>200</v>
      </c>
      <c r="AM2" s="13" t="s">
        <v>201</v>
      </c>
      <c r="AN2" s="13" t="s">
        <v>202</v>
      </c>
      <c r="AO2" s="13" t="s">
        <v>203</v>
      </c>
      <c r="AP2" s="13" t="s">
        <v>204</v>
      </c>
      <c r="AQ2" s="13" t="s">
        <v>205</v>
      </c>
      <c r="AR2" s="13" t="s">
        <v>206</v>
      </c>
      <c r="AS2" s="13" t="s">
        <v>207</v>
      </c>
      <c r="AT2" s="13" t="s">
        <v>208</v>
      </c>
      <c r="AU2" s="13" t="s">
        <v>209</v>
      </c>
      <c r="AV2" s="13" t="s">
        <v>210</v>
      </c>
      <c r="AW2" s="13" t="s">
        <v>211</v>
      </c>
      <c r="AX2" s="13" t="s">
        <v>212</v>
      </c>
      <c r="AY2" s="13" t="s">
        <v>213</v>
      </c>
      <c r="AZ2" s="13" t="s">
        <v>214</v>
      </c>
      <c r="BA2" s="13" t="s">
        <v>215</v>
      </c>
      <c r="BB2" s="13" t="s">
        <v>216</v>
      </c>
    </row>
    <row r="3" spans="1:54" ht="15" customHeight="1" x14ac:dyDescent="0.35">
      <c r="A3" s="66" t="s">
        <v>217</v>
      </c>
      <c r="B3" s="66" t="s">
        <v>1272</v>
      </c>
      <c r="C3" s="67"/>
      <c r="D3" s="68"/>
      <c r="E3" s="69"/>
      <c r="F3" s="70"/>
      <c r="G3" s="67"/>
      <c r="H3" s="71"/>
      <c r="I3" s="72"/>
      <c r="J3" s="72"/>
      <c r="K3" s="36"/>
      <c r="L3" s="73"/>
      <c r="M3" s="73"/>
      <c r="N3" s="74"/>
      <c r="O3" s="80" t="s">
        <v>1533</v>
      </c>
      <c r="P3" s="82">
        <v>44457.773888888885</v>
      </c>
      <c r="Q3" s="80" t="s">
        <v>1536</v>
      </c>
      <c r="R3" s="80"/>
      <c r="S3" s="80"/>
      <c r="T3" s="85" t="s">
        <v>2656</v>
      </c>
      <c r="U3" s="87" t="str">
        <f>HYPERLINK("https://pbs.twimg.com/media/E_X1zlwVIAES6Ks.jpg")</f>
        <v>https://pbs.twimg.com/media/E_X1zlwVIAES6Ks.jpg</v>
      </c>
      <c r="V3" s="87" t="str">
        <f>HYPERLINK("https://pbs.twimg.com/media/E_X1zlwVIAES6Ks.jpg")</f>
        <v>https://pbs.twimg.com/media/E_X1zlwVIAES6Ks.jpg</v>
      </c>
      <c r="W3" s="82">
        <v>44457.773888888885</v>
      </c>
      <c r="X3" s="88">
        <v>44457</v>
      </c>
      <c r="Y3" s="85" t="s">
        <v>2755</v>
      </c>
      <c r="Z3" s="87" t="str">
        <f>HYPERLINK("https://twitter.com/labonnoangel/status/1439296764700344322")</f>
        <v>https://twitter.com/labonnoangel/status/1439296764700344322</v>
      </c>
      <c r="AA3" s="80"/>
      <c r="AB3" s="80"/>
      <c r="AC3" s="85" t="s">
        <v>4215</v>
      </c>
      <c r="AD3" s="80"/>
      <c r="AE3" s="80" t="b">
        <v>0</v>
      </c>
      <c r="AF3" s="80">
        <v>0</v>
      </c>
      <c r="AG3" s="85" t="s">
        <v>6240</v>
      </c>
      <c r="AH3" s="80" t="b">
        <v>0</v>
      </c>
      <c r="AI3" s="80" t="s">
        <v>6478</v>
      </c>
      <c r="AJ3" s="80"/>
      <c r="AK3" s="85" t="s">
        <v>6240</v>
      </c>
      <c r="AL3" s="80" t="b">
        <v>0</v>
      </c>
      <c r="AM3" s="80">
        <v>61</v>
      </c>
      <c r="AN3" s="85" t="s">
        <v>4550</v>
      </c>
      <c r="AO3" s="85" t="s">
        <v>6503</v>
      </c>
      <c r="AP3" s="80" t="b">
        <v>0</v>
      </c>
      <c r="AQ3" s="85" t="s">
        <v>4550</v>
      </c>
      <c r="AR3" s="80" t="s">
        <v>179</v>
      </c>
      <c r="AS3" s="80">
        <v>0</v>
      </c>
      <c r="AT3" s="80">
        <v>0</v>
      </c>
      <c r="AU3" s="80"/>
      <c r="AV3" s="80"/>
      <c r="AW3" s="80"/>
      <c r="AX3" s="80"/>
      <c r="AY3" s="80"/>
      <c r="AZ3" s="80"/>
      <c r="BA3" s="80"/>
      <c r="BB3" s="80"/>
    </row>
    <row r="4" spans="1:54" ht="15" customHeight="1" x14ac:dyDescent="0.35">
      <c r="A4" s="66" t="s">
        <v>217</v>
      </c>
      <c r="B4" s="66" t="s">
        <v>526</v>
      </c>
      <c r="C4" s="67"/>
      <c r="D4" s="68"/>
      <c r="E4" s="69"/>
      <c r="F4" s="70"/>
      <c r="G4" s="67"/>
      <c r="H4" s="71"/>
      <c r="I4" s="72"/>
      <c r="J4" s="72"/>
      <c r="K4" s="36"/>
      <c r="L4" s="79"/>
      <c r="M4" s="79"/>
      <c r="N4" s="74"/>
      <c r="O4" s="81" t="s">
        <v>1532</v>
      </c>
      <c r="P4" s="83">
        <v>44457.773888888885</v>
      </c>
      <c r="Q4" s="81" t="s">
        <v>1536</v>
      </c>
      <c r="R4" s="81"/>
      <c r="S4" s="81"/>
      <c r="T4" s="86" t="s">
        <v>2656</v>
      </c>
      <c r="U4" s="84" t="str">
        <f>HYPERLINK("https://pbs.twimg.com/media/E_X1zlwVIAES6Ks.jpg")</f>
        <v>https://pbs.twimg.com/media/E_X1zlwVIAES6Ks.jpg</v>
      </c>
      <c r="V4" s="84" t="str">
        <f>HYPERLINK("https://pbs.twimg.com/media/E_X1zlwVIAES6Ks.jpg")</f>
        <v>https://pbs.twimg.com/media/E_X1zlwVIAES6Ks.jpg</v>
      </c>
      <c r="W4" s="83">
        <v>44457.773888888885</v>
      </c>
      <c r="X4" s="89">
        <v>44457</v>
      </c>
      <c r="Y4" s="86" t="s">
        <v>2755</v>
      </c>
      <c r="Z4" s="84" t="str">
        <f>HYPERLINK("https://twitter.com/labonnoangel/status/1439296764700344322")</f>
        <v>https://twitter.com/labonnoangel/status/1439296764700344322</v>
      </c>
      <c r="AA4" s="81"/>
      <c r="AB4" s="81"/>
      <c r="AC4" s="86" t="s">
        <v>4215</v>
      </c>
      <c r="AD4" s="81"/>
      <c r="AE4" s="81" t="b">
        <v>0</v>
      </c>
      <c r="AF4" s="81">
        <v>0</v>
      </c>
      <c r="AG4" s="86" t="s">
        <v>6240</v>
      </c>
      <c r="AH4" s="81" t="b">
        <v>0</v>
      </c>
      <c r="AI4" s="81" t="s">
        <v>6478</v>
      </c>
      <c r="AJ4" s="81"/>
      <c r="AK4" s="86" t="s">
        <v>6240</v>
      </c>
      <c r="AL4" s="81" t="b">
        <v>0</v>
      </c>
      <c r="AM4" s="81">
        <v>61</v>
      </c>
      <c r="AN4" s="86" t="s">
        <v>4550</v>
      </c>
      <c r="AO4" s="86" t="s">
        <v>6503</v>
      </c>
      <c r="AP4" s="81" t="b">
        <v>0</v>
      </c>
      <c r="AQ4" s="86" t="s">
        <v>4550</v>
      </c>
      <c r="AR4" s="81" t="s">
        <v>179</v>
      </c>
      <c r="AS4" s="81">
        <v>0</v>
      </c>
      <c r="AT4" s="81">
        <v>0</v>
      </c>
      <c r="AU4" s="81"/>
      <c r="AV4" s="81"/>
      <c r="AW4" s="81"/>
      <c r="AX4" s="81"/>
      <c r="AY4" s="81"/>
      <c r="AZ4" s="81"/>
      <c r="BA4" s="81"/>
      <c r="BB4" s="81"/>
    </row>
    <row r="5" spans="1:54" x14ac:dyDescent="0.35">
      <c r="A5" s="66" t="s">
        <v>218</v>
      </c>
      <c r="B5" s="66" t="s">
        <v>1272</v>
      </c>
      <c r="C5" s="67"/>
      <c r="D5" s="68"/>
      <c r="E5" s="69"/>
      <c r="F5" s="70"/>
      <c r="G5" s="67"/>
      <c r="H5" s="71"/>
      <c r="I5" s="72"/>
      <c r="J5" s="72"/>
      <c r="K5" s="36"/>
      <c r="L5" s="79"/>
      <c r="M5" s="79"/>
      <c r="N5" s="74"/>
      <c r="O5" s="81" t="s">
        <v>1533</v>
      </c>
      <c r="P5" s="83">
        <v>44457.842650462961</v>
      </c>
      <c r="Q5" s="81" t="s">
        <v>1536</v>
      </c>
      <c r="R5" s="81"/>
      <c r="S5" s="81"/>
      <c r="T5" s="86" t="s">
        <v>2656</v>
      </c>
      <c r="U5" s="84" t="str">
        <f>HYPERLINK("https://pbs.twimg.com/media/E_X1zlwVIAES6Ks.jpg")</f>
        <v>https://pbs.twimg.com/media/E_X1zlwVIAES6Ks.jpg</v>
      </c>
      <c r="V5" s="84" t="str">
        <f>HYPERLINK("https://pbs.twimg.com/media/E_X1zlwVIAES6Ks.jpg")</f>
        <v>https://pbs.twimg.com/media/E_X1zlwVIAES6Ks.jpg</v>
      </c>
      <c r="W5" s="83">
        <v>44457.842650462961</v>
      </c>
      <c r="X5" s="89">
        <v>44457</v>
      </c>
      <c r="Y5" s="86" t="s">
        <v>2756</v>
      </c>
      <c r="Z5" s="84" t="str">
        <f>HYPERLINK("https://twitter.com/fox19712405/status/1439321684545359874")</f>
        <v>https://twitter.com/fox19712405/status/1439321684545359874</v>
      </c>
      <c r="AA5" s="81"/>
      <c r="AB5" s="81"/>
      <c r="AC5" s="86" t="s">
        <v>4216</v>
      </c>
      <c r="AD5" s="81"/>
      <c r="AE5" s="81" t="b">
        <v>0</v>
      </c>
      <c r="AF5" s="81">
        <v>0</v>
      </c>
      <c r="AG5" s="86" t="s">
        <v>6240</v>
      </c>
      <c r="AH5" s="81" t="b">
        <v>0</v>
      </c>
      <c r="AI5" s="81" t="s">
        <v>6478</v>
      </c>
      <c r="AJ5" s="81"/>
      <c r="AK5" s="86" t="s">
        <v>6240</v>
      </c>
      <c r="AL5" s="81" t="b">
        <v>0</v>
      </c>
      <c r="AM5" s="81">
        <v>61</v>
      </c>
      <c r="AN5" s="86" t="s">
        <v>4550</v>
      </c>
      <c r="AO5" s="86" t="s">
        <v>6503</v>
      </c>
      <c r="AP5" s="81" t="b">
        <v>0</v>
      </c>
      <c r="AQ5" s="86" t="s">
        <v>4550</v>
      </c>
      <c r="AR5" s="81" t="s">
        <v>179</v>
      </c>
      <c r="AS5" s="81">
        <v>0</v>
      </c>
      <c r="AT5" s="81">
        <v>0</v>
      </c>
      <c r="AU5" s="81"/>
      <c r="AV5" s="81"/>
      <c r="AW5" s="81"/>
      <c r="AX5" s="81"/>
      <c r="AY5" s="81"/>
      <c r="AZ5" s="81"/>
      <c r="BA5" s="81"/>
      <c r="BB5" s="81"/>
    </row>
    <row r="6" spans="1:54" x14ac:dyDescent="0.35">
      <c r="A6" s="66" t="s">
        <v>218</v>
      </c>
      <c r="B6" s="66" t="s">
        <v>526</v>
      </c>
      <c r="C6" s="67"/>
      <c r="D6" s="68"/>
      <c r="E6" s="69"/>
      <c r="F6" s="70"/>
      <c r="G6" s="67"/>
      <c r="H6" s="71"/>
      <c r="I6" s="72"/>
      <c r="J6" s="72"/>
      <c r="K6" s="36"/>
      <c r="L6" s="79"/>
      <c r="M6" s="79"/>
      <c r="N6" s="74"/>
      <c r="O6" s="81" t="s">
        <v>1532</v>
      </c>
      <c r="P6" s="83">
        <v>44457.842650462961</v>
      </c>
      <c r="Q6" s="81" t="s">
        <v>1536</v>
      </c>
      <c r="R6" s="81"/>
      <c r="S6" s="81"/>
      <c r="T6" s="86" t="s">
        <v>2656</v>
      </c>
      <c r="U6" s="84" t="str">
        <f>HYPERLINK("https://pbs.twimg.com/media/E_X1zlwVIAES6Ks.jpg")</f>
        <v>https://pbs.twimg.com/media/E_X1zlwVIAES6Ks.jpg</v>
      </c>
      <c r="V6" s="84" t="str">
        <f>HYPERLINK("https://pbs.twimg.com/media/E_X1zlwVIAES6Ks.jpg")</f>
        <v>https://pbs.twimg.com/media/E_X1zlwVIAES6Ks.jpg</v>
      </c>
      <c r="W6" s="83">
        <v>44457.842650462961</v>
      </c>
      <c r="X6" s="89">
        <v>44457</v>
      </c>
      <c r="Y6" s="86" t="s">
        <v>2756</v>
      </c>
      <c r="Z6" s="84" t="str">
        <f>HYPERLINK("https://twitter.com/fox19712405/status/1439321684545359874")</f>
        <v>https://twitter.com/fox19712405/status/1439321684545359874</v>
      </c>
      <c r="AA6" s="81"/>
      <c r="AB6" s="81"/>
      <c r="AC6" s="86" t="s">
        <v>4216</v>
      </c>
      <c r="AD6" s="81"/>
      <c r="AE6" s="81" t="b">
        <v>0</v>
      </c>
      <c r="AF6" s="81">
        <v>0</v>
      </c>
      <c r="AG6" s="86" t="s">
        <v>6240</v>
      </c>
      <c r="AH6" s="81" t="b">
        <v>0</v>
      </c>
      <c r="AI6" s="81" t="s">
        <v>6478</v>
      </c>
      <c r="AJ6" s="81"/>
      <c r="AK6" s="86" t="s">
        <v>6240</v>
      </c>
      <c r="AL6" s="81" t="b">
        <v>0</v>
      </c>
      <c r="AM6" s="81">
        <v>61</v>
      </c>
      <c r="AN6" s="86" t="s">
        <v>4550</v>
      </c>
      <c r="AO6" s="86" t="s">
        <v>6503</v>
      </c>
      <c r="AP6" s="81" t="b">
        <v>0</v>
      </c>
      <c r="AQ6" s="86" t="s">
        <v>4550</v>
      </c>
      <c r="AR6" s="81" t="s">
        <v>179</v>
      </c>
      <c r="AS6" s="81">
        <v>0</v>
      </c>
      <c r="AT6" s="81">
        <v>0</v>
      </c>
      <c r="AU6" s="81"/>
      <c r="AV6" s="81"/>
      <c r="AW6" s="81"/>
      <c r="AX6" s="81"/>
      <c r="AY6" s="81"/>
      <c r="AZ6" s="81"/>
      <c r="BA6" s="81"/>
      <c r="BB6" s="81"/>
    </row>
    <row r="7" spans="1:54" x14ac:dyDescent="0.35">
      <c r="A7" s="66" t="s">
        <v>219</v>
      </c>
      <c r="B7" s="66" t="s">
        <v>219</v>
      </c>
      <c r="C7" s="67"/>
      <c r="D7" s="68"/>
      <c r="E7" s="69"/>
      <c r="F7" s="70"/>
      <c r="G7" s="67"/>
      <c r="H7" s="71"/>
      <c r="I7" s="72"/>
      <c r="J7" s="72"/>
      <c r="K7" s="36"/>
      <c r="L7" s="79"/>
      <c r="M7" s="79"/>
      <c r="N7" s="74"/>
      <c r="O7" s="81" t="s">
        <v>179</v>
      </c>
      <c r="P7" s="83">
        <v>44457.84269675926</v>
      </c>
      <c r="Q7" s="81" t="s">
        <v>1537</v>
      </c>
      <c r="R7" s="84" t="str">
        <f>HYPERLINK("https://kerjha.com/pos-indonesia-gandeng-nujek-dan-perkenalkan-o-ranger-mawar/")</f>
        <v>https://kerjha.com/pos-indonesia-gandeng-nujek-dan-perkenalkan-o-ranger-mawar/</v>
      </c>
      <c r="S7" s="81" t="s">
        <v>2586</v>
      </c>
      <c r="T7" s="86" t="s">
        <v>2657</v>
      </c>
      <c r="U7" s="81"/>
      <c r="V7" s="84" t="str">
        <f>HYPERLINK("https://pbs.twimg.com/profile_images/1103610784930619393/Sr97_Oib_normal.jpg")</f>
        <v>https://pbs.twimg.com/profile_images/1103610784930619393/Sr97_Oib_normal.jpg</v>
      </c>
      <c r="W7" s="83">
        <v>44457.84269675926</v>
      </c>
      <c r="X7" s="89">
        <v>44457</v>
      </c>
      <c r="Y7" s="86" t="s">
        <v>2757</v>
      </c>
      <c r="Z7" s="84" t="str">
        <f>HYPERLINK("https://twitter.com/mamavanenbas/status/1439321699283976194")</f>
        <v>https://twitter.com/mamavanenbas/status/1439321699283976194</v>
      </c>
      <c r="AA7" s="81"/>
      <c r="AB7" s="81"/>
      <c r="AC7" s="86" t="s">
        <v>4217</v>
      </c>
      <c r="AD7" s="81"/>
      <c r="AE7" s="81" t="b">
        <v>0</v>
      </c>
      <c r="AF7" s="81">
        <v>0</v>
      </c>
      <c r="AG7" s="86" t="s">
        <v>6240</v>
      </c>
      <c r="AH7" s="81" t="b">
        <v>0</v>
      </c>
      <c r="AI7" s="81" t="s">
        <v>6478</v>
      </c>
      <c r="AJ7" s="81"/>
      <c r="AK7" s="86" t="s">
        <v>6240</v>
      </c>
      <c r="AL7" s="81" t="b">
        <v>0</v>
      </c>
      <c r="AM7" s="81">
        <v>0</v>
      </c>
      <c r="AN7" s="86" t="s">
        <v>6240</v>
      </c>
      <c r="AO7" s="86" t="s">
        <v>6503</v>
      </c>
      <c r="AP7" s="81" t="b">
        <v>0</v>
      </c>
      <c r="AQ7" s="86" t="s">
        <v>4217</v>
      </c>
      <c r="AR7" s="81" t="s">
        <v>179</v>
      </c>
      <c r="AS7" s="81">
        <v>0</v>
      </c>
      <c r="AT7" s="81">
        <v>0</v>
      </c>
      <c r="AU7" s="81"/>
      <c r="AV7" s="81"/>
      <c r="AW7" s="81"/>
      <c r="AX7" s="81"/>
      <c r="AY7" s="81"/>
      <c r="AZ7" s="81"/>
      <c r="BA7" s="81"/>
      <c r="BB7" s="81"/>
    </row>
    <row r="8" spans="1:54" x14ac:dyDescent="0.35">
      <c r="A8" s="66" t="s">
        <v>220</v>
      </c>
      <c r="B8" s="66" t="s">
        <v>220</v>
      </c>
      <c r="C8" s="67"/>
      <c r="D8" s="68"/>
      <c r="E8" s="69"/>
      <c r="F8" s="70"/>
      <c r="G8" s="67"/>
      <c r="H8" s="71"/>
      <c r="I8" s="72"/>
      <c r="J8" s="72"/>
      <c r="K8" s="36"/>
      <c r="L8" s="79"/>
      <c r="M8" s="79"/>
      <c r="N8" s="74"/>
      <c r="O8" s="81" t="s">
        <v>179</v>
      </c>
      <c r="P8" s="83">
        <v>44457.855104166665</v>
      </c>
      <c r="Q8" s="81" t="s">
        <v>1538</v>
      </c>
      <c r="R8" s="81"/>
      <c r="S8" s="81"/>
      <c r="T8" s="81"/>
      <c r="U8" s="81"/>
      <c r="V8" s="84" t="str">
        <f>HYPERLINK("https://pbs.twimg.com/profile_images/1440666837750988817/GsPqWhSc_normal.jpg")</f>
        <v>https://pbs.twimg.com/profile_images/1440666837750988817/GsPqWhSc_normal.jpg</v>
      </c>
      <c r="W8" s="83">
        <v>44457.855104166665</v>
      </c>
      <c r="X8" s="89">
        <v>44457</v>
      </c>
      <c r="Y8" s="86" t="s">
        <v>2758</v>
      </c>
      <c r="Z8" s="84" t="str">
        <f>HYPERLINK("https://twitter.com/ilvtenyuw_/status/1439326199008796672")</f>
        <v>https://twitter.com/ilvtenyuw_/status/1439326199008796672</v>
      </c>
      <c r="AA8" s="81"/>
      <c r="AB8" s="81"/>
      <c r="AC8" s="86" t="s">
        <v>4218</v>
      </c>
      <c r="AD8" s="86" t="s">
        <v>5971</v>
      </c>
      <c r="AE8" s="81" t="b">
        <v>0</v>
      </c>
      <c r="AF8" s="81">
        <v>0</v>
      </c>
      <c r="AG8" s="86" t="s">
        <v>6241</v>
      </c>
      <c r="AH8" s="81" t="b">
        <v>0</v>
      </c>
      <c r="AI8" s="81" t="s">
        <v>6478</v>
      </c>
      <c r="AJ8" s="81"/>
      <c r="AK8" s="86" t="s">
        <v>6240</v>
      </c>
      <c r="AL8" s="81" t="b">
        <v>0</v>
      </c>
      <c r="AM8" s="81">
        <v>0</v>
      </c>
      <c r="AN8" s="86" t="s">
        <v>6240</v>
      </c>
      <c r="AO8" s="86" t="s">
        <v>6503</v>
      </c>
      <c r="AP8" s="81" t="b">
        <v>0</v>
      </c>
      <c r="AQ8" s="86" t="s">
        <v>5971</v>
      </c>
      <c r="AR8" s="81" t="s">
        <v>179</v>
      </c>
      <c r="AS8" s="81">
        <v>0</v>
      </c>
      <c r="AT8" s="81">
        <v>0</v>
      </c>
      <c r="AU8" s="81"/>
      <c r="AV8" s="81"/>
      <c r="AW8" s="81"/>
      <c r="AX8" s="81"/>
      <c r="AY8" s="81"/>
      <c r="AZ8" s="81"/>
      <c r="BA8" s="81"/>
      <c r="BB8" s="81"/>
    </row>
    <row r="9" spans="1:54" x14ac:dyDescent="0.35">
      <c r="A9" s="66" t="s">
        <v>221</v>
      </c>
      <c r="B9" s="66" t="s">
        <v>1273</v>
      </c>
      <c r="C9" s="67"/>
      <c r="D9" s="68"/>
      <c r="E9" s="69"/>
      <c r="F9" s="70"/>
      <c r="G9" s="67"/>
      <c r="H9" s="71"/>
      <c r="I9" s="72"/>
      <c r="J9" s="72"/>
      <c r="K9" s="36"/>
      <c r="L9" s="79"/>
      <c r="M9" s="79"/>
      <c r="N9" s="74"/>
      <c r="O9" s="81" t="s">
        <v>1534</v>
      </c>
      <c r="P9" s="83">
        <v>44457.949363425927</v>
      </c>
      <c r="Q9" s="81" t="s">
        <v>1539</v>
      </c>
      <c r="R9" s="81"/>
      <c r="S9" s="81"/>
      <c r="T9" s="81"/>
      <c r="U9" s="81"/>
      <c r="V9" s="84" t="str">
        <f>HYPERLINK("https://pbs.twimg.com/profile_images/1399862544978698240/5ZwRSNOh_normal.jpg")</f>
        <v>https://pbs.twimg.com/profile_images/1399862544978698240/5ZwRSNOh_normal.jpg</v>
      </c>
      <c r="W9" s="83">
        <v>44457.949363425927</v>
      </c>
      <c r="X9" s="89">
        <v>44457</v>
      </c>
      <c r="Y9" s="86" t="s">
        <v>2759</v>
      </c>
      <c r="Z9" s="84" t="str">
        <f>HYPERLINK("https://twitter.com/imam_rachmayadi/status/1439360354258079744")</f>
        <v>https://twitter.com/imam_rachmayadi/status/1439360354258079744</v>
      </c>
      <c r="AA9" s="81"/>
      <c r="AB9" s="81"/>
      <c r="AC9" s="86" t="s">
        <v>4219</v>
      </c>
      <c r="AD9" s="86" t="s">
        <v>5972</v>
      </c>
      <c r="AE9" s="81" t="b">
        <v>0</v>
      </c>
      <c r="AF9" s="81">
        <v>0</v>
      </c>
      <c r="AG9" s="86" t="s">
        <v>6242</v>
      </c>
      <c r="AH9" s="81" t="b">
        <v>0</v>
      </c>
      <c r="AI9" s="81" t="s">
        <v>6478</v>
      </c>
      <c r="AJ9" s="81"/>
      <c r="AK9" s="86" t="s">
        <v>6240</v>
      </c>
      <c r="AL9" s="81" t="b">
        <v>0</v>
      </c>
      <c r="AM9" s="81">
        <v>0</v>
      </c>
      <c r="AN9" s="86" t="s">
        <v>6240</v>
      </c>
      <c r="AO9" s="86" t="s">
        <v>6503</v>
      </c>
      <c r="AP9" s="81" t="b">
        <v>0</v>
      </c>
      <c r="AQ9" s="86" t="s">
        <v>5972</v>
      </c>
      <c r="AR9" s="81" t="s">
        <v>179</v>
      </c>
      <c r="AS9" s="81">
        <v>0</v>
      </c>
      <c r="AT9" s="81">
        <v>0</v>
      </c>
      <c r="AU9" s="81"/>
      <c r="AV9" s="81"/>
      <c r="AW9" s="81"/>
      <c r="AX9" s="81"/>
      <c r="AY9" s="81"/>
      <c r="AZ9" s="81"/>
      <c r="BA9" s="81"/>
      <c r="BB9" s="81"/>
    </row>
    <row r="10" spans="1:54" x14ac:dyDescent="0.35">
      <c r="A10" s="66" t="s">
        <v>222</v>
      </c>
      <c r="B10" s="66" t="s">
        <v>222</v>
      </c>
      <c r="C10" s="67"/>
      <c r="D10" s="68"/>
      <c r="E10" s="69"/>
      <c r="F10" s="70"/>
      <c r="G10" s="67"/>
      <c r="H10" s="71"/>
      <c r="I10" s="72"/>
      <c r="J10" s="72"/>
      <c r="K10" s="36"/>
      <c r="L10" s="79"/>
      <c r="M10" s="79"/>
      <c r="N10" s="74"/>
      <c r="O10" s="81" t="s">
        <v>179</v>
      </c>
      <c r="P10" s="83">
        <v>44457.97792824074</v>
      </c>
      <c r="Q10" s="81" t="s">
        <v>1540</v>
      </c>
      <c r="R10" s="81"/>
      <c r="S10" s="81"/>
      <c r="T10" s="81"/>
      <c r="U10" s="81"/>
      <c r="V10" s="84" t="str">
        <f>HYPERLINK("https://pbs.twimg.com/profile_images/1354639667568603141/Ocjf9fiA_normal.jpg")</f>
        <v>https://pbs.twimg.com/profile_images/1354639667568603141/Ocjf9fiA_normal.jpg</v>
      </c>
      <c r="W10" s="83">
        <v>44457.97792824074</v>
      </c>
      <c r="X10" s="89">
        <v>44457</v>
      </c>
      <c r="Y10" s="86" t="s">
        <v>2760</v>
      </c>
      <c r="Z10" s="84" t="str">
        <f>HYPERLINK("https://twitter.com/raniafitri9/status/1439370706739875841")</f>
        <v>https://twitter.com/raniafitri9/status/1439370706739875841</v>
      </c>
      <c r="AA10" s="81"/>
      <c r="AB10" s="81"/>
      <c r="AC10" s="86" t="s">
        <v>4220</v>
      </c>
      <c r="AD10" s="81"/>
      <c r="AE10" s="81" t="b">
        <v>0</v>
      </c>
      <c r="AF10" s="81">
        <v>0</v>
      </c>
      <c r="AG10" s="86" t="s">
        <v>6240</v>
      </c>
      <c r="AH10" s="81" t="b">
        <v>0</v>
      </c>
      <c r="AI10" s="81" t="s">
        <v>6478</v>
      </c>
      <c r="AJ10" s="81"/>
      <c r="AK10" s="86" t="s">
        <v>6240</v>
      </c>
      <c r="AL10" s="81" t="b">
        <v>0</v>
      </c>
      <c r="AM10" s="81">
        <v>0</v>
      </c>
      <c r="AN10" s="86" t="s">
        <v>6240</v>
      </c>
      <c r="AO10" s="86" t="s">
        <v>6504</v>
      </c>
      <c r="AP10" s="81" t="b">
        <v>0</v>
      </c>
      <c r="AQ10" s="86" t="s">
        <v>4220</v>
      </c>
      <c r="AR10" s="81" t="s">
        <v>179</v>
      </c>
      <c r="AS10" s="81">
        <v>0</v>
      </c>
      <c r="AT10" s="81">
        <v>0</v>
      </c>
      <c r="AU10" s="81"/>
      <c r="AV10" s="81"/>
      <c r="AW10" s="81"/>
      <c r="AX10" s="81"/>
      <c r="AY10" s="81"/>
      <c r="AZ10" s="81"/>
      <c r="BA10" s="81"/>
      <c r="BB10" s="81"/>
    </row>
    <row r="11" spans="1:54" x14ac:dyDescent="0.35">
      <c r="A11" s="66" t="s">
        <v>223</v>
      </c>
      <c r="B11" s="66" t="s">
        <v>223</v>
      </c>
      <c r="C11" s="67"/>
      <c r="D11" s="68"/>
      <c r="E11" s="69"/>
      <c r="F11" s="70"/>
      <c r="G11" s="67"/>
      <c r="H11" s="71"/>
      <c r="I11" s="72"/>
      <c r="J11" s="72"/>
      <c r="K11" s="36"/>
      <c r="L11" s="79"/>
      <c r="M11" s="79"/>
      <c r="N11" s="74"/>
      <c r="O11" s="81" t="s">
        <v>179</v>
      </c>
      <c r="P11" s="83">
        <v>44458.004363425927</v>
      </c>
      <c r="Q11" s="81" t="s">
        <v>1541</v>
      </c>
      <c r="R11" s="81"/>
      <c r="S11" s="81"/>
      <c r="T11" s="81"/>
      <c r="U11" s="81"/>
      <c r="V11" s="84" t="str">
        <f>HYPERLINK("https://pbs.twimg.com/profile_images/1442055547927220225/A_qOP4KA_normal.jpg")</f>
        <v>https://pbs.twimg.com/profile_images/1442055547927220225/A_qOP4KA_normal.jpg</v>
      </c>
      <c r="W11" s="83">
        <v>44458.004363425927</v>
      </c>
      <c r="X11" s="89">
        <v>44458</v>
      </c>
      <c r="Y11" s="86" t="s">
        <v>2761</v>
      </c>
      <c r="Z11" s="84" t="str">
        <f>HYPERLINK("https://twitter.com/princeofcrimes/status/1439380286953852931")</f>
        <v>https://twitter.com/princeofcrimes/status/1439380286953852931</v>
      </c>
      <c r="AA11" s="81"/>
      <c r="AB11" s="81"/>
      <c r="AC11" s="86" t="s">
        <v>4221</v>
      </c>
      <c r="AD11" s="81"/>
      <c r="AE11" s="81" t="b">
        <v>0</v>
      </c>
      <c r="AF11" s="81">
        <v>1</v>
      </c>
      <c r="AG11" s="86" t="s">
        <v>6240</v>
      </c>
      <c r="AH11" s="81" t="b">
        <v>0</v>
      </c>
      <c r="AI11" s="81" t="s">
        <v>6478</v>
      </c>
      <c r="AJ11" s="81"/>
      <c r="AK11" s="86" t="s">
        <v>6240</v>
      </c>
      <c r="AL11" s="81" t="b">
        <v>0</v>
      </c>
      <c r="AM11" s="81">
        <v>0</v>
      </c>
      <c r="AN11" s="86" t="s">
        <v>6240</v>
      </c>
      <c r="AO11" s="86" t="s">
        <v>6505</v>
      </c>
      <c r="AP11" s="81" t="b">
        <v>0</v>
      </c>
      <c r="AQ11" s="86" t="s">
        <v>4221</v>
      </c>
      <c r="AR11" s="81" t="s">
        <v>179</v>
      </c>
      <c r="AS11" s="81">
        <v>0</v>
      </c>
      <c r="AT11" s="81">
        <v>0</v>
      </c>
      <c r="AU11" s="81"/>
      <c r="AV11" s="81"/>
      <c r="AW11" s="81"/>
      <c r="AX11" s="81"/>
      <c r="AY11" s="81"/>
      <c r="AZ11" s="81"/>
      <c r="BA11" s="81"/>
      <c r="BB11" s="81"/>
    </row>
    <row r="12" spans="1:54" x14ac:dyDescent="0.35">
      <c r="A12" s="66" t="s">
        <v>224</v>
      </c>
      <c r="B12" s="66" t="s">
        <v>1274</v>
      </c>
      <c r="C12" s="67"/>
      <c r="D12" s="68"/>
      <c r="E12" s="69"/>
      <c r="F12" s="70"/>
      <c r="G12" s="67"/>
      <c r="H12" s="71"/>
      <c r="I12" s="72"/>
      <c r="J12" s="72"/>
      <c r="K12" s="36"/>
      <c r="L12" s="79"/>
      <c r="M12" s="79"/>
      <c r="N12" s="74"/>
      <c r="O12" s="81" t="s">
        <v>1534</v>
      </c>
      <c r="P12" s="83">
        <v>44458.039409722223</v>
      </c>
      <c r="Q12" s="81" t="s">
        <v>1542</v>
      </c>
      <c r="R12" s="81"/>
      <c r="S12" s="81"/>
      <c r="T12" s="81"/>
      <c r="U12" s="81"/>
      <c r="V12" s="84" t="str">
        <f>HYPERLINK("https://pbs.twimg.com/profile_images/1397962160588746752/2p9vbGzX_normal.jpg")</f>
        <v>https://pbs.twimg.com/profile_images/1397962160588746752/2p9vbGzX_normal.jpg</v>
      </c>
      <c r="W12" s="83">
        <v>44458.039409722223</v>
      </c>
      <c r="X12" s="89">
        <v>44458</v>
      </c>
      <c r="Y12" s="86" t="s">
        <v>2762</v>
      </c>
      <c r="Z12" s="84" t="str">
        <f>HYPERLINK("https://twitter.com/ofcourseynoot/status/1439392988665286661")</f>
        <v>https://twitter.com/ofcourseynoot/status/1439392988665286661</v>
      </c>
      <c r="AA12" s="81"/>
      <c r="AB12" s="81"/>
      <c r="AC12" s="86" t="s">
        <v>4222</v>
      </c>
      <c r="AD12" s="86" t="s">
        <v>5973</v>
      </c>
      <c r="AE12" s="81" t="b">
        <v>0</v>
      </c>
      <c r="AF12" s="81">
        <v>0</v>
      </c>
      <c r="AG12" s="86" t="s">
        <v>6243</v>
      </c>
      <c r="AH12" s="81" t="b">
        <v>0</v>
      </c>
      <c r="AI12" s="81" t="s">
        <v>6478</v>
      </c>
      <c r="AJ12" s="81"/>
      <c r="AK12" s="86" t="s">
        <v>6240</v>
      </c>
      <c r="AL12" s="81" t="b">
        <v>0</v>
      </c>
      <c r="AM12" s="81">
        <v>0</v>
      </c>
      <c r="AN12" s="86" t="s">
        <v>6240</v>
      </c>
      <c r="AO12" s="86" t="s">
        <v>6503</v>
      </c>
      <c r="AP12" s="81" t="b">
        <v>0</v>
      </c>
      <c r="AQ12" s="86" t="s">
        <v>5973</v>
      </c>
      <c r="AR12" s="81" t="s">
        <v>179</v>
      </c>
      <c r="AS12" s="81">
        <v>0</v>
      </c>
      <c r="AT12" s="81">
        <v>0</v>
      </c>
      <c r="AU12" s="81"/>
      <c r="AV12" s="81"/>
      <c r="AW12" s="81"/>
      <c r="AX12" s="81"/>
      <c r="AY12" s="81"/>
      <c r="AZ12" s="81"/>
      <c r="BA12" s="81"/>
      <c r="BB12" s="81"/>
    </row>
    <row r="13" spans="1:54" x14ac:dyDescent="0.35">
      <c r="A13" s="66" t="s">
        <v>225</v>
      </c>
      <c r="B13" s="66" t="s">
        <v>225</v>
      </c>
      <c r="C13" s="67"/>
      <c r="D13" s="68"/>
      <c r="E13" s="69"/>
      <c r="F13" s="70"/>
      <c r="G13" s="67"/>
      <c r="H13" s="71"/>
      <c r="I13" s="72"/>
      <c r="J13" s="72"/>
      <c r="K13" s="36"/>
      <c r="L13" s="79"/>
      <c r="M13" s="79"/>
      <c r="N13" s="74"/>
      <c r="O13" s="81" t="s">
        <v>179</v>
      </c>
      <c r="P13" s="83">
        <v>44458.056446759256</v>
      </c>
      <c r="Q13" s="81" t="s">
        <v>1543</v>
      </c>
      <c r="R13" s="81"/>
      <c r="S13" s="81"/>
      <c r="T13" s="81"/>
      <c r="U13" s="81"/>
      <c r="V13" s="84" t="str">
        <f>HYPERLINK("https://pbs.twimg.com/profile_images/1411171020317237248/qsUjuAo9_normal.jpg")</f>
        <v>https://pbs.twimg.com/profile_images/1411171020317237248/qsUjuAo9_normal.jpg</v>
      </c>
      <c r="W13" s="83">
        <v>44458.056446759256</v>
      </c>
      <c r="X13" s="89">
        <v>44458</v>
      </c>
      <c r="Y13" s="86" t="s">
        <v>2763</v>
      </c>
      <c r="Z13" s="84" t="str">
        <f>HYPERLINK("https://twitter.com/nana_shazliana/status/1439399162479460357")</f>
        <v>https://twitter.com/nana_shazliana/status/1439399162479460357</v>
      </c>
      <c r="AA13" s="81"/>
      <c r="AB13" s="81"/>
      <c r="AC13" s="86" t="s">
        <v>4223</v>
      </c>
      <c r="AD13" s="81"/>
      <c r="AE13" s="81" t="b">
        <v>0</v>
      </c>
      <c r="AF13" s="81">
        <v>0</v>
      </c>
      <c r="AG13" s="86" t="s">
        <v>6240</v>
      </c>
      <c r="AH13" s="81" t="b">
        <v>0</v>
      </c>
      <c r="AI13" s="81" t="s">
        <v>6478</v>
      </c>
      <c r="AJ13" s="81"/>
      <c r="AK13" s="86" t="s">
        <v>6240</v>
      </c>
      <c r="AL13" s="81" t="b">
        <v>0</v>
      </c>
      <c r="AM13" s="81">
        <v>0</v>
      </c>
      <c r="AN13" s="86" t="s">
        <v>6240</v>
      </c>
      <c r="AO13" s="86" t="s">
        <v>6505</v>
      </c>
      <c r="AP13" s="81" t="b">
        <v>0</v>
      </c>
      <c r="AQ13" s="86" t="s">
        <v>4223</v>
      </c>
      <c r="AR13" s="81" t="s">
        <v>179</v>
      </c>
      <c r="AS13" s="81">
        <v>0</v>
      </c>
      <c r="AT13" s="81">
        <v>0</v>
      </c>
      <c r="AU13" s="81"/>
      <c r="AV13" s="81"/>
      <c r="AW13" s="81"/>
      <c r="AX13" s="81"/>
      <c r="AY13" s="81"/>
      <c r="AZ13" s="81"/>
      <c r="BA13" s="81"/>
      <c r="BB13" s="81"/>
    </row>
    <row r="14" spans="1:54" x14ac:dyDescent="0.35">
      <c r="A14" s="66" t="s">
        <v>226</v>
      </c>
      <c r="B14" s="66" t="s">
        <v>1275</v>
      </c>
      <c r="C14" s="67"/>
      <c r="D14" s="68"/>
      <c r="E14" s="69"/>
      <c r="F14" s="70"/>
      <c r="G14" s="67"/>
      <c r="H14" s="71"/>
      <c r="I14" s="72"/>
      <c r="J14" s="72"/>
      <c r="K14" s="36"/>
      <c r="L14" s="79"/>
      <c r="M14" s="79"/>
      <c r="N14" s="74"/>
      <c r="O14" s="81" t="s">
        <v>1534</v>
      </c>
      <c r="P14" s="83">
        <v>44458.05741898148</v>
      </c>
      <c r="Q14" s="81" t="s">
        <v>1544</v>
      </c>
      <c r="R14" s="81"/>
      <c r="S14" s="81"/>
      <c r="T14" s="81"/>
      <c r="U14" s="81"/>
      <c r="V14" s="84" t="str">
        <f>HYPERLINK("https://pbs.twimg.com/profile_images/1438333980114239491/HlKn1Nai_normal.jpg")</f>
        <v>https://pbs.twimg.com/profile_images/1438333980114239491/HlKn1Nai_normal.jpg</v>
      </c>
      <c r="W14" s="83">
        <v>44458.05741898148</v>
      </c>
      <c r="X14" s="89">
        <v>44458</v>
      </c>
      <c r="Y14" s="86" t="s">
        <v>2764</v>
      </c>
      <c r="Z14" s="84" t="str">
        <f>HYPERLINK("https://twitter.com/jeonchimz/status/1439399512288628739")</f>
        <v>https://twitter.com/jeonchimz/status/1439399512288628739</v>
      </c>
      <c r="AA14" s="81"/>
      <c r="AB14" s="81"/>
      <c r="AC14" s="86" t="s">
        <v>4224</v>
      </c>
      <c r="AD14" s="86" t="s">
        <v>5974</v>
      </c>
      <c r="AE14" s="81" t="b">
        <v>0</v>
      </c>
      <c r="AF14" s="81">
        <v>1</v>
      </c>
      <c r="AG14" s="86" t="s">
        <v>6244</v>
      </c>
      <c r="AH14" s="81" t="b">
        <v>0</v>
      </c>
      <c r="AI14" s="81" t="s">
        <v>6478</v>
      </c>
      <c r="AJ14" s="81"/>
      <c r="AK14" s="86" t="s">
        <v>6240</v>
      </c>
      <c r="AL14" s="81" t="b">
        <v>0</v>
      </c>
      <c r="AM14" s="81">
        <v>0</v>
      </c>
      <c r="AN14" s="86" t="s">
        <v>6240</v>
      </c>
      <c r="AO14" s="86" t="s">
        <v>6503</v>
      </c>
      <c r="AP14" s="81" t="b">
        <v>0</v>
      </c>
      <c r="AQ14" s="86" t="s">
        <v>5974</v>
      </c>
      <c r="AR14" s="81" t="s">
        <v>179</v>
      </c>
      <c r="AS14" s="81">
        <v>0</v>
      </c>
      <c r="AT14" s="81">
        <v>0</v>
      </c>
      <c r="AU14" s="81"/>
      <c r="AV14" s="81"/>
      <c r="AW14" s="81"/>
      <c r="AX14" s="81"/>
      <c r="AY14" s="81"/>
      <c r="AZ14" s="81"/>
      <c r="BA14" s="81"/>
      <c r="BB14" s="81"/>
    </row>
    <row r="15" spans="1:54" x14ac:dyDescent="0.35">
      <c r="A15" s="66" t="s">
        <v>227</v>
      </c>
      <c r="B15" s="66" t="s">
        <v>1275</v>
      </c>
      <c r="C15" s="67"/>
      <c r="D15" s="68"/>
      <c r="E15" s="69"/>
      <c r="F15" s="70"/>
      <c r="G15" s="67"/>
      <c r="H15" s="71"/>
      <c r="I15" s="72"/>
      <c r="J15" s="72"/>
      <c r="K15" s="36"/>
      <c r="L15" s="79"/>
      <c r="M15" s="79"/>
      <c r="N15" s="74"/>
      <c r="O15" s="81" t="s">
        <v>1534</v>
      </c>
      <c r="P15" s="83">
        <v>44458.072638888887</v>
      </c>
      <c r="Q15" s="81" t="s">
        <v>1545</v>
      </c>
      <c r="R15" s="81"/>
      <c r="S15" s="81"/>
      <c r="T15" s="81"/>
      <c r="U15" s="81"/>
      <c r="V15" s="84" t="str">
        <f>HYPERLINK("https://pbs.twimg.com/profile_images/1425974313035853827/xsxHImsv_normal.jpg")</f>
        <v>https://pbs.twimg.com/profile_images/1425974313035853827/xsxHImsv_normal.jpg</v>
      </c>
      <c r="W15" s="83">
        <v>44458.072638888887</v>
      </c>
      <c r="X15" s="89">
        <v>44458</v>
      </c>
      <c r="Y15" s="86" t="s">
        <v>2765</v>
      </c>
      <c r="Z15" s="84" t="str">
        <f>HYPERLINK("https://twitter.com/_milkytael_/status/1439405031376109573")</f>
        <v>https://twitter.com/_milkytael_/status/1439405031376109573</v>
      </c>
      <c r="AA15" s="81"/>
      <c r="AB15" s="81"/>
      <c r="AC15" s="86" t="s">
        <v>4225</v>
      </c>
      <c r="AD15" s="86" t="s">
        <v>5974</v>
      </c>
      <c r="AE15" s="81" t="b">
        <v>0</v>
      </c>
      <c r="AF15" s="81">
        <v>0</v>
      </c>
      <c r="AG15" s="86" t="s">
        <v>6244</v>
      </c>
      <c r="AH15" s="81" t="b">
        <v>0</v>
      </c>
      <c r="AI15" s="81" t="s">
        <v>6478</v>
      </c>
      <c r="AJ15" s="81"/>
      <c r="AK15" s="86" t="s">
        <v>6240</v>
      </c>
      <c r="AL15" s="81" t="b">
        <v>0</v>
      </c>
      <c r="AM15" s="81">
        <v>0</v>
      </c>
      <c r="AN15" s="86" t="s">
        <v>6240</v>
      </c>
      <c r="AO15" s="86" t="s">
        <v>6505</v>
      </c>
      <c r="AP15" s="81" t="b">
        <v>0</v>
      </c>
      <c r="AQ15" s="86" t="s">
        <v>5974</v>
      </c>
      <c r="AR15" s="81" t="s">
        <v>179</v>
      </c>
      <c r="AS15" s="81">
        <v>0</v>
      </c>
      <c r="AT15" s="81">
        <v>0</v>
      </c>
      <c r="AU15" s="81"/>
      <c r="AV15" s="81"/>
      <c r="AW15" s="81"/>
      <c r="AX15" s="81"/>
      <c r="AY15" s="81"/>
      <c r="AZ15" s="81"/>
      <c r="BA15" s="81"/>
      <c r="BB15" s="81"/>
    </row>
    <row r="16" spans="1:54" x14ac:dyDescent="0.35">
      <c r="A16" s="66" t="s">
        <v>228</v>
      </c>
      <c r="B16" s="66" t="s">
        <v>431</v>
      </c>
      <c r="C16" s="67"/>
      <c r="D16" s="68"/>
      <c r="E16" s="69"/>
      <c r="F16" s="70"/>
      <c r="G16" s="67"/>
      <c r="H16" s="71"/>
      <c r="I16" s="72"/>
      <c r="J16" s="72"/>
      <c r="K16" s="36"/>
      <c r="L16" s="79"/>
      <c r="M16" s="79"/>
      <c r="N16" s="74"/>
      <c r="O16" s="81" t="s">
        <v>1532</v>
      </c>
      <c r="P16" s="83">
        <v>44458.08221064815</v>
      </c>
      <c r="Q16" s="81" t="s">
        <v>1546</v>
      </c>
      <c r="R16" s="84" t="str">
        <f>HYPERLINK("https://www.detik.com/edu/edutainment/d-5729670/dear-lulusan-sma-ada-lowongan-kerja-bumn-pos-indonesia-nih?utm_content=detikedu&amp;utm_term=echobox&amp;utm_campaign=detikcomsocmed&amp;utm_medium=oa&amp;utm_source=Twitter#Echobox=1631969527-1")</f>
        <v>https://www.detik.com/edu/edutainment/d-5729670/dear-lulusan-sma-ada-lowongan-kerja-bumn-pos-indonesia-nih?utm_content=detikedu&amp;utm_term=echobox&amp;utm_campaign=detikcomsocmed&amp;utm_medium=oa&amp;utm_source=Twitter#Echobox=1631969527-1</v>
      </c>
      <c r="S16" s="81" t="s">
        <v>2587</v>
      </c>
      <c r="T16" s="81"/>
      <c r="U16" s="81"/>
      <c r="V16" s="84" t="str">
        <f>HYPERLINK("https://pbs.twimg.com/profile_images/1380516843576729602/m0qWL4hy_normal.jpg")</f>
        <v>https://pbs.twimg.com/profile_images/1380516843576729602/m0qWL4hy_normal.jpg</v>
      </c>
      <c r="W16" s="83">
        <v>44458.08221064815</v>
      </c>
      <c r="X16" s="89">
        <v>44458</v>
      </c>
      <c r="Y16" s="86" t="s">
        <v>2766</v>
      </c>
      <c r="Z16" s="84" t="str">
        <f>HYPERLINK("https://twitter.com/sunupinasti/status/1439408496970113025")</f>
        <v>https://twitter.com/sunupinasti/status/1439408496970113025</v>
      </c>
      <c r="AA16" s="81"/>
      <c r="AB16" s="81"/>
      <c r="AC16" s="86" t="s">
        <v>4226</v>
      </c>
      <c r="AD16" s="81"/>
      <c r="AE16" s="81" t="b">
        <v>0</v>
      </c>
      <c r="AF16" s="81">
        <v>0</v>
      </c>
      <c r="AG16" s="86" t="s">
        <v>6240</v>
      </c>
      <c r="AH16" s="81" t="b">
        <v>0</v>
      </c>
      <c r="AI16" s="81" t="s">
        <v>6478</v>
      </c>
      <c r="AJ16" s="81"/>
      <c r="AK16" s="86" t="s">
        <v>6240</v>
      </c>
      <c r="AL16" s="81" t="b">
        <v>0</v>
      </c>
      <c r="AM16" s="81">
        <v>10</v>
      </c>
      <c r="AN16" s="86" t="s">
        <v>4450</v>
      </c>
      <c r="AO16" s="86" t="s">
        <v>6503</v>
      </c>
      <c r="AP16" s="81" t="b">
        <v>0</v>
      </c>
      <c r="AQ16" s="86" t="s">
        <v>4450</v>
      </c>
      <c r="AR16" s="81" t="s">
        <v>179</v>
      </c>
      <c r="AS16" s="81">
        <v>0</v>
      </c>
      <c r="AT16" s="81">
        <v>0</v>
      </c>
      <c r="AU16" s="81"/>
      <c r="AV16" s="81"/>
      <c r="AW16" s="81"/>
      <c r="AX16" s="81"/>
      <c r="AY16" s="81"/>
      <c r="AZ16" s="81"/>
      <c r="BA16" s="81"/>
      <c r="BB16" s="81"/>
    </row>
    <row r="17" spans="1:54" x14ac:dyDescent="0.35">
      <c r="A17" s="66" t="s">
        <v>229</v>
      </c>
      <c r="B17" s="66" t="s">
        <v>229</v>
      </c>
      <c r="C17" s="67"/>
      <c r="D17" s="68"/>
      <c r="E17" s="69"/>
      <c r="F17" s="70"/>
      <c r="G17" s="67"/>
      <c r="H17" s="71"/>
      <c r="I17" s="72"/>
      <c r="J17" s="72"/>
      <c r="K17" s="36"/>
      <c r="L17" s="79"/>
      <c r="M17" s="79"/>
      <c r="N17" s="74"/>
      <c r="O17" s="81" t="s">
        <v>179</v>
      </c>
      <c r="P17" s="83">
        <v>44458.101712962962</v>
      </c>
      <c r="Q17" s="81" t="s">
        <v>1547</v>
      </c>
      <c r="R17" s="81"/>
      <c r="S17" s="81"/>
      <c r="T17" s="81"/>
      <c r="U17" s="81"/>
      <c r="V17" s="84" t="str">
        <f>HYPERLINK("https://pbs.twimg.com/profile_images/1439669984666402817/LMKXY5Gf_normal.jpg")</f>
        <v>https://pbs.twimg.com/profile_images/1439669984666402817/LMKXY5Gf_normal.jpg</v>
      </c>
      <c r="W17" s="83">
        <v>44458.101712962962</v>
      </c>
      <c r="X17" s="89">
        <v>44458</v>
      </c>
      <c r="Y17" s="86" t="s">
        <v>2767</v>
      </c>
      <c r="Z17" s="84" t="str">
        <f>HYPERLINK("https://twitter.com/raihanadia__/status/1439415565618081793")</f>
        <v>https://twitter.com/raihanadia__/status/1439415565618081793</v>
      </c>
      <c r="AA17" s="81"/>
      <c r="AB17" s="81"/>
      <c r="AC17" s="86" t="s">
        <v>4227</v>
      </c>
      <c r="AD17" s="81"/>
      <c r="AE17" s="81" t="b">
        <v>0</v>
      </c>
      <c r="AF17" s="81">
        <v>0</v>
      </c>
      <c r="AG17" s="86" t="s">
        <v>6240</v>
      </c>
      <c r="AH17" s="81" t="b">
        <v>0</v>
      </c>
      <c r="AI17" s="81" t="s">
        <v>6478</v>
      </c>
      <c r="AJ17" s="81"/>
      <c r="AK17" s="86" t="s">
        <v>6240</v>
      </c>
      <c r="AL17" s="81" t="b">
        <v>0</v>
      </c>
      <c r="AM17" s="81">
        <v>0</v>
      </c>
      <c r="AN17" s="86" t="s">
        <v>6240</v>
      </c>
      <c r="AO17" s="86" t="s">
        <v>6505</v>
      </c>
      <c r="AP17" s="81" t="b">
        <v>0</v>
      </c>
      <c r="AQ17" s="86" t="s">
        <v>4227</v>
      </c>
      <c r="AR17" s="81" t="s">
        <v>179</v>
      </c>
      <c r="AS17" s="81">
        <v>0</v>
      </c>
      <c r="AT17" s="81">
        <v>0</v>
      </c>
      <c r="AU17" s="81"/>
      <c r="AV17" s="81"/>
      <c r="AW17" s="81"/>
      <c r="AX17" s="81"/>
      <c r="AY17" s="81"/>
      <c r="AZ17" s="81"/>
      <c r="BA17" s="81"/>
      <c r="BB17" s="81"/>
    </row>
    <row r="18" spans="1:54" x14ac:dyDescent="0.35">
      <c r="A18" s="66" t="s">
        <v>230</v>
      </c>
      <c r="B18" s="66" t="s">
        <v>230</v>
      </c>
      <c r="C18" s="67"/>
      <c r="D18" s="68"/>
      <c r="E18" s="69"/>
      <c r="F18" s="70"/>
      <c r="G18" s="67"/>
      <c r="H18" s="71"/>
      <c r="I18" s="72"/>
      <c r="J18" s="72"/>
      <c r="K18" s="36"/>
      <c r="L18" s="79"/>
      <c r="M18" s="79"/>
      <c r="N18" s="74"/>
      <c r="O18" s="81" t="s">
        <v>179</v>
      </c>
      <c r="P18" s="83">
        <v>44458.126759259256</v>
      </c>
      <c r="Q18" s="81" t="s">
        <v>1548</v>
      </c>
      <c r="R18" s="81"/>
      <c r="S18" s="81"/>
      <c r="T18" s="81"/>
      <c r="U18" s="81"/>
      <c r="V18" s="84" t="str">
        <f>HYPERLINK("https://pbs.twimg.com/profile_images/1430172677403258892/ayh0EBol_normal.jpg")</f>
        <v>https://pbs.twimg.com/profile_images/1430172677403258892/ayh0EBol_normal.jpg</v>
      </c>
      <c r="W18" s="83">
        <v>44458.126759259256</v>
      </c>
      <c r="X18" s="89">
        <v>44458</v>
      </c>
      <c r="Y18" s="86" t="s">
        <v>2768</v>
      </c>
      <c r="Z18" s="84" t="str">
        <f>HYPERLINK("https://twitter.com/belle_maaa/status/1439424640384847876")</f>
        <v>https://twitter.com/belle_maaa/status/1439424640384847876</v>
      </c>
      <c r="AA18" s="81"/>
      <c r="AB18" s="81"/>
      <c r="AC18" s="86" t="s">
        <v>4228</v>
      </c>
      <c r="AD18" s="81"/>
      <c r="AE18" s="81" t="b">
        <v>0</v>
      </c>
      <c r="AF18" s="81">
        <v>7</v>
      </c>
      <c r="AG18" s="86" t="s">
        <v>6240</v>
      </c>
      <c r="AH18" s="81" t="b">
        <v>0</v>
      </c>
      <c r="AI18" s="81" t="s">
        <v>6479</v>
      </c>
      <c r="AJ18" s="81"/>
      <c r="AK18" s="86" t="s">
        <v>6240</v>
      </c>
      <c r="AL18" s="81" t="b">
        <v>0</v>
      </c>
      <c r="AM18" s="81">
        <v>0</v>
      </c>
      <c r="AN18" s="86" t="s">
        <v>6240</v>
      </c>
      <c r="AO18" s="86" t="s">
        <v>6503</v>
      </c>
      <c r="AP18" s="81" t="b">
        <v>0</v>
      </c>
      <c r="AQ18" s="86" t="s">
        <v>4228</v>
      </c>
      <c r="AR18" s="81" t="s">
        <v>179</v>
      </c>
      <c r="AS18" s="81">
        <v>0</v>
      </c>
      <c r="AT18" s="81">
        <v>0</v>
      </c>
      <c r="AU18" s="81"/>
      <c r="AV18" s="81"/>
      <c r="AW18" s="81"/>
      <c r="AX18" s="81"/>
      <c r="AY18" s="81"/>
      <c r="AZ18" s="81"/>
      <c r="BA18" s="81"/>
      <c r="BB18" s="81"/>
    </row>
    <row r="19" spans="1:54" x14ac:dyDescent="0.35">
      <c r="A19" s="66" t="s">
        <v>231</v>
      </c>
      <c r="B19" s="66" t="s">
        <v>231</v>
      </c>
      <c r="C19" s="67"/>
      <c r="D19" s="68"/>
      <c r="E19" s="69"/>
      <c r="F19" s="70"/>
      <c r="G19" s="67"/>
      <c r="H19" s="71"/>
      <c r="I19" s="72"/>
      <c r="J19" s="72"/>
      <c r="K19" s="36"/>
      <c r="L19" s="79"/>
      <c r="M19" s="79"/>
      <c r="N19" s="74"/>
      <c r="O19" s="81" t="s">
        <v>179</v>
      </c>
      <c r="P19" s="83">
        <v>44458.118981481479</v>
      </c>
      <c r="Q19" s="81" t="s">
        <v>1549</v>
      </c>
      <c r="R19" s="81"/>
      <c r="S19" s="81"/>
      <c r="T19" s="81"/>
      <c r="U19" s="84" t="str">
        <f>HYPERLINK("https://pbs.twimg.com/media/E_nag87VEAIG1OW.jpg")</f>
        <v>https://pbs.twimg.com/media/E_nag87VEAIG1OW.jpg</v>
      </c>
      <c r="V19" s="84" t="str">
        <f>HYPERLINK("https://pbs.twimg.com/media/E_nag87VEAIG1OW.jpg")</f>
        <v>https://pbs.twimg.com/media/E_nag87VEAIG1OW.jpg</v>
      </c>
      <c r="W19" s="83">
        <v>44458.118981481479</v>
      </c>
      <c r="X19" s="89">
        <v>44458</v>
      </c>
      <c r="Y19" s="86" t="s">
        <v>2769</v>
      </c>
      <c r="Z19" s="84" t="str">
        <f>HYPERLINK("https://twitter.com/jasajokmebelje1/status/1439421822395568130")</f>
        <v>https://twitter.com/jasajokmebelje1/status/1439421822395568130</v>
      </c>
      <c r="AA19" s="81"/>
      <c r="AB19" s="81"/>
      <c r="AC19" s="86" t="s">
        <v>4229</v>
      </c>
      <c r="AD19" s="81"/>
      <c r="AE19" s="81" t="b">
        <v>0</v>
      </c>
      <c r="AF19" s="81">
        <v>0</v>
      </c>
      <c r="AG19" s="86" t="s">
        <v>6240</v>
      </c>
      <c r="AH19" s="81" t="b">
        <v>0</v>
      </c>
      <c r="AI19" s="81" t="s">
        <v>6478</v>
      </c>
      <c r="AJ19" s="81"/>
      <c r="AK19" s="86" t="s">
        <v>6240</v>
      </c>
      <c r="AL19" s="81" t="b">
        <v>0</v>
      </c>
      <c r="AM19" s="81">
        <v>0</v>
      </c>
      <c r="AN19" s="86" t="s">
        <v>6240</v>
      </c>
      <c r="AO19" s="86" t="s">
        <v>6503</v>
      </c>
      <c r="AP19" s="81" t="b">
        <v>0</v>
      </c>
      <c r="AQ19" s="86" t="s">
        <v>4229</v>
      </c>
      <c r="AR19" s="81" t="s">
        <v>179</v>
      </c>
      <c r="AS19" s="81">
        <v>0</v>
      </c>
      <c r="AT19" s="81">
        <v>0</v>
      </c>
      <c r="AU19" s="81"/>
      <c r="AV19" s="81"/>
      <c r="AW19" s="81"/>
      <c r="AX19" s="81"/>
      <c r="AY19" s="81"/>
      <c r="AZ19" s="81"/>
      <c r="BA19" s="81"/>
      <c r="BB19" s="81"/>
    </row>
    <row r="20" spans="1:54" x14ac:dyDescent="0.35">
      <c r="A20" s="66" t="s">
        <v>231</v>
      </c>
      <c r="B20" s="66" t="s">
        <v>231</v>
      </c>
      <c r="C20" s="67"/>
      <c r="D20" s="68"/>
      <c r="E20" s="69"/>
      <c r="F20" s="70"/>
      <c r="G20" s="67"/>
      <c r="H20" s="71"/>
      <c r="I20" s="72"/>
      <c r="J20" s="72"/>
      <c r="K20" s="36"/>
      <c r="L20" s="79"/>
      <c r="M20" s="79"/>
      <c r="N20" s="74"/>
      <c r="O20" s="81" t="s">
        <v>179</v>
      </c>
      <c r="P20" s="83">
        <v>44458.185069444444</v>
      </c>
      <c r="Q20" s="81" t="s">
        <v>1550</v>
      </c>
      <c r="R20" s="81"/>
      <c r="S20" s="81"/>
      <c r="T20" s="81"/>
      <c r="U20" s="84" t="str">
        <f>HYPERLINK("https://pbs.twimg.com/media/E_nwTQOUcAIq1Tf.jpg")</f>
        <v>https://pbs.twimg.com/media/E_nwTQOUcAIq1Tf.jpg</v>
      </c>
      <c r="V20" s="84" t="str">
        <f>HYPERLINK("https://pbs.twimg.com/media/E_nwTQOUcAIq1Tf.jpg")</f>
        <v>https://pbs.twimg.com/media/E_nwTQOUcAIq1Tf.jpg</v>
      </c>
      <c r="W20" s="83">
        <v>44458.185069444444</v>
      </c>
      <c r="X20" s="89">
        <v>44458</v>
      </c>
      <c r="Y20" s="86" t="s">
        <v>2770</v>
      </c>
      <c r="Z20" s="84" t="str">
        <f>HYPERLINK("https://twitter.com/jasajokmebelje1/status/1439445773972692997")</f>
        <v>https://twitter.com/jasajokmebelje1/status/1439445773972692997</v>
      </c>
      <c r="AA20" s="81"/>
      <c r="AB20" s="81"/>
      <c r="AC20" s="86" t="s">
        <v>4230</v>
      </c>
      <c r="AD20" s="81"/>
      <c r="AE20" s="81" t="b">
        <v>0</v>
      </c>
      <c r="AF20" s="81">
        <v>0</v>
      </c>
      <c r="AG20" s="86" t="s">
        <v>6240</v>
      </c>
      <c r="AH20" s="81" t="b">
        <v>0</v>
      </c>
      <c r="AI20" s="81" t="s">
        <v>6478</v>
      </c>
      <c r="AJ20" s="81"/>
      <c r="AK20" s="86" t="s">
        <v>6240</v>
      </c>
      <c r="AL20" s="81" t="b">
        <v>0</v>
      </c>
      <c r="AM20" s="81">
        <v>0</v>
      </c>
      <c r="AN20" s="86" t="s">
        <v>6240</v>
      </c>
      <c r="AO20" s="86" t="s">
        <v>6503</v>
      </c>
      <c r="AP20" s="81" t="b">
        <v>0</v>
      </c>
      <c r="AQ20" s="86" t="s">
        <v>4230</v>
      </c>
      <c r="AR20" s="81" t="s">
        <v>179</v>
      </c>
      <c r="AS20" s="81">
        <v>0</v>
      </c>
      <c r="AT20" s="81">
        <v>0</v>
      </c>
      <c r="AU20" s="81"/>
      <c r="AV20" s="81"/>
      <c r="AW20" s="81"/>
      <c r="AX20" s="81"/>
      <c r="AY20" s="81"/>
      <c r="AZ20" s="81"/>
      <c r="BA20" s="81"/>
      <c r="BB20" s="81"/>
    </row>
    <row r="21" spans="1:54" x14ac:dyDescent="0.35">
      <c r="A21" s="66" t="s">
        <v>232</v>
      </c>
      <c r="B21" s="66" t="s">
        <v>1276</v>
      </c>
      <c r="C21" s="67"/>
      <c r="D21" s="68"/>
      <c r="E21" s="69"/>
      <c r="F21" s="70"/>
      <c r="G21" s="67"/>
      <c r="H21" s="71"/>
      <c r="I21" s="72"/>
      <c r="J21" s="72"/>
      <c r="K21" s="36"/>
      <c r="L21" s="79"/>
      <c r="M21" s="79"/>
      <c r="N21" s="74"/>
      <c r="O21" s="81" t="s">
        <v>1534</v>
      </c>
      <c r="P21" s="83">
        <v>44458.195324074077</v>
      </c>
      <c r="Q21" s="81" t="s">
        <v>1551</v>
      </c>
      <c r="R21" s="81"/>
      <c r="S21" s="81"/>
      <c r="T21" s="81"/>
      <c r="U21" s="81"/>
      <c r="V21" s="84" t="str">
        <f>HYPERLINK("https://pbs.twimg.com/profile_images/1431531298770731010/joVkc-EU_normal.jpg")</f>
        <v>https://pbs.twimg.com/profile_images/1431531298770731010/joVkc-EU_normal.jpg</v>
      </c>
      <c r="W21" s="83">
        <v>44458.195324074077</v>
      </c>
      <c r="X21" s="89">
        <v>44458</v>
      </c>
      <c r="Y21" s="86" t="s">
        <v>2771</v>
      </c>
      <c r="Z21" s="84" t="str">
        <f>HYPERLINK("https://twitter.com/bemaiae/status/1439449489199153158")</f>
        <v>https://twitter.com/bemaiae/status/1439449489199153158</v>
      </c>
      <c r="AA21" s="81"/>
      <c r="AB21" s="81"/>
      <c r="AC21" s="86" t="s">
        <v>4231</v>
      </c>
      <c r="AD21" s="86" t="s">
        <v>5975</v>
      </c>
      <c r="AE21" s="81" t="b">
        <v>0</v>
      </c>
      <c r="AF21" s="81">
        <v>1</v>
      </c>
      <c r="AG21" s="86" t="s">
        <v>6245</v>
      </c>
      <c r="AH21" s="81" t="b">
        <v>0</v>
      </c>
      <c r="AI21" s="81" t="s">
        <v>6478</v>
      </c>
      <c r="AJ21" s="81"/>
      <c r="AK21" s="86" t="s">
        <v>6240</v>
      </c>
      <c r="AL21" s="81" t="b">
        <v>0</v>
      </c>
      <c r="AM21" s="81">
        <v>0</v>
      </c>
      <c r="AN21" s="86" t="s">
        <v>6240</v>
      </c>
      <c r="AO21" s="86" t="s">
        <v>6503</v>
      </c>
      <c r="AP21" s="81" t="b">
        <v>0</v>
      </c>
      <c r="AQ21" s="86" t="s">
        <v>5975</v>
      </c>
      <c r="AR21" s="81" t="s">
        <v>179</v>
      </c>
      <c r="AS21" s="81">
        <v>0</v>
      </c>
      <c r="AT21" s="81">
        <v>0</v>
      </c>
      <c r="AU21" s="81"/>
      <c r="AV21" s="81"/>
      <c r="AW21" s="81"/>
      <c r="AX21" s="81"/>
      <c r="AY21" s="81"/>
      <c r="AZ21" s="81"/>
      <c r="BA21" s="81"/>
      <c r="BB21" s="81"/>
    </row>
    <row r="22" spans="1:54" x14ac:dyDescent="0.35">
      <c r="A22" s="66" t="s">
        <v>233</v>
      </c>
      <c r="B22" s="66" t="s">
        <v>233</v>
      </c>
      <c r="C22" s="67"/>
      <c r="D22" s="68"/>
      <c r="E22" s="69"/>
      <c r="F22" s="70"/>
      <c r="G22" s="67"/>
      <c r="H22" s="71"/>
      <c r="I22" s="72"/>
      <c r="J22" s="72"/>
      <c r="K22" s="36"/>
      <c r="L22" s="79"/>
      <c r="M22" s="79"/>
      <c r="N22" s="74"/>
      <c r="O22" s="81" t="s">
        <v>179</v>
      </c>
      <c r="P22" s="83">
        <v>44458.19809027778</v>
      </c>
      <c r="Q22" s="81" t="s">
        <v>1552</v>
      </c>
      <c r="R22" s="81"/>
      <c r="S22" s="81"/>
      <c r="T22" s="81"/>
      <c r="U22" s="81"/>
      <c r="V22" s="84" t="str">
        <f>HYPERLINK("https://pbs.twimg.com/profile_images/1432379309591719936/raiBOZcl_normal.jpg")</f>
        <v>https://pbs.twimg.com/profile_images/1432379309591719936/raiBOZcl_normal.jpg</v>
      </c>
      <c r="W22" s="83">
        <v>44458.19809027778</v>
      </c>
      <c r="X22" s="89">
        <v>44458</v>
      </c>
      <c r="Y22" s="86" t="s">
        <v>2772</v>
      </c>
      <c r="Z22" s="84" t="str">
        <f>HYPERLINK("https://twitter.com/wibwaktu/status/1439450489926533124")</f>
        <v>https://twitter.com/wibwaktu/status/1439450489926533124</v>
      </c>
      <c r="AA22" s="81"/>
      <c r="AB22" s="81"/>
      <c r="AC22" s="86" t="s">
        <v>4232</v>
      </c>
      <c r="AD22" s="81"/>
      <c r="AE22" s="81" t="b">
        <v>0</v>
      </c>
      <c r="AF22" s="81">
        <v>0</v>
      </c>
      <c r="AG22" s="86" t="s">
        <v>6240</v>
      </c>
      <c r="AH22" s="81" t="b">
        <v>0</v>
      </c>
      <c r="AI22" s="81" t="s">
        <v>6478</v>
      </c>
      <c r="AJ22" s="81"/>
      <c r="AK22" s="86" t="s">
        <v>6240</v>
      </c>
      <c r="AL22" s="81" t="b">
        <v>0</v>
      </c>
      <c r="AM22" s="81">
        <v>0</v>
      </c>
      <c r="AN22" s="86" t="s">
        <v>6240</v>
      </c>
      <c r="AO22" s="86" t="s">
        <v>6506</v>
      </c>
      <c r="AP22" s="81" t="b">
        <v>0</v>
      </c>
      <c r="AQ22" s="86" t="s">
        <v>4232</v>
      </c>
      <c r="AR22" s="81" t="s">
        <v>179</v>
      </c>
      <c r="AS22" s="81">
        <v>0</v>
      </c>
      <c r="AT22" s="81">
        <v>0</v>
      </c>
      <c r="AU22" s="81"/>
      <c r="AV22" s="81"/>
      <c r="AW22" s="81"/>
      <c r="AX22" s="81"/>
      <c r="AY22" s="81"/>
      <c r="AZ22" s="81"/>
      <c r="BA22" s="81"/>
      <c r="BB22" s="81"/>
    </row>
    <row r="23" spans="1:54" x14ac:dyDescent="0.35">
      <c r="A23" s="66" t="s">
        <v>234</v>
      </c>
      <c r="B23" s="66" t="s">
        <v>234</v>
      </c>
      <c r="C23" s="67"/>
      <c r="D23" s="68"/>
      <c r="E23" s="69"/>
      <c r="F23" s="70"/>
      <c r="G23" s="67"/>
      <c r="H23" s="71"/>
      <c r="I23" s="72"/>
      <c r="J23" s="72"/>
      <c r="K23" s="36"/>
      <c r="L23" s="79"/>
      <c r="M23" s="79"/>
      <c r="N23" s="74"/>
      <c r="O23" s="81" t="s">
        <v>179</v>
      </c>
      <c r="P23" s="83">
        <v>44458.200092592589</v>
      </c>
      <c r="Q23" s="81" t="s">
        <v>1553</v>
      </c>
      <c r="R23" s="81"/>
      <c r="S23" s="81"/>
      <c r="T23" s="81"/>
      <c r="U23" s="81"/>
      <c r="V23" s="84" t="str">
        <f>HYPERLINK("https://pbs.twimg.com/profile_images/1082171269154463744/H8vF9yrS_normal.jpg")</f>
        <v>https://pbs.twimg.com/profile_images/1082171269154463744/H8vF9yrS_normal.jpg</v>
      </c>
      <c r="W23" s="83">
        <v>44458.200092592589</v>
      </c>
      <c r="X23" s="89">
        <v>44458</v>
      </c>
      <c r="Y23" s="86" t="s">
        <v>2773</v>
      </c>
      <c r="Z23" s="84" t="str">
        <f>HYPERLINK("https://twitter.com/nobi_indonesia/status/1439451219085250566")</f>
        <v>https://twitter.com/nobi_indonesia/status/1439451219085250566</v>
      </c>
      <c r="AA23" s="81"/>
      <c r="AB23" s="81"/>
      <c r="AC23" s="86" t="s">
        <v>4233</v>
      </c>
      <c r="AD23" s="81"/>
      <c r="AE23" s="81" t="b">
        <v>0</v>
      </c>
      <c r="AF23" s="81">
        <v>0</v>
      </c>
      <c r="AG23" s="86" t="s">
        <v>6240</v>
      </c>
      <c r="AH23" s="81" t="b">
        <v>0</v>
      </c>
      <c r="AI23" s="81" t="s">
        <v>6480</v>
      </c>
      <c r="AJ23" s="81"/>
      <c r="AK23" s="86" t="s">
        <v>6240</v>
      </c>
      <c r="AL23" s="81" t="b">
        <v>0</v>
      </c>
      <c r="AM23" s="81">
        <v>0</v>
      </c>
      <c r="AN23" s="86" t="s">
        <v>6240</v>
      </c>
      <c r="AO23" s="86" t="s">
        <v>6506</v>
      </c>
      <c r="AP23" s="81" t="b">
        <v>0</v>
      </c>
      <c r="AQ23" s="86" t="s">
        <v>4233</v>
      </c>
      <c r="AR23" s="81" t="s">
        <v>179</v>
      </c>
      <c r="AS23" s="81">
        <v>0</v>
      </c>
      <c r="AT23" s="81">
        <v>0</v>
      </c>
      <c r="AU23" s="81"/>
      <c r="AV23" s="81"/>
      <c r="AW23" s="81"/>
      <c r="AX23" s="81"/>
      <c r="AY23" s="81"/>
      <c r="AZ23" s="81"/>
      <c r="BA23" s="81"/>
      <c r="BB23" s="81"/>
    </row>
    <row r="24" spans="1:54" x14ac:dyDescent="0.35">
      <c r="A24" s="66" t="s">
        <v>235</v>
      </c>
      <c r="B24" s="66" t="s">
        <v>1277</v>
      </c>
      <c r="C24" s="67"/>
      <c r="D24" s="68"/>
      <c r="E24" s="69"/>
      <c r="F24" s="70"/>
      <c r="G24" s="67"/>
      <c r="H24" s="71"/>
      <c r="I24" s="72"/>
      <c r="J24" s="72"/>
      <c r="K24" s="36"/>
      <c r="L24" s="79"/>
      <c r="M24" s="79"/>
      <c r="N24" s="74"/>
      <c r="O24" s="81" t="s">
        <v>1534</v>
      </c>
      <c r="P24" s="83">
        <v>44458.20753472222</v>
      </c>
      <c r="Q24" s="81" t="s">
        <v>1554</v>
      </c>
      <c r="R24" s="81"/>
      <c r="S24" s="81"/>
      <c r="T24" s="81"/>
      <c r="U24" s="81"/>
      <c r="V24" s="84" t="str">
        <f>HYPERLINK("https://pbs.twimg.com/profile_images/1293220202927108096/Ya673LjM_normal.jpg")</f>
        <v>https://pbs.twimg.com/profile_images/1293220202927108096/Ya673LjM_normal.jpg</v>
      </c>
      <c r="W24" s="83">
        <v>44458.20753472222</v>
      </c>
      <c r="X24" s="89">
        <v>44458</v>
      </c>
      <c r="Y24" s="86" t="s">
        <v>2774</v>
      </c>
      <c r="Z24" s="84" t="str">
        <f>HYPERLINK("https://twitter.com/opaz01/status/1439453915116834816")</f>
        <v>https://twitter.com/opaz01/status/1439453915116834816</v>
      </c>
      <c r="AA24" s="81"/>
      <c r="AB24" s="81"/>
      <c r="AC24" s="86" t="s">
        <v>4234</v>
      </c>
      <c r="AD24" s="86" t="s">
        <v>5976</v>
      </c>
      <c r="AE24" s="81" t="b">
        <v>0</v>
      </c>
      <c r="AF24" s="81">
        <v>3</v>
      </c>
      <c r="AG24" s="86" t="s">
        <v>6246</v>
      </c>
      <c r="AH24" s="81" t="b">
        <v>0</v>
      </c>
      <c r="AI24" s="81" t="s">
        <v>6479</v>
      </c>
      <c r="AJ24" s="81"/>
      <c r="AK24" s="86" t="s">
        <v>6240</v>
      </c>
      <c r="AL24" s="81" t="b">
        <v>0</v>
      </c>
      <c r="AM24" s="81">
        <v>0</v>
      </c>
      <c r="AN24" s="86" t="s">
        <v>6240</v>
      </c>
      <c r="AO24" s="86" t="s">
        <v>6507</v>
      </c>
      <c r="AP24" s="81" t="b">
        <v>0</v>
      </c>
      <c r="AQ24" s="86" t="s">
        <v>5976</v>
      </c>
      <c r="AR24" s="81" t="s">
        <v>179</v>
      </c>
      <c r="AS24" s="81">
        <v>0</v>
      </c>
      <c r="AT24" s="81">
        <v>0</v>
      </c>
      <c r="AU24" s="81"/>
      <c r="AV24" s="81"/>
      <c r="AW24" s="81"/>
      <c r="AX24" s="81"/>
      <c r="AY24" s="81"/>
      <c r="AZ24" s="81"/>
      <c r="BA24" s="81"/>
      <c r="BB24" s="81"/>
    </row>
    <row r="25" spans="1:54" x14ac:dyDescent="0.35">
      <c r="A25" s="66" t="s">
        <v>236</v>
      </c>
      <c r="B25" s="66" t="s">
        <v>236</v>
      </c>
      <c r="C25" s="67"/>
      <c r="D25" s="68"/>
      <c r="E25" s="69"/>
      <c r="F25" s="70"/>
      <c r="G25" s="67"/>
      <c r="H25" s="71"/>
      <c r="I25" s="72"/>
      <c r="J25" s="72"/>
      <c r="K25" s="36"/>
      <c r="L25" s="79"/>
      <c r="M25" s="79"/>
      <c r="N25" s="74"/>
      <c r="O25" s="81" t="s">
        <v>179</v>
      </c>
      <c r="P25" s="83">
        <v>44458.212534722225</v>
      </c>
      <c r="Q25" s="81" t="s">
        <v>1555</v>
      </c>
      <c r="R25" s="81"/>
      <c r="S25" s="81"/>
      <c r="T25" s="81"/>
      <c r="U25" s="81"/>
      <c r="V25" s="84" t="str">
        <f>HYPERLINK("https://pbs.twimg.com/profile_images/1440980559040110600/grqst2en_normal.jpg")</f>
        <v>https://pbs.twimg.com/profile_images/1440980559040110600/grqst2en_normal.jpg</v>
      </c>
      <c r="W25" s="83">
        <v>44458.212534722225</v>
      </c>
      <c r="X25" s="89">
        <v>44458</v>
      </c>
      <c r="Y25" s="86" t="s">
        <v>2775</v>
      </c>
      <c r="Z25" s="84" t="str">
        <f>HYPERLINK("https://twitter.com/nrainatsnm/status/1439455725231558658")</f>
        <v>https://twitter.com/nrainatsnm/status/1439455725231558658</v>
      </c>
      <c r="AA25" s="81"/>
      <c r="AB25" s="81"/>
      <c r="AC25" s="86" t="s">
        <v>4235</v>
      </c>
      <c r="AD25" s="81"/>
      <c r="AE25" s="81" t="b">
        <v>0</v>
      </c>
      <c r="AF25" s="81">
        <v>0</v>
      </c>
      <c r="AG25" s="86" t="s">
        <v>6240</v>
      </c>
      <c r="AH25" s="81" t="b">
        <v>0</v>
      </c>
      <c r="AI25" s="81" t="s">
        <v>6479</v>
      </c>
      <c r="AJ25" s="81"/>
      <c r="AK25" s="86" t="s">
        <v>6240</v>
      </c>
      <c r="AL25" s="81" t="b">
        <v>0</v>
      </c>
      <c r="AM25" s="81">
        <v>0</v>
      </c>
      <c r="AN25" s="86" t="s">
        <v>6240</v>
      </c>
      <c r="AO25" s="86" t="s">
        <v>6505</v>
      </c>
      <c r="AP25" s="81" t="b">
        <v>0</v>
      </c>
      <c r="AQ25" s="86" t="s">
        <v>4235</v>
      </c>
      <c r="AR25" s="81" t="s">
        <v>179</v>
      </c>
      <c r="AS25" s="81">
        <v>0</v>
      </c>
      <c r="AT25" s="81">
        <v>0</v>
      </c>
      <c r="AU25" s="81"/>
      <c r="AV25" s="81"/>
      <c r="AW25" s="81"/>
      <c r="AX25" s="81"/>
      <c r="AY25" s="81"/>
      <c r="AZ25" s="81"/>
      <c r="BA25" s="81"/>
      <c r="BB25" s="81"/>
    </row>
    <row r="26" spans="1:54" x14ac:dyDescent="0.35">
      <c r="A26" s="66" t="s">
        <v>237</v>
      </c>
      <c r="B26" s="66" t="s">
        <v>237</v>
      </c>
      <c r="C26" s="67"/>
      <c r="D26" s="68"/>
      <c r="E26" s="69"/>
      <c r="F26" s="70"/>
      <c r="G26" s="67"/>
      <c r="H26" s="71"/>
      <c r="I26" s="72"/>
      <c r="J26" s="72"/>
      <c r="K26" s="36"/>
      <c r="L26" s="79"/>
      <c r="M26" s="79"/>
      <c r="N26" s="74"/>
      <c r="O26" s="81" t="s">
        <v>179</v>
      </c>
      <c r="P26" s="83">
        <v>44458.212592592594</v>
      </c>
      <c r="Q26" s="81" t="s">
        <v>1556</v>
      </c>
      <c r="R26" s="84" t="str">
        <f>HYPERLINK("https://twitter.com/syhrnajihah/status/1439455388387065859")</f>
        <v>https://twitter.com/syhrnajihah/status/1439455388387065859</v>
      </c>
      <c r="S26" s="81" t="s">
        <v>2588</v>
      </c>
      <c r="T26" s="81"/>
      <c r="U26" s="81"/>
      <c r="V26" s="84" t="str">
        <f>HYPERLINK("https://pbs.twimg.com/profile_images/1441685236325126150/vleopQJL_normal.jpg")</f>
        <v>https://pbs.twimg.com/profile_images/1441685236325126150/vleopQJL_normal.jpg</v>
      </c>
      <c r="W26" s="83">
        <v>44458.212592592594</v>
      </c>
      <c r="X26" s="89">
        <v>44458</v>
      </c>
      <c r="Y26" s="86" t="s">
        <v>2776</v>
      </c>
      <c r="Z26" s="84" t="str">
        <f>HYPERLINK("https://twitter.com/syhrnajihah/status/1439455747687936002")</f>
        <v>https://twitter.com/syhrnajihah/status/1439455747687936002</v>
      </c>
      <c r="AA26" s="81"/>
      <c r="AB26" s="81"/>
      <c r="AC26" s="86" t="s">
        <v>4236</v>
      </c>
      <c r="AD26" s="81"/>
      <c r="AE26" s="81" t="b">
        <v>0</v>
      </c>
      <c r="AF26" s="81">
        <v>0</v>
      </c>
      <c r="AG26" s="86" t="s">
        <v>6240</v>
      </c>
      <c r="AH26" s="81" t="b">
        <v>1</v>
      </c>
      <c r="AI26" s="81" t="s">
        <v>6478</v>
      </c>
      <c r="AJ26" s="81"/>
      <c r="AK26" s="86" t="s">
        <v>6490</v>
      </c>
      <c r="AL26" s="81" t="b">
        <v>0</v>
      </c>
      <c r="AM26" s="81">
        <v>0</v>
      </c>
      <c r="AN26" s="86" t="s">
        <v>6240</v>
      </c>
      <c r="AO26" s="86" t="s">
        <v>6505</v>
      </c>
      <c r="AP26" s="81" t="b">
        <v>0</v>
      </c>
      <c r="AQ26" s="86" t="s">
        <v>4236</v>
      </c>
      <c r="AR26" s="81" t="s">
        <v>179</v>
      </c>
      <c r="AS26" s="81">
        <v>0</v>
      </c>
      <c r="AT26" s="81">
        <v>0</v>
      </c>
      <c r="AU26" s="81"/>
      <c r="AV26" s="81"/>
      <c r="AW26" s="81"/>
      <c r="AX26" s="81"/>
      <c r="AY26" s="81"/>
      <c r="AZ26" s="81"/>
      <c r="BA26" s="81"/>
      <c r="BB26" s="81"/>
    </row>
    <row r="27" spans="1:54" x14ac:dyDescent="0.35">
      <c r="A27" s="66" t="s">
        <v>238</v>
      </c>
      <c r="B27" s="66" t="s">
        <v>248</v>
      </c>
      <c r="C27" s="67"/>
      <c r="D27" s="68"/>
      <c r="E27" s="69"/>
      <c r="F27" s="70"/>
      <c r="G27" s="67"/>
      <c r="H27" s="71"/>
      <c r="I27" s="72"/>
      <c r="J27" s="72"/>
      <c r="K27" s="36"/>
      <c r="L27" s="79"/>
      <c r="M27" s="79"/>
      <c r="N27" s="74"/>
      <c r="O27" s="81" t="s">
        <v>1532</v>
      </c>
      <c r="P27" s="83">
        <v>44458.224861111114</v>
      </c>
      <c r="Q27" s="81" t="s">
        <v>1557</v>
      </c>
      <c r="R27" s="84" t="str">
        <f>HYPERLINK("https://shopee.co.id/KAOS-TSHIRT-MAMAMOO-ALL-SIZE-WAW-i.5096237.11348342107?position=9")</f>
        <v>https://shopee.co.id/KAOS-TSHIRT-MAMAMOO-ALL-SIZE-WAW-i.5096237.11348342107?position=9</v>
      </c>
      <c r="S27" s="81" t="s">
        <v>2589</v>
      </c>
      <c r="T27" s="81"/>
      <c r="U27" s="84" t="str">
        <f>HYPERLINK("https://pbs.twimg.com/media/E_K7kGFUcAIpZlj.jpg")</f>
        <v>https://pbs.twimg.com/media/E_K7kGFUcAIpZlj.jpg</v>
      </c>
      <c r="V27" s="84" t="str">
        <f>HYPERLINK("https://pbs.twimg.com/media/E_K7kGFUcAIpZlj.jpg")</f>
        <v>https://pbs.twimg.com/media/E_K7kGFUcAIpZlj.jpg</v>
      </c>
      <c r="W27" s="83">
        <v>44458.224861111114</v>
      </c>
      <c r="X27" s="89">
        <v>44458</v>
      </c>
      <c r="Y27" s="86" t="s">
        <v>2777</v>
      </c>
      <c r="Z27" s="84" t="str">
        <f>HYPERLINK("https://twitter.com/ankoenka/status/1439460191230050306")</f>
        <v>https://twitter.com/ankoenka/status/1439460191230050306</v>
      </c>
      <c r="AA27" s="81"/>
      <c r="AB27" s="81"/>
      <c r="AC27" s="86" t="s">
        <v>4237</v>
      </c>
      <c r="AD27" s="81"/>
      <c r="AE27" s="81" t="b">
        <v>0</v>
      </c>
      <c r="AF27" s="81">
        <v>0</v>
      </c>
      <c r="AG27" s="86" t="s">
        <v>6240</v>
      </c>
      <c r="AH27" s="81" t="b">
        <v>0</v>
      </c>
      <c r="AI27" s="81" t="s">
        <v>6478</v>
      </c>
      <c r="AJ27" s="81"/>
      <c r="AK27" s="86" t="s">
        <v>6240</v>
      </c>
      <c r="AL27" s="81" t="b">
        <v>0</v>
      </c>
      <c r="AM27" s="81">
        <v>11</v>
      </c>
      <c r="AN27" s="86" t="s">
        <v>4247</v>
      </c>
      <c r="AO27" s="86" t="s">
        <v>6507</v>
      </c>
      <c r="AP27" s="81" t="b">
        <v>0</v>
      </c>
      <c r="AQ27" s="86" t="s">
        <v>4247</v>
      </c>
      <c r="AR27" s="81" t="s">
        <v>179</v>
      </c>
      <c r="AS27" s="81">
        <v>0</v>
      </c>
      <c r="AT27" s="81">
        <v>0</v>
      </c>
      <c r="AU27" s="81"/>
      <c r="AV27" s="81"/>
      <c r="AW27" s="81"/>
      <c r="AX27" s="81"/>
      <c r="AY27" s="81"/>
      <c r="AZ27" s="81"/>
      <c r="BA27" s="81"/>
      <c r="BB27" s="81"/>
    </row>
    <row r="28" spans="1:54" x14ac:dyDescent="0.35">
      <c r="A28" s="66" t="s">
        <v>239</v>
      </c>
      <c r="B28" s="66" t="s">
        <v>248</v>
      </c>
      <c r="C28" s="67"/>
      <c r="D28" s="68"/>
      <c r="E28" s="69"/>
      <c r="F28" s="70"/>
      <c r="G28" s="67"/>
      <c r="H28" s="71"/>
      <c r="I28" s="72"/>
      <c r="J28" s="72"/>
      <c r="K28" s="36"/>
      <c r="L28" s="79"/>
      <c r="M28" s="79"/>
      <c r="N28" s="74"/>
      <c r="O28" s="81" t="s">
        <v>1532</v>
      </c>
      <c r="P28" s="83">
        <v>44458.226458333331</v>
      </c>
      <c r="Q28" s="81" t="s">
        <v>1557</v>
      </c>
      <c r="R28" s="84" t="str">
        <f>HYPERLINK("https://shopee.co.id/KAOS-TSHIRT-MAMAMOO-ALL-SIZE-WAW-i.5096237.11348342107?position=9")</f>
        <v>https://shopee.co.id/KAOS-TSHIRT-MAMAMOO-ALL-SIZE-WAW-i.5096237.11348342107?position=9</v>
      </c>
      <c r="S28" s="81" t="s">
        <v>2589</v>
      </c>
      <c r="T28" s="81"/>
      <c r="U28" s="84" t="str">
        <f>HYPERLINK("https://pbs.twimg.com/media/E_K7kGFUcAIpZlj.jpg")</f>
        <v>https://pbs.twimg.com/media/E_K7kGFUcAIpZlj.jpg</v>
      </c>
      <c r="V28" s="84" t="str">
        <f>HYPERLINK("https://pbs.twimg.com/media/E_K7kGFUcAIpZlj.jpg")</f>
        <v>https://pbs.twimg.com/media/E_K7kGFUcAIpZlj.jpg</v>
      </c>
      <c r="W28" s="83">
        <v>44458.226458333331</v>
      </c>
      <c r="X28" s="89">
        <v>44458</v>
      </c>
      <c r="Y28" s="86" t="s">
        <v>2778</v>
      </c>
      <c r="Z28" s="84" t="str">
        <f>HYPERLINK("https://twitter.com/stepbymoo/status/1439460772577378306")</f>
        <v>https://twitter.com/stepbymoo/status/1439460772577378306</v>
      </c>
      <c r="AA28" s="81"/>
      <c r="AB28" s="81"/>
      <c r="AC28" s="86" t="s">
        <v>4238</v>
      </c>
      <c r="AD28" s="81"/>
      <c r="AE28" s="81" t="b">
        <v>0</v>
      </c>
      <c r="AF28" s="81">
        <v>0</v>
      </c>
      <c r="AG28" s="86" t="s">
        <v>6240</v>
      </c>
      <c r="AH28" s="81" t="b">
        <v>0</v>
      </c>
      <c r="AI28" s="81" t="s">
        <v>6478</v>
      </c>
      <c r="AJ28" s="81"/>
      <c r="AK28" s="86" t="s">
        <v>6240</v>
      </c>
      <c r="AL28" s="81" t="b">
        <v>0</v>
      </c>
      <c r="AM28" s="81">
        <v>11</v>
      </c>
      <c r="AN28" s="86" t="s">
        <v>4247</v>
      </c>
      <c r="AO28" s="86" t="s">
        <v>6503</v>
      </c>
      <c r="AP28" s="81" t="b">
        <v>0</v>
      </c>
      <c r="AQ28" s="86" t="s">
        <v>4247</v>
      </c>
      <c r="AR28" s="81" t="s">
        <v>179</v>
      </c>
      <c r="AS28" s="81">
        <v>0</v>
      </c>
      <c r="AT28" s="81">
        <v>0</v>
      </c>
      <c r="AU28" s="81"/>
      <c r="AV28" s="81"/>
      <c r="AW28" s="81"/>
      <c r="AX28" s="81"/>
      <c r="AY28" s="81"/>
      <c r="AZ28" s="81"/>
      <c r="BA28" s="81"/>
      <c r="BB28" s="81"/>
    </row>
    <row r="29" spans="1:54" x14ac:dyDescent="0.35">
      <c r="A29" s="66" t="s">
        <v>240</v>
      </c>
      <c r="B29" s="66" t="s">
        <v>242</v>
      </c>
      <c r="C29" s="67"/>
      <c r="D29" s="68"/>
      <c r="E29" s="69"/>
      <c r="F29" s="70"/>
      <c r="G29" s="67"/>
      <c r="H29" s="71"/>
      <c r="I29" s="72"/>
      <c r="J29" s="72"/>
      <c r="K29" s="36"/>
      <c r="L29" s="79"/>
      <c r="M29" s="79"/>
      <c r="N29" s="74"/>
      <c r="O29" s="81" t="s">
        <v>1532</v>
      </c>
      <c r="P29" s="83">
        <v>44458.228483796294</v>
      </c>
      <c r="Q29" s="81" t="s">
        <v>1558</v>
      </c>
      <c r="R29" s="81"/>
      <c r="S29" s="81"/>
      <c r="T29" s="86" t="s">
        <v>2658</v>
      </c>
      <c r="U29" s="84" t="str">
        <f>HYPERLINK("https://pbs.twimg.com/media/E_n2f8UUUAAnxoW.jpg")</f>
        <v>https://pbs.twimg.com/media/E_n2f8UUUAAnxoW.jpg</v>
      </c>
      <c r="V29" s="84" t="str">
        <f>HYPERLINK("https://pbs.twimg.com/media/E_n2f8UUUAAnxoW.jpg")</f>
        <v>https://pbs.twimg.com/media/E_n2f8UUUAAnxoW.jpg</v>
      </c>
      <c r="W29" s="83">
        <v>44458.228483796294</v>
      </c>
      <c r="X29" s="89">
        <v>44458</v>
      </c>
      <c r="Y29" s="86" t="s">
        <v>2779</v>
      </c>
      <c r="Z29" s="84" t="str">
        <f>HYPERLINK("https://twitter.com/aprrldw/status/1439461507700432899")</f>
        <v>https://twitter.com/aprrldw/status/1439461507700432899</v>
      </c>
      <c r="AA29" s="81"/>
      <c r="AB29" s="81"/>
      <c r="AC29" s="86" t="s">
        <v>4239</v>
      </c>
      <c r="AD29" s="81"/>
      <c r="AE29" s="81" t="b">
        <v>0</v>
      </c>
      <c r="AF29" s="81">
        <v>0</v>
      </c>
      <c r="AG29" s="86" t="s">
        <v>6240</v>
      </c>
      <c r="AH29" s="81" t="b">
        <v>0</v>
      </c>
      <c r="AI29" s="81" t="s">
        <v>6478</v>
      </c>
      <c r="AJ29" s="81"/>
      <c r="AK29" s="86" t="s">
        <v>6240</v>
      </c>
      <c r="AL29" s="81" t="b">
        <v>0</v>
      </c>
      <c r="AM29" s="81">
        <v>5</v>
      </c>
      <c r="AN29" s="86" t="s">
        <v>4241</v>
      </c>
      <c r="AO29" s="86" t="s">
        <v>6505</v>
      </c>
      <c r="AP29" s="81" t="b">
        <v>0</v>
      </c>
      <c r="AQ29" s="86" t="s">
        <v>4241</v>
      </c>
      <c r="AR29" s="81" t="s">
        <v>179</v>
      </c>
      <c r="AS29" s="81">
        <v>0</v>
      </c>
      <c r="AT29" s="81">
        <v>0</v>
      </c>
      <c r="AU29" s="81"/>
      <c r="AV29" s="81"/>
      <c r="AW29" s="81"/>
      <c r="AX29" s="81"/>
      <c r="AY29" s="81"/>
      <c r="AZ29" s="81"/>
      <c r="BA29" s="81"/>
      <c r="BB29" s="81"/>
    </row>
    <row r="30" spans="1:54" x14ac:dyDescent="0.35">
      <c r="A30" s="66" t="s">
        <v>241</v>
      </c>
      <c r="B30" s="66" t="s">
        <v>248</v>
      </c>
      <c r="C30" s="67"/>
      <c r="D30" s="68"/>
      <c r="E30" s="69"/>
      <c r="F30" s="70"/>
      <c r="G30" s="67"/>
      <c r="H30" s="71"/>
      <c r="I30" s="72"/>
      <c r="J30" s="72"/>
      <c r="K30" s="36"/>
      <c r="L30" s="79"/>
      <c r="M30" s="79"/>
      <c r="N30" s="74"/>
      <c r="O30" s="81" t="s">
        <v>1532</v>
      </c>
      <c r="P30" s="83">
        <v>44458.231898148151</v>
      </c>
      <c r="Q30" s="81" t="s">
        <v>1557</v>
      </c>
      <c r="R30" s="84" t="str">
        <f>HYPERLINK("https://shopee.co.id/KAOS-TSHIRT-MAMAMOO-ALL-SIZE-WAW-i.5096237.11348342107?position=9")</f>
        <v>https://shopee.co.id/KAOS-TSHIRT-MAMAMOO-ALL-SIZE-WAW-i.5096237.11348342107?position=9</v>
      </c>
      <c r="S30" s="81" t="s">
        <v>2589</v>
      </c>
      <c r="T30" s="81"/>
      <c r="U30" s="84" t="str">
        <f>HYPERLINK("https://pbs.twimg.com/media/E_K7kGFUcAIpZlj.jpg")</f>
        <v>https://pbs.twimg.com/media/E_K7kGFUcAIpZlj.jpg</v>
      </c>
      <c r="V30" s="84" t="str">
        <f>HYPERLINK("https://pbs.twimg.com/media/E_K7kGFUcAIpZlj.jpg")</f>
        <v>https://pbs.twimg.com/media/E_K7kGFUcAIpZlj.jpg</v>
      </c>
      <c r="W30" s="83">
        <v>44458.231898148151</v>
      </c>
      <c r="X30" s="89">
        <v>44458</v>
      </c>
      <c r="Y30" s="86" t="s">
        <v>2780</v>
      </c>
      <c r="Z30" s="84" t="str">
        <f>HYPERLINK("https://twitter.com/j4withthesun/status/1439462744583913475")</f>
        <v>https://twitter.com/j4withthesun/status/1439462744583913475</v>
      </c>
      <c r="AA30" s="81"/>
      <c r="AB30" s="81"/>
      <c r="AC30" s="86" t="s">
        <v>4240</v>
      </c>
      <c r="AD30" s="81"/>
      <c r="AE30" s="81" t="b">
        <v>0</v>
      </c>
      <c r="AF30" s="81">
        <v>0</v>
      </c>
      <c r="AG30" s="86" t="s">
        <v>6240</v>
      </c>
      <c r="AH30" s="81" t="b">
        <v>0</v>
      </c>
      <c r="AI30" s="81" t="s">
        <v>6478</v>
      </c>
      <c r="AJ30" s="81"/>
      <c r="AK30" s="86" t="s">
        <v>6240</v>
      </c>
      <c r="AL30" s="81" t="b">
        <v>0</v>
      </c>
      <c r="AM30" s="81">
        <v>11</v>
      </c>
      <c r="AN30" s="86" t="s">
        <v>4247</v>
      </c>
      <c r="AO30" s="86" t="s">
        <v>6505</v>
      </c>
      <c r="AP30" s="81" t="b">
        <v>0</v>
      </c>
      <c r="AQ30" s="86" t="s">
        <v>4247</v>
      </c>
      <c r="AR30" s="81" t="s">
        <v>179</v>
      </c>
      <c r="AS30" s="81">
        <v>0</v>
      </c>
      <c r="AT30" s="81">
        <v>0</v>
      </c>
      <c r="AU30" s="81"/>
      <c r="AV30" s="81"/>
      <c r="AW30" s="81"/>
      <c r="AX30" s="81"/>
      <c r="AY30" s="81"/>
      <c r="AZ30" s="81"/>
      <c r="BA30" s="81"/>
      <c r="BB30" s="81"/>
    </row>
    <row r="31" spans="1:54" x14ac:dyDescent="0.35">
      <c r="A31" s="66" t="s">
        <v>242</v>
      </c>
      <c r="B31" s="66" t="s">
        <v>242</v>
      </c>
      <c r="C31" s="67"/>
      <c r="D31" s="68"/>
      <c r="E31" s="69"/>
      <c r="F31" s="70"/>
      <c r="G31" s="67"/>
      <c r="H31" s="71"/>
      <c r="I31" s="72"/>
      <c r="J31" s="72"/>
      <c r="K31" s="36"/>
      <c r="L31" s="79"/>
      <c r="M31" s="79"/>
      <c r="N31" s="74"/>
      <c r="O31" s="81" t="s">
        <v>179</v>
      </c>
      <c r="P31" s="83">
        <v>44458.203888888886</v>
      </c>
      <c r="Q31" s="81" t="s">
        <v>1558</v>
      </c>
      <c r="R31" s="81"/>
      <c r="S31" s="81"/>
      <c r="T31" s="86" t="s">
        <v>2658</v>
      </c>
      <c r="U31" s="84" t="str">
        <f>HYPERLINK("https://pbs.twimg.com/media/E_n2f8UUUAAnxoW.jpg")</f>
        <v>https://pbs.twimg.com/media/E_n2f8UUUAAnxoW.jpg</v>
      </c>
      <c r="V31" s="84" t="str">
        <f>HYPERLINK("https://pbs.twimg.com/media/E_n2f8UUUAAnxoW.jpg")</f>
        <v>https://pbs.twimg.com/media/E_n2f8UUUAAnxoW.jpg</v>
      </c>
      <c r="W31" s="83">
        <v>44458.203888888886</v>
      </c>
      <c r="X31" s="89">
        <v>44458</v>
      </c>
      <c r="Y31" s="86" t="s">
        <v>2781</v>
      </c>
      <c r="Z31" s="84" t="str">
        <f>HYPERLINK("https://twitter.com/apamungkasa/status/1439452590937235460")</f>
        <v>https://twitter.com/apamungkasa/status/1439452590937235460</v>
      </c>
      <c r="AA31" s="81"/>
      <c r="AB31" s="81"/>
      <c r="AC31" s="86" t="s">
        <v>4241</v>
      </c>
      <c r="AD31" s="81"/>
      <c r="AE31" s="81" t="b">
        <v>0</v>
      </c>
      <c r="AF31" s="81">
        <v>19</v>
      </c>
      <c r="AG31" s="86" t="s">
        <v>6240</v>
      </c>
      <c r="AH31" s="81" t="b">
        <v>0</v>
      </c>
      <c r="AI31" s="81" t="s">
        <v>6478</v>
      </c>
      <c r="AJ31" s="81"/>
      <c r="AK31" s="86" t="s">
        <v>6240</v>
      </c>
      <c r="AL31" s="81" t="b">
        <v>0</v>
      </c>
      <c r="AM31" s="81">
        <v>5</v>
      </c>
      <c r="AN31" s="86" t="s">
        <v>6240</v>
      </c>
      <c r="AO31" s="86" t="s">
        <v>6508</v>
      </c>
      <c r="AP31" s="81" t="b">
        <v>0</v>
      </c>
      <c r="AQ31" s="86" t="s">
        <v>4241</v>
      </c>
      <c r="AR31" s="81" t="s">
        <v>179</v>
      </c>
      <c r="AS31" s="81">
        <v>0</v>
      </c>
      <c r="AT31" s="81">
        <v>0</v>
      </c>
      <c r="AU31" s="81"/>
      <c r="AV31" s="81"/>
      <c r="AW31" s="81"/>
      <c r="AX31" s="81"/>
      <c r="AY31" s="81"/>
      <c r="AZ31" s="81"/>
      <c r="BA31" s="81"/>
      <c r="BB31" s="81"/>
    </row>
    <row r="32" spans="1:54" x14ac:dyDescent="0.35">
      <c r="A32" s="66" t="s">
        <v>243</v>
      </c>
      <c r="B32" s="66" t="s">
        <v>242</v>
      </c>
      <c r="C32" s="67"/>
      <c r="D32" s="68"/>
      <c r="E32" s="69"/>
      <c r="F32" s="70"/>
      <c r="G32" s="67"/>
      <c r="H32" s="71"/>
      <c r="I32" s="72"/>
      <c r="J32" s="72"/>
      <c r="K32" s="36"/>
      <c r="L32" s="79"/>
      <c r="M32" s="79"/>
      <c r="N32" s="74"/>
      <c r="O32" s="81" t="s">
        <v>1532</v>
      </c>
      <c r="P32" s="83">
        <v>44458.234155092592</v>
      </c>
      <c r="Q32" s="81" t="s">
        <v>1558</v>
      </c>
      <c r="R32" s="81"/>
      <c r="S32" s="81"/>
      <c r="T32" s="86" t="s">
        <v>2658</v>
      </c>
      <c r="U32" s="84" t="str">
        <f>HYPERLINK("https://pbs.twimg.com/media/E_n2f8UUUAAnxoW.jpg")</f>
        <v>https://pbs.twimg.com/media/E_n2f8UUUAAnxoW.jpg</v>
      </c>
      <c r="V32" s="84" t="str">
        <f>HYPERLINK("https://pbs.twimg.com/media/E_n2f8UUUAAnxoW.jpg")</f>
        <v>https://pbs.twimg.com/media/E_n2f8UUUAAnxoW.jpg</v>
      </c>
      <c r="W32" s="83">
        <v>44458.234155092592</v>
      </c>
      <c r="X32" s="89">
        <v>44458</v>
      </c>
      <c r="Y32" s="86" t="s">
        <v>2782</v>
      </c>
      <c r="Z32" s="84" t="str">
        <f>HYPERLINK("https://twitter.com/nadyaazzh/status/1439463562473181184")</f>
        <v>https://twitter.com/nadyaazzh/status/1439463562473181184</v>
      </c>
      <c r="AA32" s="81"/>
      <c r="AB32" s="81"/>
      <c r="AC32" s="86" t="s">
        <v>4242</v>
      </c>
      <c r="AD32" s="81"/>
      <c r="AE32" s="81" t="b">
        <v>0</v>
      </c>
      <c r="AF32" s="81">
        <v>0</v>
      </c>
      <c r="AG32" s="86" t="s">
        <v>6240</v>
      </c>
      <c r="AH32" s="81" t="b">
        <v>0</v>
      </c>
      <c r="AI32" s="81" t="s">
        <v>6478</v>
      </c>
      <c r="AJ32" s="81"/>
      <c r="AK32" s="86" t="s">
        <v>6240</v>
      </c>
      <c r="AL32" s="81" t="b">
        <v>0</v>
      </c>
      <c r="AM32" s="81">
        <v>5</v>
      </c>
      <c r="AN32" s="86" t="s">
        <v>4241</v>
      </c>
      <c r="AO32" s="86" t="s">
        <v>6505</v>
      </c>
      <c r="AP32" s="81" t="b">
        <v>0</v>
      </c>
      <c r="AQ32" s="86" t="s">
        <v>4241</v>
      </c>
      <c r="AR32" s="81" t="s">
        <v>179</v>
      </c>
      <c r="AS32" s="81">
        <v>0</v>
      </c>
      <c r="AT32" s="81">
        <v>0</v>
      </c>
      <c r="AU32" s="81"/>
      <c r="AV32" s="81"/>
      <c r="AW32" s="81"/>
      <c r="AX32" s="81"/>
      <c r="AY32" s="81"/>
      <c r="AZ32" s="81"/>
      <c r="BA32" s="81"/>
      <c r="BB32" s="81"/>
    </row>
    <row r="33" spans="1:54" x14ac:dyDescent="0.35">
      <c r="A33" s="66" t="s">
        <v>244</v>
      </c>
      <c r="B33" s="66" t="s">
        <v>248</v>
      </c>
      <c r="C33" s="67"/>
      <c r="D33" s="68"/>
      <c r="E33" s="69"/>
      <c r="F33" s="70"/>
      <c r="G33" s="67"/>
      <c r="H33" s="71"/>
      <c r="I33" s="72"/>
      <c r="J33" s="72"/>
      <c r="K33" s="36"/>
      <c r="L33" s="79"/>
      <c r="M33" s="79"/>
      <c r="N33" s="74"/>
      <c r="O33" s="81" t="s">
        <v>1532</v>
      </c>
      <c r="P33" s="83">
        <v>44458.256747685184</v>
      </c>
      <c r="Q33" s="81" t="s">
        <v>1557</v>
      </c>
      <c r="R33" s="84" t="str">
        <f>HYPERLINK("https://shopee.co.id/KAOS-TSHIRT-MAMAMOO-ALL-SIZE-WAW-i.5096237.11348342107?position=9")</f>
        <v>https://shopee.co.id/KAOS-TSHIRT-MAMAMOO-ALL-SIZE-WAW-i.5096237.11348342107?position=9</v>
      </c>
      <c r="S33" s="81" t="s">
        <v>2589</v>
      </c>
      <c r="T33" s="81"/>
      <c r="U33" s="84" t="str">
        <f>HYPERLINK("https://pbs.twimg.com/media/E_K7kGFUcAIpZlj.jpg")</f>
        <v>https://pbs.twimg.com/media/E_K7kGFUcAIpZlj.jpg</v>
      </c>
      <c r="V33" s="84" t="str">
        <f>HYPERLINK("https://pbs.twimg.com/media/E_K7kGFUcAIpZlj.jpg")</f>
        <v>https://pbs.twimg.com/media/E_K7kGFUcAIpZlj.jpg</v>
      </c>
      <c r="W33" s="83">
        <v>44458.256747685184</v>
      </c>
      <c r="X33" s="89">
        <v>44458</v>
      </c>
      <c r="Y33" s="86" t="s">
        <v>2783</v>
      </c>
      <c r="Z33" s="84" t="str">
        <f>HYPERLINK("https://twitter.com/choicrush/status/1439471746445287426")</f>
        <v>https://twitter.com/choicrush/status/1439471746445287426</v>
      </c>
      <c r="AA33" s="81"/>
      <c r="AB33" s="81"/>
      <c r="AC33" s="86" t="s">
        <v>4243</v>
      </c>
      <c r="AD33" s="81"/>
      <c r="AE33" s="81" t="b">
        <v>0</v>
      </c>
      <c r="AF33" s="81">
        <v>0</v>
      </c>
      <c r="AG33" s="86" t="s">
        <v>6240</v>
      </c>
      <c r="AH33" s="81" t="b">
        <v>0</v>
      </c>
      <c r="AI33" s="81" t="s">
        <v>6478</v>
      </c>
      <c r="AJ33" s="81"/>
      <c r="AK33" s="86" t="s">
        <v>6240</v>
      </c>
      <c r="AL33" s="81" t="b">
        <v>0</v>
      </c>
      <c r="AM33" s="81">
        <v>11</v>
      </c>
      <c r="AN33" s="86" t="s">
        <v>4247</v>
      </c>
      <c r="AO33" s="86" t="s">
        <v>6503</v>
      </c>
      <c r="AP33" s="81" t="b">
        <v>0</v>
      </c>
      <c r="AQ33" s="86" t="s">
        <v>4247</v>
      </c>
      <c r="AR33" s="81" t="s">
        <v>179</v>
      </c>
      <c r="AS33" s="81">
        <v>0</v>
      </c>
      <c r="AT33" s="81">
        <v>0</v>
      </c>
      <c r="AU33" s="81"/>
      <c r="AV33" s="81"/>
      <c r="AW33" s="81"/>
      <c r="AX33" s="81"/>
      <c r="AY33" s="81"/>
      <c r="AZ33" s="81"/>
      <c r="BA33" s="81"/>
      <c r="BB33" s="81"/>
    </row>
    <row r="34" spans="1:54" x14ac:dyDescent="0.35">
      <c r="A34" s="66" t="s">
        <v>245</v>
      </c>
      <c r="B34" s="66" t="s">
        <v>1278</v>
      </c>
      <c r="C34" s="67"/>
      <c r="D34" s="68"/>
      <c r="E34" s="69"/>
      <c r="F34" s="70"/>
      <c r="G34" s="67"/>
      <c r="H34" s="71"/>
      <c r="I34" s="72"/>
      <c r="J34" s="72"/>
      <c r="K34" s="36"/>
      <c r="L34" s="79"/>
      <c r="M34" s="79"/>
      <c r="N34" s="74"/>
      <c r="O34" s="81" t="s">
        <v>1534</v>
      </c>
      <c r="P34" s="83">
        <v>44458.2659375</v>
      </c>
      <c r="Q34" s="81" t="s">
        <v>1559</v>
      </c>
      <c r="R34" s="81"/>
      <c r="S34" s="81"/>
      <c r="T34" s="81"/>
      <c r="U34" s="81"/>
      <c r="V34" s="84" t="str">
        <f>HYPERLINK("https://pbs.twimg.com/profile_images/1424575386487201795/56SlER5x_normal.jpg")</f>
        <v>https://pbs.twimg.com/profile_images/1424575386487201795/56SlER5x_normal.jpg</v>
      </c>
      <c r="W34" s="83">
        <v>44458.2659375</v>
      </c>
      <c r="X34" s="89">
        <v>44458</v>
      </c>
      <c r="Y34" s="86" t="s">
        <v>2784</v>
      </c>
      <c r="Z34" s="84" t="str">
        <f>HYPERLINK("https://twitter.com/_shafeeeeeee/status/1439475078626902021")</f>
        <v>https://twitter.com/_shafeeeeeee/status/1439475078626902021</v>
      </c>
      <c r="AA34" s="81"/>
      <c r="AB34" s="81"/>
      <c r="AC34" s="86" t="s">
        <v>4244</v>
      </c>
      <c r="AD34" s="86" t="s">
        <v>5977</v>
      </c>
      <c r="AE34" s="81" t="b">
        <v>0</v>
      </c>
      <c r="AF34" s="81">
        <v>0</v>
      </c>
      <c r="AG34" s="86" t="s">
        <v>6247</v>
      </c>
      <c r="AH34" s="81" t="b">
        <v>0</v>
      </c>
      <c r="AI34" s="81" t="s">
        <v>6479</v>
      </c>
      <c r="AJ34" s="81"/>
      <c r="AK34" s="86" t="s">
        <v>6240</v>
      </c>
      <c r="AL34" s="81" t="b">
        <v>0</v>
      </c>
      <c r="AM34" s="81">
        <v>0</v>
      </c>
      <c r="AN34" s="86" t="s">
        <v>6240</v>
      </c>
      <c r="AO34" s="86" t="s">
        <v>6505</v>
      </c>
      <c r="AP34" s="81" t="b">
        <v>0</v>
      </c>
      <c r="AQ34" s="86" t="s">
        <v>5977</v>
      </c>
      <c r="AR34" s="81" t="s">
        <v>179</v>
      </c>
      <c r="AS34" s="81">
        <v>0</v>
      </c>
      <c r="AT34" s="81">
        <v>0</v>
      </c>
      <c r="AU34" s="81"/>
      <c r="AV34" s="81"/>
      <c r="AW34" s="81"/>
      <c r="AX34" s="81"/>
      <c r="AY34" s="81"/>
      <c r="AZ34" s="81"/>
      <c r="BA34" s="81"/>
      <c r="BB34" s="81"/>
    </row>
    <row r="35" spans="1:54" x14ac:dyDescent="0.35">
      <c r="A35" s="66" t="s">
        <v>246</v>
      </c>
      <c r="B35" s="66" t="s">
        <v>246</v>
      </c>
      <c r="C35" s="67"/>
      <c r="D35" s="68"/>
      <c r="E35" s="69"/>
      <c r="F35" s="70"/>
      <c r="G35" s="67"/>
      <c r="H35" s="71"/>
      <c r="I35" s="72"/>
      <c r="J35" s="72"/>
      <c r="K35" s="36"/>
      <c r="L35" s="79"/>
      <c r="M35" s="79"/>
      <c r="N35" s="74"/>
      <c r="O35" s="81" t="s">
        <v>179</v>
      </c>
      <c r="P35" s="83">
        <v>44458.295381944445</v>
      </c>
      <c r="Q35" s="81" t="s">
        <v>1560</v>
      </c>
      <c r="R35" s="81"/>
      <c r="S35" s="81"/>
      <c r="T35" s="81"/>
      <c r="U35" s="81"/>
      <c r="V35" s="84" t="str">
        <f>HYPERLINK("https://pbs.twimg.com/profile_images/1152903864586080257/2oHgZubS_normal.jpg")</f>
        <v>https://pbs.twimg.com/profile_images/1152903864586080257/2oHgZubS_normal.jpg</v>
      </c>
      <c r="W35" s="83">
        <v>44458.295381944445</v>
      </c>
      <c r="X35" s="89">
        <v>44458</v>
      </c>
      <c r="Y35" s="86" t="s">
        <v>2785</v>
      </c>
      <c r="Z35" s="84" t="str">
        <f>HYPERLINK("https://twitter.com/bpomtanahbumbu/status/1439485747044646919")</f>
        <v>https://twitter.com/bpomtanahbumbu/status/1439485747044646919</v>
      </c>
      <c r="AA35" s="81"/>
      <c r="AB35" s="81"/>
      <c r="AC35" s="86" t="s">
        <v>4245</v>
      </c>
      <c r="AD35" s="86" t="s">
        <v>5978</v>
      </c>
      <c r="AE35" s="81" t="b">
        <v>0</v>
      </c>
      <c r="AF35" s="81">
        <v>0</v>
      </c>
      <c r="AG35" s="86" t="s">
        <v>6248</v>
      </c>
      <c r="AH35" s="81" t="b">
        <v>0</v>
      </c>
      <c r="AI35" s="81" t="s">
        <v>6478</v>
      </c>
      <c r="AJ35" s="81"/>
      <c r="AK35" s="86" t="s">
        <v>6240</v>
      </c>
      <c r="AL35" s="81" t="b">
        <v>0</v>
      </c>
      <c r="AM35" s="81">
        <v>0</v>
      </c>
      <c r="AN35" s="86" t="s">
        <v>6240</v>
      </c>
      <c r="AO35" s="86" t="s">
        <v>6503</v>
      </c>
      <c r="AP35" s="81" t="b">
        <v>0</v>
      </c>
      <c r="AQ35" s="86" t="s">
        <v>5978</v>
      </c>
      <c r="AR35" s="81" t="s">
        <v>179</v>
      </c>
      <c r="AS35" s="81">
        <v>0</v>
      </c>
      <c r="AT35" s="81">
        <v>0</v>
      </c>
      <c r="AU35" s="81"/>
      <c r="AV35" s="81"/>
      <c r="AW35" s="81"/>
      <c r="AX35" s="81"/>
      <c r="AY35" s="81"/>
      <c r="AZ35" s="81"/>
      <c r="BA35" s="81"/>
      <c r="BB35" s="81"/>
    </row>
    <row r="36" spans="1:54" x14ac:dyDescent="0.35">
      <c r="A36" s="66" t="s">
        <v>247</v>
      </c>
      <c r="B36" s="66" t="s">
        <v>247</v>
      </c>
      <c r="C36" s="67"/>
      <c r="D36" s="68"/>
      <c r="E36" s="69"/>
      <c r="F36" s="70"/>
      <c r="G36" s="67"/>
      <c r="H36" s="71"/>
      <c r="I36" s="72"/>
      <c r="J36" s="72"/>
      <c r="K36" s="36"/>
      <c r="L36" s="79"/>
      <c r="M36" s="79"/>
      <c r="N36" s="74"/>
      <c r="O36" s="81" t="s">
        <v>179</v>
      </c>
      <c r="P36" s="83">
        <v>44458.298819444448</v>
      </c>
      <c r="Q36" s="81" t="s">
        <v>1561</v>
      </c>
      <c r="R36" s="84" t="str">
        <f>HYPERLINK("https://sumsel.tribunnews.com/2021/09/18/arti-resi-dalam-belanja-online-cara-cek-resi-jne-jt-sicepat-ninja-pos-tiki")</f>
        <v>https://sumsel.tribunnews.com/2021/09/18/arti-resi-dalam-belanja-online-cara-cek-resi-jne-jt-sicepat-ninja-pos-tiki</v>
      </c>
      <c r="S36" s="81" t="s">
        <v>2590</v>
      </c>
      <c r="T36" s="86" t="s">
        <v>2659</v>
      </c>
      <c r="U36" s="81"/>
      <c r="V36" s="84" t="str">
        <f>HYPERLINK("https://pbs.twimg.com/profile_images/555395252161245184/yPWgFQXb_normal.jpeg")</f>
        <v>https://pbs.twimg.com/profile_images/555395252161245184/yPWgFQXb_normal.jpeg</v>
      </c>
      <c r="W36" s="83">
        <v>44458.298819444448</v>
      </c>
      <c r="X36" s="89">
        <v>44458</v>
      </c>
      <c r="Y36" s="86" t="s">
        <v>2786</v>
      </c>
      <c r="Z36" s="84" t="str">
        <f>HYPERLINK("https://twitter.com/kamusbesarkbbi/status/1439486995588333572")</f>
        <v>https://twitter.com/kamusbesarkbbi/status/1439486995588333572</v>
      </c>
      <c r="AA36" s="81"/>
      <c r="AB36" s="81"/>
      <c r="AC36" s="86" t="s">
        <v>4246</v>
      </c>
      <c r="AD36" s="81"/>
      <c r="AE36" s="81" t="b">
        <v>0</v>
      </c>
      <c r="AF36" s="81">
        <v>0</v>
      </c>
      <c r="AG36" s="86" t="s">
        <v>6240</v>
      </c>
      <c r="AH36" s="81" t="b">
        <v>0</v>
      </c>
      <c r="AI36" s="81" t="s">
        <v>6478</v>
      </c>
      <c r="AJ36" s="81"/>
      <c r="AK36" s="86" t="s">
        <v>6240</v>
      </c>
      <c r="AL36" s="81" t="b">
        <v>0</v>
      </c>
      <c r="AM36" s="81">
        <v>0</v>
      </c>
      <c r="AN36" s="86" t="s">
        <v>6240</v>
      </c>
      <c r="AO36" s="86" t="s">
        <v>6509</v>
      </c>
      <c r="AP36" s="81" t="b">
        <v>0</v>
      </c>
      <c r="AQ36" s="86" t="s">
        <v>4246</v>
      </c>
      <c r="AR36" s="81" t="s">
        <v>179</v>
      </c>
      <c r="AS36" s="81">
        <v>0</v>
      </c>
      <c r="AT36" s="81">
        <v>0</v>
      </c>
      <c r="AU36" s="81"/>
      <c r="AV36" s="81"/>
      <c r="AW36" s="81"/>
      <c r="AX36" s="81"/>
      <c r="AY36" s="81"/>
      <c r="AZ36" s="81"/>
      <c r="BA36" s="81"/>
      <c r="BB36" s="81"/>
    </row>
    <row r="37" spans="1:54" x14ac:dyDescent="0.35">
      <c r="A37" s="66" t="s">
        <v>248</v>
      </c>
      <c r="B37" s="66" t="s">
        <v>248</v>
      </c>
      <c r="C37" s="67"/>
      <c r="D37" s="68"/>
      <c r="E37" s="69"/>
      <c r="F37" s="70"/>
      <c r="G37" s="67"/>
      <c r="H37" s="71"/>
      <c r="I37" s="72"/>
      <c r="J37" s="72"/>
      <c r="K37" s="36"/>
      <c r="L37" s="79"/>
      <c r="M37" s="79"/>
      <c r="N37" s="74"/>
      <c r="O37" s="81" t="s">
        <v>179</v>
      </c>
      <c r="P37" s="83">
        <v>44452.600937499999</v>
      </c>
      <c r="Q37" s="81" t="s">
        <v>1557</v>
      </c>
      <c r="R37" s="84" t="str">
        <f>HYPERLINK("https://shopee.co.id/KAOS-TSHIRT-MAMAMOO-ALL-SIZE-WAW-i.5096237.11348342107?position=9")</f>
        <v>https://shopee.co.id/KAOS-TSHIRT-MAMAMOO-ALL-SIZE-WAW-i.5096237.11348342107?position=9</v>
      </c>
      <c r="S37" s="81" t="s">
        <v>2589</v>
      </c>
      <c r="T37" s="81"/>
      <c r="U37" s="84" t="str">
        <f>HYPERLINK("https://pbs.twimg.com/media/E_K7kGFUcAIpZlj.jpg")</f>
        <v>https://pbs.twimg.com/media/E_K7kGFUcAIpZlj.jpg</v>
      </c>
      <c r="V37" s="84" t="str">
        <f>HYPERLINK("https://pbs.twimg.com/media/E_K7kGFUcAIpZlj.jpg")</f>
        <v>https://pbs.twimg.com/media/E_K7kGFUcAIpZlj.jpg</v>
      </c>
      <c r="W37" s="83">
        <v>44452.600937499999</v>
      </c>
      <c r="X37" s="89">
        <v>44452</v>
      </c>
      <c r="Y37" s="86" t="s">
        <v>2787</v>
      </c>
      <c r="Z37" s="84" t="str">
        <f>HYPERLINK("https://twitter.com/mooneunhye1/status/1437422150508449794")</f>
        <v>https://twitter.com/mooneunhye1/status/1437422150508449794</v>
      </c>
      <c r="AA37" s="81"/>
      <c r="AB37" s="81"/>
      <c r="AC37" s="86" t="s">
        <v>4247</v>
      </c>
      <c r="AD37" s="81"/>
      <c r="AE37" s="81" t="b">
        <v>0</v>
      </c>
      <c r="AF37" s="81">
        <v>6</v>
      </c>
      <c r="AG37" s="86" t="s">
        <v>6240</v>
      </c>
      <c r="AH37" s="81" t="b">
        <v>0</v>
      </c>
      <c r="AI37" s="81" t="s">
        <v>6478</v>
      </c>
      <c r="AJ37" s="81"/>
      <c r="AK37" s="86" t="s">
        <v>6240</v>
      </c>
      <c r="AL37" s="81" t="b">
        <v>0</v>
      </c>
      <c r="AM37" s="81">
        <v>11</v>
      </c>
      <c r="AN37" s="86" t="s">
        <v>6240</v>
      </c>
      <c r="AO37" s="86" t="s">
        <v>6507</v>
      </c>
      <c r="AP37" s="81" t="b">
        <v>0</v>
      </c>
      <c r="AQ37" s="86" t="s">
        <v>4247</v>
      </c>
      <c r="AR37" s="81" t="s">
        <v>1532</v>
      </c>
      <c r="AS37" s="81">
        <v>0</v>
      </c>
      <c r="AT37" s="81">
        <v>0</v>
      </c>
      <c r="AU37" s="81"/>
      <c r="AV37" s="81"/>
      <c r="AW37" s="81"/>
      <c r="AX37" s="81"/>
      <c r="AY37" s="81"/>
      <c r="AZ37" s="81"/>
      <c r="BA37" s="81"/>
      <c r="BB37" s="81"/>
    </row>
    <row r="38" spans="1:54" x14ac:dyDescent="0.35">
      <c r="A38" s="66" t="s">
        <v>249</v>
      </c>
      <c r="B38" s="66" t="s">
        <v>248</v>
      </c>
      <c r="C38" s="67"/>
      <c r="D38" s="68"/>
      <c r="E38" s="69"/>
      <c r="F38" s="70"/>
      <c r="G38" s="67"/>
      <c r="H38" s="71"/>
      <c r="I38" s="72"/>
      <c r="J38" s="72"/>
      <c r="K38" s="36"/>
      <c r="L38" s="79"/>
      <c r="M38" s="79"/>
      <c r="N38" s="74"/>
      <c r="O38" s="81" t="s">
        <v>1532</v>
      </c>
      <c r="P38" s="83">
        <v>44458.300219907411</v>
      </c>
      <c r="Q38" s="81" t="s">
        <v>1557</v>
      </c>
      <c r="R38" s="84" t="str">
        <f>HYPERLINK("https://shopee.co.id/KAOS-TSHIRT-MAMAMOO-ALL-SIZE-WAW-i.5096237.11348342107?position=9")</f>
        <v>https://shopee.co.id/KAOS-TSHIRT-MAMAMOO-ALL-SIZE-WAW-i.5096237.11348342107?position=9</v>
      </c>
      <c r="S38" s="81" t="s">
        <v>2589</v>
      </c>
      <c r="T38" s="81"/>
      <c r="U38" s="84" t="str">
        <f>HYPERLINK("https://pbs.twimg.com/media/E_K7kGFUcAIpZlj.jpg")</f>
        <v>https://pbs.twimg.com/media/E_K7kGFUcAIpZlj.jpg</v>
      </c>
      <c r="V38" s="84" t="str">
        <f>HYPERLINK("https://pbs.twimg.com/media/E_K7kGFUcAIpZlj.jpg")</f>
        <v>https://pbs.twimg.com/media/E_K7kGFUcAIpZlj.jpg</v>
      </c>
      <c r="W38" s="83">
        <v>44458.300219907411</v>
      </c>
      <c r="X38" s="89">
        <v>44458</v>
      </c>
      <c r="Y38" s="86" t="s">
        <v>2788</v>
      </c>
      <c r="Z38" s="84" t="str">
        <f>HYPERLINK("https://twitter.com/sleepingmoo/status/1439487502457311236")</f>
        <v>https://twitter.com/sleepingmoo/status/1439487502457311236</v>
      </c>
      <c r="AA38" s="81"/>
      <c r="AB38" s="81"/>
      <c r="AC38" s="86" t="s">
        <v>4248</v>
      </c>
      <c r="AD38" s="81"/>
      <c r="AE38" s="81" t="b">
        <v>0</v>
      </c>
      <c r="AF38" s="81">
        <v>0</v>
      </c>
      <c r="AG38" s="86" t="s">
        <v>6240</v>
      </c>
      <c r="AH38" s="81" t="b">
        <v>0</v>
      </c>
      <c r="AI38" s="81" t="s">
        <v>6478</v>
      </c>
      <c r="AJ38" s="81"/>
      <c r="AK38" s="86" t="s">
        <v>6240</v>
      </c>
      <c r="AL38" s="81" t="b">
        <v>0</v>
      </c>
      <c r="AM38" s="81">
        <v>11</v>
      </c>
      <c r="AN38" s="86" t="s">
        <v>4247</v>
      </c>
      <c r="AO38" s="86" t="s">
        <v>6503</v>
      </c>
      <c r="AP38" s="81" t="b">
        <v>0</v>
      </c>
      <c r="AQ38" s="86" t="s">
        <v>4247</v>
      </c>
      <c r="AR38" s="81" t="s">
        <v>179</v>
      </c>
      <c r="AS38" s="81">
        <v>0</v>
      </c>
      <c r="AT38" s="81">
        <v>0</v>
      </c>
      <c r="AU38" s="81"/>
      <c r="AV38" s="81"/>
      <c r="AW38" s="81"/>
      <c r="AX38" s="81"/>
      <c r="AY38" s="81"/>
      <c r="AZ38" s="81"/>
      <c r="BA38" s="81"/>
      <c r="BB38" s="81"/>
    </row>
    <row r="39" spans="1:54" x14ac:dyDescent="0.35">
      <c r="A39" s="66" t="s">
        <v>250</v>
      </c>
      <c r="B39" s="66" t="s">
        <v>855</v>
      </c>
      <c r="C39" s="67"/>
      <c r="D39" s="68"/>
      <c r="E39" s="69"/>
      <c r="F39" s="70"/>
      <c r="G39" s="67"/>
      <c r="H39" s="71"/>
      <c r="I39" s="72"/>
      <c r="J39" s="72"/>
      <c r="K39" s="36"/>
      <c r="L39" s="79"/>
      <c r="M39" s="79"/>
      <c r="N39" s="74"/>
      <c r="O39" s="81" t="s">
        <v>1532</v>
      </c>
      <c r="P39" s="83">
        <v>44458.300671296296</v>
      </c>
      <c r="Q39" s="81" t="s">
        <v>1562</v>
      </c>
      <c r="R39" s="81"/>
      <c r="S39" s="81"/>
      <c r="T39" s="81"/>
      <c r="U39" s="84" t="str">
        <f>HYPERLINK("https://pbs.twimg.com/media/E_lvuyPVEAEa3Kn.jpg")</f>
        <v>https://pbs.twimg.com/media/E_lvuyPVEAEa3Kn.jpg</v>
      </c>
      <c r="V39" s="84" t="str">
        <f>HYPERLINK("https://pbs.twimg.com/media/E_lvuyPVEAEa3Kn.jpg")</f>
        <v>https://pbs.twimg.com/media/E_lvuyPVEAEa3Kn.jpg</v>
      </c>
      <c r="W39" s="83">
        <v>44458.300671296296</v>
      </c>
      <c r="X39" s="89">
        <v>44458</v>
      </c>
      <c r="Y39" s="86" t="s">
        <v>2789</v>
      </c>
      <c r="Z39" s="84" t="str">
        <f>HYPERLINK("https://twitter.com/mang_ib/status/1439487664051286016")</f>
        <v>https://twitter.com/mang_ib/status/1439487664051286016</v>
      </c>
      <c r="AA39" s="81"/>
      <c r="AB39" s="81"/>
      <c r="AC39" s="86" t="s">
        <v>4249</v>
      </c>
      <c r="AD39" s="81"/>
      <c r="AE39" s="81" t="b">
        <v>0</v>
      </c>
      <c r="AF39" s="81">
        <v>0</v>
      </c>
      <c r="AG39" s="86" t="s">
        <v>6240</v>
      </c>
      <c r="AH39" s="81" t="b">
        <v>0</v>
      </c>
      <c r="AI39" s="81" t="s">
        <v>6478</v>
      </c>
      <c r="AJ39" s="81"/>
      <c r="AK39" s="86" t="s">
        <v>6240</v>
      </c>
      <c r="AL39" s="81" t="b">
        <v>0</v>
      </c>
      <c r="AM39" s="81">
        <v>2</v>
      </c>
      <c r="AN39" s="86" t="s">
        <v>4934</v>
      </c>
      <c r="AO39" s="86" t="s">
        <v>6503</v>
      </c>
      <c r="AP39" s="81" t="b">
        <v>0</v>
      </c>
      <c r="AQ39" s="86" t="s">
        <v>4934</v>
      </c>
      <c r="AR39" s="81" t="s">
        <v>179</v>
      </c>
      <c r="AS39" s="81">
        <v>0</v>
      </c>
      <c r="AT39" s="81">
        <v>0</v>
      </c>
      <c r="AU39" s="81"/>
      <c r="AV39" s="81"/>
      <c r="AW39" s="81"/>
      <c r="AX39" s="81"/>
      <c r="AY39" s="81"/>
      <c r="AZ39" s="81"/>
      <c r="BA39" s="81"/>
      <c r="BB39" s="81"/>
    </row>
    <row r="40" spans="1:54" x14ac:dyDescent="0.35">
      <c r="A40" s="66" t="s">
        <v>251</v>
      </c>
      <c r="B40" s="66" t="s">
        <v>251</v>
      </c>
      <c r="C40" s="67"/>
      <c r="D40" s="68"/>
      <c r="E40" s="69"/>
      <c r="F40" s="70"/>
      <c r="G40" s="67"/>
      <c r="H40" s="71"/>
      <c r="I40" s="72"/>
      <c r="J40" s="72"/>
      <c r="K40" s="36"/>
      <c r="L40" s="79"/>
      <c r="M40" s="79"/>
      <c r="N40" s="74"/>
      <c r="O40" s="81" t="s">
        <v>179</v>
      </c>
      <c r="P40" s="83">
        <v>44458.280532407407</v>
      </c>
      <c r="Q40" s="81" t="s">
        <v>1563</v>
      </c>
      <c r="R40" s="84" t="str">
        <f>HYPERLINK("https://sumselterkini.co.id/bumn/perkuat-layanan-platform-digital-courier-posaja-pos-indonesia-kenalkan-o-ranger-mawar-kurir-wanita/")</f>
        <v>https://sumselterkini.co.id/bumn/perkuat-layanan-platform-digital-courier-posaja-pos-indonesia-kenalkan-o-ranger-mawar-kurir-wanita/</v>
      </c>
      <c r="S40" s="81" t="s">
        <v>2589</v>
      </c>
      <c r="T40" s="81"/>
      <c r="U40" s="84" t="str">
        <f>HYPERLINK("https://pbs.twimg.com/media/E_oPxF9UcAUEzec.jpg")</f>
        <v>https://pbs.twimg.com/media/E_oPxF9UcAUEzec.jpg</v>
      </c>
      <c r="V40" s="84" t="str">
        <f>HYPERLINK("https://pbs.twimg.com/media/E_oPxF9UcAUEzec.jpg")</f>
        <v>https://pbs.twimg.com/media/E_oPxF9UcAUEzec.jpg</v>
      </c>
      <c r="W40" s="83">
        <v>44458.280532407407</v>
      </c>
      <c r="X40" s="89">
        <v>44458</v>
      </c>
      <c r="Y40" s="86" t="s">
        <v>2790</v>
      </c>
      <c r="Z40" s="84" t="str">
        <f>HYPERLINK("https://twitter.com/sumselterkini/status/1439480368940285954")</f>
        <v>https://twitter.com/sumselterkini/status/1439480368940285954</v>
      </c>
      <c r="AA40" s="81"/>
      <c r="AB40" s="81"/>
      <c r="AC40" s="86" t="s">
        <v>4250</v>
      </c>
      <c r="AD40" s="81"/>
      <c r="AE40" s="81" t="b">
        <v>0</v>
      </c>
      <c r="AF40" s="81">
        <v>0</v>
      </c>
      <c r="AG40" s="86" t="s">
        <v>6240</v>
      </c>
      <c r="AH40" s="81" t="b">
        <v>0</v>
      </c>
      <c r="AI40" s="81" t="s">
        <v>6478</v>
      </c>
      <c r="AJ40" s="81"/>
      <c r="AK40" s="86" t="s">
        <v>6240</v>
      </c>
      <c r="AL40" s="81" t="b">
        <v>0</v>
      </c>
      <c r="AM40" s="81">
        <v>0</v>
      </c>
      <c r="AN40" s="86" t="s">
        <v>6240</v>
      </c>
      <c r="AO40" s="86" t="s">
        <v>251</v>
      </c>
      <c r="AP40" s="81" t="b">
        <v>0</v>
      </c>
      <c r="AQ40" s="86" t="s">
        <v>4250</v>
      </c>
      <c r="AR40" s="81" t="s">
        <v>179</v>
      </c>
      <c r="AS40" s="81">
        <v>0</v>
      </c>
      <c r="AT40" s="81">
        <v>0</v>
      </c>
      <c r="AU40" s="81"/>
      <c r="AV40" s="81"/>
      <c r="AW40" s="81"/>
      <c r="AX40" s="81"/>
      <c r="AY40" s="81"/>
      <c r="AZ40" s="81"/>
      <c r="BA40" s="81"/>
      <c r="BB40" s="81"/>
    </row>
    <row r="41" spans="1:54" x14ac:dyDescent="0.35">
      <c r="A41" s="66" t="s">
        <v>251</v>
      </c>
      <c r="B41" s="66" t="s">
        <v>251</v>
      </c>
      <c r="C41" s="67"/>
      <c r="D41" s="68"/>
      <c r="E41" s="69"/>
      <c r="F41" s="70"/>
      <c r="G41" s="67"/>
      <c r="H41" s="71"/>
      <c r="I41" s="72"/>
      <c r="J41" s="72"/>
      <c r="K41" s="36"/>
      <c r="L41" s="79"/>
      <c r="M41" s="79"/>
      <c r="N41" s="74"/>
      <c r="O41" s="81" t="s">
        <v>179</v>
      </c>
      <c r="P41" s="83">
        <v>44458.280821759261</v>
      </c>
      <c r="Q41" s="81" t="s">
        <v>1564</v>
      </c>
      <c r="R41" s="84" t="str">
        <f>HYPERLINK("https://sumselterkini.co.id/bumn/perkuat-layanan-platform-digital-courier-posaja-pos-indonesia-kenalkan-o-ranger-mawar-kurir-wanita/")</f>
        <v>https://sumselterkini.co.id/bumn/perkuat-layanan-platform-digital-courier-posaja-pos-indonesia-kenalkan-o-ranger-mawar-kurir-wanita/</v>
      </c>
      <c r="S41" s="81" t="s">
        <v>2589</v>
      </c>
      <c r="T41" s="81"/>
      <c r="U41" s="84" t="str">
        <f>HYPERLINK("https://pbs.twimg.com/media/E_oP3KNVkAkuHvS.jpg")</f>
        <v>https://pbs.twimg.com/media/E_oP3KNVkAkuHvS.jpg</v>
      </c>
      <c r="V41" s="84" t="str">
        <f>HYPERLINK("https://pbs.twimg.com/media/E_oP3KNVkAkuHvS.jpg")</f>
        <v>https://pbs.twimg.com/media/E_oP3KNVkAkuHvS.jpg</v>
      </c>
      <c r="W41" s="83">
        <v>44458.280821759261</v>
      </c>
      <c r="X41" s="89">
        <v>44458</v>
      </c>
      <c r="Y41" s="86" t="s">
        <v>2791</v>
      </c>
      <c r="Z41" s="84" t="str">
        <f>HYPERLINK("https://twitter.com/sumselterkini/status/1439480473110003713")</f>
        <v>https://twitter.com/sumselterkini/status/1439480473110003713</v>
      </c>
      <c r="AA41" s="81"/>
      <c r="AB41" s="81"/>
      <c r="AC41" s="86" t="s">
        <v>4251</v>
      </c>
      <c r="AD41" s="81"/>
      <c r="AE41" s="81" t="b">
        <v>0</v>
      </c>
      <c r="AF41" s="81">
        <v>0</v>
      </c>
      <c r="AG41" s="86" t="s">
        <v>6240</v>
      </c>
      <c r="AH41" s="81" t="b">
        <v>0</v>
      </c>
      <c r="AI41" s="81" t="s">
        <v>6478</v>
      </c>
      <c r="AJ41" s="81"/>
      <c r="AK41" s="86" t="s">
        <v>6240</v>
      </c>
      <c r="AL41" s="81" t="b">
        <v>0</v>
      </c>
      <c r="AM41" s="81">
        <v>0</v>
      </c>
      <c r="AN41" s="86" t="s">
        <v>6240</v>
      </c>
      <c r="AO41" s="86" t="s">
        <v>251</v>
      </c>
      <c r="AP41" s="81" t="b">
        <v>0</v>
      </c>
      <c r="AQ41" s="86" t="s">
        <v>4251</v>
      </c>
      <c r="AR41" s="81" t="s">
        <v>179</v>
      </c>
      <c r="AS41" s="81">
        <v>0</v>
      </c>
      <c r="AT41" s="81">
        <v>0</v>
      </c>
      <c r="AU41" s="81"/>
      <c r="AV41" s="81"/>
      <c r="AW41" s="81"/>
      <c r="AX41" s="81"/>
      <c r="AY41" s="81"/>
      <c r="AZ41" s="81"/>
      <c r="BA41" s="81"/>
      <c r="BB41" s="81"/>
    </row>
    <row r="42" spans="1:54" x14ac:dyDescent="0.35">
      <c r="A42" s="66" t="s">
        <v>251</v>
      </c>
      <c r="B42" s="66" t="s">
        <v>251</v>
      </c>
      <c r="C42" s="67"/>
      <c r="D42" s="68"/>
      <c r="E42" s="69"/>
      <c r="F42" s="70"/>
      <c r="G42" s="67"/>
      <c r="H42" s="71"/>
      <c r="I42" s="72"/>
      <c r="J42" s="72"/>
      <c r="K42" s="36"/>
      <c r="L42" s="79"/>
      <c r="M42" s="79"/>
      <c r="N42" s="74"/>
      <c r="O42" s="81" t="s">
        <v>179</v>
      </c>
      <c r="P42" s="83">
        <v>44458.281643518516</v>
      </c>
      <c r="Q42" s="81" t="s">
        <v>1565</v>
      </c>
      <c r="R42" s="84" t="str">
        <f>HYPERLINK("https://sumselterkini.co.id/bumn/perkuat-layanan-platform-digital-courier-posaja-pos-indonesia-kenalkan-o-ranger-mawar-kurir-wanita/")</f>
        <v>https://sumselterkini.co.id/bumn/perkuat-layanan-platform-digital-courier-posaja-pos-indonesia-kenalkan-o-ranger-mawar-kurir-wanita/</v>
      </c>
      <c r="S42" s="81" t="s">
        <v>2589</v>
      </c>
      <c r="T42" s="81"/>
      <c r="U42" s="84" t="str">
        <f>HYPERLINK("https://pbs.twimg.com/media/E_oQIVkVEAUItuO.jpg")</f>
        <v>https://pbs.twimg.com/media/E_oQIVkVEAUItuO.jpg</v>
      </c>
      <c r="V42" s="84" t="str">
        <f>HYPERLINK("https://pbs.twimg.com/media/E_oQIVkVEAUItuO.jpg")</f>
        <v>https://pbs.twimg.com/media/E_oQIVkVEAUItuO.jpg</v>
      </c>
      <c r="W42" s="83">
        <v>44458.281643518516</v>
      </c>
      <c r="X42" s="89">
        <v>44458</v>
      </c>
      <c r="Y42" s="86" t="s">
        <v>2792</v>
      </c>
      <c r="Z42" s="84" t="str">
        <f>HYPERLINK("https://twitter.com/sumselterkini/status/1439480768158306305")</f>
        <v>https://twitter.com/sumselterkini/status/1439480768158306305</v>
      </c>
      <c r="AA42" s="81"/>
      <c r="AB42" s="81"/>
      <c r="AC42" s="86" t="s">
        <v>4252</v>
      </c>
      <c r="AD42" s="81"/>
      <c r="AE42" s="81" t="b">
        <v>0</v>
      </c>
      <c r="AF42" s="81">
        <v>0</v>
      </c>
      <c r="AG42" s="86" t="s">
        <v>6240</v>
      </c>
      <c r="AH42" s="81" t="b">
        <v>0</v>
      </c>
      <c r="AI42" s="81" t="s">
        <v>6478</v>
      </c>
      <c r="AJ42" s="81"/>
      <c r="AK42" s="86" t="s">
        <v>6240</v>
      </c>
      <c r="AL42" s="81" t="b">
        <v>0</v>
      </c>
      <c r="AM42" s="81">
        <v>0</v>
      </c>
      <c r="AN42" s="86" t="s">
        <v>6240</v>
      </c>
      <c r="AO42" s="86" t="s">
        <v>251</v>
      </c>
      <c r="AP42" s="81" t="b">
        <v>0</v>
      </c>
      <c r="AQ42" s="86" t="s">
        <v>4252</v>
      </c>
      <c r="AR42" s="81" t="s">
        <v>179</v>
      </c>
      <c r="AS42" s="81">
        <v>0</v>
      </c>
      <c r="AT42" s="81">
        <v>0</v>
      </c>
      <c r="AU42" s="81"/>
      <c r="AV42" s="81"/>
      <c r="AW42" s="81"/>
      <c r="AX42" s="81"/>
      <c r="AY42" s="81"/>
      <c r="AZ42" s="81"/>
      <c r="BA42" s="81"/>
      <c r="BB42" s="81"/>
    </row>
    <row r="43" spans="1:54" x14ac:dyDescent="0.35">
      <c r="A43" s="66" t="s">
        <v>251</v>
      </c>
      <c r="B43" s="66" t="s">
        <v>251</v>
      </c>
      <c r="C43" s="67"/>
      <c r="D43" s="68"/>
      <c r="E43" s="69"/>
      <c r="F43" s="70"/>
      <c r="G43" s="67"/>
      <c r="H43" s="71"/>
      <c r="I43" s="72"/>
      <c r="J43" s="72"/>
      <c r="K43" s="36"/>
      <c r="L43" s="79"/>
      <c r="M43" s="79"/>
      <c r="N43" s="74"/>
      <c r="O43" s="81" t="s">
        <v>179</v>
      </c>
      <c r="P43" s="83">
        <v>44458.301192129627</v>
      </c>
      <c r="Q43" s="81" t="s">
        <v>1566</v>
      </c>
      <c r="R43" s="84" t="str">
        <f>HYPERLINK("https://sumselterkini.co.id/bumn/perkuat-layanan-platform-digital-courier-posaja-pos-indonesia-kenalkan-o-ranger-mawar-kurir-wanita/")</f>
        <v>https://sumselterkini.co.id/bumn/perkuat-layanan-platform-digital-courier-posaja-pos-indonesia-kenalkan-o-ranger-mawar-kurir-wanita/</v>
      </c>
      <c r="S43" s="81" t="s">
        <v>2589</v>
      </c>
      <c r="T43" s="81"/>
      <c r="U43" s="84" t="str">
        <f>HYPERLINK("https://pbs.twimg.com/media/E_oWk0MVUAgDkm9.jpg")</f>
        <v>https://pbs.twimg.com/media/E_oWk0MVUAgDkm9.jpg</v>
      </c>
      <c r="V43" s="84" t="str">
        <f>HYPERLINK("https://pbs.twimg.com/media/E_oWk0MVUAgDkm9.jpg")</f>
        <v>https://pbs.twimg.com/media/E_oWk0MVUAgDkm9.jpg</v>
      </c>
      <c r="W43" s="83">
        <v>44458.301192129627</v>
      </c>
      <c r="X43" s="89">
        <v>44458</v>
      </c>
      <c r="Y43" s="86" t="s">
        <v>2793</v>
      </c>
      <c r="Z43" s="84" t="str">
        <f>HYPERLINK("https://twitter.com/sumselterkini/status/1439487854409703427")</f>
        <v>https://twitter.com/sumselterkini/status/1439487854409703427</v>
      </c>
      <c r="AA43" s="81"/>
      <c r="AB43" s="81"/>
      <c r="AC43" s="86" t="s">
        <v>4253</v>
      </c>
      <c r="AD43" s="81"/>
      <c r="AE43" s="81" t="b">
        <v>0</v>
      </c>
      <c r="AF43" s="81">
        <v>0</v>
      </c>
      <c r="AG43" s="86" t="s">
        <v>6240</v>
      </c>
      <c r="AH43" s="81" t="b">
        <v>0</v>
      </c>
      <c r="AI43" s="81" t="s">
        <v>6478</v>
      </c>
      <c r="AJ43" s="81"/>
      <c r="AK43" s="86" t="s">
        <v>6240</v>
      </c>
      <c r="AL43" s="81" t="b">
        <v>0</v>
      </c>
      <c r="AM43" s="81">
        <v>0</v>
      </c>
      <c r="AN43" s="86" t="s">
        <v>6240</v>
      </c>
      <c r="AO43" s="86" t="s">
        <v>251</v>
      </c>
      <c r="AP43" s="81" t="b">
        <v>0</v>
      </c>
      <c r="AQ43" s="86" t="s">
        <v>4253</v>
      </c>
      <c r="AR43" s="81" t="s">
        <v>179</v>
      </c>
      <c r="AS43" s="81">
        <v>0</v>
      </c>
      <c r="AT43" s="81">
        <v>0</v>
      </c>
      <c r="AU43" s="81"/>
      <c r="AV43" s="81"/>
      <c r="AW43" s="81"/>
      <c r="AX43" s="81"/>
      <c r="AY43" s="81"/>
      <c r="AZ43" s="81"/>
      <c r="BA43" s="81"/>
      <c r="BB43" s="81"/>
    </row>
    <row r="44" spans="1:54" x14ac:dyDescent="0.35">
      <c r="A44" s="66" t="s">
        <v>252</v>
      </c>
      <c r="B44" s="66" t="s">
        <v>252</v>
      </c>
      <c r="C44" s="67"/>
      <c r="D44" s="68"/>
      <c r="E44" s="69"/>
      <c r="F44" s="70"/>
      <c r="G44" s="67"/>
      <c r="H44" s="71"/>
      <c r="I44" s="72"/>
      <c r="J44" s="72"/>
      <c r="K44" s="36"/>
      <c r="L44" s="79"/>
      <c r="M44" s="79"/>
      <c r="N44" s="74"/>
      <c r="O44" s="81" t="s">
        <v>179</v>
      </c>
      <c r="P44" s="83">
        <v>44458.317407407405</v>
      </c>
      <c r="Q44" s="81" t="s">
        <v>1567</v>
      </c>
      <c r="R44" s="81"/>
      <c r="S44" s="81"/>
      <c r="T44" s="81"/>
      <c r="U44" s="81"/>
      <c r="V44" s="84" t="str">
        <f>HYPERLINK("https://pbs.twimg.com/profile_images/1436952547906908161/Ej3D91NJ_normal.jpg")</f>
        <v>https://pbs.twimg.com/profile_images/1436952547906908161/Ej3D91NJ_normal.jpg</v>
      </c>
      <c r="W44" s="83">
        <v>44458.317407407405</v>
      </c>
      <c r="X44" s="89">
        <v>44458</v>
      </c>
      <c r="Y44" s="86" t="s">
        <v>2794</v>
      </c>
      <c r="Z44" s="84" t="str">
        <f>HYPERLINK("https://twitter.com/mylovefarhan/status/1439493731934085121")</f>
        <v>https://twitter.com/mylovefarhan/status/1439493731934085121</v>
      </c>
      <c r="AA44" s="81"/>
      <c r="AB44" s="81"/>
      <c r="AC44" s="86" t="s">
        <v>4254</v>
      </c>
      <c r="AD44" s="81"/>
      <c r="AE44" s="81" t="b">
        <v>0</v>
      </c>
      <c r="AF44" s="81">
        <v>1</v>
      </c>
      <c r="AG44" s="86" t="s">
        <v>6240</v>
      </c>
      <c r="AH44" s="81" t="b">
        <v>0</v>
      </c>
      <c r="AI44" s="81" t="s">
        <v>6481</v>
      </c>
      <c r="AJ44" s="81"/>
      <c r="AK44" s="86" t="s">
        <v>6240</v>
      </c>
      <c r="AL44" s="81" t="b">
        <v>0</v>
      </c>
      <c r="AM44" s="81">
        <v>1</v>
      </c>
      <c r="AN44" s="86" t="s">
        <v>6240</v>
      </c>
      <c r="AO44" s="86" t="s">
        <v>6505</v>
      </c>
      <c r="AP44" s="81" t="b">
        <v>0</v>
      </c>
      <c r="AQ44" s="86" t="s">
        <v>4254</v>
      </c>
      <c r="AR44" s="81" t="s">
        <v>179</v>
      </c>
      <c r="AS44" s="81">
        <v>0</v>
      </c>
      <c r="AT44" s="81">
        <v>0</v>
      </c>
      <c r="AU44" s="81"/>
      <c r="AV44" s="81"/>
      <c r="AW44" s="81"/>
      <c r="AX44" s="81"/>
      <c r="AY44" s="81"/>
      <c r="AZ44" s="81"/>
      <c r="BA44" s="81"/>
      <c r="BB44" s="81"/>
    </row>
    <row r="45" spans="1:54" x14ac:dyDescent="0.35">
      <c r="A45" s="66" t="s">
        <v>253</v>
      </c>
      <c r="B45" s="66" t="s">
        <v>1272</v>
      </c>
      <c r="C45" s="67"/>
      <c r="D45" s="68"/>
      <c r="E45" s="69"/>
      <c r="F45" s="70"/>
      <c r="G45" s="67"/>
      <c r="H45" s="71"/>
      <c r="I45" s="72"/>
      <c r="J45" s="72"/>
      <c r="K45" s="36"/>
      <c r="L45" s="79"/>
      <c r="M45" s="79"/>
      <c r="N45" s="74"/>
      <c r="O45" s="81" t="s">
        <v>1533</v>
      </c>
      <c r="P45" s="83">
        <v>44458.326909722222</v>
      </c>
      <c r="Q45" s="81" t="s">
        <v>1536</v>
      </c>
      <c r="R45" s="81"/>
      <c r="S45" s="81"/>
      <c r="T45" s="86" t="s">
        <v>2656</v>
      </c>
      <c r="U45" s="84" t="str">
        <f>HYPERLINK("https://pbs.twimg.com/media/E_X1zlwVIAES6Ks.jpg")</f>
        <v>https://pbs.twimg.com/media/E_X1zlwVIAES6Ks.jpg</v>
      </c>
      <c r="V45" s="84" t="str">
        <f>HYPERLINK("https://pbs.twimg.com/media/E_X1zlwVIAES6Ks.jpg")</f>
        <v>https://pbs.twimg.com/media/E_X1zlwVIAES6Ks.jpg</v>
      </c>
      <c r="W45" s="83">
        <v>44458.326909722222</v>
      </c>
      <c r="X45" s="89">
        <v>44458</v>
      </c>
      <c r="Y45" s="86" t="s">
        <v>2795</v>
      </c>
      <c r="Z45" s="84" t="str">
        <f>HYPERLINK("https://twitter.com/malangdorn2/status/1439497175604604932")</f>
        <v>https://twitter.com/malangdorn2/status/1439497175604604932</v>
      </c>
      <c r="AA45" s="81"/>
      <c r="AB45" s="81"/>
      <c r="AC45" s="86" t="s">
        <v>4255</v>
      </c>
      <c r="AD45" s="81"/>
      <c r="AE45" s="81" t="b">
        <v>0</v>
      </c>
      <c r="AF45" s="81">
        <v>0</v>
      </c>
      <c r="AG45" s="86" t="s">
        <v>6240</v>
      </c>
      <c r="AH45" s="81" t="b">
        <v>0</v>
      </c>
      <c r="AI45" s="81" t="s">
        <v>6478</v>
      </c>
      <c r="AJ45" s="81"/>
      <c r="AK45" s="86" t="s">
        <v>6240</v>
      </c>
      <c r="AL45" s="81" t="b">
        <v>0</v>
      </c>
      <c r="AM45" s="81">
        <v>61</v>
      </c>
      <c r="AN45" s="86" t="s">
        <v>4550</v>
      </c>
      <c r="AO45" s="86" t="s">
        <v>6503</v>
      </c>
      <c r="AP45" s="81" t="b">
        <v>0</v>
      </c>
      <c r="AQ45" s="86" t="s">
        <v>4550</v>
      </c>
      <c r="AR45" s="81" t="s">
        <v>179</v>
      </c>
      <c r="AS45" s="81">
        <v>0</v>
      </c>
      <c r="AT45" s="81">
        <v>0</v>
      </c>
      <c r="AU45" s="81"/>
      <c r="AV45" s="81"/>
      <c r="AW45" s="81"/>
      <c r="AX45" s="81"/>
      <c r="AY45" s="81"/>
      <c r="AZ45" s="81"/>
      <c r="BA45" s="81"/>
      <c r="BB45" s="81"/>
    </row>
    <row r="46" spans="1:54" x14ac:dyDescent="0.35">
      <c r="A46" s="66" t="s">
        <v>253</v>
      </c>
      <c r="B46" s="66" t="s">
        <v>526</v>
      </c>
      <c r="C46" s="67"/>
      <c r="D46" s="68"/>
      <c r="E46" s="69"/>
      <c r="F46" s="70"/>
      <c r="G46" s="67"/>
      <c r="H46" s="71"/>
      <c r="I46" s="72"/>
      <c r="J46" s="72"/>
      <c r="K46" s="36"/>
      <c r="L46" s="79"/>
      <c r="M46" s="79"/>
      <c r="N46" s="74"/>
      <c r="O46" s="81" t="s">
        <v>1532</v>
      </c>
      <c r="P46" s="83">
        <v>44458.326909722222</v>
      </c>
      <c r="Q46" s="81" t="s">
        <v>1536</v>
      </c>
      <c r="R46" s="81"/>
      <c r="S46" s="81"/>
      <c r="T46" s="86" t="s">
        <v>2656</v>
      </c>
      <c r="U46" s="84" t="str">
        <f>HYPERLINK("https://pbs.twimg.com/media/E_X1zlwVIAES6Ks.jpg")</f>
        <v>https://pbs.twimg.com/media/E_X1zlwVIAES6Ks.jpg</v>
      </c>
      <c r="V46" s="84" t="str">
        <f>HYPERLINK("https://pbs.twimg.com/media/E_X1zlwVIAES6Ks.jpg")</f>
        <v>https://pbs.twimg.com/media/E_X1zlwVIAES6Ks.jpg</v>
      </c>
      <c r="W46" s="83">
        <v>44458.326909722222</v>
      </c>
      <c r="X46" s="89">
        <v>44458</v>
      </c>
      <c r="Y46" s="86" t="s">
        <v>2795</v>
      </c>
      <c r="Z46" s="84" t="str">
        <f>HYPERLINK("https://twitter.com/malangdorn2/status/1439497175604604932")</f>
        <v>https://twitter.com/malangdorn2/status/1439497175604604932</v>
      </c>
      <c r="AA46" s="81"/>
      <c r="AB46" s="81"/>
      <c r="AC46" s="86" t="s">
        <v>4255</v>
      </c>
      <c r="AD46" s="81"/>
      <c r="AE46" s="81" t="b">
        <v>0</v>
      </c>
      <c r="AF46" s="81">
        <v>0</v>
      </c>
      <c r="AG46" s="86" t="s">
        <v>6240</v>
      </c>
      <c r="AH46" s="81" t="b">
        <v>0</v>
      </c>
      <c r="AI46" s="81" t="s">
        <v>6478</v>
      </c>
      <c r="AJ46" s="81"/>
      <c r="AK46" s="86" t="s">
        <v>6240</v>
      </c>
      <c r="AL46" s="81" t="b">
        <v>0</v>
      </c>
      <c r="AM46" s="81">
        <v>61</v>
      </c>
      <c r="AN46" s="86" t="s">
        <v>4550</v>
      </c>
      <c r="AO46" s="86" t="s">
        <v>6503</v>
      </c>
      <c r="AP46" s="81" t="b">
        <v>0</v>
      </c>
      <c r="AQ46" s="86" t="s">
        <v>4550</v>
      </c>
      <c r="AR46" s="81" t="s">
        <v>179</v>
      </c>
      <c r="AS46" s="81">
        <v>0</v>
      </c>
      <c r="AT46" s="81">
        <v>0</v>
      </c>
      <c r="AU46" s="81"/>
      <c r="AV46" s="81"/>
      <c r="AW46" s="81"/>
      <c r="AX46" s="81"/>
      <c r="AY46" s="81"/>
      <c r="AZ46" s="81"/>
      <c r="BA46" s="81"/>
      <c r="BB46" s="81"/>
    </row>
    <row r="47" spans="1:54" x14ac:dyDescent="0.35">
      <c r="A47" s="66" t="s">
        <v>254</v>
      </c>
      <c r="B47" s="66" t="s">
        <v>254</v>
      </c>
      <c r="C47" s="67"/>
      <c r="D47" s="68"/>
      <c r="E47" s="69"/>
      <c r="F47" s="70"/>
      <c r="G47" s="67"/>
      <c r="H47" s="71"/>
      <c r="I47" s="72"/>
      <c r="J47" s="72"/>
      <c r="K47" s="36"/>
      <c r="L47" s="79"/>
      <c r="M47" s="79"/>
      <c r="N47" s="74"/>
      <c r="O47" s="81" t="s">
        <v>179</v>
      </c>
      <c r="P47" s="83">
        <v>44458.327986111108</v>
      </c>
      <c r="Q47" s="81" t="s">
        <v>1568</v>
      </c>
      <c r="R47" s="81"/>
      <c r="S47" s="81"/>
      <c r="T47" s="81"/>
      <c r="U47" s="81"/>
      <c r="V47" s="84" t="str">
        <f>HYPERLINK("https://pbs.twimg.com/profile_images/1440913363429560324/ljC0ym2-_normal.jpg")</f>
        <v>https://pbs.twimg.com/profile_images/1440913363429560324/ljC0ym2-_normal.jpg</v>
      </c>
      <c r="W47" s="83">
        <v>44458.327986111108</v>
      </c>
      <c r="X47" s="89">
        <v>44458</v>
      </c>
      <c r="Y47" s="86" t="s">
        <v>2796</v>
      </c>
      <c r="Z47" s="84" t="str">
        <f>HYPERLINK("https://twitter.com/ggukiexly/status/1439497563632115718")</f>
        <v>https://twitter.com/ggukiexly/status/1439497563632115718</v>
      </c>
      <c r="AA47" s="81"/>
      <c r="AB47" s="81"/>
      <c r="AC47" s="86" t="s">
        <v>4256</v>
      </c>
      <c r="AD47" s="81"/>
      <c r="AE47" s="81" t="b">
        <v>0</v>
      </c>
      <c r="AF47" s="81">
        <v>0</v>
      </c>
      <c r="AG47" s="86" t="s">
        <v>6240</v>
      </c>
      <c r="AH47" s="81" t="b">
        <v>0</v>
      </c>
      <c r="AI47" s="81" t="s">
        <v>6478</v>
      </c>
      <c r="AJ47" s="81"/>
      <c r="AK47" s="86" t="s">
        <v>6240</v>
      </c>
      <c r="AL47" s="81" t="b">
        <v>0</v>
      </c>
      <c r="AM47" s="81">
        <v>0</v>
      </c>
      <c r="AN47" s="86" t="s">
        <v>6240</v>
      </c>
      <c r="AO47" s="86" t="s">
        <v>6505</v>
      </c>
      <c r="AP47" s="81" t="b">
        <v>0</v>
      </c>
      <c r="AQ47" s="86" t="s">
        <v>4256</v>
      </c>
      <c r="AR47" s="81" t="s">
        <v>179</v>
      </c>
      <c r="AS47" s="81">
        <v>0</v>
      </c>
      <c r="AT47" s="81">
        <v>0</v>
      </c>
      <c r="AU47" s="81"/>
      <c r="AV47" s="81"/>
      <c r="AW47" s="81"/>
      <c r="AX47" s="81"/>
      <c r="AY47" s="81"/>
      <c r="AZ47" s="81"/>
      <c r="BA47" s="81"/>
      <c r="BB47" s="81"/>
    </row>
    <row r="48" spans="1:54" x14ac:dyDescent="0.35">
      <c r="A48" s="66" t="s">
        <v>255</v>
      </c>
      <c r="B48" s="66" t="s">
        <v>1279</v>
      </c>
      <c r="C48" s="67"/>
      <c r="D48" s="68"/>
      <c r="E48" s="69"/>
      <c r="F48" s="70"/>
      <c r="G48" s="67"/>
      <c r="H48" s="71"/>
      <c r="I48" s="72"/>
      <c r="J48" s="72"/>
      <c r="K48" s="36"/>
      <c r="L48" s="79"/>
      <c r="M48" s="79"/>
      <c r="N48" s="74"/>
      <c r="O48" s="81" t="s">
        <v>1534</v>
      </c>
      <c r="P48" s="83">
        <v>44458.332361111112</v>
      </c>
      <c r="Q48" s="81" t="s">
        <v>1569</v>
      </c>
      <c r="R48" s="81"/>
      <c r="S48" s="81"/>
      <c r="T48" s="81"/>
      <c r="U48" s="81"/>
      <c r="V48" s="84" t="str">
        <f>HYPERLINK("https://pbs.twimg.com/profile_images/1426837324034297861/_gv3AUi8_normal.jpg")</f>
        <v>https://pbs.twimg.com/profile_images/1426837324034297861/_gv3AUi8_normal.jpg</v>
      </c>
      <c r="W48" s="83">
        <v>44458.332361111112</v>
      </c>
      <c r="X48" s="89">
        <v>44458</v>
      </c>
      <c r="Y48" s="86" t="s">
        <v>2797</v>
      </c>
      <c r="Z48" s="84" t="str">
        <f>HYPERLINK("https://twitter.com/wakapoldur/status/1439499148537991176")</f>
        <v>https://twitter.com/wakapoldur/status/1439499148537991176</v>
      </c>
      <c r="AA48" s="81"/>
      <c r="AB48" s="81"/>
      <c r="AC48" s="86" t="s">
        <v>4257</v>
      </c>
      <c r="AD48" s="86" t="s">
        <v>5979</v>
      </c>
      <c r="AE48" s="81" t="b">
        <v>0</v>
      </c>
      <c r="AF48" s="81">
        <v>1</v>
      </c>
      <c r="AG48" s="86" t="s">
        <v>6249</v>
      </c>
      <c r="AH48" s="81" t="b">
        <v>0</v>
      </c>
      <c r="AI48" s="81" t="s">
        <v>6482</v>
      </c>
      <c r="AJ48" s="81"/>
      <c r="AK48" s="86" t="s">
        <v>6240</v>
      </c>
      <c r="AL48" s="81" t="b">
        <v>0</v>
      </c>
      <c r="AM48" s="81">
        <v>0</v>
      </c>
      <c r="AN48" s="86" t="s">
        <v>6240</v>
      </c>
      <c r="AO48" s="86" t="s">
        <v>6503</v>
      </c>
      <c r="AP48" s="81" t="b">
        <v>0</v>
      </c>
      <c r="AQ48" s="86" t="s">
        <v>5979</v>
      </c>
      <c r="AR48" s="81" t="s">
        <v>179</v>
      </c>
      <c r="AS48" s="81">
        <v>0</v>
      </c>
      <c r="AT48" s="81">
        <v>0</v>
      </c>
      <c r="AU48" s="81"/>
      <c r="AV48" s="81"/>
      <c r="AW48" s="81"/>
      <c r="AX48" s="81"/>
      <c r="AY48" s="81"/>
      <c r="AZ48" s="81"/>
      <c r="BA48" s="81"/>
      <c r="BB48" s="81"/>
    </row>
    <row r="49" spans="1:54" x14ac:dyDescent="0.35">
      <c r="A49" s="66" t="s">
        <v>255</v>
      </c>
      <c r="B49" s="66" t="s">
        <v>1156</v>
      </c>
      <c r="C49" s="67"/>
      <c r="D49" s="68"/>
      <c r="E49" s="69"/>
      <c r="F49" s="70"/>
      <c r="G49" s="67"/>
      <c r="H49" s="71"/>
      <c r="I49" s="72"/>
      <c r="J49" s="72"/>
      <c r="K49" s="36"/>
      <c r="L49" s="79"/>
      <c r="M49" s="79"/>
      <c r="N49" s="74"/>
      <c r="O49" s="81" t="s">
        <v>1535</v>
      </c>
      <c r="P49" s="83">
        <v>44458.332361111112</v>
      </c>
      <c r="Q49" s="81" t="s">
        <v>1569</v>
      </c>
      <c r="R49" s="81"/>
      <c r="S49" s="81"/>
      <c r="T49" s="81"/>
      <c r="U49" s="81"/>
      <c r="V49" s="84" t="str">
        <f>HYPERLINK("https://pbs.twimg.com/profile_images/1426837324034297861/_gv3AUi8_normal.jpg")</f>
        <v>https://pbs.twimg.com/profile_images/1426837324034297861/_gv3AUi8_normal.jpg</v>
      </c>
      <c r="W49" s="83">
        <v>44458.332361111112</v>
      </c>
      <c r="X49" s="89">
        <v>44458</v>
      </c>
      <c r="Y49" s="86" t="s">
        <v>2797</v>
      </c>
      <c r="Z49" s="84" t="str">
        <f>HYPERLINK("https://twitter.com/wakapoldur/status/1439499148537991176")</f>
        <v>https://twitter.com/wakapoldur/status/1439499148537991176</v>
      </c>
      <c r="AA49" s="81"/>
      <c r="AB49" s="81"/>
      <c r="AC49" s="86" t="s">
        <v>4257</v>
      </c>
      <c r="AD49" s="86" t="s">
        <v>5979</v>
      </c>
      <c r="AE49" s="81" t="b">
        <v>0</v>
      </c>
      <c r="AF49" s="81">
        <v>1</v>
      </c>
      <c r="AG49" s="86" t="s">
        <v>6249</v>
      </c>
      <c r="AH49" s="81" t="b">
        <v>0</v>
      </c>
      <c r="AI49" s="81" t="s">
        <v>6482</v>
      </c>
      <c r="AJ49" s="81"/>
      <c r="AK49" s="86" t="s">
        <v>6240</v>
      </c>
      <c r="AL49" s="81" t="b">
        <v>0</v>
      </c>
      <c r="AM49" s="81">
        <v>0</v>
      </c>
      <c r="AN49" s="86" t="s">
        <v>6240</v>
      </c>
      <c r="AO49" s="86" t="s">
        <v>6503</v>
      </c>
      <c r="AP49" s="81" t="b">
        <v>0</v>
      </c>
      <c r="AQ49" s="86" t="s">
        <v>5979</v>
      </c>
      <c r="AR49" s="81" t="s">
        <v>179</v>
      </c>
      <c r="AS49" s="81">
        <v>0</v>
      </c>
      <c r="AT49" s="81">
        <v>0</v>
      </c>
      <c r="AU49" s="81"/>
      <c r="AV49" s="81"/>
      <c r="AW49" s="81"/>
      <c r="AX49" s="81"/>
      <c r="AY49" s="81"/>
      <c r="AZ49" s="81"/>
      <c r="BA49" s="81"/>
      <c r="BB49" s="81"/>
    </row>
    <row r="50" spans="1:54" x14ac:dyDescent="0.35">
      <c r="A50" s="66" t="s">
        <v>256</v>
      </c>
      <c r="B50" s="66" t="s">
        <v>1280</v>
      </c>
      <c r="C50" s="67"/>
      <c r="D50" s="68"/>
      <c r="E50" s="69"/>
      <c r="F50" s="70"/>
      <c r="G50" s="67"/>
      <c r="H50" s="71"/>
      <c r="I50" s="72"/>
      <c r="J50" s="72"/>
      <c r="K50" s="36"/>
      <c r="L50" s="79"/>
      <c r="M50" s="79"/>
      <c r="N50" s="74"/>
      <c r="O50" s="81" t="s">
        <v>1534</v>
      </c>
      <c r="P50" s="83">
        <v>44458.380949074075</v>
      </c>
      <c r="Q50" s="81" t="s">
        <v>1570</v>
      </c>
      <c r="R50" s="81"/>
      <c r="S50" s="81"/>
      <c r="T50" s="81"/>
      <c r="U50" s="81"/>
      <c r="V50" s="84" t="str">
        <f>HYPERLINK("https://pbs.twimg.com/profile_images/1414745126480474133/Wfsm2Mjk_normal.jpg")</f>
        <v>https://pbs.twimg.com/profile_images/1414745126480474133/Wfsm2Mjk_normal.jpg</v>
      </c>
      <c r="W50" s="83">
        <v>44458.380949074075</v>
      </c>
      <c r="X50" s="89">
        <v>44458</v>
      </c>
      <c r="Y50" s="86" t="s">
        <v>2798</v>
      </c>
      <c r="Z50" s="84" t="str">
        <f>HYPERLINK("https://twitter.com/rezakrisna28/status/1439516757488586757")</f>
        <v>https://twitter.com/rezakrisna28/status/1439516757488586757</v>
      </c>
      <c r="AA50" s="81"/>
      <c r="AB50" s="81"/>
      <c r="AC50" s="86" t="s">
        <v>4258</v>
      </c>
      <c r="AD50" s="86" t="s">
        <v>5980</v>
      </c>
      <c r="AE50" s="81" t="b">
        <v>0</v>
      </c>
      <c r="AF50" s="81">
        <v>0</v>
      </c>
      <c r="AG50" s="86" t="s">
        <v>6250</v>
      </c>
      <c r="AH50" s="81" t="b">
        <v>0</v>
      </c>
      <c r="AI50" s="81" t="s">
        <v>6478</v>
      </c>
      <c r="AJ50" s="81"/>
      <c r="AK50" s="86" t="s">
        <v>6240</v>
      </c>
      <c r="AL50" s="81" t="b">
        <v>0</v>
      </c>
      <c r="AM50" s="81">
        <v>0</v>
      </c>
      <c r="AN50" s="86" t="s">
        <v>6240</v>
      </c>
      <c r="AO50" s="86" t="s">
        <v>6503</v>
      </c>
      <c r="AP50" s="81" t="b">
        <v>0</v>
      </c>
      <c r="AQ50" s="86" t="s">
        <v>5980</v>
      </c>
      <c r="AR50" s="81" t="s">
        <v>179</v>
      </c>
      <c r="AS50" s="81">
        <v>0</v>
      </c>
      <c r="AT50" s="81">
        <v>0</v>
      </c>
      <c r="AU50" s="81"/>
      <c r="AV50" s="81"/>
      <c r="AW50" s="81"/>
      <c r="AX50" s="81"/>
      <c r="AY50" s="81"/>
      <c r="AZ50" s="81"/>
      <c r="BA50" s="81"/>
      <c r="BB50" s="81"/>
    </row>
    <row r="51" spans="1:54" x14ac:dyDescent="0.35">
      <c r="A51" s="66" t="s">
        <v>257</v>
      </c>
      <c r="B51" s="66" t="s">
        <v>258</v>
      </c>
      <c r="C51" s="67"/>
      <c r="D51" s="68"/>
      <c r="E51" s="69"/>
      <c r="F51" s="70"/>
      <c r="G51" s="67"/>
      <c r="H51" s="71"/>
      <c r="I51" s="72"/>
      <c r="J51" s="72"/>
      <c r="K51" s="36"/>
      <c r="L51" s="79"/>
      <c r="M51" s="79"/>
      <c r="N51" s="74"/>
      <c r="O51" s="81" t="s">
        <v>1532</v>
      </c>
      <c r="P51" s="83">
        <v>44458.417939814812</v>
      </c>
      <c r="Q51" s="81" t="s">
        <v>1571</v>
      </c>
      <c r="R51" s="81"/>
      <c r="S51" s="81"/>
      <c r="T51" s="86" t="s">
        <v>2660</v>
      </c>
      <c r="U51" s="84" t="str">
        <f>HYPERLINK("https://pbs.twimg.com/media/E_o0GIPVgAo03KF.jpg")</f>
        <v>https://pbs.twimg.com/media/E_o0GIPVgAo03KF.jpg</v>
      </c>
      <c r="V51" s="84" t="str">
        <f>HYPERLINK("https://pbs.twimg.com/media/E_o0GIPVgAo03KF.jpg")</f>
        <v>https://pbs.twimg.com/media/E_o0GIPVgAo03KF.jpg</v>
      </c>
      <c r="W51" s="83">
        <v>44458.417939814812</v>
      </c>
      <c r="X51" s="89">
        <v>44458</v>
      </c>
      <c r="Y51" s="86" t="s">
        <v>2799</v>
      </c>
      <c r="Z51" s="84" t="str">
        <f>HYPERLINK("https://twitter.com/whaisya/status/1439530163700596740")</f>
        <v>https://twitter.com/whaisya/status/1439530163700596740</v>
      </c>
      <c r="AA51" s="81"/>
      <c r="AB51" s="81"/>
      <c r="AC51" s="86" t="s">
        <v>4259</v>
      </c>
      <c r="AD51" s="81"/>
      <c r="AE51" s="81" t="b">
        <v>0</v>
      </c>
      <c r="AF51" s="81">
        <v>0</v>
      </c>
      <c r="AG51" s="86" t="s">
        <v>6240</v>
      </c>
      <c r="AH51" s="81" t="b">
        <v>0</v>
      </c>
      <c r="AI51" s="81" t="s">
        <v>6479</v>
      </c>
      <c r="AJ51" s="81"/>
      <c r="AK51" s="86" t="s">
        <v>6240</v>
      </c>
      <c r="AL51" s="81" t="b">
        <v>0</v>
      </c>
      <c r="AM51" s="81">
        <v>3</v>
      </c>
      <c r="AN51" s="86" t="s">
        <v>4260</v>
      </c>
      <c r="AO51" s="86" t="s">
        <v>6503</v>
      </c>
      <c r="AP51" s="81" t="b">
        <v>0</v>
      </c>
      <c r="AQ51" s="86" t="s">
        <v>4260</v>
      </c>
      <c r="AR51" s="81" t="s">
        <v>179</v>
      </c>
      <c r="AS51" s="81">
        <v>0</v>
      </c>
      <c r="AT51" s="81">
        <v>0</v>
      </c>
      <c r="AU51" s="81"/>
      <c r="AV51" s="81"/>
      <c r="AW51" s="81"/>
      <c r="AX51" s="81"/>
      <c r="AY51" s="81"/>
      <c r="AZ51" s="81"/>
      <c r="BA51" s="81"/>
      <c r="BB51" s="81"/>
    </row>
    <row r="52" spans="1:54" x14ac:dyDescent="0.35">
      <c r="A52" s="66" t="s">
        <v>258</v>
      </c>
      <c r="B52" s="66" t="s">
        <v>258</v>
      </c>
      <c r="C52" s="67"/>
      <c r="D52" s="68"/>
      <c r="E52" s="69"/>
      <c r="F52" s="70"/>
      <c r="G52" s="67"/>
      <c r="H52" s="71"/>
      <c r="I52" s="72"/>
      <c r="J52" s="72"/>
      <c r="K52" s="36"/>
      <c r="L52" s="79"/>
      <c r="M52" s="79"/>
      <c r="N52" s="74"/>
      <c r="O52" s="81" t="s">
        <v>179</v>
      </c>
      <c r="P52" s="83">
        <v>44458.390775462962</v>
      </c>
      <c r="Q52" s="81" t="s">
        <v>1571</v>
      </c>
      <c r="R52" s="81"/>
      <c r="S52" s="81"/>
      <c r="T52" s="86" t="s">
        <v>2660</v>
      </c>
      <c r="U52" s="84" t="str">
        <f>HYPERLINK("https://pbs.twimg.com/media/E_o0GIPVgAo03KF.jpg")</f>
        <v>https://pbs.twimg.com/media/E_o0GIPVgAo03KF.jpg</v>
      </c>
      <c r="V52" s="84" t="str">
        <f>HYPERLINK("https://pbs.twimg.com/media/E_o0GIPVgAo03KF.jpg")</f>
        <v>https://pbs.twimg.com/media/E_o0GIPVgAo03KF.jpg</v>
      </c>
      <c r="W52" s="83">
        <v>44458.390775462962</v>
      </c>
      <c r="X52" s="89">
        <v>44458</v>
      </c>
      <c r="Y52" s="86" t="s">
        <v>2800</v>
      </c>
      <c r="Z52" s="84" t="str">
        <f>HYPERLINK("https://twitter.com/sprinklesmy/status/1439520318519853057")</f>
        <v>https://twitter.com/sprinklesmy/status/1439520318519853057</v>
      </c>
      <c r="AA52" s="81"/>
      <c r="AB52" s="81"/>
      <c r="AC52" s="86" t="s">
        <v>4260</v>
      </c>
      <c r="AD52" s="81"/>
      <c r="AE52" s="81" t="b">
        <v>0</v>
      </c>
      <c r="AF52" s="81">
        <v>2</v>
      </c>
      <c r="AG52" s="86" t="s">
        <v>6240</v>
      </c>
      <c r="AH52" s="81" t="b">
        <v>0</v>
      </c>
      <c r="AI52" s="81" t="s">
        <v>6479</v>
      </c>
      <c r="AJ52" s="81"/>
      <c r="AK52" s="86" t="s">
        <v>6240</v>
      </c>
      <c r="AL52" s="81" t="b">
        <v>0</v>
      </c>
      <c r="AM52" s="81">
        <v>3</v>
      </c>
      <c r="AN52" s="86" t="s">
        <v>6240</v>
      </c>
      <c r="AO52" s="86" t="s">
        <v>6505</v>
      </c>
      <c r="AP52" s="81" t="b">
        <v>0</v>
      </c>
      <c r="AQ52" s="86" t="s">
        <v>4260</v>
      </c>
      <c r="AR52" s="81" t="s">
        <v>179</v>
      </c>
      <c r="AS52" s="81">
        <v>0</v>
      </c>
      <c r="AT52" s="81">
        <v>0</v>
      </c>
      <c r="AU52" s="81"/>
      <c r="AV52" s="81"/>
      <c r="AW52" s="81"/>
      <c r="AX52" s="81"/>
      <c r="AY52" s="81"/>
      <c r="AZ52" s="81"/>
      <c r="BA52" s="81"/>
      <c r="BB52" s="81"/>
    </row>
    <row r="53" spans="1:54" x14ac:dyDescent="0.35">
      <c r="A53" s="66" t="s">
        <v>259</v>
      </c>
      <c r="B53" s="66" t="s">
        <v>258</v>
      </c>
      <c r="C53" s="67"/>
      <c r="D53" s="68"/>
      <c r="E53" s="69"/>
      <c r="F53" s="70"/>
      <c r="G53" s="67"/>
      <c r="H53" s="71"/>
      <c r="I53" s="72"/>
      <c r="J53" s="72"/>
      <c r="K53" s="36"/>
      <c r="L53" s="79"/>
      <c r="M53" s="79"/>
      <c r="N53" s="74"/>
      <c r="O53" s="81" t="s">
        <v>1532</v>
      </c>
      <c r="P53" s="83">
        <v>44458.422615740739</v>
      </c>
      <c r="Q53" s="81" t="s">
        <v>1571</v>
      </c>
      <c r="R53" s="81"/>
      <c r="S53" s="81"/>
      <c r="T53" s="86" t="s">
        <v>2660</v>
      </c>
      <c r="U53" s="84" t="str">
        <f>HYPERLINK("https://pbs.twimg.com/media/E_o0GIPVgAo03KF.jpg")</f>
        <v>https://pbs.twimg.com/media/E_o0GIPVgAo03KF.jpg</v>
      </c>
      <c r="V53" s="84" t="str">
        <f>HYPERLINK("https://pbs.twimg.com/media/E_o0GIPVgAo03KF.jpg")</f>
        <v>https://pbs.twimg.com/media/E_o0GIPVgAo03KF.jpg</v>
      </c>
      <c r="W53" s="83">
        <v>44458.422615740739</v>
      </c>
      <c r="X53" s="89">
        <v>44458</v>
      </c>
      <c r="Y53" s="86" t="s">
        <v>2801</v>
      </c>
      <c r="Z53" s="84" t="str">
        <f>HYPERLINK("https://twitter.com/sxash4/status/1439531857742204933")</f>
        <v>https://twitter.com/sxash4/status/1439531857742204933</v>
      </c>
      <c r="AA53" s="81"/>
      <c r="AB53" s="81"/>
      <c r="AC53" s="86" t="s">
        <v>4261</v>
      </c>
      <c r="AD53" s="81"/>
      <c r="AE53" s="81" t="b">
        <v>0</v>
      </c>
      <c r="AF53" s="81">
        <v>0</v>
      </c>
      <c r="AG53" s="86" t="s">
        <v>6240</v>
      </c>
      <c r="AH53" s="81" t="b">
        <v>0</v>
      </c>
      <c r="AI53" s="81" t="s">
        <v>6479</v>
      </c>
      <c r="AJ53" s="81"/>
      <c r="AK53" s="86" t="s">
        <v>6240</v>
      </c>
      <c r="AL53" s="81" t="b">
        <v>0</v>
      </c>
      <c r="AM53" s="81">
        <v>3</v>
      </c>
      <c r="AN53" s="86" t="s">
        <v>4260</v>
      </c>
      <c r="AO53" s="86" t="s">
        <v>6503</v>
      </c>
      <c r="AP53" s="81" t="b">
        <v>0</v>
      </c>
      <c r="AQ53" s="86" t="s">
        <v>4260</v>
      </c>
      <c r="AR53" s="81" t="s">
        <v>179</v>
      </c>
      <c r="AS53" s="81">
        <v>0</v>
      </c>
      <c r="AT53" s="81">
        <v>0</v>
      </c>
      <c r="AU53" s="81"/>
      <c r="AV53" s="81"/>
      <c r="AW53" s="81"/>
      <c r="AX53" s="81"/>
      <c r="AY53" s="81"/>
      <c r="AZ53" s="81"/>
      <c r="BA53" s="81"/>
      <c r="BB53" s="81"/>
    </row>
    <row r="54" spans="1:54" x14ac:dyDescent="0.35">
      <c r="A54" s="66" t="s">
        <v>260</v>
      </c>
      <c r="B54" s="66" t="s">
        <v>1281</v>
      </c>
      <c r="C54" s="67"/>
      <c r="D54" s="68"/>
      <c r="E54" s="69"/>
      <c r="F54" s="70"/>
      <c r="G54" s="67"/>
      <c r="H54" s="71"/>
      <c r="I54" s="72"/>
      <c r="J54" s="72"/>
      <c r="K54" s="36"/>
      <c r="L54" s="79"/>
      <c r="M54" s="79"/>
      <c r="N54" s="74"/>
      <c r="O54" s="81" t="s">
        <v>1534</v>
      </c>
      <c r="P54" s="83">
        <v>44458.430983796294</v>
      </c>
      <c r="Q54" s="81" t="s">
        <v>1572</v>
      </c>
      <c r="R54" s="81"/>
      <c r="S54" s="81"/>
      <c r="T54" s="81"/>
      <c r="U54" s="81"/>
      <c r="V54" s="84" t="str">
        <f>HYPERLINK("https://pbs.twimg.com/profile_images/1442601858573369352/cy4LKK0K_normal.jpg")</f>
        <v>https://pbs.twimg.com/profile_images/1442601858573369352/cy4LKK0K_normal.jpg</v>
      </c>
      <c r="W54" s="83">
        <v>44458.430983796294</v>
      </c>
      <c r="X54" s="89">
        <v>44458</v>
      </c>
      <c r="Y54" s="86" t="s">
        <v>2802</v>
      </c>
      <c r="Z54" s="84" t="str">
        <f>HYPERLINK("https://twitter.com/staykrna/status/1439534890282676235")</f>
        <v>https://twitter.com/staykrna/status/1439534890282676235</v>
      </c>
      <c r="AA54" s="81"/>
      <c r="AB54" s="81"/>
      <c r="AC54" s="86" t="s">
        <v>4262</v>
      </c>
      <c r="AD54" s="86" t="s">
        <v>5981</v>
      </c>
      <c r="AE54" s="81" t="b">
        <v>0</v>
      </c>
      <c r="AF54" s="81">
        <v>0</v>
      </c>
      <c r="AG54" s="86" t="s">
        <v>6251</v>
      </c>
      <c r="AH54" s="81" t="b">
        <v>0</v>
      </c>
      <c r="AI54" s="81" t="s">
        <v>6478</v>
      </c>
      <c r="AJ54" s="81"/>
      <c r="AK54" s="86" t="s">
        <v>6240</v>
      </c>
      <c r="AL54" s="81" t="b">
        <v>0</v>
      </c>
      <c r="AM54" s="81">
        <v>0</v>
      </c>
      <c r="AN54" s="86" t="s">
        <v>6240</v>
      </c>
      <c r="AO54" s="86" t="s">
        <v>6503</v>
      </c>
      <c r="AP54" s="81" t="b">
        <v>0</v>
      </c>
      <c r="AQ54" s="86" t="s">
        <v>5981</v>
      </c>
      <c r="AR54" s="81" t="s">
        <v>179</v>
      </c>
      <c r="AS54" s="81">
        <v>0</v>
      </c>
      <c r="AT54" s="81">
        <v>0</v>
      </c>
      <c r="AU54" s="81"/>
      <c r="AV54" s="81"/>
      <c r="AW54" s="81"/>
      <c r="AX54" s="81"/>
      <c r="AY54" s="81"/>
      <c r="AZ54" s="81"/>
      <c r="BA54" s="81"/>
      <c r="BB54" s="81"/>
    </row>
    <row r="55" spans="1:54" x14ac:dyDescent="0.35">
      <c r="A55" s="66" t="s">
        <v>261</v>
      </c>
      <c r="B55" s="66" t="s">
        <v>1282</v>
      </c>
      <c r="C55" s="67"/>
      <c r="D55" s="68"/>
      <c r="E55" s="69"/>
      <c r="F55" s="70"/>
      <c r="G55" s="67"/>
      <c r="H55" s="71"/>
      <c r="I55" s="72"/>
      <c r="J55" s="72"/>
      <c r="K55" s="36"/>
      <c r="L55" s="79"/>
      <c r="M55" s="79"/>
      <c r="N55" s="74"/>
      <c r="O55" s="81" t="s">
        <v>1535</v>
      </c>
      <c r="P55" s="83">
        <v>44458.126111111109</v>
      </c>
      <c r="Q55" s="81" t="s">
        <v>1573</v>
      </c>
      <c r="R55" s="84" t="str">
        <f>HYPERLINK("https://www.lowkerid.xyz/vi/36117-lowongan-kerja-kepala-pos-dan-sodp")</f>
        <v>https://www.lowkerid.xyz/vi/36117-lowongan-kerja-kepala-pos-dan-sodp</v>
      </c>
      <c r="S55" s="81" t="s">
        <v>2591</v>
      </c>
      <c r="T55" s="86" t="s">
        <v>2661</v>
      </c>
      <c r="U55" s="81"/>
      <c r="V55" s="84" t="str">
        <f>HYPERLINK("https://pbs.twimg.com/profile_images/1370546568164560896/aY6IfxrA_normal.jpg")</f>
        <v>https://pbs.twimg.com/profile_images/1370546568164560896/aY6IfxrA_normal.jpg</v>
      </c>
      <c r="W55" s="83">
        <v>44458.126111111109</v>
      </c>
      <c r="X55" s="89">
        <v>44458</v>
      </c>
      <c r="Y55" s="86" t="s">
        <v>2803</v>
      </c>
      <c r="Z55" s="84" t="str">
        <f>HYPERLINK("https://twitter.com/lowkerid1/status/1439424406422392841")</f>
        <v>https://twitter.com/lowkerid1/status/1439424406422392841</v>
      </c>
      <c r="AA55" s="81"/>
      <c r="AB55" s="81"/>
      <c r="AC55" s="86" t="s">
        <v>4263</v>
      </c>
      <c r="AD55" s="81"/>
      <c r="AE55" s="81" t="b">
        <v>0</v>
      </c>
      <c r="AF55" s="81">
        <v>0</v>
      </c>
      <c r="AG55" s="86" t="s">
        <v>6240</v>
      </c>
      <c r="AH55" s="81" t="b">
        <v>0</v>
      </c>
      <c r="AI55" s="81" t="s">
        <v>6479</v>
      </c>
      <c r="AJ55" s="81"/>
      <c r="AK55" s="86" t="s">
        <v>6240</v>
      </c>
      <c r="AL55" s="81" t="b">
        <v>0</v>
      </c>
      <c r="AM55" s="81">
        <v>1</v>
      </c>
      <c r="AN55" s="86" t="s">
        <v>6240</v>
      </c>
      <c r="AO55" s="86" t="s">
        <v>6507</v>
      </c>
      <c r="AP55" s="81" t="b">
        <v>0</v>
      </c>
      <c r="AQ55" s="86" t="s">
        <v>4263</v>
      </c>
      <c r="AR55" s="81" t="s">
        <v>179</v>
      </c>
      <c r="AS55" s="81">
        <v>0</v>
      </c>
      <c r="AT55" s="81">
        <v>0</v>
      </c>
      <c r="AU55" s="81"/>
      <c r="AV55" s="81"/>
      <c r="AW55" s="81"/>
      <c r="AX55" s="81"/>
      <c r="AY55" s="81"/>
      <c r="AZ55" s="81"/>
      <c r="BA55" s="81"/>
      <c r="BB55" s="81"/>
    </row>
    <row r="56" spans="1:54" x14ac:dyDescent="0.35">
      <c r="A56" s="66" t="s">
        <v>262</v>
      </c>
      <c r="B56" s="66" t="s">
        <v>1282</v>
      </c>
      <c r="C56" s="67"/>
      <c r="D56" s="68"/>
      <c r="E56" s="69"/>
      <c r="F56" s="70"/>
      <c r="G56" s="67"/>
      <c r="H56" s="71"/>
      <c r="I56" s="72"/>
      <c r="J56" s="72"/>
      <c r="K56" s="36"/>
      <c r="L56" s="79"/>
      <c r="M56" s="79"/>
      <c r="N56" s="74"/>
      <c r="O56" s="81" t="s">
        <v>1533</v>
      </c>
      <c r="P56" s="83">
        <v>44458.432581018518</v>
      </c>
      <c r="Q56" s="81" t="s">
        <v>1573</v>
      </c>
      <c r="R56" s="84" t="str">
        <f>HYPERLINK("https://www.lowkerid.xyz/vi/36117-lowongan-kerja-kepala-pos-dan-sodp")</f>
        <v>https://www.lowkerid.xyz/vi/36117-lowongan-kerja-kepala-pos-dan-sodp</v>
      </c>
      <c r="S56" s="81" t="s">
        <v>2591</v>
      </c>
      <c r="T56" s="86" t="s">
        <v>2662</v>
      </c>
      <c r="U56" s="81"/>
      <c r="V56" s="84" t="str">
        <f>HYPERLINK("https://pbs.twimg.com/profile_images/2737035976/652eb3eaeeaa1f765824730f32d24bfc_normal.jpeg")</f>
        <v>https://pbs.twimg.com/profile_images/2737035976/652eb3eaeeaa1f765824730f32d24bfc_normal.jpeg</v>
      </c>
      <c r="W56" s="83">
        <v>44458.432581018518</v>
      </c>
      <c r="X56" s="89">
        <v>44458</v>
      </c>
      <c r="Y56" s="86" t="s">
        <v>2804</v>
      </c>
      <c r="Z56" s="84" t="str">
        <f>HYPERLINK("https://twitter.com/dwi_wahyudi/status/1439535467158917121")</f>
        <v>https://twitter.com/dwi_wahyudi/status/1439535467158917121</v>
      </c>
      <c r="AA56" s="81"/>
      <c r="AB56" s="81"/>
      <c r="AC56" s="86" t="s">
        <v>4264</v>
      </c>
      <c r="AD56" s="81"/>
      <c r="AE56" s="81" t="b">
        <v>0</v>
      </c>
      <c r="AF56" s="81">
        <v>0</v>
      </c>
      <c r="AG56" s="86" t="s">
        <v>6240</v>
      </c>
      <c r="AH56" s="81" t="b">
        <v>0</v>
      </c>
      <c r="AI56" s="81" t="s">
        <v>6479</v>
      </c>
      <c r="AJ56" s="81"/>
      <c r="AK56" s="86" t="s">
        <v>6240</v>
      </c>
      <c r="AL56" s="81" t="b">
        <v>0</v>
      </c>
      <c r="AM56" s="81">
        <v>1</v>
      </c>
      <c r="AN56" s="86" t="s">
        <v>4263</v>
      </c>
      <c r="AO56" s="86" t="s">
        <v>6507</v>
      </c>
      <c r="AP56" s="81" t="b">
        <v>0</v>
      </c>
      <c r="AQ56" s="86" t="s">
        <v>4263</v>
      </c>
      <c r="AR56" s="81" t="s">
        <v>179</v>
      </c>
      <c r="AS56" s="81">
        <v>0</v>
      </c>
      <c r="AT56" s="81">
        <v>0</v>
      </c>
      <c r="AU56" s="81"/>
      <c r="AV56" s="81"/>
      <c r="AW56" s="81"/>
      <c r="AX56" s="81"/>
      <c r="AY56" s="81"/>
      <c r="AZ56" s="81"/>
      <c r="BA56" s="81"/>
      <c r="BB56" s="81"/>
    </row>
    <row r="57" spans="1:54" x14ac:dyDescent="0.35">
      <c r="A57" s="66" t="s">
        <v>262</v>
      </c>
      <c r="B57" s="66" t="s">
        <v>261</v>
      </c>
      <c r="C57" s="67"/>
      <c r="D57" s="68"/>
      <c r="E57" s="69"/>
      <c r="F57" s="70"/>
      <c r="G57" s="67"/>
      <c r="H57" s="71"/>
      <c r="I57" s="72"/>
      <c r="J57" s="72"/>
      <c r="K57" s="36"/>
      <c r="L57" s="79"/>
      <c r="M57" s="79"/>
      <c r="N57" s="74"/>
      <c r="O57" s="81" t="s">
        <v>1532</v>
      </c>
      <c r="P57" s="83">
        <v>44458.432581018518</v>
      </c>
      <c r="Q57" s="81" t="s">
        <v>1573</v>
      </c>
      <c r="R57" s="84" t="str">
        <f>HYPERLINK("https://www.lowkerid.xyz/vi/36117-lowongan-kerja-kepala-pos-dan-sodp")</f>
        <v>https://www.lowkerid.xyz/vi/36117-lowongan-kerja-kepala-pos-dan-sodp</v>
      </c>
      <c r="S57" s="81" t="s">
        <v>2591</v>
      </c>
      <c r="T57" s="86" t="s">
        <v>2662</v>
      </c>
      <c r="U57" s="81"/>
      <c r="V57" s="84" t="str">
        <f>HYPERLINK("https://pbs.twimg.com/profile_images/2737035976/652eb3eaeeaa1f765824730f32d24bfc_normal.jpeg")</f>
        <v>https://pbs.twimg.com/profile_images/2737035976/652eb3eaeeaa1f765824730f32d24bfc_normal.jpeg</v>
      </c>
      <c r="W57" s="83">
        <v>44458.432581018518</v>
      </c>
      <c r="X57" s="89">
        <v>44458</v>
      </c>
      <c r="Y57" s="86" t="s">
        <v>2804</v>
      </c>
      <c r="Z57" s="84" t="str">
        <f>HYPERLINK("https://twitter.com/dwi_wahyudi/status/1439535467158917121")</f>
        <v>https://twitter.com/dwi_wahyudi/status/1439535467158917121</v>
      </c>
      <c r="AA57" s="81"/>
      <c r="AB57" s="81"/>
      <c r="AC57" s="86" t="s">
        <v>4264</v>
      </c>
      <c r="AD57" s="81"/>
      <c r="AE57" s="81" t="b">
        <v>0</v>
      </c>
      <c r="AF57" s="81">
        <v>0</v>
      </c>
      <c r="AG57" s="86" t="s">
        <v>6240</v>
      </c>
      <c r="AH57" s="81" t="b">
        <v>0</v>
      </c>
      <c r="AI57" s="81" t="s">
        <v>6479</v>
      </c>
      <c r="AJ57" s="81"/>
      <c r="AK57" s="86" t="s">
        <v>6240</v>
      </c>
      <c r="AL57" s="81" t="b">
        <v>0</v>
      </c>
      <c r="AM57" s="81">
        <v>1</v>
      </c>
      <c r="AN57" s="86" t="s">
        <v>4263</v>
      </c>
      <c r="AO57" s="86" t="s">
        <v>6507</v>
      </c>
      <c r="AP57" s="81" t="b">
        <v>0</v>
      </c>
      <c r="AQ57" s="86" t="s">
        <v>4263</v>
      </c>
      <c r="AR57" s="81" t="s">
        <v>179</v>
      </c>
      <c r="AS57" s="81">
        <v>0</v>
      </c>
      <c r="AT57" s="81">
        <v>0</v>
      </c>
      <c r="AU57" s="81"/>
      <c r="AV57" s="81"/>
      <c r="AW57" s="81"/>
      <c r="AX57" s="81"/>
      <c r="AY57" s="81"/>
      <c r="AZ57" s="81"/>
      <c r="BA57" s="81"/>
      <c r="BB57" s="81"/>
    </row>
    <row r="58" spans="1:54" x14ac:dyDescent="0.35">
      <c r="A58" s="66" t="s">
        <v>263</v>
      </c>
      <c r="B58" s="66" t="s">
        <v>1272</v>
      </c>
      <c r="C58" s="67"/>
      <c r="D58" s="68"/>
      <c r="E58" s="69"/>
      <c r="F58" s="70"/>
      <c r="G58" s="67"/>
      <c r="H58" s="71"/>
      <c r="I58" s="72"/>
      <c r="J58" s="72"/>
      <c r="K58" s="36"/>
      <c r="L58" s="79"/>
      <c r="M58" s="79"/>
      <c r="N58" s="74"/>
      <c r="O58" s="81" t="s">
        <v>1533</v>
      </c>
      <c r="P58" s="83">
        <v>44458.442152777781</v>
      </c>
      <c r="Q58" s="81" t="s">
        <v>1536</v>
      </c>
      <c r="R58" s="81"/>
      <c r="S58" s="81"/>
      <c r="T58" s="86" t="s">
        <v>2656</v>
      </c>
      <c r="U58" s="84" t="str">
        <f>HYPERLINK("https://pbs.twimg.com/media/E_X1zlwVIAES6Ks.jpg")</f>
        <v>https://pbs.twimg.com/media/E_X1zlwVIAES6Ks.jpg</v>
      </c>
      <c r="V58" s="84" t="str">
        <f>HYPERLINK("https://pbs.twimg.com/media/E_X1zlwVIAES6Ks.jpg")</f>
        <v>https://pbs.twimg.com/media/E_X1zlwVIAES6Ks.jpg</v>
      </c>
      <c r="W58" s="83">
        <v>44458.442152777781</v>
      </c>
      <c r="X58" s="89">
        <v>44458</v>
      </c>
      <c r="Y58" s="86" t="s">
        <v>2805</v>
      </c>
      <c r="Z58" s="84" t="str">
        <f>HYPERLINK("https://twitter.com/bilaljaveid954/status/1439538937836589064")</f>
        <v>https://twitter.com/bilaljaveid954/status/1439538937836589064</v>
      </c>
      <c r="AA58" s="81"/>
      <c r="AB58" s="81"/>
      <c r="AC58" s="86" t="s">
        <v>4265</v>
      </c>
      <c r="AD58" s="81"/>
      <c r="AE58" s="81" t="b">
        <v>0</v>
      </c>
      <c r="AF58" s="81">
        <v>0</v>
      </c>
      <c r="AG58" s="86" t="s">
        <v>6240</v>
      </c>
      <c r="AH58" s="81" t="b">
        <v>0</v>
      </c>
      <c r="AI58" s="81" t="s">
        <v>6478</v>
      </c>
      <c r="AJ58" s="81"/>
      <c r="AK58" s="86" t="s">
        <v>6240</v>
      </c>
      <c r="AL58" s="81" t="b">
        <v>0</v>
      </c>
      <c r="AM58" s="81">
        <v>61</v>
      </c>
      <c r="AN58" s="86" t="s">
        <v>4550</v>
      </c>
      <c r="AO58" s="86" t="s">
        <v>6507</v>
      </c>
      <c r="AP58" s="81" t="b">
        <v>0</v>
      </c>
      <c r="AQ58" s="86" t="s">
        <v>4550</v>
      </c>
      <c r="AR58" s="81" t="s">
        <v>179</v>
      </c>
      <c r="AS58" s="81">
        <v>0</v>
      </c>
      <c r="AT58" s="81">
        <v>0</v>
      </c>
      <c r="AU58" s="81"/>
      <c r="AV58" s="81"/>
      <c r="AW58" s="81"/>
      <c r="AX58" s="81"/>
      <c r="AY58" s="81"/>
      <c r="AZ58" s="81"/>
      <c r="BA58" s="81"/>
      <c r="BB58" s="81"/>
    </row>
    <row r="59" spans="1:54" x14ac:dyDescent="0.35">
      <c r="A59" s="66" t="s">
        <v>263</v>
      </c>
      <c r="B59" s="66" t="s">
        <v>526</v>
      </c>
      <c r="C59" s="67"/>
      <c r="D59" s="68"/>
      <c r="E59" s="69"/>
      <c r="F59" s="70"/>
      <c r="G59" s="67"/>
      <c r="H59" s="71"/>
      <c r="I59" s="72"/>
      <c r="J59" s="72"/>
      <c r="K59" s="36"/>
      <c r="L59" s="79"/>
      <c r="M59" s="79"/>
      <c r="N59" s="74"/>
      <c r="O59" s="81" t="s">
        <v>1532</v>
      </c>
      <c r="P59" s="83">
        <v>44458.442152777781</v>
      </c>
      <c r="Q59" s="81" t="s">
        <v>1536</v>
      </c>
      <c r="R59" s="81"/>
      <c r="S59" s="81"/>
      <c r="T59" s="86" t="s">
        <v>2656</v>
      </c>
      <c r="U59" s="84" t="str">
        <f>HYPERLINK("https://pbs.twimg.com/media/E_X1zlwVIAES6Ks.jpg")</f>
        <v>https://pbs.twimg.com/media/E_X1zlwVIAES6Ks.jpg</v>
      </c>
      <c r="V59" s="84" t="str">
        <f>HYPERLINK("https://pbs.twimg.com/media/E_X1zlwVIAES6Ks.jpg")</f>
        <v>https://pbs.twimg.com/media/E_X1zlwVIAES6Ks.jpg</v>
      </c>
      <c r="W59" s="83">
        <v>44458.442152777781</v>
      </c>
      <c r="X59" s="89">
        <v>44458</v>
      </c>
      <c r="Y59" s="86" t="s">
        <v>2805</v>
      </c>
      <c r="Z59" s="84" t="str">
        <f>HYPERLINK("https://twitter.com/bilaljaveid954/status/1439538937836589064")</f>
        <v>https://twitter.com/bilaljaveid954/status/1439538937836589064</v>
      </c>
      <c r="AA59" s="81"/>
      <c r="AB59" s="81"/>
      <c r="AC59" s="86" t="s">
        <v>4265</v>
      </c>
      <c r="AD59" s="81"/>
      <c r="AE59" s="81" t="b">
        <v>0</v>
      </c>
      <c r="AF59" s="81">
        <v>0</v>
      </c>
      <c r="AG59" s="86" t="s">
        <v>6240</v>
      </c>
      <c r="AH59" s="81" t="b">
        <v>0</v>
      </c>
      <c r="AI59" s="81" t="s">
        <v>6478</v>
      </c>
      <c r="AJ59" s="81"/>
      <c r="AK59" s="86" t="s">
        <v>6240</v>
      </c>
      <c r="AL59" s="81" t="b">
        <v>0</v>
      </c>
      <c r="AM59" s="81">
        <v>61</v>
      </c>
      <c r="AN59" s="86" t="s">
        <v>4550</v>
      </c>
      <c r="AO59" s="86" t="s">
        <v>6507</v>
      </c>
      <c r="AP59" s="81" t="b">
        <v>0</v>
      </c>
      <c r="AQ59" s="86" t="s">
        <v>4550</v>
      </c>
      <c r="AR59" s="81" t="s">
        <v>179</v>
      </c>
      <c r="AS59" s="81">
        <v>0</v>
      </c>
      <c r="AT59" s="81">
        <v>0</v>
      </c>
      <c r="AU59" s="81"/>
      <c r="AV59" s="81"/>
      <c r="AW59" s="81"/>
      <c r="AX59" s="81"/>
      <c r="AY59" s="81"/>
      <c r="AZ59" s="81"/>
      <c r="BA59" s="81"/>
      <c r="BB59" s="81"/>
    </row>
    <row r="60" spans="1:54" x14ac:dyDescent="0.35">
      <c r="A60" s="66" t="s">
        <v>264</v>
      </c>
      <c r="B60" s="66" t="s">
        <v>264</v>
      </c>
      <c r="C60" s="67"/>
      <c r="D60" s="68"/>
      <c r="E60" s="69"/>
      <c r="F60" s="70"/>
      <c r="G60" s="67"/>
      <c r="H60" s="71"/>
      <c r="I60" s="72"/>
      <c r="J60" s="72"/>
      <c r="K60" s="36"/>
      <c r="L60" s="79"/>
      <c r="M60" s="79"/>
      <c r="N60" s="74"/>
      <c r="O60" s="81" t="s">
        <v>179</v>
      </c>
      <c r="P60" s="83">
        <v>44458.462673611109</v>
      </c>
      <c r="Q60" s="81" t="s">
        <v>1574</v>
      </c>
      <c r="R60" s="84" t="str">
        <f>HYPERLINK("https://kerjha.com/pos-indonesia-gandeng-nujek-dan-perkenalkan-o-ranger-mawar/")</f>
        <v>https://kerjha.com/pos-indonesia-gandeng-nujek-dan-perkenalkan-o-ranger-mawar/</v>
      </c>
      <c r="S60" s="81" t="s">
        <v>2586</v>
      </c>
      <c r="T60" s="81"/>
      <c r="U60" s="81"/>
      <c r="V60" s="84" t="str">
        <f>HYPERLINK("https://pbs.twimg.com/profile_images/1442457542936854530/CRfl9YoR_normal.jpg")</f>
        <v>https://pbs.twimg.com/profile_images/1442457542936854530/CRfl9YoR_normal.jpg</v>
      </c>
      <c r="W60" s="83">
        <v>44458.462673611109</v>
      </c>
      <c r="X60" s="89">
        <v>44458</v>
      </c>
      <c r="Y60" s="86" t="s">
        <v>2806</v>
      </c>
      <c r="Z60" s="84" t="str">
        <f>HYPERLINK("https://twitter.com/arangomah/status/1439546374505123841")</f>
        <v>https://twitter.com/arangomah/status/1439546374505123841</v>
      </c>
      <c r="AA60" s="81"/>
      <c r="AB60" s="81"/>
      <c r="AC60" s="86" t="s">
        <v>4266</v>
      </c>
      <c r="AD60" s="81"/>
      <c r="AE60" s="81" t="b">
        <v>0</v>
      </c>
      <c r="AF60" s="81">
        <v>0</v>
      </c>
      <c r="AG60" s="86" t="s">
        <v>6240</v>
      </c>
      <c r="AH60" s="81" t="b">
        <v>0</v>
      </c>
      <c r="AI60" s="81" t="s">
        <v>6478</v>
      </c>
      <c r="AJ60" s="81"/>
      <c r="AK60" s="86" t="s">
        <v>6240</v>
      </c>
      <c r="AL60" s="81" t="b">
        <v>0</v>
      </c>
      <c r="AM60" s="81">
        <v>0</v>
      </c>
      <c r="AN60" s="86" t="s">
        <v>6240</v>
      </c>
      <c r="AO60" s="86" t="s">
        <v>6507</v>
      </c>
      <c r="AP60" s="81" t="b">
        <v>0</v>
      </c>
      <c r="AQ60" s="86" t="s">
        <v>4266</v>
      </c>
      <c r="AR60" s="81" t="s">
        <v>179</v>
      </c>
      <c r="AS60" s="81">
        <v>0</v>
      </c>
      <c r="AT60" s="81">
        <v>0</v>
      </c>
      <c r="AU60" s="81"/>
      <c r="AV60" s="81"/>
      <c r="AW60" s="81"/>
      <c r="AX60" s="81"/>
      <c r="AY60" s="81"/>
      <c r="AZ60" s="81"/>
      <c r="BA60" s="81"/>
      <c r="BB60" s="81"/>
    </row>
    <row r="61" spans="1:54" x14ac:dyDescent="0.35">
      <c r="A61" s="66" t="s">
        <v>265</v>
      </c>
      <c r="B61" s="66" t="s">
        <v>1275</v>
      </c>
      <c r="C61" s="67"/>
      <c r="D61" s="68"/>
      <c r="E61" s="69"/>
      <c r="F61" s="70"/>
      <c r="G61" s="67"/>
      <c r="H61" s="71"/>
      <c r="I61" s="72"/>
      <c r="J61" s="72"/>
      <c r="K61" s="36"/>
      <c r="L61" s="79"/>
      <c r="M61" s="79"/>
      <c r="N61" s="74"/>
      <c r="O61" s="81" t="s">
        <v>1534</v>
      </c>
      <c r="P61" s="83">
        <v>44458.463761574072</v>
      </c>
      <c r="Q61" s="81" t="s">
        <v>1575</v>
      </c>
      <c r="R61" s="81"/>
      <c r="S61" s="81"/>
      <c r="T61" s="81"/>
      <c r="U61" s="81"/>
      <c r="V61" s="84" t="str">
        <f>HYPERLINK("https://pbs.twimg.com/profile_images/1351154192556183552/v9oeyfWf_normal.jpg")</f>
        <v>https://pbs.twimg.com/profile_images/1351154192556183552/v9oeyfWf_normal.jpg</v>
      </c>
      <c r="W61" s="83">
        <v>44458.463761574072</v>
      </c>
      <c r="X61" s="89">
        <v>44458</v>
      </c>
      <c r="Y61" s="86" t="s">
        <v>2807</v>
      </c>
      <c r="Z61" s="84" t="str">
        <f>HYPERLINK("https://twitter.com/demgons/status/1439546765892415493")</f>
        <v>https://twitter.com/demgons/status/1439546765892415493</v>
      </c>
      <c r="AA61" s="81"/>
      <c r="AB61" s="81"/>
      <c r="AC61" s="86" t="s">
        <v>4267</v>
      </c>
      <c r="AD61" s="86" t="s">
        <v>5974</v>
      </c>
      <c r="AE61" s="81" t="b">
        <v>0</v>
      </c>
      <c r="AF61" s="81">
        <v>0</v>
      </c>
      <c r="AG61" s="86" t="s">
        <v>6244</v>
      </c>
      <c r="AH61" s="81" t="b">
        <v>0</v>
      </c>
      <c r="AI61" s="81" t="s">
        <v>6478</v>
      </c>
      <c r="AJ61" s="81"/>
      <c r="AK61" s="86" t="s">
        <v>6240</v>
      </c>
      <c r="AL61" s="81" t="b">
        <v>0</v>
      </c>
      <c r="AM61" s="81">
        <v>0</v>
      </c>
      <c r="AN61" s="86" t="s">
        <v>6240</v>
      </c>
      <c r="AO61" s="86" t="s">
        <v>6503</v>
      </c>
      <c r="AP61" s="81" t="b">
        <v>0</v>
      </c>
      <c r="AQ61" s="86" t="s">
        <v>5974</v>
      </c>
      <c r="AR61" s="81" t="s">
        <v>179</v>
      </c>
      <c r="AS61" s="81">
        <v>0</v>
      </c>
      <c r="AT61" s="81">
        <v>0</v>
      </c>
      <c r="AU61" s="81"/>
      <c r="AV61" s="81"/>
      <c r="AW61" s="81"/>
      <c r="AX61" s="81"/>
      <c r="AY61" s="81"/>
      <c r="AZ61" s="81"/>
      <c r="BA61" s="81"/>
      <c r="BB61" s="81"/>
    </row>
    <row r="62" spans="1:54" x14ac:dyDescent="0.35">
      <c r="A62" s="66" t="s">
        <v>266</v>
      </c>
      <c r="B62" s="66" t="s">
        <v>1283</v>
      </c>
      <c r="C62" s="67"/>
      <c r="D62" s="68"/>
      <c r="E62" s="69"/>
      <c r="F62" s="70"/>
      <c r="G62" s="67"/>
      <c r="H62" s="71"/>
      <c r="I62" s="72"/>
      <c r="J62" s="72"/>
      <c r="K62" s="36"/>
      <c r="L62" s="79"/>
      <c r="M62" s="79"/>
      <c r="N62" s="74"/>
      <c r="O62" s="81" t="s">
        <v>1535</v>
      </c>
      <c r="P62" s="83">
        <v>44458.502071759256</v>
      </c>
      <c r="Q62" s="81" t="s">
        <v>1576</v>
      </c>
      <c r="R62" s="84" t="str">
        <f>HYPERLINK("https://kerjha.com/pos-indonesia-gandeng-nujek-dan-perkenalkan-o-ranger-mawar/")</f>
        <v>https://kerjha.com/pos-indonesia-gandeng-nujek-dan-perkenalkan-o-ranger-mawar/</v>
      </c>
      <c r="S62" s="81" t="s">
        <v>2586</v>
      </c>
      <c r="T62" s="81"/>
      <c r="U62" s="81"/>
      <c r="V62" s="84" t="str">
        <f>HYPERLINK("https://pbs.twimg.com/profile_images/1403346138900533248/hQ017-zT_normal.jpg")</f>
        <v>https://pbs.twimg.com/profile_images/1403346138900533248/hQ017-zT_normal.jpg</v>
      </c>
      <c r="W62" s="83">
        <v>44458.502071759256</v>
      </c>
      <c r="X62" s="89">
        <v>44458</v>
      </c>
      <c r="Y62" s="86" t="s">
        <v>2808</v>
      </c>
      <c r="Z62" s="84" t="str">
        <f>HYPERLINK("https://twitter.com/nsntrmj/status/1439560648745119751")</f>
        <v>https://twitter.com/nsntrmj/status/1439560648745119751</v>
      </c>
      <c r="AA62" s="81"/>
      <c r="AB62" s="81"/>
      <c r="AC62" s="86" t="s">
        <v>4268</v>
      </c>
      <c r="AD62" s="81"/>
      <c r="AE62" s="81" t="b">
        <v>0</v>
      </c>
      <c r="AF62" s="81">
        <v>0</v>
      </c>
      <c r="AG62" s="86" t="s">
        <v>6240</v>
      </c>
      <c r="AH62" s="81" t="b">
        <v>0</v>
      </c>
      <c r="AI62" s="81" t="s">
        <v>6478</v>
      </c>
      <c r="AJ62" s="81"/>
      <c r="AK62" s="86" t="s">
        <v>6240</v>
      </c>
      <c r="AL62" s="81" t="b">
        <v>0</v>
      </c>
      <c r="AM62" s="81">
        <v>0</v>
      </c>
      <c r="AN62" s="86" t="s">
        <v>6240</v>
      </c>
      <c r="AO62" s="86" t="s">
        <v>6507</v>
      </c>
      <c r="AP62" s="81" t="b">
        <v>0</v>
      </c>
      <c r="AQ62" s="86" t="s">
        <v>4268</v>
      </c>
      <c r="AR62" s="81" t="s">
        <v>179</v>
      </c>
      <c r="AS62" s="81">
        <v>0</v>
      </c>
      <c r="AT62" s="81">
        <v>0</v>
      </c>
      <c r="AU62" s="81"/>
      <c r="AV62" s="81"/>
      <c r="AW62" s="81"/>
      <c r="AX62" s="81"/>
      <c r="AY62" s="81"/>
      <c r="AZ62" s="81"/>
      <c r="BA62" s="81"/>
      <c r="BB62" s="81"/>
    </row>
    <row r="63" spans="1:54" x14ac:dyDescent="0.35">
      <c r="A63" s="66" t="s">
        <v>267</v>
      </c>
      <c r="B63" s="66" t="s">
        <v>267</v>
      </c>
      <c r="C63" s="67"/>
      <c r="D63" s="68"/>
      <c r="E63" s="69"/>
      <c r="F63" s="70"/>
      <c r="G63" s="67"/>
      <c r="H63" s="71"/>
      <c r="I63" s="72"/>
      <c r="J63" s="72"/>
      <c r="K63" s="36"/>
      <c r="L63" s="79"/>
      <c r="M63" s="79"/>
      <c r="N63" s="74"/>
      <c r="O63" s="81" t="s">
        <v>179</v>
      </c>
      <c r="P63" s="83">
        <v>44458.513888888891</v>
      </c>
      <c r="Q63" s="81" t="s">
        <v>1577</v>
      </c>
      <c r="R63" s="84" t="str">
        <f>HYPERLINK("https://bicara.news/290-perempuan-tergabung-jadi-o-ranger-mawar/")</f>
        <v>https://bicara.news/290-perempuan-tergabung-jadi-o-ranger-mawar/</v>
      </c>
      <c r="S63" s="81" t="s">
        <v>2592</v>
      </c>
      <c r="T63" s="86" t="s">
        <v>2663</v>
      </c>
      <c r="U63" s="81"/>
      <c r="V63" s="84" t="str">
        <f>HYPERLINK("https://pbs.twimg.com/profile_images/1388237946600361984/PKBXWly1_normal.jpg")</f>
        <v>https://pbs.twimg.com/profile_images/1388237946600361984/PKBXWly1_normal.jpg</v>
      </c>
      <c r="W63" s="83">
        <v>44458.513888888891</v>
      </c>
      <c r="X63" s="89">
        <v>44458</v>
      </c>
      <c r="Y63" s="86" t="s">
        <v>2809</v>
      </c>
      <c r="Z63" s="84" t="str">
        <f>HYPERLINK("https://twitter.com/bicaradotnews/status/1439564931871952899")</f>
        <v>https://twitter.com/bicaradotnews/status/1439564931871952899</v>
      </c>
      <c r="AA63" s="81"/>
      <c r="AB63" s="81"/>
      <c r="AC63" s="86" t="s">
        <v>4269</v>
      </c>
      <c r="AD63" s="81"/>
      <c r="AE63" s="81" t="b">
        <v>0</v>
      </c>
      <c r="AF63" s="81">
        <v>0</v>
      </c>
      <c r="AG63" s="86" t="s">
        <v>6240</v>
      </c>
      <c r="AH63" s="81" t="b">
        <v>0</v>
      </c>
      <c r="AI63" s="81" t="s">
        <v>6478</v>
      </c>
      <c r="AJ63" s="81"/>
      <c r="AK63" s="86" t="s">
        <v>6240</v>
      </c>
      <c r="AL63" s="81" t="b">
        <v>0</v>
      </c>
      <c r="AM63" s="81">
        <v>0</v>
      </c>
      <c r="AN63" s="86" t="s">
        <v>6240</v>
      </c>
      <c r="AO63" s="86" t="s">
        <v>6507</v>
      </c>
      <c r="AP63" s="81" t="b">
        <v>0</v>
      </c>
      <c r="AQ63" s="86" t="s">
        <v>4269</v>
      </c>
      <c r="AR63" s="81" t="s">
        <v>179</v>
      </c>
      <c r="AS63" s="81">
        <v>0</v>
      </c>
      <c r="AT63" s="81">
        <v>0</v>
      </c>
      <c r="AU63" s="81"/>
      <c r="AV63" s="81"/>
      <c r="AW63" s="81"/>
      <c r="AX63" s="81"/>
      <c r="AY63" s="81"/>
      <c r="AZ63" s="81"/>
      <c r="BA63" s="81"/>
      <c r="BB63" s="81"/>
    </row>
    <row r="64" spans="1:54" x14ac:dyDescent="0.35">
      <c r="A64" s="66" t="s">
        <v>268</v>
      </c>
      <c r="B64" s="66" t="s">
        <v>268</v>
      </c>
      <c r="C64" s="67"/>
      <c r="D64" s="68"/>
      <c r="E64" s="69"/>
      <c r="F64" s="70"/>
      <c r="G64" s="67"/>
      <c r="H64" s="71"/>
      <c r="I64" s="72"/>
      <c r="J64" s="72"/>
      <c r="K64" s="36"/>
      <c r="L64" s="79"/>
      <c r="M64" s="79"/>
      <c r="N64" s="74"/>
      <c r="O64" s="81" t="s">
        <v>179</v>
      </c>
      <c r="P64" s="83">
        <v>44454.440393518518</v>
      </c>
      <c r="Q64" s="81" t="s">
        <v>1578</v>
      </c>
      <c r="R64" s="81"/>
      <c r="S64" s="81"/>
      <c r="T64" s="81"/>
      <c r="U64" s="84" t="str">
        <f>HYPERLINK("https://pbs.twimg.com/media/E_Udp47VcAQNb0Q.jpg")</f>
        <v>https://pbs.twimg.com/media/E_Udp47VcAQNb0Q.jpg</v>
      </c>
      <c r="V64" s="84" t="str">
        <f>HYPERLINK("https://pbs.twimg.com/media/E_Udp47VcAQNb0Q.jpg")</f>
        <v>https://pbs.twimg.com/media/E_Udp47VcAQNb0Q.jpg</v>
      </c>
      <c r="W64" s="83">
        <v>44454.440393518518</v>
      </c>
      <c r="X64" s="89">
        <v>44454</v>
      </c>
      <c r="Y64" s="86" t="s">
        <v>2810</v>
      </c>
      <c r="Z64" s="84" t="str">
        <f>HYPERLINK("https://twitter.com/kejaksaanri/status/1438088747531132940")</f>
        <v>https://twitter.com/kejaksaanri/status/1438088747531132940</v>
      </c>
      <c r="AA64" s="81"/>
      <c r="AB64" s="81"/>
      <c r="AC64" s="86" t="s">
        <v>4270</v>
      </c>
      <c r="AD64" s="81"/>
      <c r="AE64" s="81" t="b">
        <v>0</v>
      </c>
      <c r="AF64" s="81">
        <v>13</v>
      </c>
      <c r="AG64" s="86" t="s">
        <v>6240</v>
      </c>
      <c r="AH64" s="81" t="b">
        <v>0</v>
      </c>
      <c r="AI64" s="81" t="s">
        <v>6478</v>
      </c>
      <c r="AJ64" s="81"/>
      <c r="AK64" s="86" t="s">
        <v>6240</v>
      </c>
      <c r="AL64" s="81" t="b">
        <v>0</v>
      </c>
      <c r="AM64" s="81">
        <v>6</v>
      </c>
      <c r="AN64" s="86" t="s">
        <v>6240</v>
      </c>
      <c r="AO64" s="86" t="s">
        <v>6507</v>
      </c>
      <c r="AP64" s="81" t="b">
        <v>0</v>
      </c>
      <c r="AQ64" s="86" t="s">
        <v>4270</v>
      </c>
      <c r="AR64" s="81" t="s">
        <v>1532</v>
      </c>
      <c r="AS64" s="81">
        <v>0</v>
      </c>
      <c r="AT64" s="81">
        <v>0</v>
      </c>
      <c r="AU64" s="81"/>
      <c r="AV64" s="81"/>
      <c r="AW64" s="81"/>
      <c r="AX64" s="81"/>
      <c r="AY64" s="81"/>
      <c r="AZ64" s="81"/>
      <c r="BA64" s="81"/>
      <c r="BB64" s="81"/>
    </row>
    <row r="65" spans="1:54" x14ac:dyDescent="0.35">
      <c r="A65" s="66" t="s">
        <v>268</v>
      </c>
      <c r="B65" s="66" t="s">
        <v>268</v>
      </c>
      <c r="C65" s="67"/>
      <c r="D65" s="68"/>
      <c r="E65" s="69"/>
      <c r="F65" s="70"/>
      <c r="G65" s="67"/>
      <c r="H65" s="71"/>
      <c r="I65" s="72"/>
      <c r="J65" s="72"/>
      <c r="K65" s="36"/>
      <c r="L65" s="79"/>
      <c r="M65" s="79"/>
      <c r="N65" s="74"/>
      <c r="O65" s="81" t="s">
        <v>179</v>
      </c>
      <c r="P65" s="83">
        <v>44454.440405092595</v>
      </c>
      <c r="Q65" s="81" t="s">
        <v>1579</v>
      </c>
      <c r="R65" s="81"/>
      <c r="S65" s="81"/>
      <c r="T65" s="86" t="s">
        <v>268</v>
      </c>
      <c r="U65" s="81"/>
      <c r="V65" s="84" t="str">
        <f>HYPERLINK("https://pbs.twimg.com/profile_images/1026349211770474497/HHl7SpNC_normal.jpg")</f>
        <v>https://pbs.twimg.com/profile_images/1026349211770474497/HHl7SpNC_normal.jpg</v>
      </c>
      <c r="W65" s="83">
        <v>44454.440405092595</v>
      </c>
      <c r="X65" s="89">
        <v>44454</v>
      </c>
      <c r="Y65" s="86" t="s">
        <v>2811</v>
      </c>
      <c r="Z65" s="84" t="str">
        <f>HYPERLINK("https://twitter.com/kejaksaanri/status/1438088749875793924")</f>
        <v>https://twitter.com/kejaksaanri/status/1438088749875793924</v>
      </c>
      <c r="AA65" s="81"/>
      <c r="AB65" s="81"/>
      <c r="AC65" s="86" t="s">
        <v>4271</v>
      </c>
      <c r="AD65" s="86" t="s">
        <v>4270</v>
      </c>
      <c r="AE65" s="81" t="b">
        <v>0</v>
      </c>
      <c r="AF65" s="81">
        <v>4</v>
      </c>
      <c r="AG65" s="86" t="s">
        <v>6252</v>
      </c>
      <c r="AH65" s="81" t="b">
        <v>0</v>
      </c>
      <c r="AI65" s="81" t="s">
        <v>6478</v>
      </c>
      <c r="AJ65" s="81"/>
      <c r="AK65" s="86" t="s">
        <v>6240</v>
      </c>
      <c r="AL65" s="81" t="b">
        <v>0</v>
      </c>
      <c r="AM65" s="81">
        <v>2</v>
      </c>
      <c r="AN65" s="86" t="s">
        <v>6240</v>
      </c>
      <c r="AO65" s="86" t="s">
        <v>6507</v>
      </c>
      <c r="AP65" s="81" t="b">
        <v>0</v>
      </c>
      <c r="AQ65" s="86" t="s">
        <v>4270</v>
      </c>
      <c r="AR65" s="81" t="s">
        <v>1532</v>
      </c>
      <c r="AS65" s="81">
        <v>0</v>
      </c>
      <c r="AT65" s="81">
        <v>0</v>
      </c>
      <c r="AU65" s="81"/>
      <c r="AV65" s="81"/>
      <c r="AW65" s="81"/>
      <c r="AX65" s="81"/>
      <c r="AY65" s="81"/>
      <c r="AZ65" s="81"/>
      <c r="BA65" s="81"/>
      <c r="BB65" s="81"/>
    </row>
    <row r="66" spans="1:54" x14ac:dyDescent="0.35">
      <c r="A66" s="66" t="s">
        <v>269</v>
      </c>
      <c r="B66" s="66" t="s">
        <v>268</v>
      </c>
      <c r="C66" s="67"/>
      <c r="D66" s="68"/>
      <c r="E66" s="69"/>
      <c r="F66" s="70"/>
      <c r="G66" s="67"/>
      <c r="H66" s="71"/>
      <c r="I66" s="72"/>
      <c r="J66" s="72"/>
      <c r="K66" s="36"/>
      <c r="L66" s="79"/>
      <c r="M66" s="79"/>
      <c r="N66" s="74"/>
      <c r="O66" s="81" t="s">
        <v>1532</v>
      </c>
      <c r="P66" s="83">
        <v>44458.525763888887</v>
      </c>
      <c r="Q66" s="81" t="s">
        <v>1578</v>
      </c>
      <c r="R66" s="81"/>
      <c r="S66" s="81"/>
      <c r="T66" s="81"/>
      <c r="U66" s="84" t="str">
        <f>HYPERLINK("https://pbs.twimg.com/media/E_Udp47VcAQNb0Q.jpg")</f>
        <v>https://pbs.twimg.com/media/E_Udp47VcAQNb0Q.jpg</v>
      </c>
      <c r="V66" s="84" t="str">
        <f>HYPERLINK("https://pbs.twimg.com/media/E_Udp47VcAQNb0Q.jpg")</f>
        <v>https://pbs.twimg.com/media/E_Udp47VcAQNb0Q.jpg</v>
      </c>
      <c r="W66" s="83">
        <v>44458.525763888887</v>
      </c>
      <c r="X66" s="89">
        <v>44458</v>
      </c>
      <c r="Y66" s="86" t="s">
        <v>2812</v>
      </c>
      <c r="Z66" s="84" t="str">
        <f>HYPERLINK("https://twitter.com/kn_sungaipenuh/status/1439569234711826447")</f>
        <v>https://twitter.com/kn_sungaipenuh/status/1439569234711826447</v>
      </c>
      <c r="AA66" s="81"/>
      <c r="AB66" s="81"/>
      <c r="AC66" s="86" t="s">
        <v>4272</v>
      </c>
      <c r="AD66" s="81"/>
      <c r="AE66" s="81" t="b">
        <v>0</v>
      </c>
      <c r="AF66" s="81">
        <v>0</v>
      </c>
      <c r="AG66" s="86" t="s">
        <v>6240</v>
      </c>
      <c r="AH66" s="81" t="b">
        <v>0</v>
      </c>
      <c r="AI66" s="81" t="s">
        <v>6478</v>
      </c>
      <c r="AJ66" s="81"/>
      <c r="AK66" s="86" t="s">
        <v>6240</v>
      </c>
      <c r="AL66" s="81" t="b">
        <v>0</v>
      </c>
      <c r="AM66" s="81">
        <v>6</v>
      </c>
      <c r="AN66" s="86" t="s">
        <v>4270</v>
      </c>
      <c r="AO66" s="86" t="s">
        <v>6503</v>
      </c>
      <c r="AP66" s="81" t="b">
        <v>0</v>
      </c>
      <c r="AQ66" s="86" t="s">
        <v>4270</v>
      </c>
      <c r="AR66" s="81" t="s">
        <v>179</v>
      </c>
      <c r="AS66" s="81">
        <v>0</v>
      </c>
      <c r="AT66" s="81">
        <v>0</v>
      </c>
      <c r="AU66" s="81"/>
      <c r="AV66" s="81"/>
      <c r="AW66" s="81"/>
      <c r="AX66" s="81"/>
      <c r="AY66" s="81"/>
      <c r="AZ66" s="81"/>
      <c r="BA66" s="81"/>
      <c r="BB66" s="81"/>
    </row>
    <row r="67" spans="1:54" x14ac:dyDescent="0.35">
      <c r="A67" s="66" t="s">
        <v>269</v>
      </c>
      <c r="B67" s="66" t="s">
        <v>268</v>
      </c>
      <c r="C67" s="67"/>
      <c r="D67" s="68"/>
      <c r="E67" s="69"/>
      <c r="F67" s="70"/>
      <c r="G67" s="67"/>
      <c r="H67" s="71"/>
      <c r="I67" s="72"/>
      <c r="J67" s="72"/>
      <c r="K67" s="36"/>
      <c r="L67" s="79"/>
      <c r="M67" s="79"/>
      <c r="N67" s="74"/>
      <c r="O67" s="81" t="s">
        <v>1532</v>
      </c>
      <c r="P67" s="83">
        <v>44458.52579861111</v>
      </c>
      <c r="Q67" s="81" t="s">
        <v>1579</v>
      </c>
      <c r="R67" s="81"/>
      <c r="S67" s="81"/>
      <c r="T67" s="86" t="s">
        <v>268</v>
      </c>
      <c r="U67" s="81"/>
      <c r="V67" s="84" t="str">
        <f>HYPERLINK("https://pbs.twimg.com/profile_images/1440491582772285444/oYakBxb1_normal.jpg")</f>
        <v>https://pbs.twimg.com/profile_images/1440491582772285444/oYakBxb1_normal.jpg</v>
      </c>
      <c r="W67" s="83">
        <v>44458.52579861111</v>
      </c>
      <c r="X67" s="89">
        <v>44458</v>
      </c>
      <c r="Y67" s="86" t="s">
        <v>2813</v>
      </c>
      <c r="Z67" s="84" t="str">
        <f>HYPERLINK("https://twitter.com/kn_sungaipenuh/status/1439569248892776449")</f>
        <v>https://twitter.com/kn_sungaipenuh/status/1439569248892776449</v>
      </c>
      <c r="AA67" s="81"/>
      <c r="AB67" s="81"/>
      <c r="AC67" s="86" t="s">
        <v>4273</v>
      </c>
      <c r="AD67" s="81"/>
      <c r="AE67" s="81" t="b">
        <v>0</v>
      </c>
      <c r="AF67" s="81">
        <v>0</v>
      </c>
      <c r="AG67" s="86" t="s">
        <v>6240</v>
      </c>
      <c r="AH67" s="81" t="b">
        <v>0</v>
      </c>
      <c r="AI67" s="81" t="s">
        <v>6478</v>
      </c>
      <c r="AJ67" s="81"/>
      <c r="AK67" s="86" t="s">
        <v>6240</v>
      </c>
      <c r="AL67" s="81" t="b">
        <v>0</v>
      </c>
      <c r="AM67" s="81">
        <v>2</v>
      </c>
      <c r="AN67" s="86" t="s">
        <v>4271</v>
      </c>
      <c r="AO67" s="86" t="s">
        <v>6503</v>
      </c>
      <c r="AP67" s="81" t="b">
        <v>0</v>
      </c>
      <c r="AQ67" s="86" t="s">
        <v>4271</v>
      </c>
      <c r="AR67" s="81" t="s">
        <v>179</v>
      </c>
      <c r="AS67" s="81">
        <v>0</v>
      </c>
      <c r="AT67" s="81">
        <v>0</v>
      </c>
      <c r="AU67" s="81"/>
      <c r="AV67" s="81"/>
      <c r="AW67" s="81"/>
      <c r="AX67" s="81"/>
      <c r="AY67" s="81"/>
      <c r="AZ67" s="81"/>
      <c r="BA67" s="81"/>
      <c r="BB67" s="81"/>
    </row>
    <row r="68" spans="1:54" x14ac:dyDescent="0.35">
      <c r="A68" s="66" t="s">
        <v>270</v>
      </c>
      <c r="B68" s="66" t="s">
        <v>1272</v>
      </c>
      <c r="C68" s="67"/>
      <c r="D68" s="68"/>
      <c r="E68" s="69"/>
      <c r="F68" s="70"/>
      <c r="G68" s="67"/>
      <c r="H68" s="71"/>
      <c r="I68" s="72"/>
      <c r="J68" s="72"/>
      <c r="K68" s="36"/>
      <c r="L68" s="79"/>
      <c r="M68" s="79"/>
      <c r="N68" s="74"/>
      <c r="O68" s="81" t="s">
        <v>1533</v>
      </c>
      <c r="P68" s="83">
        <v>44458.535613425927</v>
      </c>
      <c r="Q68" s="81" t="s">
        <v>1536</v>
      </c>
      <c r="R68" s="81"/>
      <c r="S68" s="81"/>
      <c r="T68" s="86" t="s">
        <v>2656</v>
      </c>
      <c r="U68" s="84" t="str">
        <f>HYPERLINK("https://pbs.twimg.com/media/E_X1zlwVIAES6Ks.jpg")</f>
        <v>https://pbs.twimg.com/media/E_X1zlwVIAES6Ks.jpg</v>
      </c>
      <c r="V68" s="84" t="str">
        <f>HYPERLINK("https://pbs.twimg.com/media/E_X1zlwVIAES6Ks.jpg")</f>
        <v>https://pbs.twimg.com/media/E_X1zlwVIAES6Ks.jpg</v>
      </c>
      <c r="W68" s="83">
        <v>44458.535613425927</v>
      </c>
      <c r="X68" s="89">
        <v>44458</v>
      </c>
      <c r="Y68" s="86" t="s">
        <v>2814</v>
      </c>
      <c r="Z68" s="84" t="str">
        <f>HYPERLINK("https://twitter.com/malangsorn6/status/1439572806912512005")</f>
        <v>https://twitter.com/malangsorn6/status/1439572806912512005</v>
      </c>
      <c r="AA68" s="81"/>
      <c r="AB68" s="81"/>
      <c r="AC68" s="86" t="s">
        <v>4274</v>
      </c>
      <c r="AD68" s="81"/>
      <c r="AE68" s="81" t="b">
        <v>0</v>
      </c>
      <c r="AF68" s="81">
        <v>0</v>
      </c>
      <c r="AG68" s="86" t="s">
        <v>6240</v>
      </c>
      <c r="AH68" s="81" t="b">
        <v>0</v>
      </c>
      <c r="AI68" s="81" t="s">
        <v>6478</v>
      </c>
      <c r="AJ68" s="81"/>
      <c r="AK68" s="86" t="s">
        <v>6240</v>
      </c>
      <c r="AL68" s="81" t="b">
        <v>0</v>
      </c>
      <c r="AM68" s="81">
        <v>61</v>
      </c>
      <c r="AN68" s="86" t="s">
        <v>4550</v>
      </c>
      <c r="AO68" s="86" t="s">
        <v>6503</v>
      </c>
      <c r="AP68" s="81" t="b">
        <v>0</v>
      </c>
      <c r="AQ68" s="86" t="s">
        <v>4550</v>
      </c>
      <c r="AR68" s="81" t="s">
        <v>179</v>
      </c>
      <c r="AS68" s="81">
        <v>0</v>
      </c>
      <c r="AT68" s="81">
        <v>0</v>
      </c>
      <c r="AU68" s="81"/>
      <c r="AV68" s="81"/>
      <c r="AW68" s="81"/>
      <c r="AX68" s="81"/>
      <c r="AY68" s="81"/>
      <c r="AZ68" s="81"/>
      <c r="BA68" s="81"/>
      <c r="BB68" s="81"/>
    </row>
    <row r="69" spans="1:54" x14ac:dyDescent="0.35">
      <c r="A69" s="66" t="s">
        <v>270</v>
      </c>
      <c r="B69" s="66" t="s">
        <v>526</v>
      </c>
      <c r="C69" s="67"/>
      <c r="D69" s="68"/>
      <c r="E69" s="69"/>
      <c r="F69" s="70"/>
      <c r="G69" s="67"/>
      <c r="H69" s="71"/>
      <c r="I69" s="72"/>
      <c r="J69" s="72"/>
      <c r="K69" s="36"/>
      <c r="L69" s="79"/>
      <c r="M69" s="79"/>
      <c r="N69" s="74"/>
      <c r="O69" s="81" t="s">
        <v>1532</v>
      </c>
      <c r="P69" s="83">
        <v>44458.535613425927</v>
      </c>
      <c r="Q69" s="81" t="s">
        <v>1536</v>
      </c>
      <c r="R69" s="81"/>
      <c r="S69" s="81"/>
      <c r="T69" s="86" t="s">
        <v>2656</v>
      </c>
      <c r="U69" s="84" t="str">
        <f>HYPERLINK("https://pbs.twimg.com/media/E_X1zlwVIAES6Ks.jpg")</f>
        <v>https://pbs.twimg.com/media/E_X1zlwVIAES6Ks.jpg</v>
      </c>
      <c r="V69" s="84" t="str">
        <f>HYPERLINK("https://pbs.twimg.com/media/E_X1zlwVIAES6Ks.jpg")</f>
        <v>https://pbs.twimg.com/media/E_X1zlwVIAES6Ks.jpg</v>
      </c>
      <c r="W69" s="83">
        <v>44458.535613425927</v>
      </c>
      <c r="X69" s="89">
        <v>44458</v>
      </c>
      <c r="Y69" s="86" t="s">
        <v>2814</v>
      </c>
      <c r="Z69" s="84" t="str">
        <f>HYPERLINK("https://twitter.com/malangsorn6/status/1439572806912512005")</f>
        <v>https://twitter.com/malangsorn6/status/1439572806912512005</v>
      </c>
      <c r="AA69" s="81"/>
      <c r="AB69" s="81"/>
      <c r="AC69" s="86" t="s">
        <v>4274</v>
      </c>
      <c r="AD69" s="81"/>
      <c r="AE69" s="81" t="b">
        <v>0</v>
      </c>
      <c r="AF69" s="81">
        <v>0</v>
      </c>
      <c r="AG69" s="86" t="s">
        <v>6240</v>
      </c>
      <c r="AH69" s="81" t="b">
        <v>0</v>
      </c>
      <c r="AI69" s="81" t="s">
        <v>6478</v>
      </c>
      <c r="AJ69" s="81"/>
      <c r="AK69" s="86" t="s">
        <v>6240</v>
      </c>
      <c r="AL69" s="81" t="b">
        <v>0</v>
      </c>
      <c r="AM69" s="81">
        <v>61</v>
      </c>
      <c r="AN69" s="86" t="s">
        <v>4550</v>
      </c>
      <c r="AO69" s="86" t="s">
        <v>6503</v>
      </c>
      <c r="AP69" s="81" t="b">
        <v>0</v>
      </c>
      <c r="AQ69" s="86" t="s">
        <v>4550</v>
      </c>
      <c r="AR69" s="81" t="s">
        <v>179</v>
      </c>
      <c r="AS69" s="81">
        <v>0</v>
      </c>
      <c r="AT69" s="81">
        <v>0</v>
      </c>
      <c r="AU69" s="81"/>
      <c r="AV69" s="81"/>
      <c r="AW69" s="81"/>
      <c r="AX69" s="81"/>
      <c r="AY69" s="81"/>
      <c r="AZ69" s="81"/>
      <c r="BA69" s="81"/>
      <c r="BB69" s="81"/>
    </row>
    <row r="70" spans="1:54" x14ac:dyDescent="0.35">
      <c r="A70" s="66" t="s">
        <v>271</v>
      </c>
      <c r="B70" s="66" t="s">
        <v>271</v>
      </c>
      <c r="C70" s="67"/>
      <c r="D70" s="68"/>
      <c r="E70" s="69"/>
      <c r="F70" s="70"/>
      <c r="G70" s="67"/>
      <c r="H70" s="71"/>
      <c r="I70" s="72"/>
      <c r="J70" s="72"/>
      <c r="K70" s="36"/>
      <c r="L70" s="79"/>
      <c r="M70" s="79"/>
      <c r="N70" s="74"/>
      <c r="O70" s="81" t="s">
        <v>179</v>
      </c>
      <c r="P70" s="83">
        <v>44458.561874999999</v>
      </c>
      <c r="Q70" s="81" t="s">
        <v>1580</v>
      </c>
      <c r="R70" s="81"/>
      <c r="S70" s="81"/>
      <c r="T70" s="81"/>
      <c r="U70" s="84" t="str">
        <f>HYPERLINK("https://pbs.twimg.com/media/E_psfjSUYA0oYeY.jpg")</f>
        <v>https://pbs.twimg.com/media/E_psfjSUYA0oYeY.jpg</v>
      </c>
      <c r="V70" s="84" t="str">
        <f>HYPERLINK("https://pbs.twimg.com/media/E_psfjSUYA0oYeY.jpg")</f>
        <v>https://pbs.twimg.com/media/E_psfjSUYA0oYeY.jpg</v>
      </c>
      <c r="W70" s="83">
        <v>44458.561874999999</v>
      </c>
      <c r="X70" s="89">
        <v>44458</v>
      </c>
      <c r="Y70" s="86" t="s">
        <v>2815</v>
      </c>
      <c r="Z70" s="84" t="str">
        <f>HYPERLINK("https://twitter.com/15death/status/1439582322550992898")</f>
        <v>https://twitter.com/15death/status/1439582322550992898</v>
      </c>
      <c r="AA70" s="81"/>
      <c r="AB70" s="81"/>
      <c r="AC70" s="86" t="s">
        <v>4275</v>
      </c>
      <c r="AD70" s="86" t="s">
        <v>5982</v>
      </c>
      <c r="AE70" s="81" t="b">
        <v>0</v>
      </c>
      <c r="AF70" s="81">
        <v>3</v>
      </c>
      <c r="AG70" s="86" t="s">
        <v>6253</v>
      </c>
      <c r="AH70" s="81" t="b">
        <v>0</v>
      </c>
      <c r="AI70" s="81" t="s">
        <v>6478</v>
      </c>
      <c r="AJ70" s="81"/>
      <c r="AK70" s="86" t="s">
        <v>6240</v>
      </c>
      <c r="AL70" s="81" t="b">
        <v>0</v>
      </c>
      <c r="AM70" s="81">
        <v>0</v>
      </c>
      <c r="AN70" s="86" t="s">
        <v>6240</v>
      </c>
      <c r="AO70" s="86" t="s">
        <v>6503</v>
      </c>
      <c r="AP70" s="81" t="b">
        <v>0</v>
      </c>
      <c r="AQ70" s="86" t="s">
        <v>5982</v>
      </c>
      <c r="AR70" s="81" t="s">
        <v>179</v>
      </c>
      <c r="AS70" s="81">
        <v>0</v>
      </c>
      <c r="AT70" s="81">
        <v>0</v>
      </c>
      <c r="AU70" s="81"/>
      <c r="AV70" s="81"/>
      <c r="AW70" s="81"/>
      <c r="AX70" s="81"/>
      <c r="AY70" s="81"/>
      <c r="AZ70" s="81"/>
      <c r="BA70" s="81"/>
      <c r="BB70" s="81"/>
    </row>
    <row r="71" spans="1:54" x14ac:dyDescent="0.35">
      <c r="A71" s="66" t="s">
        <v>272</v>
      </c>
      <c r="B71" s="66" t="s">
        <v>1284</v>
      </c>
      <c r="C71" s="67"/>
      <c r="D71" s="68"/>
      <c r="E71" s="69"/>
      <c r="F71" s="70"/>
      <c r="G71" s="67"/>
      <c r="H71" s="71"/>
      <c r="I71" s="72"/>
      <c r="J71" s="72"/>
      <c r="K71" s="36"/>
      <c r="L71" s="79"/>
      <c r="M71" s="79"/>
      <c r="N71" s="74"/>
      <c r="O71" s="81" t="s">
        <v>1535</v>
      </c>
      <c r="P71" s="83">
        <v>44458.575891203705</v>
      </c>
      <c r="Q71" s="81" t="s">
        <v>1581</v>
      </c>
      <c r="R71" s="81"/>
      <c r="S71" s="81"/>
      <c r="T71" s="81"/>
      <c r="U71" s="81"/>
      <c r="V71" s="84" t="str">
        <f>HYPERLINK("https://pbs.twimg.com/profile_images/1400067327127744518/nbn8ct4r_normal.jpg")</f>
        <v>https://pbs.twimg.com/profile_images/1400067327127744518/nbn8ct4r_normal.jpg</v>
      </c>
      <c r="W71" s="83">
        <v>44458.575891203705</v>
      </c>
      <c r="X71" s="89">
        <v>44458</v>
      </c>
      <c r="Y71" s="86" t="s">
        <v>2816</v>
      </c>
      <c r="Z71" s="84" t="str">
        <f>HYPERLINK("https://twitter.com/tarrriiishop/status/1439587401366597632")</f>
        <v>https://twitter.com/tarrriiishop/status/1439587401366597632</v>
      </c>
      <c r="AA71" s="81"/>
      <c r="AB71" s="81"/>
      <c r="AC71" s="86" t="s">
        <v>4276</v>
      </c>
      <c r="AD71" s="86" t="s">
        <v>5983</v>
      </c>
      <c r="AE71" s="81" t="b">
        <v>0</v>
      </c>
      <c r="AF71" s="81">
        <v>0</v>
      </c>
      <c r="AG71" s="86" t="s">
        <v>6254</v>
      </c>
      <c r="AH71" s="81" t="b">
        <v>0</v>
      </c>
      <c r="AI71" s="81" t="s">
        <v>6478</v>
      </c>
      <c r="AJ71" s="81"/>
      <c r="AK71" s="86" t="s">
        <v>6240</v>
      </c>
      <c r="AL71" s="81" t="b">
        <v>0</v>
      </c>
      <c r="AM71" s="81">
        <v>0</v>
      </c>
      <c r="AN71" s="86" t="s">
        <v>6240</v>
      </c>
      <c r="AO71" s="86" t="s">
        <v>6503</v>
      </c>
      <c r="AP71" s="81" t="b">
        <v>0</v>
      </c>
      <c r="AQ71" s="86" t="s">
        <v>5983</v>
      </c>
      <c r="AR71" s="81" t="s">
        <v>179</v>
      </c>
      <c r="AS71" s="81">
        <v>0</v>
      </c>
      <c r="AT71" s="81">
        <v>0</v>
      </c>
      <c r="AU71" s="81"/>
      <c r="AV71" s="81"/>
      <c r="AW71" s="81"/>
      <c r="AX71" s="81"/>
      <c r="AY71" s="81"/>
      <c r="AZ71" s="81"/>
      <c r="BA71" s="81"/>
      <c r="BB71" s="81"/>
    </row>
    <row r="72" spans="1:54" x14ac:dyDescent="0.35">
      <c r="A72" s="66" t="s">
        <v>272</v>
      </c>
      <c r="B72" s="66" t="s">
        <v>1285</v>
      </c>
      <c r="C72" s="67"/>
      <c r="D72" s="68"/>
      <c r="E72" s="69"/>
      <c r="F72" s="70"/>
      <c r="G72" s="67"/>
      <c r="H72" s="71"/>
      <c r="I72" s="72"/>
      <c r="J72" s="72"/>
      <c r="K72" s="36"/>
      <c r="L72" s="79"/>
      <c r="M72" s="79"/>
      <c r="N72" s="74"/>
      <c r="O72" s="81" t="s">
        <v>1534</v>
      </c>
      <c r="P72" s="83">
        <v>44458.575891203705</v>
      </c>
      <c r="Q72" s="81" t="s">
        <v>1581</v>
      </c>
      <c r="R72" s="81"/>
      <c r="S72" s="81"/>
      <c r="T72" s="81"/>
      <c r="U72" s="81"/>
      <c r="V72" s="84" t="str">
        <f>HYPERLINK("https://pbs.twimg.com/profile_images/1400067327127744518/nbn8ct4r_normal.jpg")</f>
        <v>https://pbs.twimg.com/profile_images/1400067327127744518/nbn8ct4r_normal.jpg</v>
      </c>
      <c r="W72" s="83">
        <v>44458.575891203705</v>
      </c>
      <c r="X72" s="89">
        <v>44458</v>
      </c>
      <c r="Y72" s="86" t="s">
        <v>2816</v>
      </c>
      <c r="Z72" s="84" t="str">
        <f>HYPERLINK("https://twitter.com/tarrriiishop/status/1439587401366597632")</f>
        <v>https://twitter.com/tarrriiishop/status/1439587401366597632</v>
      </c>
      <c r="AA72" s="81"/>
      <c r="AB72" s="81"/>
      <c r="AC72" s="86" t="s">
        <v>4276</v>
      </c>
      <c r="AD72" s="86" t="s">
        <v>5983</v>
      </c>
      <c r="AE72" s="81" t="b">
        <v>0</v>
      </c>
      <c r="AF72" s="81">
        <v>0</v>
      </c>
      <c r="AG72" s="86" t="s">
        <v>6254</v>
      </c>
      <c r="AH72" s="81" t="b">
        <v>0</v>
      </c>
      <c r="AI72" s="81" t="s">
        <v>6478</v>
      </c>
      <c r="AJ72" s="81"/>
      <c r="AK72" s="86" t="s">
        <v>6240</v>
      </c>
      <c r="AL72" s="81" t="b">
        <v>0</v>
      </c>
      <c r="AM72" s="81">
        <v>0</v>
      </c>
      <c r="AN72" s="86" t="s">
        <v>6240</v>
      </c>
      <c r="AO72" s="86" t="s">
        <v>6503</v>
      </c>
      <c r="AP72" s="81" t="b">
        <v>0</v>
      </c>
      <c r="AQ72" s="86" t="s">
        <v>5983</v>
      </c>
      <c r="AR72" s="81" t="s">
        <v>179</v>
      </c>
      <c r="AS72" s="81">
        <v>0</v>
      </c>
      <c r="AT72" s="81">
        <v>0</v>
      </c>
      <c r="AU72" s="81"/>
      <c r="AV72" s="81"/>
      <c r="AW72" s="81"/>
      <c r="AX72" s="81"/>
      <c r="AY72" s="81"/>
      <c r="AZ72" s="81"/>
      <c r="BA72" s="81"/>
      <c r="BB72" s="81"/>
    </row>
    <row r="73" spans="1:54" x14ac:dyDescent="0.35">
      <c r="A73" s="66" t="s">
        <v>273</v>
      </c>
      <c r="B73" s="66" t="s">
        <v>1284</v>
      </c>
      <c r="C73" s="67"/>
      <c r="D73" s="68"/>
      <c r="E73" s="69"/>
      <c r="F73" s="70"/>
      <c r="G73" s="67"/>
      <c r="H73" s="71"/>
      <c r="I73" s="72"/>
      <c r="J73" s="72"/>
      <c r="K73" s="36"/>
      <c r="L73" s="79"/>
      <c r="M73" s="79"/>
      <c r="N73" s="74"/>
      <c r="O73" s="81" t="s">
        <v>1535</v>
      </c>
      <c r="P73" s="83">
        <v>44458.589189814818</v>
      </c>
      <c r="Q73" s="81" t="s">
        <v>1582</v>
      </c>
      <c r="R73" s="81"/>
      <c r="S73" s="81"/>
      <c r="T73" s="81"/>
      <c r="U73" s="81"/>
      <c r="V73" s="84" t="str">
        <f>HYPERLINK("https://pbs.twimg.com/profile_images/1304409180288086016/CaVHmqsQ_normal.jpg")</f>
        <v>https://pbs.twimg.com/profile_images/1304409180288086016/CaVHmqsQ_normal.jpg</v>
      </c>
      <c r="W73" s="83">
        <v>44458.589189814818</v>
      </c>
      <c r="X73" s="89">
        <v>44458</v>
      </c>
      <c r="Y73" s="86" t="s">
        <v>2817</v>
      </c>
      <c r="Z73" s="84" t="str">
        <f>HYPERLINK("https://twitter.com/galaxyou_/status/1439592219292278786")</f>
        <v>https://twitter.com/galaxyou_/status/1439592219292278786</v>
      </c>
      <c r="AA73" s="81"/>
      <c r="AB73" s="81"/>
      <c r="AC73" s="86" t="s">
        <v>4277</v>
      </c>
      <c r="AD73" s="86" t="s">
        <v>5983</v>
      </c>
      <c r="AE73" s="81" t="b">
        <v>0</v>
      </c>
      <c r="AF73" s="81">
        <v>0</v>
      </c>
      <c r="AG73" s="86" t="s">
        <v>6254</v>
      </c>
      <c r="AH73" s="81" t="b">
        <v>0</v>
      </c>
      <c r="AI73" s="81" t="s">
        <v>6478</v>
      </c>
      <c r="AJ73" s="81"/>
      <c r="AK73" s="86" t="s">
        <v>6240</v>
      </c>
      <c r="AL73" s="81" t="b">
        <v>0</v>
      </c>
      <c r="AM73" s="81">
        <v>0</v>
      </c>
      <c r="AN73" s="86" t="s">
        <v>6240</v>
      </c>
      <c r="AO73" s="86" t="s">
        <v>6503</v>
      </c>
      <c r="AP73" s="81" t="b">
        <v>0</v>
      </c>
      <c r="AQ73" s="86" t="s">
        <v>5983</v>
      </c>
      <c r="AR73" s="81" t="s">
        <v>179</v>
      </c>
      <c r="AS73" s="81">
        <v>0</v>
      </c>
      <c r="AT73" s="81">
        <v>0</v>
      </c>
      <c r="AU73" s="81"/>
      <c r="AV73" s="81"/>
      <c r="AW73" s="81"/>
      <c r="AX73" s="81"/>
      <c r="AY73" s="81"/>
      <c r="AZ73" s="81"/>
      <c r="BA73" s="81"/>
      <c r="BB73" s="81"/>
    </row>
    <row r="74" spans="1:54" x14ac:dyDescent="0.35">
      <c r="A74" s="66" t="s">
        <v>273</v>
      </c>
      <c r="B74" s="66" t="s">
        <v>1285</v>
      </c>
      <c r="C74" s="67"/>
      <c r="D74" s="68"/>
      <c r="E74" s="69"/>
      <c r="F74" s="70"/>
      <c r="G74" s="67"/>
      <c r="H74" s="71"/>
      <c r="I74" s="72"/>
      <c r="J74" s="72"/>
      <c r="K74" s="36"/>
      <c r="L74" s="79"/>
      <c r="M74" s="79"/>
      <c r="N74" s="74"/>
      <c r="O74" s="81" t="s">
        <v>1534</v>
      </c>
      <c r="P74" s="83">
        <v>44458.589189814818</v>
      </c>
      <c r="Q74" s="81" t="s">
        <v>1582</v>
      </c>
      <c r="R74" s="81"/>
      <c r="S74" s="81"/>
      <c r="T74" s="81"/>
      <c r="U74" s="81"/>
      <c r="V74" s="84" t="str">
        <f>HYPERLINK("https://pbs.twimg.com/profile_images/1304409180288086016/CaVHmqsQ_normal.jpg")</f>
        <v>https://pbs.twimg.com/profile_images/1304409180288086016/CaVHmqsQ_normal.jpg</v>
      </c>
      <c r="W74" s="83">
        <v>44458.589189814818</v>
      </c>
      <c r="X74" s="89">
        <v>44458</v>
      </c>
      <c r="Y74" s="86" t="s">
        <v>2817</v>
      </c>
      <c r="Z74" s="84" t="str">
        <f>HYPERLINK("https://twitter.com/galaxyou_/status/1439592219292278786")</f>
        <v>https://twitter.com/galaxyou_/status/1439592219292278786</v>
      </c>
      <c r="AA74" s="81"/>
      <c r="AB74" s="81"/>
      <c r="AC74" s="86" t="s">
        <v>4277</v>
      </c>
      <c r="AD74" s="86" t="s">
        <v>5983</v>
      </c>
      <c r="AE74" s="81" t="b">
        <v>0</v>
      </c>
      <c r="AF74" s="81">
        <v>0</v>
      </c>
      <c r="AG74" s="86" t="s">
        <v>6254</v>
      </c>
      <c r="AH74" s="81" t="b">
        <v>0</v>
      </c>
      <c r="AI74" s="81" t="s">
        <v>6478</v>
      </c>
      <c r="AJ74" s="81"/>
      <c r="AK74" s="86" t="s">
        <v>6240</v>
      </c>
      <c r="AL74" s="81" t="b">
        <v>0</v>
      </c>
      <c r="AM74" s="81">
        <v>0</v>
      </c>
      <c r="AN74" s="86" t="s">
        <v>6240</v>
      </c>
      <c r="AO74" s="86" t="s">
        <v>6503</v>
      </c>
      <c r="AP74" s="81" t="b">
        <v>0</v>
      </c>
      <c r="AQ74" s="86" t="s">
        <v>5983</v>
      </c>
      <c r="AR74" s="81" t="s">
        <v>179</v>
      </c>
      <c r="AS74" s="81">
        <v>0</v>
      </c>
      <c r="AT74" s="81">
        <v>0</v>
      </c>
      <c r="AU74" s="81"/>
      <c r="AV74" s="81"/>
      <c r="AW74" s="81"/>
      <c r="AX74" s="81"/>
      <c r="AY74" s="81"/>
      <c r="AZ74" s="81"/>
      <c r="BA74" s="81"/>
      <c r="BB74" s="81"/>
    </row>
    <row r="75" spans="1:54" x14ac:dyDescent="0.35">
      <c r="A75" s="66" t="s">
        <v>274</v>
      </c>
      <c r="B75" s="66" t="s">
        <v>1283</v>
      </c>
      <c r="C75" s="67"/>
      <c r="D75" s="68"/>
      <c r="E75" s="69"/>
      <c r="F75" s="70"/>
      <c r="G75" s="67"/>
      <c r="H75" s="71"/>
      <c r="I75" s="72"/>
      <c r="J75" s="72"/>
      <c r="K75" s="36"/>
      <c r="L75" s="79"/>
      <c r="M75" s="79"/>
      <c r="N75" s="74"/>
      <c r="O75" s="81" t="s">
        <v>1533</v>
      </c>
      <c r="P75" s="83">
        <v>44458.589398148149</v>
      </c>
      <c r="Q75" s="81" t="s">
        <v>1583</v>
      </c>
      <c r="R75" s="84" t="str">
        <f>HYPERLINK("https://kerjha.com/pos-indonesia-gandeng-nujek-dan-perkenalkan-o-ranger-mawar/")</f>
        <v>https://kerjha.com/pos-indonesia-gandeng-nujek-dan-perkenalkan-o-ranger-mawar/</v>
      </c>
      <c r="S75" s="81" t="s">
        <v>2586</v>
      </c>
      <c r="T75" s="81"/>
      <c r="U75" s="81"/>
      <c r="V75" s="84" t="str">
        <f>HYPERLINK("https://pbs.twimg.com/profile_images/1427211324069539854/P-Yt7j9b_normal.jpg")</f>
        <v>https://pbs.twimg.com/profile_images/1427211324069539854/P-Yt7j9b_normal.jpg</v>
      </c>
      <c r="W75" s="83">
        <v>44458.589398148149</v>
      </c>
      <c r="X75" s="89">
        <v>44458</v>
      </c>
      <c r="Y75" s="86" t="s">
        <v>2818</v>
      </c>
      <c r="Z75" s="84" t="str">
        <f>HYPERLINK("https://twitter.com/semupetualang/status/1439592297457340417")</f>
        <v>https://twitter.com/semupetualang/status/1439592297457340417</v>
      </c>
      <c r="AA75" s="81"/>
      <c r="AB75" s="81"/>
      <c r="AC75" s="86" t="s">
        <v>4278</v>
      </c>
      <c r="AD75" s="81"/>
      <c r="AE75" s="81" t="b">
        <v>0</v>
      </c>
      <c r="AF75" s="81">
        <v>0</v>
      </c>
      <c r="AG75" s="86" t="s">
        <v>6240</v>
      </c>
      <c r="AH75" s="81" t="b">
        <v>0</v>
      </c>
      <c r="AI75" s="81" t="s">
        <v>6478</v>
      </c>
      <c r="AJ75" s="81"/>
      <c r="AK75" s="86" t="s">
        <v>6240</v>
      </c>
      <c r="AL75" s="81" t="b">
        <v>0</v>
      </c>
      <c r="AM75" s="81">
        <v>10</v>
      </c>
      <c r="AN75" s="86" t="s">
        <v>4365</v>
      </c>
      <c r="AO75" s="86" t="s">
        <v>6503</v>
      </c>
      <c r="AP75" s="81" t="b">
        <v>0</v>
      </c>
      <c r="AQ75" s="86" t="s">
        <v>4365</v>
      </c>
      <c r="AR75" s="81" t="s">
        <v>179</v>
      </c>
      <c r="AS75" s="81">
        <v>0</v>
      </c>
      <c r="AT75" s="81">
        <v>0</v>
      </c>
      <c r="AU75" s="81"/>
      <c r="AV75" s="81"/>
      <c r="AW75" s="81"/>
      <c r="AX75" s="81"/>
      <c r="AY75" s="81"/>
      <c r="AZ75" s="81"/>
      <c r="BA75" s="81"/>
      <c r="BB75" s="81"/>
    </row>
    <row r="76" spans="1:54" x14ac:dyDescent="0.35">
      <c r="A76" s="66" t="s">
        <v>274</v>
      </c>
      <c r="B76" s="66" t="s">
        <v>357</v>
      </c>
      <c r="C76" s="67"/>
      <c r="D76" s="68"/>
      <c r="E76" s="69"/>
      <c r="F76" s="70"/>
      <c r="G76" s="67"/>
      <c r="H76" s="71"/>
      <c r="I76" s="72"/>
      <c r="J76" s="72"/>
      <c r="K76" s="36"/>
      <c r="L76" s="79"/>
      <c r="M76" s="79"/>
      <c r="N76" s="74"/>
      <c r="O76" s="81" t="s">
        <v>1532</v>
      </c>
      <c r="P76" s="83">
        <v>44458.589398148149</v>
      </c>
      <c r="Q76" s="81" t="s">
        <v>1583</v>
      </c>
      <c r="R76" s="84" t="str">
        <f>HYPERLINK("https://kerjha.com/pos-indonesia-gandeng-nujek-dan-perkenalkan-o-ranger-mawar/")</f>
        <v>https://kerjha.com/pos-indonesia-gandeng-nujek-dan-perkenalkan-o-ranger-mawar/</v>
      </c>
      <c r="S76" s="81" t="s">
        <v>2586</v>
      </c>
      <c r="T76" s="81"/>
      <c r="U76" s="81"/>
      <c r="V76" s="84" t="str">
        <f>HYPERLINK("https://pbs.twimg.com/profile_images/1427211324069539854/P-Yt7j9b_normal.jpg")</f>
        <v>https://pbs.twimg.com/profile_images/1427211324069539854/P-Yt7j9b_normal.jpg</v>
      </c>
      <c r="W76" s="83">
        <v>44458.589398148149</v>
      </c>
      <c r="X76" s="89">
        <v>44458</v>
      </c>
      <c r="Y76" s="86" t="s">
        <v>2818</v>
      </c>
      <c r="Z76" s="84" t="str">
        <f>HYPERLINK("https://twitter.com/semupetualang/status/1439592297457340417")</f>
        <v>https://twitter.com/semupetualang/status/1439592297457340417</v>
      </c>
      <c r="AA76" s="81"/>
      <c r="AB76" s="81"/>
      <c r="AC76" s="86" t="s">
        <v>4278</v>
      </c>
      <c r="AD76" s="81"/>
      <c r="AE76" s="81" t="b">
        <v>0</v>
      </c>
      <c r="AF76" s="81">
        <v>0</v>
      </c>
      <c r="AG76" s="86" t="s">
        <v>6240</v>
      </c>
      <c r="AH76" s="81" t="b">
        <v>0</v>
      </c>
      <c r="AI76" s="81" t="s">
        <v>6478</v>
      </c>
      <c r="AJ76" s="81"/>
      <c r="AK76" s="86" t="s">
        <v>6240</v>
      </c>
      <c r="AL76" s="81" t="b">
        <v>0</v>
      </c>
      <c r="AM76" s="81">
        <v>10</v>
      </c>
      <c r="AN76" s="86" t="s">
        <v>4365</v>
      </c>
      <c r="AO76" s="86" t="s">
        <v>6503</v>
      </c>
      <c r="AP76" s="81" t="b">
        <v>0</v>
      </c>
      <c r="AQ76" s="86" t="s">
        <v>4365</v>
      </c>
      <c r="AR76" s="81" t="s">
        <v>179</v>
      </c>
      <c r="AS76" s="81">
        <v>0</v>
      </c>
      <c r="AT76" s="81">
        <v>0</v>
      </c>
      <c r="AU76" s="81"/>
      <c r="AV76" s="81"/>
      <c r="AW76" s="81"/>
      <c r="AX76" s="81"/>
      <c r="AY76" s="81"/>
      <c r="AZ76" s="81"/>
      <c r="BA76" s="81"/>
      <c r="BB76" s="81"/>
    </row>
    <row r="77" spans="1:54" x14ac:dyDescent="0.35">
      <c r="A77" s="66" t="s">
        <v>275</v>
      </c>
      <c r="B77" s="66" t="s">
        <v>1284</v>
      </c>
      <c r="C77" s="67"/>
      <c r="D77" s="68"/>
      <c r="E77" s="69"/>
      <c r="F77" s="70"/>
      <c r="G77" s="67"/>
      <c r="H77" s="71"/>
      <c r="I77" s="72"/>
      <c r="J77" s="72"/>
      <c r="K77" s="36"/>
      <c r="L77" s="79"/>
      <c r="M77" s="79"/>
      <c r="N77" s="74"/>
      <c r="O77" s="81" t="s">
        <v>1535</v>
      </c>
      <c r="P77" s="83">
        <v>44458.593969907408</v>
      </c>
      <c r="Q77" s="81" t="s">
        <v>1584</v>
      </c>
      <c r="R77" s="81"/>
      <c r="S77" s="81"/>
      <c r="T77" s="81"/>
      <c r="U77" s="81"/>
      <c r="V77" s="84" t="str">
        <f>HYPERLINK("https://pbs.twimg.com/profile_images/1404322491972001792/CL7SnwHA_normal.jpg")</f>
        <v>https://pbs.twimg.com/profile_images/1404322491972001792/CL7SnwHA_normal.jpg</v>
      </c>
      <c r="W77" s="83">
        <v>44458.593969907408</v>
      </c>
      <c r="X77" s="89">
        <v>44458</v>
      </c>
      <c r="Y77" s="86" t="s">
        <v>2819</v>
      </c>
      <c r="Z77" s="84" t="str">
        <f>HYPERLINK("https://twitter.com/serendypitae/status/1439593953330749445")</f>
        <v>https://twitter.com/serendypitae/status/1439593953330749445</v>
      </c>
      <c r="AA77" s="81"/>
      <c r="AB77" s="81"/>
      <c r="AC77" s="86" t="s">
        <v>4279</v>
      </c>
      <c r="AD77" s="86" t="s">
        <v>5984</v>
      </c>
      <c r="AE77" s="81" t="b">
        <v>0</v>
      </c>
      <c r="AF77" s="81">
        <v>0</v>
      </c>
      <c r="AG77" s="86" t="s">
        <v>6254</v>
      </c>
      <c r="AH77" s="81" t="b">
        <v>0</v>
      </c>
      <c r="AI77" s="81" t="s">
        <v>6478</v>
      </c>
      <c r="AJ77" s="81"/>
      <c r="AK77" s="86" t="s">
        <v>6240</v>
      </c>
      <c r="AL77" s="81" t="b">
        <v>0</v>
      </c>
      <c r="AM77" s="81">
        <v>0</v>
      </c>
      <c r="AN77" s="86" t="s">
        <v>6240</v>
      </c>
      <c r="AO77" s="86" t="s">
        <v>6505</v>
      </c>
      <c r="AP77" s="81" t="b">
        <v>0</v>
      </c>
      <c r="AQ77" s="86" t="s">
        <v>5984</v>
      </c>
      <c r="AR77" s="81" t="s">
        <v>179</v>
      </c>
      <c r="AS77" s="81">
        <v>0</v>
      </c>
      <c r="AT77" s="81">
        <v>0</v>
      </c>
      <c r="AU77" s="81"/>
      <c r="AV77" s="81"/>
      <c r="AW77" s="81"/>
      <c r="AX77" s="81"/>
      <c r="AY77" s="81"/>
      <c r="AZ77" s="81"/>
      <c r="BA77" s="81"/>
      <c r="BB77" s="81"/>
    </row>
    <row r="78" spans="1:54" x14ac:dyDescent="0.35">
      <c r="A78" s="66" t="s">
        <v>275</v>
      </c>
      <c r="B78" s="66" t="s">
        <v>1285</v>
      </c>
      <c r="C78" s="67"/>
      <c r="D78" s="68"/>
      <c r="E78" s="69"/>
      <c r="F78" s="70"/>
      <c r="G78" s="67"/>
      <c r="H78" s="71"/>
      <c r="I78" s="72"/>
      <c r="J78" s="72"/>
      <c r="K78" s="36"/>
      <c r="L78" s="79"/>
      <c r="M78" s="79"/>
      <c r="N78" s="74"/>
      <c r="O78" s="81" t="s">
        <v>1534</v>
      </c>
      <c r="P78" s="83">
        <v>44458.593969907408</v>
      </c>
      <c r="Q78" s="81" t="s">
        <v>1584</v>
      </c>
      <c r="R78" s="81"/>
      <c r="S78" s="81"/>
      <c r="T78" s="81"/>
      <c r="U78" s="81"/>
      <c r="V78" s="84" t="str">
        <f>HYPERLINK("https://pbs.twimg.com/profile_images/1404322491972001792/CL7SnwHA_normal.jpg")</f>
        <v>https://pbs.twimg.com/profile_images/1404322491972001792/CL7SnwHA_normal.jpg</v>
      </c>
      <c r="W78" s="83">
        <v>44458.593969907408</v>
      </c>
      <c r="X78" s="89">
        <v>44458</v>
      </c>
      <c r="Y78" s="86" t="s">
        <v>2819</v>
      </c>
      <c r="Z78" s="84" t="str">
        <f>HYPERLINK("https://twitter.com/serendypitae/status/1439593953330749445")</f>
        <v>https://twitter.com/serendypitae/status/1439593953330749445</v>
      </c>
      <c r="AA78" s="81"/>
      <c r="AB78" s="81"/>
      <c r="AC78" s="86" t="s">
        <v>4279</v>
      </c>
      <c r="AD78" s="86" t="s">
        <v>5984</v>
      </c>
      <c r="AE78" s="81" t="b">
        <v>0</v>
      </c>
      <c r="AF78" s="81">
        <v>0</v>
      </c>
      <c r="AG78" s="86" t="s">
        <v>6254</v>
      </c>
      <c r="AH78" s="81" t="b">
        <v>0</v>
      </c>
      <c r="AI78" s="81" t="s">
        <v>6478</v>
      </c>
      <c r="AJ78" s="81"/>
      <c r="AK78" s="86" t="s">
        <v>6240</v>
      </c>
      <c r="AL78" s="81" t="b">
        <v>0</v>
      </c>
      <c r="AM78" s="81">
        <v>0</v>
      </c>
      <c r="AN78" s="86" t="s">
        <v>6240</v>
      </c>
      <c r="AO78" s="86" t="s">
        <v>6505</v>
      </c>
      <c r="AP78" s="81" t="b">
        <v>0</v>
      </c>
      <c r="AQ78" s="86" t="s">
        <v>5984</v>
      </c>
      <c r="AR78" s="81" t="s">
        <v>179</v>
      </c>
      <c r="AS78" s="81">
        <v>0</v>
      </c>
      <c r="AT78" s="81">
        <v>0</v>
      </c>
      <c r="AU78" s="81"/>
      <c r="AV78" s="81"/>
      <c r="AW78" s="81"/>
      <c r="AX78" s="81"/>
      <c r="AY78" s="81"/>
      <c r="AZ78" s="81"/>
      <c r="BA78" s="81"/>
      <c r="BB78" s="81"/>
    </row>
    <row r="79" spans="1:54" x14ac:dyDescent="0.35">
      <c r="A79" s="66" t="s">
        <v>276</v>
      </c>
      <c r="B79" s="66" t="s">
        <v>1286</v>
      </c>
      <c r="C79" s="67"/>
      <c r="D79" s="68"/>
      <c r="E79" s="69"/>
      <c r="F79" s="70"/>
      <c r="G79" s="67"/>
      <c r="H79" s="71"/>
      <c r="I79" s="72"/>
      <c r="J79" s="72"/>
      <c r="K79" s="36"/>
      <c r="L79" s="79"/>
      <c r="M79" s="79"/>
      <c r="N79" s="74"/>
      <c r="O79" s="81" t="s">
        <v>1534</v>
      </c>
      <c r="P79" s="83">
        <v>44458.597291666665</v>
      </c>
      <c r="Q79" s="81" t="s">
        <v>1585</v>
      </c>
      <c r="R79" s="81"/>
      <c r="S79" s="81"/>
      <c r="T79" s="81"/>
      <c r="U79" s="81"/>
      <c r="V79" s="84" t="str">
        <f>HYPERLINK("https://pbs.twimg.com/profile_images/1435114742222245891/86GheVE2_normal.jpg")</f>
        <v>https://pbs.twimg.com/profile_images/1435114742222245891/86GheVE2_normal.jpg</v>
      </c>
      <c r="W79" s="83">
        <v>44458.597291666665</v>
      </c>
      <c r="X79" s="89">
        <v>44458</v>
      </c>
      <c r="Y79" s="86" t="s">
        <v>2820</v>
      </c>
      <c r="Z79" s="84" t="str">
        <f>HYPERLINK("https://twitter.com/momogeezz/status/1439595157851033604")</f>
        <v>https://twitter.com/momogeezz/status/1439595157851033604</v>
      </c>
      <c r="AA79" s="81"/>
      <c r="AB79" s="81"/>
      <c r="AC79" s="86" t="s">
        <v>4280</v>
      </c>
      <c r="AD79" s="86" t="s">
        <v>5985</v>
      </c>
      <c r="AE79" s="81" t="b">
        <v>0</v>
      </c>
      <c r="AF79" s="81">
        <v>0</v>
      </c>
      <c r="AG79" s="86" t="s">
        <v>6255</v>
      </c>
      <c r="AH79" s="81" t="b">
        <v>0</v>
      </c>
      <c r="AI79" s="81" t="s">
        <v>6478</v>
      </c>
      <c r="AJ79" s="81"/>
      <c r="AK79" s="86" t="s">
        <v>6240</v>
      </c>
      <c r="AL79" s="81" t="b">
        <v>0</v>
      </c>
      <c r="AM79" s="81">
        <v>0</v>
      </c>
      <c r="AN79" s="86" t="s">
        <v>6240</v>
      </c>
      <c r="AO79" s="86" t="s">
        <v>6503</v>
      </c>
      <c r="AP79" s="81" t="b">
        <v>0</v>
      </c>
      <c r="AQ79" s="86" t="s">
        <v>5985</v>
      </c>
      <c r="AR79" s="81" t="s">
        <v>179</v>
      </c>
      <c r="AS79" s="81">
        <v>0</v>
      </c>
      <c r="AT79" s="81">
        <v>0</v>
      </c>
      <c r="AU79" s="81"/>
      <c r="AV79" s="81"/>
      <c r="AW79" s="81"/>
      <c r="AX79" s="81"/>
      <c r="AY79" s="81"/>
      <c r="AZ79" s="81"/>
      <c r="BA79" s="81"/>
      <c r="BB79" s="81"/>
    </row>
    <row r="80" spans="1:54" x14ac:dyDescent="0.35">
      <c r="A80" s="66" t="s">
        <v>277</v>
      </c>
      <c r="B80" s="66" t="s">
        <v>1283</v>
      </c>
      <c r="C80" s="67"/>
      <c r="D80" s="68"/>
      <c r="E80" s="69"/>
      <c r="F80" s="70"/>
      <c r="G80" s="67"/>
      <c r="H80" s="71"/>
      <c r="I80" s="72"/>
      <c r="J80" s="72"/>
      <c r="K80" s="36"/>
      <c r="L80" s="79"/>
      <c r="M80" s="79"/>
      <c r="N80" s="74"/>
      <c r="O80" s="81" t="s">
        <v>1533</v>
      </c>
      <c r="P80" s="83">
        <v>44458.62290509259</v>
      </c>
      <c r="Q80" s="81" t="s">
        <v>1583</v>
      </c>
      <c r="R80" s="84" t="str">
        <f>HYPERLINK("https://kerjha.com/pos-indonesia-gandeng-nujek-dan-perkenalkan-o-ranger-mawar/")</f>
        <v>https://kerjha.com/pos-indonesia-gandeng-nujek-dan-perkenalkan-o-ranger-mawar/</v>
      </c>
      <c r="S80" s="81" t="s">
        <v>2586</v>
      </c>
      <c r="T80" s="81"/>
      <c r="U80" s="81"/>
      <c r="V80" s="84" t="str">
        <f>HYPERLINK("https://pbs.twimg.com/profile_images/1422066866214690817/mtiMhC6G_normal.jpg")</f>
        <v>https://pbs.twimg.com/profile_images/1422066866214690817/mtiMhC6G_normal.jpg</v>
      </c>
      <c r="W80" s="83">
        <v>44458.62290509259</v>
      </c>
      <c r="X80" s="89">
        <v>44458</v>
      </c>
      <c r="Y80" s="86" t="s">
        <v>2821</v>
      </c>
      <c r="Z80" s="84" t="str">
        <f>HYPERLINK("https://twitter.com/__wantankri/status/1439604439686397953")</f>
        <v>https://twitter.com/__wantankri/status/1439604439686397953</v>
      </c>
      <c r="AA80" s="81"/>
      <c r="AB80" s="81"/>
      <c r="AC80" s="86" t="s">
        <v>4281</v>
      </c>
      <c r="AD80" s="81"/>
      <c r="AE80" s="81" t="b">
        <v>0</v>
      </c>
      <c r="AF80" s="81">
        <v>0</v>
      </c>
      <c r="AG80" s="86" t="s">
        <v>6240</v>
      </c>
      <c r="AH80" s="81" t="b">
        <v>0</v>
      </c>
      <c r="AI80" s="81" t="s">
        <v>6478</v>
      </c>
      <c r="AJ80" s="81"/>
      <c r="AK80" s="86" t="s">
        <v>6240</v>
      </c>
      <c r="AL80" s="81" t="b">
        <v>0</v>
      </c>
      <c r="AM80" s="81">
        <v>10</v>
      </c>
      <c r="AN80" s="86" t="s">
        <v>4365</v>
      </c>
      <c r="AO80" s="86" t="s">
        <v>6503</v>
      </c>
      <c r="AP80" s="81" t="b">
        <v>0</v>
      </c>
      <c r="AQ80" s="86" t="s">
        <v>4365</v>
      </c>
      <c r="AR80" s="81" t="s">
        <v>179</v>
      </c>
      <c r="AS80" s="81">
        <v>0</v>
      </c>
      <c r="AT80" s="81">
        <v>0</v>
      </c>
      <c r="AU80" s="81"/>
      <c r="AV80" s="81"/>
      <c r="AW80" s="81"/>
      <c r="AX80" s="81"/>
      <c r="AY80" s="81"/>
      <c r="AZ80" s="81"/>
      <c r="BA80" s="81"/>
      <c r="BB80" s="81"/>
    </row>
    <row r="81" spans="1:54" x14ac:dyDescent="0.35">
      <c r="A81" s="66" t="s">
        <v>277</v>
      </c>
      <c r="B81" s="66" t="s">
        <v>357</v>
      </c>
      <c r="C81" s="67"/>
      <c r="D81" s="68"/>
      <c r="E81" s="69"/>
      <c r="F81" s="70"/>
      <c r="G81" s="67"/>
      <c r="H81" s="71"/>
      <c r="I81" s="72"/>
      <c r="J81" s="72"/>
      <c r="K81" s="36"/>
      <c r="L81" s="79"/>
      <c r="M81" s="79"/>
      <c r="N81" s="74"/>
      <c r="O81" s="81" t="s">
        <v>1532</v>
      </c>
      <c r="P81" s="83">
        <v>44458.62290509259</v>
      </c>
      <c r="Q81" s="81" t="s">
        <v>1583</v>
      </c>
      <c r="R81" s="84" t="str">
        <f>HYPERLINK("https://kerjha.com/pos-indonesia-gandeng-nujek-dan-perkenalkan-o-ranger-mawar/")</f>
        <v>https://kerjha.com/pos-indonesia-gandeng-nujek-dan-perkenalkan-o-ranger-mawar/</v>
      </c>
      <c r="S81" s="81" t="s">
        <v>2586</v>
      </c>
      <c r="T81" s="81"/>
      <c r="U81" s="81"/>
      <c r="V81" s="84" t="str">
        <f>HYPERLINK("https://pbs.twimg.com/profile_images/1422066866214690817/mtiMhC6G_normal.jpg")</f>
        <v>https://pbs.twimg.com/profile_images/1422066866214690817/mtiMhC6G_normal.jpg</v>
      </c>
      <c r="W81" s="83">
        <v>44458.62290509259</v>
      </c>
      <c r="X81" s="89">
        <v>44458</v>
      </c>
      <c r="Y81" s="86" t="s">
        <v>2821</v>
      </c>
      <c r="Z81" s="84" t="str">
        <f>HYPERLINK("https://twitter.com/__wantankri/status/1439604439686397953")</f>
        <v>https://twitter.com/__wantankri/status/1439604439686397953</v>
      </c>
      <c r="AA81" s="81"/>
      <c r="AB81" s="81"/>
      <c r="AC81" s="86" t="s">
        <v>4281</v>
      </c>
      <c r="AD81" s="81"/>
      <c r="AE81" s="81" t="b">
        <v>0</v>
      </c>
      <c r="AF81" s="81">
        <v>0</v>
      </c>
      <c r="AG81" s="86" t="s">
        <v>6240</v>
      </c>
      <c r="AH81" s="81" t="b">
        <v>0</v>
      </c>
      <c r="AI81" s="81" t="s">
        <v>6478</v>
      </c>
      <c r="AJ81" s="81"/>
      <c r="AK81" s="86" t="s">
        <v>6240</v>
      </c>
      <c r="AL81" s="81" t="b">
        <v>0</v>
      </c>
      <c r="AM81" s="81">
        <v>10</v>
      </c>
      <c r="AN81" s="86" t="s">
        <v>4365</v>
      </c>
      <c r="AO81" s="86" t="s">
        <v>6503</v>
      </c>
      <c r="AP81" s="81" t="b">
        <v>0</v>
      </c>
      <c r="AQ81" s="86" t="s">
        <v>4365</v>
      </c>
      <c r="AR81" s="81" t="s">
        <v>179</v>
      </c>
      <c r="AS81" s="81">
        <v>0</v>
      </c>
      <c r="AT81" s="81">
        <v>0</v>
      </c>
      <c r="AU81" s="81"/>
      <c r="AV81" s="81"/>
      <c r="AW81" s="81"/>
      <c r="AX81" s="81"/>
      <c r="AY81" s="81"/>
      <c r="AZ81" s="81"/>
      <c r="BA81" s="81"/>
      <c r="BB81" s="81"/>
    </row>
    <row r="82" spans="1:54" x14ac:dyDescent="0.35">
      <c r="A82" s="66" t="s">
        <v>278</v>
      </c>
      <c r="B82" s="66" t="s">
        <v>335</v>
      </c>
      <c r="C82" s="67"/>
      <c r="D82" s="68"/>
      <c r="E82" s="69"/>
      <c r="F82" s="70"/>
      <c r="G82" s="67"/>
      <c r="H82" s="71"/>
      <c r="I82" s="72"/>
      <c r="J82" s="72"/>
      <c r="K82" s="36"/>
      <c r="L82" s="79"/>
      <c r="M82" s="79"/>
      <c r="N82" s="74"/>
      <c r="O82" s="81" t="s">
        <v>1532</v>
      </c>
      <c r="P82" s="83">
        <v>44458.629652777781</v>
      </c>
      <c r="Q82" s="81" t="s">
        <v>1586</v>
      </c>
      <c r="R82" s="81"/>
      <c r="S82" s="81"/>
      <c r="T82" s="81"/>
      <c r="U82" s="84" t="str">
        <f>HYPERLINK("https://pbs.twimg.com/ext_tw_video_thumb/1439603623520993285/pu/img/4NCBVhjvbYSKxAvX.jpg")</f>
        <v>https://pbs.twimg.com/ext_tw_video_thumb/1439603623520993285/pu/img/4NCBVhjvbYSKxAvX.jpg</v>
      </c>
      <c r="V82" s="84" t="str">
        <f>HYPERLINK("https://pbs.twimg.com/ext_tw_video_thumb/1439603623520993285/pu/img/4NCBVhjvbYSKxAvX.jpg")</f>
        <v>https://pbs.twimg.com/ext_tw_video_thumb/1439603623520993285/pu/img/4NCBVhjvbYSKxAvX.jpg</v>
      </c>
      <c r="W82" s="83">
        <v>44458.629652777781</v>
      </c>
      <c r="X82" s="89">
        <v>44458</v>
      </c>
      <c r="Y82" s="86" t="s">
        <v>2822</v>
      </c>
      <c r="Z82" s="84" t="str">
        <f>HYPERLINK("https://twitter.com/jalalmisai_2/status/1439606885368299521")</f>
        <v>https://twitter.com/jalalmisai_2/status/1439606885368299521</v>
      </c>
      <c r="AA82" s="81"/>
      <c r="AB82" s="81"/>
      <c r="AC82" s="86" t="s">
        <v>4282</v>
      </c>
      <c r="AD82" s="81"/>
      <c r="AE82" s="81" t="b">
        <v>0</v>
      </c>
      <c r="AF82" s="81">
        <v>0</v>
      </c>
      <c r="AG82" s="86" t="s">
        <v>6240</v>
      </c>
      <c r="AH82" s="81" t="b">
        <v>0</v>
      </c>
      <c r="AI82" s="81" t="s">
        <v>6478</v>
      </c>
      <c r="AJ82" s="81"/>
      <c r="AK82" s="86" t="s">
        <v>6240</v>
      </c>
      <c r="AL82" s="81" t="b">
        <v>0</v>
      </c>
      <c r="AM82" s="81">
        <v>102</v>
      </c>
      <c r="AN82" s="86" t="s">
        <v>4519</v>
      </c>
      <c r="AO82" s="86" t="s">
        <v>6503</v>
      </c>
      <c r="AP82" s="81" t="b">
        <v>0</v>
      </c>
      <c r="AQ82" s="86" t="s">
        <v>4519</v>
      </c>
      <c r="AR82" s="81" t="s">
        <v>179</v>
      </c>
      <c r="AS82" s="81">
        <v>0</v>
      </c>
      <c r="AT82" s="81">
        <v>0</v>
      </c>
      <c r="AU82" s="81"/>
      <c r="AV82" s="81"/>
      <c r="AW82" s="81"/>
      <c r="AX82" s="81"/>
      <c r="AY82" s="81"/>
      <c r="AZ82" s="81"/>
      <c r="BA82" s="81"/>
      <c r="BB82" s="81"/>
    </row>
    <row r="83" spans="1:54" x14ac:dyDescent="0.35">
      <c r="A83" s="66" t="s">
        <v>279</v>
      </c>
      <c r="B83" s="66" t="s">
        <v>335</v>
      </c>
      <c r="C83" s="67"/>
      <c r="D83" s="68"/>
      <c r="E83" s="69"/>
      <c r="F83" s="70"/>
      <c r="G83" s="67"/>
      <c r="H83" s="71"/>
      <c r="I83" s="72"/>
      <c r="J83" s="72"/>
      <c r="K83" s="36"/>
      <c r="L83" s="79"/>
      <c r="M83" s="79"/>
      <c r="N83" s="74"/>
      <c r="O83" s="81" t="s">
        <v>1532</v>
      </c>
      <c r="P83" s="83">
        <v>44458.631724537037</v>
      </c>
      <c r="Q83" s="81" t="s">
        <v>1586</v>
      </c>
      <c r="R83" s="81"/>
      <c r="S83" s="81"/>
      <c r="T83" s="81"/>
      <c r="U83" s="84" t="str">
        <f>HYPERLINK("https://pbs.twimg.com/ext_tw_video_thumb/1439603623520993285/pu/img/4NCBVhjvbYSKxAvX.jpg")</f>
        <v>https://pbs.twimg.com/ext_tw_video_thumb/1439603623520993285/pu/img/4NCBVhjvbYSKxAvX.jpg</v>
      </c>
      <c r="V83" s="84" t="str">
        <f>HYPERLINK("https://pbs.twimg.com/ext_tw_video_thumb/1439603623520993285/pu/img/4NCBVhjvbYSKxAvX.jpg")</f>
        <v>https://pbs.twimg.com/ext_tw_video_thumb/1439603623520993285/pu/img/4NCBVhjvbYSKxAvX.jpg</v>
      </c>
      <c r="W83" s="83">
        <v>44458.631724537037</v>
      </c>
      <c r="X83" s="89">
        <v>44458</v>
      </c>
      <c r="Y83" s="86" t="s">
        <v>2823</v>
      </c>
      <c r="Z83" s="84" t="str">
        <f>HYPERLINK("https://twitter.com/zidanzainudin_/status/1439607634923905033")</f>
        <v>https://twitter.com/zidanzainudin_/status/1439607634923905033</v>
      </c>
      <c r="AA83" s="81"/>
      <c r="AB83" s="81"/>
      <c r="AC83" s="86" t="s">
        <v>4283</v>
      </c>
      <c r="AD83" s="81"/>
      <c r="AE83" s="81" t="b">
        <v>0</v>
      </c>
      <c r="AF83" s="81">
        <v>0</v>
      </c>
      <c r="AG83" s="86" t="s">
        <v>6240</v>
      </c>
      <c r="AH83" s="81" t="b">
        <v>0</v>
      </c>
      <c r="AI83" s="81" t="s">
        <v>6478</v>
      </c>
      <c r="AJ83" s="81"/>
      <c r="AK83" s="86" t="s">
        <v>6240</v>
      </c>
      <c r="AL83" s="81" t="b">
        <v>0</v>
      </c>
      <c r="AM83" s="81">
        <v>102</v>
      </c>
      <c r="AN83" s="86" t="s">
        <v>4519</v>
      </c>
      <c r="AO83" s="86" t="s">
        <v>6507</v>
      </c>
      <c r="AP83" s="81" t="b">
        <v>0</v>
      </c>
      <c r="AQ83" s="86" t="s">
        <v>4519</v>
      </c>
      <c r="AR83" s="81" t="s">
        <v>179</v>
      </c>
      <c r="AS83" s="81">
        <v>0</v>
      </c>
      <c r="AT83" s="81">
        <v>0</v>
      </c>
      <c r="AU83" s="81"/>
      <c r="AV83" s="81"/>
      <c r="AW83" s="81"/>
      <c r="AX83" s="81"/>
      <c r="AY83" s="81"/>
      <c r="AZ83" s="81"/>
      <c r="BA83" s="81"/>
      <c r="BB83" s="81"/>
    </row>
    <row r="84" spans="1:54" x14ac:dyDescent="0.35">
      <c r="A84" s="66" t="s">
        <v>280</v>
      </c>
      <c r="B84" s="66" t="s">
        <v>1283</v>
      </c>
      <c r="C84" s="67"/>
      <c r="D84" s="68"/>
      <c r="E84" s="69"/>
      <c r="F84" s="70"/>
      <c r="G84" s="67"/>
      <c r="H84" s="71"/>
      <c r="I84" s="72"/>
      <c r="J84" s="72"/>
      <c r="K84" s="36"/>
      <c r="L84" s="79"/>
      <c r="M84" s="79"/>
      <c r="N84" s="74"/>
      <c r="O84" s="81" t="s">
        <v>1533</v>
      </c>
      <c r="P84" s="83">
        <v>44458.632731481484</v>
      </c>
      <c r="Q84" s="81" t="s">
        <v>1583</v>
      </c>
      <c r="R84" s="84" t="str">
        <f>HYPERLINK("https://kerjha.com/pos-indonesia-gandeng-nujek-dan-perkenalkan-o-ranger-mawar/")</f>
        <v>https://kerjha.com/pos-indonesia-gandeng-nujek-dan-perkenalkan-o-ranger-mawar/</v>
      </c>
      <c r="S84" s="81" t="s">
        <v>2586</v>
      </c>
      <c r="T84" s="81"/>
      <c r="U84" s="81"/>
      <c r="V84" s="84" t="str">
        <f>HYPERLINK("https://pbs.twimg.com/profile_images/1393511664851439619/8-0jz544_normal.jpg")</f>
        <v>https://pbs.twimg.com/profile_images/1393511664851439619/8-0jz544_normal.jpg</v>
      </c>
      <c r="W84" s="83">
        <v>44458.632731481484</v>
      </c>
      <c r="X84" s="89">
        <v>44458</v>
      </c>
      <c r="Y84" s="86" t="s">
        <v>2824</v>
      </c>
      <c r="Z84" s="84" t="str">
        <f>HYPERLINK("https://twitter.com/moekartho/status/1439608001850068995")</f>
        <v>https://twitter.com/moekartho/status/1439608001850068995</v>
      </c>
      <c r="AA84" s="81"/>
      <c r="AB84" s="81"/>
      <c r="AC84" s="86" t="s">
        <v>4284</v>
      </c>
      <c r="AD84" s="81"/>
      <c r="AE84" s="81" t="b">
        <v>0</v>
      </c>
      <c r="AF84" s="81">
        <v>0</v>
      </c>
      <c r="AG84" s="86" t="s">
        <v>6240</v>
      </c>
      <c r="AH84" s="81" t="b">
        <v>0</v>
      </c>
      <c r="AI84" s="81" t="s">
        <v>6478</v>
      </c>
      <c r="AJ84" s="81"/>
      <c r="AK84" s="86" t="s">
        <v>6240</v>
      </c>
      <c r="AL84" s="81" t="b">
        <v>0</v>
      </c>
      <c r="AM84" s="81">
        <v>10</v>
      </c>
      <c r="AN84" s="86" t="s">
        <v>4365</v>
      </c>
      <c r="AO84" s="86" t="s">
        <v>6507</v>
      </c>
      <c r="AP84" s="81" t="b">
        <v>0</v>
      </c>
      <c r="AQ84" s="86" t="s">
        <v>4365</v>
      </c>
      <c r="AR84" s="81" t="s">
        <v>179</v>
      </c>
      <c r="AS84" s="81">
        <v>0</v>
      </c>
      <c r="AT84" s="81">
        <v>0</v>
      </c>
      <c r="AU84" s="81"/>
      <c r="AV84" s="81"/>
      <c r="AW84" s="81"/>
      <c r="AX84" s="81"/>
      <c r="AY84" s="81"/>
      <c r="AZ84" s="81"/>
      <c r="BA84" s="81"/>
      <c r="BB84" s="81"/>
    </row>
    <row r="85" spans="1:54" x14ac:dyDescent="0.35">
      <c r="A85" s="66" t="s">
        <v>280</v>
      </c>
      <c r="B85" s="66" t="s">
        <v>357</v>
      </c>
      <c r="C85" s="67"/>
      <c r="D85" s="68"/>
      <c r="E85" s="69"/>
      <c r="F85" s="70"/>
      <c r="G85" s="67"/>
      <c r="H85" s="71"/>
      <c r="I85" s="72"/>
      <c r="J85" s="72"/>
      <c r="K85" s="36"/>
      <c r="L85" s="79"/>
      <c r="M85" s="79"/>
      <c r="N85" s="74"/>
      <c r="O85" s="81" t="s">
        <v>1532</v>
      </c>
      <c r="P85" s="83">
        <v>44458.632731481484</v>
      </c>
      <c r="Q85" s="81" t="s">
        <v>1583</v>
      </c>
      <c r="R85" s="84" t="str">
        <f>HYPERLINK("https://kerjha.com/pos-indonesia-gandeng-nujek-dan-perkenalkan-o-ranger-mawar/")</f>
        <v>https://kerjha.com/pos-indonesia-gandeng-nujek-dan-perkenalkan-o-ranger-mawar/</v>
      </c>
      <c r="S85" s="81" t="s">
        <v>2586</v>
      </c>
      <c r="T85" s="81"/>
      <c r="U85" s="81"/>
      <c r="V85" s="84" t="str">
        <f>HYPERLINK("https://pbs.twimg.com/profile_images/1393511664851439619/8-0jz544_normal.jpg")</f>
        <v>https://pbs.twimg.com/profile_images/1393511664851439619/8-0jz544_normal.jpg</v>
      </c>
      <c r="W85" s="83">
        <v>44458.632731481484</v>
      </c>
      <c r="X85" s="89">
        <v>44458</v>
      </c>
      <c r="Y85" s="86" t="s">
        <v>2824</v>
      </c>
      <c r="Z85" s="84" t="str">
        <f>HYPERLINK("https://twitter.com/moekartho/status/1439608001850068995")</f>
        <v>https://twitter.com/moekartho/status/1439608001850068995</v>
      </c>
      <c r="AA85" s="81"/>
      <c r="AB85" s="81"/>
      <c r="AC85" s="86" t="s">
        <v>4284</v>
      </c>
      <c r="AD85" s="81"/>
      <c r="AE85" s="81" t="b">
        <v>0</v>
      </c>
      <c r="AF85" s="81">
        <v>0</v>
      </c>
      <c r="AG85" s="86" t="s">
        <v>6240</v>
      </c>
      <c r="AH85" s="81" t="b">
        <v>0</v>
      </c>
      <c r="AI85" s="81" t="s">
        <v>6478</v>
      </c>
      <c r="AJ85" s="81"/>
      <c r="AK85" s="86" t="s">
        <v>6240</v>
      </c>
      <c r="AL85" s="81" t="b">
        <v>0</v>
      </c>
      <c r="AM85" s="81">
        <v>10</v>
      </c>
      <c r="AN85" s="86" t="s">
        <v>4365</v>
      </c>
      <c r="AO85" s="86" t="s">
        <v>6507</v>
      </c>
      <c r="AP85" s="81" t="b">
        <v>0</v>
      </c>
      <c r="AQ85" s="86" t="s">
        <v>4365</v>
      </c>
      <c r="AR85" s="81" t="s">
        <v>179</v>
      </c>
      <c r="AS85" s="81">
        <v>0</v>
      </c>
      <c r="AT85" s="81">
        <v>0</v>
      </c>
      <c r="AU85" s="81"/>
      <c r="AV85" s="81"/>
      <c r="AW85" s="81"/>
      <c r="AX85" s="81"/>
      <c r="AY85" s="81"/>
      <c r="AZ85" s="81"/>
      <c r="BA85" s="81"/>
      <c r="BB85" s="81"/>
    </row>
    <row r="86" spans="1:54" x14ac:dyDescent="0.35">
      <c r="A86" s="66" t="s">
        <v>281</v>
      </c>
      <c r="B86" s="66" t="s">
        <v>1283</v>
      </c>
      <c r="C86" s="67"/>
      <c r="D86" s="68"/>
      <c r="E86" s="69"/>
      <c r="F86" s="70"/>
      <c r="G86" s="67"/>
      <c r="H86" s="71"/>
      <c r="I86" s="72"/>
      <c r="J86" s="72"/>
      <c r="K86" s="36"/>
      <c r="L86" s="79"/>
      <c r="M86" s="79"/>
      <c r="N86" s="74"/>
      <c r="O86" s="81" t="s">
        <v>1533</v>
      </c>
      <c r="P86" s="83">
        <v>44458.635891203703</v>
      </c>
      <c r="Q86" s="81" t="s">
        <v>1583</v>
      </c>
      <c r="R86" s="84" t="str">
        <f>HYPERLINK("https://kerjha.com/pos-indonesia-gandeng-nujek-dan-perkenalkan-o-ranger-mawar/")</f>
        <v>https://kerjha.com/pos-indonesia-gandeng-nujek-dan-perkenalkan-o-ranger-mawar/</v>
      </c>
      <c r="S86" s="81" t="s">
        <v>2586</v>
      </c>
      <c r="T86" s="81"/>
      <c r="U86" s="81"/>
      <c r="V86" s="84" t="str">
        <f>HYPERLINK("https://pbs.twimg.com/profile_images/1406601824816099329/U883rcvo_normal.jpg")</f>
        <v>https://pbs.twimg.com/profile_images/1406601824816099329/U883rcvo_normal.jpg</v>
      </c>
      <c r="W86" s="83">
        <v>44458.635891203703</v>
      </c>
      <c r="X86" s="89">
        <v>44458</v>
      </c>
      <c r="Y86" s="86" t="s">
        <v>2825</v>
      </c>
      <c r="Z86" s="84" t="str">
        <f>HYPERLINK("https://twitter.com/paulus_willy/status/1439609143371784197")</f>
        <v>https://twitter.com/paulus_willy/status/1439609143371784197</v>
      </c>
      <c r="AA86" s="81"/>
      <c r="AB86" s="81"/>
      <c r="AC86" s="86" t="s">
        <v>4285</v>
      </c>
      <c r="AD86" s="81"/>
      <c r="AE86" s="81" t="b">
        <v>0</v>
      </c>
      <c r="AF86" s="81">
        <v>0</v>
      </c>
      <c r="AG86" s="86" t="s">
        <v>6240</v>
      </c>
      <c r="AH86" s="81" t="b">
        <v>0</v>
      </c>
      <c r="AI86" s="81" t="s">
        <v>6478</v>
      </c>
      <c r="AJ86" s="81"/>
      <c r="AK86" s="86" t="s">
        <v>6240</v>
      </c>
      <c r="AL86" s="81" t="b">
        <v>0</v>
      </c>
      <c r="AM86" s="81">
        <v>10</v>
      </c>
      <c r="AN86" s="86" t="s">
        <v>4365</v>
      </c>
      <c r="AO86" s="86" t="s">
        <v>6505</v>
      </c>
      <c r="AP86" s="81" t="b">
        <v>0</v>
      </c>
      <c r="AQ86" s="86" t="s">
        <v>4365</v>
      </c>
      <c r="AR86" s="81" t="s">
        <v>179</v>
      </c>
      <c r="AS86" s="81">
        <v>0</v>
      </c>
      <c r="AT86" s="81">
        <v>0</v>
      </c>
      <c r="AU86" s="81"/>
      <c r="AV86" s="81"/>
      <c r="AW86" s="81"/>
      <c r="AX86" s="81"/>
      <c r="AY86" s="81"/>
      <c r="AZ86" s="81"/>
      <c r="BA86" s="81"/>
      <c r="BB86" s="81"/>
    </row>
    <row r="87" spans="1:54" x14ac:dyDescent="0.35">
      <c r="A87" s="66" t="s">
        <v>281</v>
      </c>
      <c r="B87" s="66" t="s">
        <v>357</v>
      </c>
      <c r="C87" s="67"/>
      <c r="D87" s="68"/>
      <c r="E87" s="69"/>
      <c r="F87" s="70"/>
      <c r="G87" s="67"/>
      <c r="H87" s="71"/>
      <c r="I87" s="72"/>
      <c r="J87" s="72"/>
      <c r="K87" s="36"/>
      <c r="L87" s="79"/>
      <c r="M87" s="79"/>
      <c r="N87" s="74"/>
      <c r="O87" s="81" t="s">
        <v>1532</v>
      </c>
      <c r="P87" s="83">
        <v>44458.635891203703</v>
      </c>
      <c r="Q87" s="81" t="s">
        <v>1583</v>
      </c>
      <c r="R87" s="84" t="str">
        <f>HYPERLINK("https://kerjha.com/pos-indonesia-gandeng-nujek-dan-perkenalkan-o-ranger-mawar/")</f>
        <v>https://kerjha.com/pos-indonesia-gandeng-nujek-dan-perkenalkan-o-ranger-mawar/</v>
      </c>
      <c r="S87" s="81" t="s">
        <v>2586</v>
      </c>
      <c r="T87" s="81"/>
      <c r="U87" s="81"/>
      <c r="V87" s="84" t="str">
        <f>HYPERLINK("https://pbs.twimg.com/profile_images/1406601824816099329/U883rcvo_normal.jpg")</f>
        <v>https://pbs.twimg.com/profile_images/1406601824816099329/U883rcvo_normal.jpg</v>
      </c>
      <c r="W87" s="83">
        <v>44458.635891203703</v>
      </c>
      <c r="X87" s="89">
        <v>44458</v>
      </c>
      <c r="Y87" s="86" t="s">
        <v>2825</v>
      </c>
      <c r="Z87" s="84" t="str">
        <f>HYPERLINK("https://twitter.com/paulus_willy/status/1439609143371784197")</f>
        <v>https://twitter.com/paulus_willy/status/1439609143371784197</v>
      </c>
      <c r="AA87" s="81"/>
      <c r="AB87" s="81"/>
      <c r="AC87" s="86" t="s">
        <v>4285</v>
      </c>
      <c r="AD87" s="81"/>
      <c r="AE87" s="81" t="b">
        <v>0</v>
      </c>
      <c r="AF87" s="81">
        <v>0</v>
      </c>
      <c r="AG87" s="86" t="s">
        <v>6240</v>
      </c>
      <c r="AH87" s="81" t="b">
        <v>0</v>
      </c>
      <c r="AI87" s="81" t="s">
        <v>6478</v>
      </c>
      <c r="AJ87" s="81"/>
      <c r="AK87" s="86" t="s">
        <v>6240</v>
      </c>
      <c r="AL87" s="81" t="b">
        <v>0</v>
      </c>
      <c r="AM87" s="81">
        <v>10</v>
      </c>
      <c r="AN87" s="86" t="s">
        <v>4365</v>
      </c>
      <c r="AO87" s="86" t="s">
        <v>6505</v>
      </c>
      <c r="AP87" s="81" t="b">
        <v>0</v>
      </c>
      <c r="AQ87" s="86" t="s">
        <v>4365</v>
      </c>
      <c r="AR87" s="81" t="s">
        <v>179</v>
      </c>
      <c r="AS87" s="81">
        <v>0</v>
      </c>
      <c r="AT87" s="81">
        <v>0</v>
      </c>
      <c r="AU87" s="81"/>
      <c r="AV87" s="81"/>
      <c r="AW87" s="81"/>
      <c r="AX87" s="81"/>
      <c r="AY87" s="81"/>
      <c r="AZ87" s="81"/>
      <c r="BA87" s="81"/>
      <c r="BB87" s="81"/>
    </row>
    <row r="88" spans="1:54" x14ac:dyDescent="0.35">
      <c r="A88" s="66" t="s">
        <v>282</v>
      </c>
      <c r="B88" s="66" t="s">
        <v>335</v>
      </c>
      <c r="C88" s="67"/>
      <c r="D88" s="68"/>
      <c r="E88" s="69"/>
      <c r="F88" s="70"/>
      <c r="G88" s="67"/>
      <c r="H88" s="71"/>
      <c r="I88" s="72"/>
      <c r="J88" s="72"/>
      <c r="K88" s="36"/>
      <c r="L88" s="79"/>
      <c r="M88" s="79"/>
      <c r="N88" s="74"/>
      <c r="O88" s="81" t="s">
        <v>1532</v>
      </c>
      <c r="P88" s="83">
        <v>44458.638009259259</v>
      </c>
      <c r="Q88" s="81" t="s">
        <v>1586</v>
      </c>
      <c r="R88" s="81"/>
      <c r="S88" s="81"/>
      <c r="T88" s="81"/>
      <c r="U88" s="84" t="str">
        <f>HYPERLINK("https://pbs.twimg.com/ext_tw_video_thumb/1439603623520993285/pu/img/4NCBVhjvbYSKxAvX.jpg")</f>
        <v>https://pbs.twimg.com/ext_tw_video_thumb/1439603623520993285/pu/img/4NCBVhjvbYSKxAvX.jpg</v>
      </c>
      <c r="V88" s="84" t="str">
        <f>HYPERLINK("https://pbs.twimg.com/ext_tw_video_thumb/1439603623520993285/pu/img/4NCBVhjvbYSKxAvX.jpg")</f>
        <v>https://pbs.twimg.com/ext_tw_video_thumb/1439603623520993285/pu/img/4NCBVhjvbYSKxAvX.jpg</v>
      </c>
      <c r="W88" s="83">
        <v>44458.638009259259</v>
      </c>
      <c r="X88" s="89">
        <v>44458</v>
      </c>
      <c r="Y88" s="86" t="s">
        <v>2826</v>
      </c>
      <c r="Z88" s="84" t="str">
        <f>HYPERLINK("https://twitter.com/beastieu/status/1439609914322604035")</f>
        <v>https://twitter.com/beastieu/status/1439609914322604035</v>
      </c>
      <c r="AA88" s="81"/>
      <c r="AB88" s="81"/>
      <c r="AC88" s="86" t="s">
        <v>4286</v>
      </c>
      <c r="AD88" s="81"/>
      <c r="AE88" s="81" t="b">
        <v>0</v>
      </c>
      <c r="AF88" s="81">
        <v>0</v>
      </c>
      <c r="AG88" s="86" t="s">
        <v>6240</v>
      </c>
      <c r="AH88" s="81" t="b">
        <v>0</v>
      </c>
      <c r="AI88" s="81" t="s">
        <v>6478</v>
      </c>
      <c r="AJ88" s="81"/>
      <c r="AK88" s="86" t="s">
        <v>6240</v>
      </c>
      <c r="AL88" s="81" t="b">
        <v>0</v>
      </c>
      <c r="AM88" s="81">
        <v>102</v>
      </c>
      <c r="AN88" s="86" t="s">
        <v>4519</v>
      </c>
      <c r="AO88" s="86" t="s">
        <v>6505</v>
      </c>
      <c r="AP88" s="81" t="b">
        <v>0</v>
      </c>
      <c r="AQ88" s="86" t="s">
        <v>4519</v>
      </c>
      <c r="AR88" s="81" t="s">
        <v>179</v>
      </c>
      <c r="AS88" s="81">
        <v>0</v>
      </c>
      <c r="AT88" s="81">
        <v>0</v>
      </c>
      <c r="AU88" s="81"/>
      <c r="AV88" s="81"/>
      <c r="AW88" s="81"/>
      <c r="AX88" s="81"/>
      <c r="AY88" s="81"/>
      <c r="AZ88" s="81"/>
      <c r="BA88" s="81"/>
      <c r="BB88" s="81"/>
    </row>
    <row r="89" spans="1:54" x14ac:dyDescent="0.35">
      <c r="A89" s="66" t="s">
        <v>283</v>
      </c>
      <c r="B89" s="66" t="s">
        <v>335</v>
      </c>
      <c r="C89" s="67"/>
      <c r="D89" s="68"/>
      <c r="E89" s="69"/>
      <c r="F89" s="70"/>
      <c r="G89" s="67"/>
      <c r="H89" s="71"/>
      <c r="I89" s="72"/>
      <c r="J89" s="72"/>
      <c r="K89" s="36"/>
      <c r="L89" s="79"/>
      <c r="M89" s="79"/>
      <c r="N89" s="74"/>
      <c r="O89" s="81" t="s">
        <v>1532</v>
      </c>
      <c r="P89" s="83">
        <v>44458.637499999997</v>
      </c>
      <c r="Q89" s="81" t="s">
        <v>1586</v>
      </c>
      <c r="R89" s="81"/>
      <c r="S89" s="81"/>
      <c r="T89" s="81"/>
      <c r="U89" s="84" t="str">
        <f>HYPERLINK("https://pbs.twimg.com/ext_tw_video_thumb/1439603623520993285/pu/img/4NCBVhjvbYSKxAvX.jpg")</f>
        <v>https://pbs.twimg.com/ext_tw_video_thumb/1439603623520993285/pu/img/4NCBVhjvbYSKxAvX.jpg</v>
      </c>
      <c r="V89" s="84" t="str">
        <f>HYPERLINK("https://pbs.twimg.com/ext_tw_video_thumb/1439603623520993285/pu/img/4NCBVhjvbYSKxAvX.jpg")</f>
        <v>https://pbs.twimg.com/ext_tw_video_thumb/1439603623520993285/pu/img/4NCBVhjvbYSKxAvX.jpg</v>
      </c>
      <c r="W89" s="83">
        <v>44458.637499999997</v>
      </c>
      <c r="X89" s="89">
        <v>44458</v>
      </c>
      <c r="Y89" s="86" t="s">
        <v>2827</v>
      </c>
      <c r="Z89" s="84" t="str">
        <f>HYPERLINK("https://twitter.com/fassyaplease/status/1439609727206318084")</f>
        <v>https://twitter.com/fassyaplease/status/1439609727206318084</v>
      </c>
      <c r="AA89" s="81"/>
      <c r="AB89" s="81"/>
      <c r="AC89" s="86" t="s">
        <v>4287</v>
      </c>
      <c r="AD89" s="81"/>
      <c r="AE89" s="81" t="b">
        <v>0</v>
      </c>
      <c r="AF89" s="81">
        <v>0</v>
      </c>
      <c r="AG89" s="86" t="s">
        <v>6240</v>
      </c>
      <c r="AH89" s="81" t="b">
        <v>0</v>
      </c>
      <c r="AI89" s="81" t="s">
        <v>6478</v>
      </c>
      <c r="AJ89" s="81"/>
      <c r="AK89" s="86" t="s">
        <v>6240</v>
      </c>
      <c r="AL89" s="81" t="b">
        <v>0</v>
      </c>
      <c r="AM89" s="81">
        <v>102</v>
      </c>
      <c r="AN89" s="86" t="s">
        <v>4519</v>
      </c>
      <c r="AO89" s="86" t="s">
        <v>6503</v>
      </c>
      <c r="AP89" s="81" t="b">
        <v>0</v>
      </c>
      <c r="AQ89" s="86" t="s">
        <v>4519</v>
      </c>
      <c r="AR89" s="81" t="s">
        <v>179</v>
      </c>
      <c r="AS89" s="81">
        <v>0</v>
      </c>
      <c r="AT89" s="81">
        <v>0</v>
      </c>
      <c r="AU89" s="81"/>
      <c r="AV89" s="81"/>
      <c r="AW89" s="81"/>
      <c r="AX89" s="81"/>
      <c r="AY89" s="81"/>
      <c r="AZ89" s="81"/>
      <c r="BA89" s="81"/>
      <c r="BB89" s="81"/>
    </row>
    <row r="90" spans="1:54" x14ac:dyDescent="0.35">
      <c r="A90" s="66" t="s">
        <v>283</v>
      </c>
      <c r="B90" s="66" t="s">
        <v>335</v>
      </c>
      <c r="C90" s="67"/>
      <c r="D90" s="68"/>
      <c r="E90" s="69"/>
      <c r="F90" s="70"/>
      <c r="G90" s="67"/>
      <c r="H90" s="71"/>
      <c r="I90" s="72"/>
      <c r="J90" s="72"/>
      <c r="K90" s="36"/>
      <c r="L90" s="79"/>
      <c r="M90" s="79"/>
      <c r="N90" s="74"/>
      <c r="O90" s="81" t="s">
        <v>1532</v>
      </c>
      <c r="P90" s="83">
        <v>44458.637962962966</v>
      </c>
      <c r="Q90" s="81" t="s">
        <v>1587</v>
      </c>
      <c r="R90" s="81"/>
      <c r="S90" s="81"/>
      <c r="T90" s="81"/>
      <c r="U90" s="84" t="str">
        <f>HYPERLINK("https://pbs.twimg.com/media/E_qB_giUYAEglct.jpg")</f>
        <v>https://pbs.twimg.com/media/E_qB_giUYAEglct.jpg</v>
      </c>
      <c r="V90" s="84" t="str">
        <f>HYPERLINK("https://pbs.twimg.com/media/E_qB_giUYAEglct.jpg")</f>
        <v>https://pbs.twimg.com/media/E_qB_giUYAEglct.jpg</v>
      </c>
      <c r="W90" s="83">
        <v>44458.637962962966</v>
      </c>
      <c r="X90" s="89">
        <v>44458</v>
      </c>
      <c r="Y90" s="86" t="s">
        <v>2828</v>
      </c>
      <c r="Z90" s="84" t="str">
        <f>HYPERLINK("https://twitter.com/fassyaplease/status/1439609896123580424")</f>
        <v>https://twitter.com/fassyaplease/status/1439609896123580424</v>
      </c>
      <c r="AA90" s="81"/>
      <c r="AB90" s="81"/>
      <c r="AC90" s="86" t="s">
        <v>4288</v>
      </c>
      <c r="AD90" s="81"/>
      <c r="AE90" s="81" t="b">
        <v>0</v>
      </c>
      <c r="AF90" s="81">
        <v>0</v>
      </c>
      <c r="AG90" s="86" t="s">
        <v>6240</v>
      </c>
      <c r="AH90" s="81" t="b">
        <v>0</v>
      </c>
      <c r="AI90" s="81" t="s">
        <v>6478</v>
      </c>
      <c r="AJ90" s="81"/>
      <c r="AK90" s="86" t="s">
        <v>6240</v>
      </c>
      <c r="AL90" s="81" t="b">
        <v>0</v>
      </c>
      <c r="AM90" s="81">
        <v>2</v>
      </c>
      <c r="AN90" s="86" t="s">
        <v>4521</v>
      </c>
      <c r="AO90" s="86" t="s">
        <v>6503</v>
      </c>
      <c r="AP90" s="81" t="b">
        <v>0</v>
      </c>
      <c r="AQ90" s="86" t="s">
        <v>4521</v>
      </c>
      <c r="AR90" s="81" t="s">
        <v>179</v>
      </c>
      <c r="AS90" s="81">
        <v>0</v>
      </c>
      <c r="AT90" s="81">
        <v>0</v>
      </c>
      <c r="AU90" s="81"/>
      <c r="AV90" s="81"/>
      <c r="AW90" s="81"/>
      <c r="AX90" s="81"/>
      <c r="AY90" s="81"/>
      <c r="AZ90" s="81"/>
      <c r="BA90" s="81"/>
      <c r="BB90" s="81"/>
    </row>
    <row r="91" spans="1:54" x14ac:dyDescent="0.35">
      <c r="A91" s="66" t="s">
        <v>283</v>
      </c>
      <c r="B91" s="66" t="s">
        <v>335</v>
      </c>
      <c r="C91" s="67"/>
      <c r="D91" s="68"/>
      <c r="E91" s="69"/>
      <c r="F91" s="70"/>
      <c r="G91" s="67"/>
      <c r="H91" s="71"/>
      <c r="I91" s="72"/>
      <c r="J91" s="72"/>
      <c r="K91" s="36"/>
      <c r="L91" s="79"/>
      <c r="M91" s="79"/>
      <c r="N91" s="74"/>
      <c r="O91" s="81" t="s">
        <v>1532</v>
      </c>
      <c r="P91" s="83">
        <v>44458.638240740744</v>
      </c>
      <c r="Q91" s="81" t="s">
        <v>1588</v>
      </c>
      <c r="R91" s="81"/>
      <c r="S91" s="81"/>
      <c r="T91" s="81"/>
      <c r="U91" s="84" t="str">
        <f>HYPERLINK("https://pbs.twimg.com/media/E_qDTScVQAAIhYC.jpg")</f>
        <v>https://pbs.twimg.com/media/E_qDTScVQAAIhYC.jpg</v>
      </c>
      <c r="V91" s="84" t="str">
        <f>HYPERLINK("https://pbs.twimg.com/media/E_qDTScVQAAIhYC.jpg")</f>
        <v>https://pbs.twimg.com/media/E_qDTScVQAAIhYC.jpg</v>
      </c>
      <c r="W91" s="83">
        <v>44458.638240740744</v>
      </c>
      <c r="X91" s="89">
        <v>44458</v>
      </c>
      <c r="Y91" s="86" t="s">
        <v>2829</v>
      </c>
      <c r="Z91" s="84" t="str">
        <f>HYPERLINK("https://twitter.com/fassyaplease/status/1439609996472320000")</f>
        <v>https://twitter.com/fassyaplease/status/1439609996472320000</v>
      </c>
      <c r="AA91" s="81"/>
      <c r="AB91" s="81"/>
      <c r="AC91" s="86" t="s">
        <v>4289</v>
      </c>
      <c r="AD91" s="81"/>
      <c r="AE91" s="81" t="b">
        <v>0</v>
      </c>
      <c r="AF91" s="81">
        <v>0</v>
      </c>
      <c r="AG91" s="86" t="s">
        <v>6240</v>
      </c>
      <c r="AH91" s="81" t="b">
        <v>0</v>
      </c>
      <c r="AI91" s="81" t="s">
        <v>6478</v>
      </c>
      <c r="AJ91" s="81"/>
      <c r="AK91" s="86" t="s">
        <v>6240</v>
      </c>
      <c r="AL91" s="81" t="b">
        <v>0</v>
      </c>
      <c r="AM91" s="81">
        <v>1</v>
      </c>
      <c r="AN91" s="86" t="s">
        <v>4522</v>
      </c>
      <c r="AO91" s="86" t="s">
        <v>6503</v>
      </c>
      <c r="AP91" s="81" t="b">
        <v>0</v>
      </c>
      <c r="AQ91" s="86" t="s">
        <v>4522</v>
      </c>
      <c r="AR91" s="81" t="s">
        <v>179</v>
      </c>
      <c r="AS91" s="81">
        <v>0</v>
      </c>
      <c r="AT91" s="81">
        <v>0</v>
      </c>
      <c r="AU91" s="81"/>
      <c r="AV91" s="81"/>
      <c r="AW91" s="81"/>
      <c r="AX91" s="81"/>
      <c r="AY91" s="81"/>
      <c r="AZ91" s="81"/>
      <c r="BA91" s="81"/>
      <c r="BB91" s="81"/>
    </row>
    <row r="92" spans="1:54" x14ac:dyDescent="0.35">
      <c r="A92" s="66" t="s">
        <v>284</v>
      </c>
      <c r="B92" s="66" t="s">
        <v>335</v>
      </c>
      <c r="C92" s="67"/>
      <c r="D92" s="68"/>
      <c r="E92" s="69"/>
      <c r="F92" s="70"/>
      <c r="G92" s="67"/>
      <c r="H92" s="71"/>
      <c r="I92" s="72"/>
      <c r="J92" s="72"/>
      <c r="K92" s="36"/>
      <c r="L92" s="79"/>
      <c r="M92" s="79"/>
      <c r="N92" s="74"/>
      <c r="O92" s="81" t="s">
        <v>1532</v>
      </c>
      <c r="P92" s="83">
        <v>44458.638692129629</v>
      </c>
      <c r="Q92" s="81" t="s">
        <v>1586</v>
      </c>
      <c r="R92" s="81"/>
      <c r="S92" s="81"/>
      <c r="T92" s="81"/>
      <c r="U92" s="84" t="str">
        <f>HYPERLINK("https://pbs.twimg.com/ext_tw_video_thumb/1439603623520993285/pu/img/4NCBVhjvbYSKxAvX.jpg")</f>
        <v>https://pbs.twimg.com/ext_tw_video_thumb/1439603623520993285/pu/img/4NCBVhjvbYSKxAvX.jpg</v>
      </c>
      <c r="V92" s="84" t="str">
        <f>HYPERLINK("https://pbs.twimg.com/ext_tw_video_thumb/1439603623520993285/pu/img/4NCBVhjvbYSKxAvX.jpg")</f>
        <v>https://pbs.twimg.com/ext_tw_video_thumb/1439603623520993285/pu/img/4NCBVhjvbYSKxAvX.jpg</v>
      </c>
      <c r="W92" s="83">
        <v>44458.638692129629</v>
      </c>
      <c r="X92" s="89">
        <v>44458</v>
      </c>
      <c r="Y92" s="86" t="s">
        <v>2830</v>
      </c>
      <c r="Z92" s="84" t="str">
        <f>HYPERLINK("https://twitter.com/asipfrappucino/status/1439610160121450496")</f>
        <v>https://twitter.com/asipfrappucino/status/1439610160121450496</v>
      </c>
      <c r="AA92" s="81"/>
      <c r="AB92" s="81"/>
      <c r="AC92" s="86" t="s">
        <v>4290</v>
      </c>
      <c r="AD92" s="81"/>
      <c r="AE92" s="81" t="b">
        <v>0</v>
      </c>
      <c r="AF92" s="81">
        <v>0</v>
      </c>
      <c r="AG92" s="86" t="s">
        <v>6240</v>
      </c>
      <c r="AH92" s="81" t="b">
        <v>0</v>
      </c>
      <c r="AI92" s="81" t="s">
        <v>6478</v>
      </c>
      <c r="AJ92" s="81"/>
      <c r="AK92" s="86" t="s">
        <v>6240</v>
      </c>
      <c r="AL92" s="81" t="b">
        <v>0</v>
      </c>
      <c r="AM92" s="81">
        <v>102</v>
      </c>
      <c r="AN92" s="86" t="s">
        <v>4519</v>
      </c>
      <c r="AO92" s="86" t="s">
        <v>6505</v>
      </c>
      <c r="AP92" s="81" t="b">
        <v>0</v>
      </c>
      <c r="AQ92" s="86" t="s">
        <v>4519</v>
      </c>
      <c r="AR92" s="81" t="s">
        <v>179</v>
      </c>
      <c r="AS92" s="81">
        <v>0</v>
      </c>
      <c r="AT92" s="81">
        <v>0</v>
      </c>
      <c r="AU92" s="81"/>
      <c r="AV92" s="81"/>
      <c r="AW92" s="81"/>
      <c r="AX92" s="81"/>
      <c r="AY92" s="81"/>
      <c r="AZ92" s="81"/>
      <c r="BA92" s="81"/>
      <c r="BB92" s="81"/>
    </row>
    <row r="93" spans="1:54" x14ac:dyDescent="0.35">
      <c r="A93" s="66" t="s">
        <v>285</v>
      </c>
      <c r="B93" s="66" t="s">
        <v>335</v>
      </c>
      <c r="C93" s="67"/>
      <c r="D93" s="68"/>
      <c r="E93" s="69"/>
      <c r="F93" s="70"/>
      <c r="G93" s="67"/>
      <c r="H93" s="71"/>
      <c r="I93" s="72"/>
      <c r="J93" s="72"/>
      <c r="K93" s="36"/>
      <c r="L93" s="79"/>
      <c r="M93" s="79"/>
      <c r="N93" s="74"/>
      <c r="O93" s="81" t="s">
        <v>1532</v>
      </c>
      <c r="P93" s="83">
        <v>44458.641342592593</v>
      </c>
      <c r="Q93" s="81" t="s">
        <v>1586</v>
      </c>
      <c r="R93" s="81"/>
      <c r="S93" s="81"/>
      <c r="T93" s="81"/>
      <c r="U93" s="84" t="str">
        <f>HYPERLINK("https://pbs.twimg.com/ext_tw_video_thumb/1439603623520993285/pu/img/4NCBVhjvbYSKxAvX.jpg")</f>
        <v>https://pbs.twimg.com/ext_tw_video_thumb/1439603623520993285/pu/img/4NCBVhjvbYSKxAvX.jpg</v>
      </c>
      <c r="V93" s="84" t="str">
        <f>HYPERLINK("https://pbs.twimg.com/ext_tw_video_thumb/1439603623520993285/pu/img/4NCBVhjvbYSKxAvX.jpg")</f>
        <v>https://pbs.twimg.com/ext_tw_video_thumb/1439603623520993285/pu/img/4NCBVhjvbYSKxAvX.jpg</v>
      </c>
      <c r="W93" s="83">
        <v>44458.641342592593</v>
      </c>
      <c r="X93" s="89">
        <v>44458</v>
      </c>
      <c r="Y93" s="86" t="s">
        <v>2831</v>
      </c>
      <c r="Z93" s="84" t="str">
        <f>HYPERLINK("https://twitter.com/hatiakueg0/status/1439611119102951432")</f>
        <v>https://twitter.com/hatiakueg0/status/1439611119102951432</v>
      </c>
      <c r="AA93" s="81"/>
      <c r="AB93" s="81"/>
      <c r="AC93" s="86" t="s">
        <v>4291</v>
      </c>
      <c r="AD93" s="81"/>
      <c r="AE93" s="81" t="b">
        <v>0</v>
      </c>
      <c r="AF93" s="81">
        <v>0</v>
      </c>
      <c r="AG93" s="86" t="s">
        <v>6240</v>
      </c>
      <c r="AH93" s="81" t="b">
        <v>0</v>
      </c>
      <c r="AI93" s="81" t="s">
        <v>6478</v>
      </c>
      <c r="AJ93" s="81"/>
      <c r="AK93" s="86" t="s">
        <v>6240</v>
      </c>
      <c r="AL93" s="81" t="b">
        <v>0</v>
      </c>
      <c r="AM93" s="81">
        <v>102</v>
      </c>
      <c r="AN93" s="86" t="s">
        <v>4519</v>
      </c>
      <c r="AO93" s="86" t="s">
        <v>6505</v>
      </c>
      <c r="AP93" s="81" t="b">
        <v>0</v>
      </c>
      <c r="AQ93" s="86" t="s">
        <v>4519</v>
      </c>
      <c r="AR93" s="81" t="s">
        <v>179</v>
      </c>
      <c r="AS93" s="81">
        <v>0</v>
      </c>
      <c r="AT93" s="81">
        <v>0</v>
      </c>
      <c r="AU93" s="81"/>
      <c r="AV93" s="81"/>
      <c r="AW93" s="81"/>
      <c r="AX93" s="81"/>
      <c r="AY93" s="81"/>
      <c r="AZ93" s="81"/>
      <c r="BA93" s="81"/>
      <c r="BB93" s="81"/>
    </row>
    <row r="94" spans="1:54" x14ac:dyDescent="0.35">
      <c r="A94" s="66" t="s">
        <v>286</v>
      </c>
      <c r="B94" s="66" t="s">
        <v>335</v>
      </c>
      <c r="C94" s="67"/>
      <c r="D94" s="68"/>
      <c r="E94" s="69"/>
      <c r="F94" s="70"/>
      <c r="G94" s="67"/>
      <c r="H94" s="71"/>
      <c r="I94" s="72"/>
      <c r="J94" s="72"/>
      <c r="K94" s="36"/>
      <c r="L94" s="79"/>
      <c r="M94" s="79"/>
      <c r="N94" s="74"/>
      <c r="O94" s="81" t="s">
        <v>1532</v>
      </c>
      <c r="P94" s="83">
        <v>44458.643576388888</v>
      </c>
      <c r="Q94" s="81" t="s">
        <v>1586</v>
      </c>
      <c r="R94" s="81"/>
      <c r="S94" s="81"/>
      <c r="T94" s="81"/>
      <c r="U94" s="84" t="str">
        <f>HYPERLINK("https://pbs.twimg.com/ext_tw_video_thumb/1439603623520993285/pu/img/4NCBVhjvbYSKxAvX.jpg")</f>
        <v>https://pbs.twimg.com/ext_tw_video_thumb/1439603623520993285/pu/img/4NCBVhjvbYSKxAvX.jpg</v>
      </c>
      <c r="V94" s="84" t="str">
        <f>HYPERLINK("https://pbs.twimg.com/ext_tw_video_thumb/1439603623520993285/pu/img/4NCBVhjvbYSKxAvX.jpg")</f>
        <v>https://pbs.twimg.com/ext_tw_video_thumb/1439603623520993285/pu/img/4NCBVhjvbYSKxAvX.jpg</v>
      </c>
      <c r="W94" s="83">
        <v>44458.643576388888</v>
      </c>
      <c r="X94" s="89">
        <v>44458</v>
      </c>
      <c r="Y94" s="86" t="s">
        <v>2832</v>
      </c>
      <c r="Z94" s="84" t="str">
        <f>HYPERLINK("https://twitter.com/theisyraf/status/1439611930126139393")</f>
        <v>https://twitter.com/theisyraf/status/1439611930126139393</v>
      </c>
      <c r="AA94" s="81"/>
      <c r="AB94" s="81"/>
      <c r="AC94" s="86" t="s">
        <v>4292</v>
      </c>
      <c r="AD94" s="81"/>
      <c r="AE94" s="81" t="b">
        <v>0</v>
      </c>
      <c r="AF94" s="81">
        <v>0</v>
      </c>
      <c r="AG94" s="86" t="s">
        <v>6240</v>
      </c>
      <c r="AH94" s="81" t="b">
        <v>0</v>
      </c>
      <c r="AI94" s="81" t="s">
        <v>6478</v>
      </c>
      <c r="AJ94" s="81"/>
      <c r="AK94" s="86" t="s">
        <v>6240</v>
      </c>
      <c r="AL94" s="81" t="b">
        <v>0</v>
      </c>
      <c r="AM94" s="81">
        <v>102</v>
      </c>
      <c r="AN94" s="86" t="s">
        <v>4519</v>
      </c>
      <c r="AO94" s="86" t="s">
        <v>6505</v>
      </c>
      <c r="AP94" s="81" t="b">
        <v>0</v>
      </c>
      <c r="AQ94" s="86" t="s">
        <v>4519</v>
      </c>
      <c r="AR94" s="81" t="s">
        <v>179</v>
      </c>
      <c r="AS94" s="81">
        <v>0</v>
      </c>
      <c r="AT94" s="81">
        <v>0</v>
      </c>
      <c r="AU94" s="81"/>
      <c r="AV94" s="81"/>
      <c r="AW94" s="81"/>
      <c r="AX94" s="81"/>
      <c r="AY94" s="81"/>
      <c r="AZ94" s="81"/>
      <c r="BA94" s="81"/>
      <c r="BB94" s="81"/>
    </row>
    <row r="95" spans="1:54" x14ac:dyDescent="0.35">
      <c r="A95" s="66" t="s">
        <v>287</v>
      </c>
      <c r="B95" s="66" t="s">
        <v>335</v>
      </c>
      <c r="C95" s="67"/>
      <c r="D95" s="68"/>
      <c r="E95" s="69"/>
      <c r="F95" s="70"/>
      <c r="G95" s="67"/>
      <c r="H95" s="71"/>
      <c r="I95" s="72"/>
      <c r="J95" s="72"/>
      <c r="K95" s="36"/>
      <c r="L95" s="79"/>
      <c r="M95" s="79"/>
      <c r="N95" s="74"/>
      <c r="O95" s="81" t="s">
        <v>1532</v>
      </c>
      <c r="P95" s="83">
        <v>44458.646226851852</v>
      </c>
      <c r="Q95" s="81" t="s">
        <v>1586</v>
      </c>
      <c r="R95" s="81"/>
      <c r="S95" s="81"/>
      <c r="T95" s="81"/>
      <c r="U95" s="84" t="str">
        <f>HYPERLINK("https://pbs.twimg.com/ext_tw_video_thumb/1439603623520993285/pu/img/4NCBVhjvbYSKxAvX.jpg")</f>
        <v>https://pbs.twimg.com/ext_tw_video_thumb/1439603623520993285/pu/img/4NCBVhjvbYSKxAvX.jpg</v>
      </c>
      <c r="V95" s="84" t="str">
        <f>HYPERLINK("https://pbs.twimg.com/ext_tw_video_thumb/1439603623520993285/pu/img/4NCBVhjvbYSKxAvX.jpg")</f>
        <v>https://pbs.twimg.com/ext_tw_video_thumb/1439603623520993285/pu/img/4NCBVhjvbYSKxAvX.jpg</v>
      </c>
      <c r="W95" s="83">
        <v>44458.646226851852</v>
      </c>
      <c r="X95" s="89">
        <v>44458</v>
      </c>
      <c r="Y95" s="86" t="s">
        <v>2833</v>
      </c>
      <c r="Z95" s="84" t="str">
        <f>HYPERLINK("https://twitter.com/drxnkxntxgxr__/status/1439612891351511041")</f>
        <v>https://twitter.com/drxnkxntxgxr__/status/1439612891351511041</v>
      </c>
      <c r="AA95" s="81"/>
      <c r="AB95" s="81"/>
      <c r="AC95" s="86" t="s">
        <v>4293</v>
      </c>
      <c r="AD95" s="81"/>
      <c r="AE95" s="81" t="b">
        <v>0</v>
      </c>
      <c r="AF95" s="81">
        <v>0</v>
      </c>
      <c r="AG95" s="86" t="s">
        <v>6240</v>
      </c>
      <c r="AH95" s="81" t="b">
        <v>0</v>
      </c>
      <c r="AI95" s="81" t="s">
        <v>6478</v>
      </c>
      <c r="AJ95" s="81"/>
      <c r="AK95" s="86" t="s">
        <v>6240</v>
      </c>
      <c r="AL95" s="81" t="b">
        <v>0</v>
      </c>
      <c r="AM95" s="81">
        <v>102</v>
      </c>
      <c r="AN95" s="86" t="s">
        <v>4519</v>
      </c>
      <c r="AO95" s="86" t="s">
        <v>6503</v>
      </c>
      <c r="AP95" s="81" t="b">
        <v>0</v>
      </c>
      <c r="AQ95" s="86" t="s">
        <v>4519</v>
      </c>
      <c r="AR95" s="81" t="s">
        <v>179</v>
      </c>
      <c r="AS95" s="81">
        <v>0</v>
      </c>
      <c r="AT95" s="81">
        <v>0</v>
      </c>
      <c r="AU95" s="81"/>
      <c r="AV95" s="81"/>
      <c r="AW95" s="81"/>
      <c r="AX95" s="81"/>
      <c r="AY95" s="81"/>
      <c r="AZ95" s="81"/>
      <c r="BA95" s="81"/>
      <c r="BB95" s="81"/>
    </row>
    <row r="96" spans="1:54" x14ac:dyDescent="0.35">
      <c r="A96" s="66" t="s">
        <v>288</v>
      </c>
      <c r="B96" s="66" t="s">
        <v>335</v>
      </c>
      <c r="C96" s="67"/>
      <c r="D96" s="68"/>
      <c r="E96" s="69"/>
      <c r="F96" s="70"/>
      <c r="G96" s="67"/>
      <c r="H96" s="71"/>
      <c r="I96" s="72"/>
      <c r="J96" s="72"/>
      <c r="K96" s="36"/>
      <c r="L96" s="79"/>
      <c r="M96" s="79"/>
      <c r="N96" s="74"/>
      <c r="O96" s="81" t="s">
        <v>1532</v>
      </c>
      <c r="P96" s="83">
        <v>44458.647002314814</v>
      </c>
      <c r="Q96" s="81" t="s">
        <v>1586</v>
      </c>
      <c r="R96" s="81"/>
      <c r="S96" s="81"/>
      <c r="T96" s="81"/>
      <c r="U96" s="84" t="str">
        <f>HYPERLINK("https://pbs.twimg.com/ext_tw_video_thumb/1439603623520993285/pu/img/4NCBVhjvbYSKxAvX.jpg")</f>
        <v>https://pbs.twimg.com/ext_tw_video_thumb/1439603623520993285/pu/img/4NCBVhjvbYSKxAvX.jpg</v>
      </c>
      <c r="V96" s="84" t="str">
        <f>HYPERLINK("https://pbs.twimg.com/ext_tw_video_thumb/1439603623520993285/pu/img/4NCBVhjvbYSKxAvX.jpg")</f>
        <v>https://pbs.twimg.com/ext_tw_video_thumb/1439603623520993285/pu/img/4NCBVhjvbYSKxAvX.jpg</v>
      </c>
      <c r="W96" s="83">
        <v>44458.647002314814</v>
      </c>
      <c r="X96" s="89">
        <v>44458</v>
      </c>
      <c r="Y96" s="86" t="s">
        <v>2834</v>
      </c>
      <c r="Z96" s="84" t="str">
        <f>HYPERLINK("https://twitter.com/maktiri_/status/1439613170939666432")</f>
        <v>https://twitter.com/maktiri_/status/1439613170939666432</v>
      </c>
      <c r="AA96" s="81"/>
      <c r="AB96" s="81"/>
      <c r="AC96" s="86" t="s">
        <v>4294</v>
      </c>
      <c r="AD96" s="81"/>
      <c r="AE96" s="81" t="b">
        <v>0</v>
      </c>
      <c r="AF96" s="81">
        <v>0</v>
      </c>
      <c r="AG96" s="86" t="s">
        <v>6240</v>
      </c>
      <c r="AH96" s="81" t="b">
        <v>0</v>
      </c>
      <c r="AI96" s="81" t="s">
        <v>6478</v>
      </c>
      <c r="AJ96" s="81"/>
      <c r="AK96" s="86" t="s">
        <v>6240</v>
      </c>
      <c r="AL96" s="81" t="b">
        <v>0</v>
      </c>
      <c r="AM96" s="81">
        <v>102</v>
      </c>
      <c r="AN96" s="86" t="s">
        <v>4519</v>
      </c>
      <c r="AO96" s="86" t="s">
        <v>6505</v>
      </c>
      <c r="AP96" s="81" t="b">
        <v>0</v>
      </c>
      <c r="AQ96" s="86" t="s">
        <v>4519</v>
      </c>
      <c r="AR96" s="81" t="s">
        <v>179</v>
      </c>
      <c r="AS96" s="81">
        <v>0</v>
      </c>
      <c r="AT96" s="81">
        <v>0</v>
      </c>
      <c r="AU96" s="81"/>
      <c r="AV96" s="81"/>
      <c r="AW96" s="81"/>
      <c r="AX96" s="81"/>
      <c r="AY96" s="81"/>
      <c r="AZ96" s="81"/>
      <c r="BA96" s="81"/>
      <c r="BB96" s="81"/>
    </row>
    <row r="97" spans="1:54" x14ac:dyDescent="0.35">
      <c r="A97" s="66" t="s">
        <v>289</v>
      </c>
      <c r="B97" s="66" t="s">
        <v>335</v>
      </c>
      <c r="C97" s="67"/>
      <c r="D97" s="68"/>
      <c r="E97" s="69"/>
      <c r="F97" s="70"/>
      <c r="G97" s="67"/>
      <c r="H97" s="71"/>
      <c r="I97" s="72"/>
      <c r="J97" s="72"/>
      <c r="K97" s="36"/>
      <c r="L97" s="79"/>
      <c r="M97" s="79"/>
      <c r="N97" s="74"/>
      <c r="O97" s="81" t="s">
        <v>1532</v>
      </c>
      <c r="P97" s="83">
        <v>44458.647939814815</v>
      </c>
      <c r="Q97" s="81" t="s">
        <v>1586</v>
      </c>
      <c r="R97" s="81"/>
      <c r="S97" s="81"/>
      <c r="T97" s="81"/>
      <c r="U97" s="84" t="str">
        <f>HYPERLINK("https://pbs.twimg.com/ext_tw_video_thumb/1439603623520993285/pu/img/4NCBVhjvbYSKxAvX.jpg")</f>
        <v>https://pbs.twimg.com/ext_tw_video_thumb/1439603623520993285/pu/img/4NCBVhjvbYSKxAvX.jpg</v>
      </c>
      <c r="V97" s="84" t="str">
        <f>HYPERLINK("https://pbs.twimg.com/ext_tw_video_thumb/1439603623520993285/pu/img/4NCBVhjvbYSKxAvX.jpg")</f>
        <v>https://pbs.twimg.com/ext_tw_video_thumb/1439603623520993285/pu/img/4NCBVhjvbYSKxAvX.jpg</v>
      </c>
      <c r="W97" s="83">
        <v>44458.647939814815</v>
      </c>
      <c r="X97" s="89">
        <v>44458</v>
      </c>
      <c r="Y97" s="86" t="s">
        <v>2835</v>
      </c>
      <c r="Z97" s="84" t="str">
        <f>HYPERLINK("https://twitter.com/shvfx/status/1439613512142053378")</f>
        <v>https://twitter.com/shvfx/status/1439613512142053378</v>
      </c>
      <c r="AA97" s="81"/>
      <c r="AB97" s="81"/>
      <c r="AC97" s="86" t="s">
        <v>4295</v>
      </c>
      <c r="AD97" s="81"/>
      <c r="AE97" s="81" t="b">
        <v>0</v>
      </c>
      <c r="AF97" s="81">
        <v>0</v>
      </c>
      <c r="AG97" s="86" t="s">
        <v>6240</v>
      </c>
      <c r="AH97" s="81" t="b">
        <v>0</v>
      </c>
      <c r="AI97" s="81" t="s">
        <v>6478</v>
      </c>
      <c r="AJ97" s="81"/>
      <c r="AK97" s="86" t="s">
        <v>6240</v>
      </c>
      <c r="AL97" s="81" t="b">
        <v>0</v>
      </c>
      <c r="AM97" s="81">
        <v>102</v>
      </c>
      <c r="AN97" s="86" t="s">
        <v>4519</v>
      </c>
      <c r="AO97" s="86" t="s">
        <v>6505</v>
      </c>
      <c r="AP97" s="81" t="b">
        <v>0</v>
      </c>
      <c r="AQ97" s="86" t="s">
        <v>4519</v>
      </c>
      <c r="AR97" s="81" t="s">
        <v>179</v>
      </c>
      <c r="AS97" s="81">
        <v>0</v>
      </c>
      <c r="AT97" s="81">
        <v>0</v>
      </c>
      <c r="AU97" s="81"/>
      <c r="AV97" s="81"/>
      <c r="AW97" s="81"/>
      <c r="AX97" s="81"/>
      <c r="AY97" s="81"/>
      <c r="AZ97" s="81"/>
      <c r="BA97" s="81"/>
      <c r="BB97" s="81"/>
    </row>
    <row r="98" spans="1:54" x14ac:dyDescent="0.35">
      <c r="A98" s="66" t="s">
        <v>290</v>
      </c>
      <c r="B98" s="66" t="s">
        <v>335</v>
      </c>
      <c r="C98" s="67"/>
      <c r="D98" s="68"/>
      <c r="E98" s="69"/>
      <c r="F98" s="70"/>
      <c r="G98" s="67"/>
      <c r="H98" s="71"/>
      <c r="I98" s="72"/>
      <c r="J98" s="72"/>
      <c r="K98" s="36"/>
      <c r="L98" s="79"/>
      <c r="M98" s="79"/>
      <c r="N98" s="74"/>
      <c r="O98" s="81" t="s">
        <v>1532</v>
      </c>
      <c r="P98" s="83">
        <v>44458.649756944447</v>
      </c>
      <c r="Q98" s="81" t="s">
        <v>1586</v>
      </c>
      <c r="R98" s="81"/>
      <c r="S98" s="81"/>
      <c r="T98" s="81"/>
      <c r="U98" s="84" t="str">
        <f>HYPERLINK("https://pbs.twimg.com/ext_tw_video_thumb/1439603623520993285/pu/img/4NCBVhjvbYSKxAvX.jpg")</f>
        <v>https://pbs.twimg.com/ext_tw_video_thumb/1439603623520993285/pu/img/4NCBVhjvbYSKxAvX.jpg</v>
      </c>
      <c r="V98" s="84" t="str">
        <f>HYPERLINK("https://pbs.twimg.com/ext_tw_video_thumb/1439603623520993285/pu/img/4NCBVhjvbYSKxAvX.jpg")</f>
        <v>https://pbs.twimg.com/ext_tw_video_thumb/1439603623520993285/pu/img/4NCBVhjvbYSKxAvX.jpg</v>
      </c>
      <c r="W98" s="83">
        <v>44458.649756944447</v>
      </c>
      <c r="X98" s="89">
        <v>44458</v>
      </c>
      <c r="Y98" s="86" t="s">
        <v>2836</v>
      </c>
      <c r="Z98" s="84" t="str">
        <f>HYPERLINK("https://twitter.com/ayrhazel/status/1439614171222446081")</f>
        <v>https://twitter.com/ayrhazel/status/1439614171222446081</v>
      </c>
      <c r="AA98" s="81"/>
      <c r="AB98" s="81"/>
      <c r="AC98" s="86" t="s">
        <v>4296</v>
      </c>
      <c r="AD98" s="81"/>
      <c r="AE98" s="81" t="b">
        <v>0</v>
      </c>
      <c r="AF98" s="81">
        <v>0</v>
      </c>
      <c r="AG98" s="86" t="s">
        <v>6240</v>
      </c>
      <c r="AH98" s="81" t="b">
        <v>0</v>
      </c>
      <c r="AI98" s="81" t="s">
        <v>6478</v>
      </c>
      <c r="AJ98" s="81"/>
      <c r="AK98" s="86" t="s">
        <v>6240</v>
      </c>
      <c r="AL98" s="81" t="b">
        <v>0</v>
      </c>
      <c r="AM98" s="81">
        <v>102</v>
      </c>
      <c r="AN98" s="86" t="s">
        <v>4519</v>
      </c>
      <c r="AO98" s="86" t="s">
        <v>6503</v>
      </c>
      <c r="AP98" s="81" t="b">
        <v>0</v>
      </c>
      <c r="AQ98" s="86" t="s">
        <v>4519</v>
      </c>
      <c r="AR98" s="81" t="s">
        <v>179</v>
      </c>
      <c r="AS98" s="81">
        <v>0</v>
      </c>
      <c r="AT98" s="81">
        <v>0</v>
      </c>
      <c r="AU98" s="81"/>
      <c r="AV98" s="81"/>
      <c r="AW98" s="81"/>
      <c r="AX98" s="81"/>
      <c r="AY98" s="81"/>
      <c r="AZ98" s="81"/>
      <c r="BA98" s="81"/>
      <c r="BB98" s="81"/>
    </row>
    <row r="99" spans="1:54" x14ac:dyDescent="0.35">
      <c r="A99" s="66" t="s">
        <v>291</v>
      </c>
      <c r="B99" s="66" t="s">
        <v>335</v>
      </c>
      <c r="C99" s="67"/>
      <c r="D99" s="68"/>
      <c r="E99" s="69"/>
      <c r="F99" s="70"/>
      <c r="G99" s="67"/>
      <c r="H99" s="71"/>
      <c r="I99" s="72"/>
      <c r="J99" s="72"/>
      <c r="K99" s="36"/>
      <c r="L99" s="79"/>
      <c r="M99" s="79"/>
      <c r="N99" s="74"/>
      <c r="O99" s="81" t="s">
        <v>1532</v>
      </c>
      <c r="P99" s="83">
        <v>44458.649861111109</v>
      </c>
      <c r="Q99" s="81" t="s">
        <v>1586</v>
      </c>
      <c r="R99" s="81"/>
      <c r="S99" s="81"/>
      <c r="T99" s="81"/>
      <c r="U99" s="84" t="str">
        <f>HYPERLINK("https://pbs.twimg.com/ext_tw_video_thumb/1439603623520993285/pu/img/4NCBVhjvbYSKxAvX.jpg")</f>
        <v>https://pbs.twimg.com/ext_tw_video_thumb/1439603623520993285/pu/img/4NCBVhjvbYSKxAvX.jpg</v>
      </c>
      <c r="V99" s="84" t="str">
        <f>HYPERLINK("https://pbs.twimg.com/ext_tw_video_thumb/1439603623520993285/pu/img/4NCBVhjvbYSKxAvX.jpg")</f>
        <v>https://pbs.twimg.com/ext_tw_video_thumb/1439603623520993285/pu/img/4NCBVhjvbYSKxAvX.jpg</v>
      </c>
      <c r="W99" s="83">
        <v>44458.649861111109</v>
      </c>
      <c r="X99" s="89">
        <v>44458</v>
      </c>
      <c r="Y99" s="86" t="s">
        <v>2837</v>
      </c>
      <c r="Z99" s="84" t="str">
        <f>HYPERLINK("https://twitter.com/firzana_hazirah/status/1439614206546878464")</f>
        <v>https://twitter.com/firzana_hazirah/status/1439614206546878464</v>
      </c>
      <c r="AA99" s="81"/>
      <c r="AB99" s="81"/>
      <c r="AC99" s="86" t="s">
        <v>4297</v>
      </c>
      <c r="AD99" s="81"/>
      <c r="AE99" s="81" t="b">
        <v>0</v>
      </c>
      <c r="AF99" s="81">
        <v>0</v>
      </c>
      <c r="AG99" s="86" t="s">
        <v>6240</v>
      </c>
      <c r="AH99" s="81" t="b">
        <v>0</v>
      </c>
      <c r="AI99" s="81" t="s">
        <v>6478</v>
      </c>
      <c r="AJ99" s="81"/>
      <c r="AK99" s="86" t="s">
        <v>6240</v>
      </c>
      <c r="AL99" s="81" t="b">
        <v>0</v>
      </c>
      <c r="AM99" s="81">
        <v>102</v>
      </c>
      <c r="AN99" s="86" t="s">
        <v>4519</v>
      </c>
      <c r="AO99" s="86" t="s">
        <v>6505</v>
      </c>
      <c r="AP99" s="81" t="b">
        <v>0</v>
      </c>
      <c r="AQ99" s="86" t="s">
        <v>4519</v>
      </c>
      <c r="AR99" s="81" t="s">
        <v>179</v>
      </c>
      <c r="AS99" s="81">
        <v>0</v>
      </c>
      <c r="AT99" s="81">
        <v>0</v>
      </c>
      <c r="AU99" s="81"/>
      <c r="AV99" s="81"/>
      <c r="AW99" s="81"/>
      <c r="AX99" s="81"/>
      <c r="AY99" s="81"/>
      <c r="AZ99" s="81"/>
      <c r="BA99" s="81"/>
      <c r="BB99" s="81"/>
    </row>
    <row r="100" spans="1:54" x14ac:dyDescent="0.35">
      <c r="A100" s="66" t="s">
        <v>292</v>
      </c>
      <c r="B100" s="66" t="s">
        <v>292</v>
      </c>
      <c r="C100" s="67"/>
      <c r="D100" s="68"/>
      <c r="E100" s="69"/>
      <c r="F100" s="70"/>
      <c r="G100" s="67"/>
      <c r="H100" s="71"/>
      <c r="I100" s="72"/>
      <c r="J100" s="72"/>
      <c r="K100" s="36"/>
      <c r="L100" s="79"/>
      <c r="M100" s="79"/>
      <c r="N100" s="74"/>
      <c r="O100" s="81" t="s">
        <v>179</v>
      </c>
      <c r="P100" s="83">
        <v>44458.651400462964</v>
      </c>
      <c r="Q100" s="81" t="s">
        <v>1589</v>
      </c>
      <c r="R100" s="84" t="str">
        <f>HYPERLINK("https://kerjha.com/pos-indonesia-gandeng-nujek-dan-perkenalkan-o-ranger-mawar/")</f>
        <v>https://kerjha.com/pos-indonesia-gandeng-nujek-dan-perkenalkan-o-ranger-mawar/</v>
      </c>
      <c r="S100" s="81" t="s">
        <v>2586</v>
      </c>
      <c r="T100" s="81"/>
      <c r="U100" s="81"/>
      <c r="V100" s="84" t="str">
        <f>HYPERLINK("https://pbs.twimg.com/profile_images/1320752267193057281/czkEDDIo_normal.jpg")</f>
        <v>https://pbs.twimg.com/profile_images/1320752267193057281/czkEDDIo_normal.jpg</v>
      </c>
      <c r="W100" s="83">
        <v>44458.651400462964</v>
      </c>
      <c r="X100" s="89">
        <v>44458</v>
      </c>
      <c r="Y100" s="86" t="s">
        <v>2838</v>
      </c>
      <c r="Z100" s="84" t="str">
        <f>HYPERLINK("https://twitter.com/pradanadika29/status/1439614765513396225")</f>
        <v>https://twitter.com/pradanadika29/status/1439614765513396225</v>
      </c>
      <c r="AA100" s="81"/>
      <c r="AB100" s="81"/>
      <c r="AC100" s="86" t="s">
        <v>4298</v>
      </c>
      <c r="AD100" s="81"/>
      <c r="AE100" s="81" t="b">
        <v>0</v>
      </c>
      <c r="AF100" s="81">
        <v>0</v>
      </c>
      <c r="AG100" s="86" t="s">
        <v>6240</v>
      </c>
      <c r="AH100" s="81" t="b">
        <v>0</v>
      </c>
      <c r="AI100" s="81" t="s">
        <v>6478</v>
      </c>
      <c r="AJ100" s="81"/>
      <c r="AK100" s="86" t="s">
        <v>6240</v>
      </c>
      <c r="AL100" s="81" t="b">
        <v>0</v>
      </c>
      <c r="AM100" s="81">
        <v>0</v>
      </c>
      <c r="AN100" s="86" t="s">
        <v>6240</v>
      </c>
      <c r="AO100" s="86" t="s">
        <v>6503</v>
      </c>
      <c r="AP100" s="81" t="b">
        <v>0</v>
      </c>
      <c r="AQ100" s="86" t="s">
        <v>4298</v>
      </c>
      <c r="AR100" s="81" t="s">
        <v>179</v>
      </c>
      <c r="AS100" s="81">
        <v>0</v>
      </c>
      <c r="AT100" s="81">
        <v>0</v>
      </c>
      <c r="AU100" s="81"/>
      <c r="AV100" s="81"/>
      <c r="AW100" s="81"/>
      <c r="AX100" s="81"/>
      <c r="AY100" s="81"/>
      <c r="AZ100" s="81"/>
      <c r="BA100" s="81"/>
      <c r="BB100" s="81"/>
    </row>
    <row r="101" spans="1:54" x14ac:dyDescent="0.35">
      <c r="A101" s="66" t="s">
        <v>293</v>
      </c>
      <c r="B101" s="66" t="s">
        <v>335</v>
      </c>
      <c r="C101" s="67"/>
      <c r="D101" s="68"/>
      <c r="E101" s="69"/>
      <c r="F101" s="70"/>
      <c r="G101" s="67"/>
      <c r="H101" s="71"/>
      <c r="I101" s="72"/>
      <c r="J101" s="72"/>
      <c r="K101" s="36"/>
      <c r="L101" s="79"/>
      <c r="M101" s="79"/>
      <c r="N101" s="74"/>
      <c r="O101" s="81" t="s">
        <v>1532</v>
      </c>
      <c r="P101" s="83">
        <v>44458.651435185187</v>
      </c>
      <c r="Q101" s="81" t="s">
        <v>1586</v>
      </c>
      <c r="R101" s="81"/>
      <c r="S101" s="81"/>
      <c r="T101" s="81"/>
      <c r="U101" s="84" t="str">
        <f>HYPERLINK("https://pbs.twimg.com/ext_tw_video_thumb/1439603623520993285/pu/img/4NCBVhjvbYSKxAvX.jpg")</f>
        <v>https://pbs.twimg.com/ext_tw_video_thumb/1439603623520993285/pu/img/4NCBVhjvbYSKxAvX.jpg</v>
      </c>
      <c r="V101" s="84" t="str">
        <f>HYPERLINK("https://pbs.twimg.com/ext_tw_video_thumb/1439603623520993285/pu/img/4NCBVhjvbYSKxAvX.jpg")</f>
        <v>https://pbs.twimg.com/ext_tw_video_thumb/1439603623520993285/pu/img/4NCBVhjvbYSKxAvX.jpg</v>
      </c>
      <c r="W101" s="83">
        <v>44458.651435185187</v>
      </c>
      <c r="X101" s="89">
        <v>44458</v>
      </c>
      <c r="Y101" s="86" t="s">
        <v>2839</v>
      </c>
      <c r="Z101" s="84" t="str">
        <f>HYPERLINK("https://twitter.com/pikapocoyo/status/1439614776275992578")</f>
        <v>https://twitter.com/pikapocoyo/status/1439614776275992578</v>
      </c>
      <c r="AA101" s="81"/>
      <c r="AB101" s="81"/>
      <c r="AC101" s="86" t="s">
        <v>4299</v>
      </c>
      <c r="AD101" s="81"/>
      <c r="AE101" s="81" t="b">
        <v>0</v>
      </c>
      <c r="AF101" s="81">
        <v>0</v>
      </c>
      <c r="AG101" s="86" t="s">
        <v>6240</v>
      </c>
      <c r="AH101" s="81" t="b">
        <v>0</v>
      </c>
      <c r="AI101" s="81" t="s">
        <v>6478</v>
      </c>
      <c r="AJ101" s="81"/>
      <c r="AK101" s="86" t="s">
        <v>6240</v>
      </c>
      <c r="AL101" s="81" t="b">
        <v>0</v>
      </c>
      <c r="AM101" s="81">
        <v>102</v>
      </c>
      <c r="AN101" s="86" t="s">
        <v>4519</v>
      </c>
      <c r="AO101" s="86" t="s">
        <v>6505</v>
      </c>
      <c r="AP101" s="81" t="b">
        <v>0</v>
      </c>
      <c r="AQ101" s="86" t="s">
        <v>4519</v>
      </c>
      <c r="AR101" s="81" t="s">
        <v>179</v>
      </c>
      <c r="AS101" s="81">
        <v>0</v>
      </c>
      <c r="AT101" s="81">
        <v>0</v>
      </c>
      <c r="AU101" s="81"/>
      <c r="AV101" s="81"/>
      <c r="AW101" s="81"/>
      <c r="AX101" s="81"/>
      <c r="AY101" s="81"/>
      <c r="AZ101" s="81"/>
      <c r="BA101" s="81"/>
      <c r="BB101" s="81"/>
    </row>
    <row r="102" spans="1:54" x14ac:dyDescent="0.35">
      <c r="A102" s="66" t="s">
        <v>294</v>
      </c>
      <c r="B102" s="66" t="s">
        <v>294</v>
      </c>
      <c r="C102" s="67"/>
      <c r="D102" s="68"/>
      <c r="E102" s="69"/>
      <c r="F102" s="70"/>
      <c r="G102" s="67"/>
      <c r="H102" s="71"/>
      <c r="I102" s="72"/>
      <c r="J102" s="72"/>
      <c r="K102" s="36"/>
      <c r="L102" s="79"/>
      <c r="M102" s="79"/>
      <c r="N102" s="74"/>
      <c r="O102" s="81" t="s">
        <v>179</v>
      </c>
      <c r="P102" s="83">
        <v>44458.651608796295</v>
      </c>
      <c r="Q102" s="81" t="s">
        <v>1590</v>
      </c>
      <c r="R102" s="84" t="str">
        <f>HYPERLINK("https://kerjha.com/pos-indonesia-gandeng-nujek-dan-perkenalkan-o-ranger-mawar/")</f>
        <v>https://kerjha.com/pos-indonesia-gandeng-nujek-dan-perkenalkan-o-ranger-mawar/</v>
      </c>
      <c r="S102" s="81" t="s">
        <v>2586</v>
      </c>
      <c r="T102" s="81"/>
      <c r="U102" s="81"/>
      <c r="V102" s="84" t="str">
        <f>HYPERLINK("https://pbs.twimg.com/profile_images/1064812002529296385/AS_j0jXy_normal.jpg")</f>
        <v>https://pbs.twimg.com/profile_images/1064812002529296385/AS_j0jXy_normal.jpg</v>
      </c>
      <c r="W102" s="83">
        <v>44458.651608796295</v>
      </c>
      <c r="X102" s="89">
        <v>44458</v>
      </c>
      <c r="Y102" s="86" t="s">
        <v>2840</v>
      </c>
      <c r="Z102" s="84" t="str">
        <f>HYPERLINK("https://twitter.com/ariefskie/status/1439614840717279232")</f>
        <v>https://twitter.com/ariefskie/status/1439614840717279232</v>
      </c>
      <c r="AA102" s="81"/>
      <c r="AB102" s="81"/>
      <c r="AC102" s="86" t="s">
        <v>4300</v>
      </c>
      <c r="AD102" s="81"/>
      <c r="AE102" s="81" t="b">
        <v>0</v>
      </c>
      <c r="AF102" s="81">
        <v>0</v>
      </c>
      <c r="AG102" s="86" t="s">
        <v>6240</v>
      </c>
      <c r="AH102" s="81" t="b">
        <v>0</v>
      </c>
      <c r="AI102" s="81" t="s">
        <v>6478</v>
      </c>
      <c r="AJ102" s="81"/>
      <c r="AK102" s="86" t="s">
        <v>6240</v>
      </c>
      <c r="AL102" s="81" t="b">
        <v>0</v>
      </c>
      <c r="AM102" s="81">
        <v>0</v>
      </c>
      <c r="AN102" s="86" t="s">
        <v>6240</v>
      </c>
      <c r="AO102" s="86" t="s">
        <v>6503</v>
      </c>
      <c r="AP102" s="81" t="b">
        <v>0</v>
      </c>
      <c r="AQ102" s="86" t="s">
        <v>4300</v>
      </c>
      <c r="AR102" s="81" t="s">
        <v>179</v>
      </c>
      <c r="AS102" s="81">
        <v>0</v>
      </c>
      <c r="AT102" s="81">
        <v>0</v>
      </c>
      <c r="AU102" s="81"/>
      <c r="AV102" s="81"/>
      <c r="AW102" s="81"/>
      <c r="AX102" s="81"/>
      <c r="AY102" s="81"/>
      <c r="AZ102" s="81"/>
      <c r="BA102" s="81"/>
      <c r="BB102" s="81"/>
    </row>
    <row r="103" spans="1:54" x14ac:dyDescent="0.35">
      <c r="A103" s="66" t="s">
        <v>295</v>
      </c>
      <c r="B103" s="66" t="s">
        <v>1283</v>
      </c>
      <c r="C103" s="67"/>
      <c r="D103" s="68"/>
      <c r="E103" s="69"/>
      <c r="F103" s="70"/>
      <c r="G103" s="67"/>
      <c r="H103" s="71"/>
      <c r="I103" s="72"/>
      <c r="J103" s="72"/>
      <c r="K103" s="36"/>
      <c r="L103" s="79"/>
      <c r="M103" s="79"/>
      <c r="N103" s="74"/>
      <c r="O103" s="81" t="s">
        <v>1533</v>
      </c>
      <c r="P103" s="83">
        <v>44458.651620370372</v>
      </c>
      <c r="Q103" s="81" t="s">
        <v>1583</v>
      </c>
      <c r="R103" s="84" t="str">
        <f>HYPERLINK("https://kerjha.com/pos-indonesia-gandeng-nujek-dan-perkenalkan-o-ranger-mawar/")</f>
        <v>https://kerjha.com/pos-indonesia-gandeng-nujek-dan-perkenalkan-o-ranger-mawar/</v>
      </c>
      <c r="S103" s="81" t="s">
        <v>2586</v>
      </c>
      <c r="T103" s="81"/>
      <c r="U103" s="81"/>
      <c r="V103" s="84" t="str">
        <f>HYPERLINK("https://pbs.twimg.com/profile_images/1287026195297497090/ksuNfii3_normal.jpg")</f>
        <v>https://pbs.twimg.com/profile_images/1287026195297497090/ksuNfii3_normal.jpg</v>
      </c>
      <c r="W103" s="83">
        <v>44458.651620370372</v>
      </c>
      <c r="X103" s="89">
        <v>44458</v>
      </c>
      <c r="Y103" s="86" t="s">
        <v>2841</v>
      </c>
      <c r="Z103" s="84" t="str">
        <f>HYPERLINK("https://twitter.com/anaklolina2/status/1439614844899004421")</f>
        <v>https://twitter.com/anaklolina2/status/1439614844899004421</v>
      </c>
      <c r="AA103" s="81"/>
      <c r="AB103" s="81"/>
      <c r="AC103" s="86" t="s">
        <v>4301</v>
      </c>
      <c r="AD103" s="81"/>
      <c r="AE103" s="81" t="b">
        <v>0</v>
      </c>
      <c r="AF103" s="81">
        <v>0</v>
      </c>
      <c r="AG103" s="86" t="s">
        <v>6240</v>
      </c>
      <c r="AH103" s="81" t="b">
        <v>0</v>
      </c>
      <c r="AI103" s="81" t="s">
        <v>6478</v>
      </c>
      <c r="AJ103" s="81"/>
      <c r="AK103" s="86" t="s">
        <v>6240</v>
      </c>
      <c r="AL103" s="81" t="b">
        <v>0</v>
      </c>
      <c r="AM103" s="81">
        <v>10</v>
      </c>
      <c r="AN103" s="86" t="s">
        <v>4365</v>
      </c>
      <c r="AO103" s="86" t="s">
        <v>6503</v>
      </c>
      <c r="AP103" s="81" t="b">
        <v>0</v>
      </c>
      <c r="AQ103" s="86" t="s">
        <v>4365</v>
      </c>
      <c r="AR103" s="81" t="s">
        <v>179</v>
      </c>
      <c r="AS103" s="81">
        <v>0</v>
      </c>
      <c r="AT103" s="81">
        <v>0</v>
      </c>
      <c r="AU103" s="81"/>
      <c r="AV103" s="81"/>
      <c r="AW103" s="81"/>
      <c r="AX103" s="81"/>
      <c r="AY103" s="81"/>
      <c r="AZ103" s="81"/>
      <c r="BA103" s="81"/>
      <c r="BB103" s="81"/>
    </row>
    <row r="104" spans="1:54" x14ac:dyDescent="0.35">
      <c r="A104" s="66" t="s">
        <v>295</v>
      </c>
      <c r="B104" s="66" t="s">
        <v>357</v>
      </c>
      <c r="C104" s="67"/>
      <c r="D104" s="68"/>
      <c r="E104" s="69"/>
      <c r="F104" s="70"/>
      <c r="G104" s="67"/>
      <c r="H104" s="71"/>
      <c r="I104" s="72"/>
      <c r="J104" s="72"/>
      <c r="K104" s="36"/>
      <c r="L104" s="79"/>
      <c r="M104" s="79"/>
      <c r="N104" s="74"/>
      <c r="O104" s="81" t="s">
        <v>1532</v>
      </c>
      <c r="P104" s="83">
        <v>44458.651620370372</v>
      </c>
      <c r="Q104" s="81" t="s">
        <v>1583</v>
      </c>
      <c r="R104" s="84" t="str">
        <f>HYPERLINK("https://kerjha.com/pos-indonesia-gandeng-nujek-dan-perkenalkan-o-ranger-mawar/")</f>
        <v>https://kerjha.com/pos-indonesia-gandeng-nujek-dan-perkenalkan-o-ranger-mawar/</v>
      </c>
      <c r="S104" s="81" t="s">
        <v>2586</v>
      </c>
      <c r="T104" s="81"/>
      <c r="U104" s="81"/>
      <c r="V104" s="84" t="str">
        <f>HYPERLINK("https://pbs.twimg.com/profile_images/1287026195297497090/ksuNfii3_normal.jpg")</f>
        <v>https://pbs.twimg.com/profile_images/1287026195297497090/ksuNfii3_normal.jpg</v>
      </c>
      <c r="W104" s="83">
        <v>44458.651620370372</v>
      </c>
      <c r="X104" s="89">
        <v>44458</v>
      </c>
      <c r="Y104" s="86" t="s">
        <v>2841</v>
      </c>
      <c r="Z104" s="84" t="str">
        <f>HYPERLINK("https://twitter.com/anaklolina2/status/1439614844899004421")</f>
        <v>https://twitter.com/anaklolina2/status/1439614844899004421</v>
      </c>
      <c r="AA104" s="81"/>
      <c r="AB104" s="81"/>
      <c r="AC104" s="86" t="s">
        <v>4301</v>
      </c>
      <c r="AD104" s="81"/>
      <c r="AE104" s="81" t="b">
        <v>0</v>
      </c>
      <c r="AF104" s="81">
        <v>0</v>
      </c>
      <c r="AG104" s="86" t="s">
        <v>6240</v>
      </c>
      <c r="AH104" s="81" t="b">
        <v>0</v>
      </c>
      <c r="AI104" s="81" t="s">
        <v>6478</v>
      </c>
      <c r="AJ104" s="81"/>
      <c r="AK104" s="86" t="s">
        <v>6240</v>
      </c>
      <c r="AL104" s="81" t="b">
        <v>0</v>
      </c>
      <c r="AM104" s="81">
        <v>10</v>
      </c>
      <c r="AN104" s="86" t="s">
        <v>4365</v>
      </c>
      <c r="AO104" s="86" t="s">
        <v>6503</v>
      </c>
      <c r="AP104" s="81" t="b">
        <v>0</v>
      </c>
      <c r="AQ104" s="86" t="s">
        <v>4365</v>
      </c>
      <c r="AR104" s="81" t="s">
        <v>179</v>
      </c>
      <c r="AS104" s="81">
        <v>0</v>
      </c>
      <c r="AT104" s="81">
        <v>0</v>
      </c>
      <c r="AU104" s="81"/>
      <c r="AV104" s="81"/>
      <c r="AW104" s="81"/>
      <c r="AX104" s="81"/>
      <c r="AY104" s="81"/>
      <c r="AZ104" s="81"/>
      <c r="BA104" s="81"/>
      <c r="BB104" s="81"/>
    </row>
    <row r="105" spans="1:54" x14ac:dyDescent="0.35">
      <c r="A105" s="66" t="s">
        <v>296</v>
      </c>
      <c r="B105" s="66" t="s">
        <v>335</v>
      </c>
      <c r="C105" s="67"/>
      <c r="D105" s="68"/>
      <c r="E105" s="69"/>
      <c r="F105" s="70"/>
      <c r="G105" s="67"/>
      <c r="H105" s="71"/>
      <c r="I105" s="72"/>
      <c r="J105" s="72"/>
      <c r="K105" s="36"/>
      <c r="L105" s="79"/>
      <c r="M105" s="79"/>
      <c r="N105" s="74"/>
      <c r="O105" s="81" t="s">
        <v>1532</v>
      </c>
      <c r="P105" s="83">
        <v>44458.654432870368</v>
      </c>
      <c r="Q105" s="81" t="s">
        <v>1586</v>
      </c>
      <c r="R105" s="81"/>
      <c r="S105" s="81"/>
      <c r="T105" s="81"/>
      <c r="U105" s="84" t="str">
        <f>HYPERLINK("https://pbs.twimg.com/ext_tw_video_thumb/1439603623520993285/pu/img/4NCBVhjvbYSKxAvX.jpg")</f>
        <v>https://pbs.twimg.com/ext_tw_video_thumb/1439603623520993285/pu/img/4NCBVhjvbYSKxAvX.jpg</v>
      </c>
      <c r="V105" s="84" t="str">
        <f>HYPERLINK("https://pbs.twimg.com/ext_tw_video_thumb/1439603623520993285/pu/img/4NCBVhjvbYSKxAvX.jpg")</f>
        <v>https://pbs.twimg.com/ext_tw_video_thumb/1439603623520993285/pu/img/4NCBVhjvbYSKxAvX.jpg</v>
      </c>
      <c r="W105" s="83">
        <v>44458.654432870368</v>
      </c>
      <c r="X105" s="89">
        <v>44458</v>
      </c>
      <c r="Y105" s="86" t="s">
        <v>2842</v>
      </c>
      <c r="Z105" s="84" t="str">
        <f>HYPERLINK("https://twitter.com/nitafamira/status/1439615862407778313")</f>
        <v>https://twitter.com/nitafamira/status/1439615862407778313</v>
      </c>
      <c r="AA105" s="81"/>
      <c r="AB105" s="81"/>
      <c r="AC105" s="86" t="s">
        <v>4302</v>
      </c>
      <c r="AD105" s="81"/>
      <c r="AE105" s="81" t="b">
        <v>0</v>
      </c>
      <c r="AF105" s="81">
        <v>0</v>
      </c>
      <c r="AG105" s="86" t="s">
        <v>6240</v>
      </c>
      <c r="AH105" s="81" t="b">
        <v>0</v>
      </c>
      <c r="AI105" s="81" t="s">
        <v>6478</v>
      </c>
      <c r="AJ105" s="81"/>
      <c r="AK105" s="86" t="s">
        <v>6240</v>
      </c>
      <c r="AL105" s="81" t="b">
        <v>0</v>
      </c>
      <c r="AM105" s="81">
        <v>102</v>
      </c>
      <c r="AN105" s="86" t="s">
        <v>4519</v>
      </c>
      <c r="AO105" s="86" t="s">
        <v>6503</v>
      </c>
      <c r="AP105" s="81" t="b">
        <v>0</v>
      </c>
      <c r="AQ105" s="86" t="s">
        <v>4519</v>
      </c>
      <c r="AR105" s="81" t="s">
        <v>179</v>
      </c>
      <c r="AS105" s="81">
        <v>0</v>
      </c>
      <c r="AT105" s="81">
        <v>0</v>
      </c>
      <c r="AU105" s="81"/>
      <c r="AV105" s="81"/>
      <c r="AW105" s="81"/>
      <c r="AX105" s="81"/>
      <c r="AY105" s="81"/>
      <c r="AZ105" s="81"/>
      <c r="BA105" s="81"/>
      <c r="BB105" s="81"/>
    </row>
    <row r="106" spans="1:54" x14ac:dyDescent="0.35">
      <c r="A106" s="66" t="s">
        <v>297</v>
      </c>
      <c r="B106" s="66" t="s">
        <v>335</v>
      </c>
      <c r="C106" s="67"/>
      <c r="D106" s="68"/>
      <c r="E106" s="69"/>
      <c r="F106" s="70"/>
      <c r="G106" s="67"/>
      <c r="H106" s="71"/>
      <c r="I106" s="72"/>
      <c r="J106" s="72"/>
      <c r="K106" s="36"/>
      <c r="L106" s="79"/>
      <c r="M106" s="79"/>
      <c r="N106" s="74"/>
      <c r="O106" s="81" t="s">
        <v>1532</v>
      </c>
      <c r="P106" s="83">
        <v>44458.666875000003</v>
      </c>
      <c r="Q106" s="81" t="s">
        <v>1586</v>
      </c>
      <c r="R106" s="81"/>
      <c r="S106" s="81"/>
      <c r="T106" s="81"/>
      <c r="U106" s="84" t="str">
        <f>HYPERLINK("https://pbs.twimg.com/ext_tw_video_thumb/1439603623520993285/pu/img/4NCBVhjvbYSKxAvX.jpg")</f>
        <v>https://pbs.twimg.com/ext_tw_video_thumb/1439603623520993285/pu/img/4NCBVhjvbYSKxAvX.jpg</v>
      </c>
      <c r="V106" s="84" t="str">
        <f>HYPERLINK("https://pbs.twimg.com/ext_tw_video_thumb/1439603623520993285/pu/img/4NCBVhjvbYSKxAvX.jpg")</f>
        <v>https://pbs.twimg.com/ext_tw_video_thumb/1439603623520993285/pu/img/4NCBVhjvbYSKxAvX.jpg</v>
      </c>
      <c r="W106" s="83">
        <v>44458.666875000003</v>
      </c>
      <c r="X106" s="89">
        <v>44458</v>
      </c>
      <c r="Y106" s="86" t="s">
        <v>2843</v>
      </c>
      <c r="Z106" s="84" t="str">
        <f>HYPERLINK("https://twitter.com/shdxlias/status/1439620373213892614")</f>
        <v>https://twitter.com/shdxlias/status/1439620373213892614</v>
      </c>
      <c r="AA106" s="81"/>
      <c r="AB106" s="81"/>
      <c r="AC106" s="86" t="s">
        <v>4303</v>
      </c>
      <c r="AD106" s="81"/>
      <c r="AE106" s="81" t="b">
        <v>0</v>
      </c>
      <c r="AF106" s="81">
        <v>0</v>
      </c>
      <c r="AG106" s="86" t="s">
        <v>6240</v>
      </c>
      <c r="AH106" s="81" t="b">
        <v>0</v>
      </c>
      <c r="AI106" s="81" t="s">
        <v>6478</v>
      </c>
      <c r="AJ106" s="81"/>
      <c r="AK106" s="86" t="s">
        <v>6240</v>
      </c>
      <c r="AL106" s="81" t="b">
        <v>0</v>
      </c>
      <c r="AM106" s="81">
        <v>102</v>
      </c>
      <c r="AN106" s="86" t="s">
        <v>4519</v>
      </c>
      <c r="AO106" s="86" t="s">
        <v>6503</v>
      </c>
      <c r="AP106" s="81" t="b">
        <v>0</v>
      </c>
      <c r="AQ106" s="86" t="s">
        <v>4519</v>
      </c>
      <c r="AR106" s="81" t="s">
        <v>179</v>
      </c>
      <c r="AS106" s="81">
        <v>0</v>
      </c>
      <c r="AT106" s="81">
        <v>0</v>
      </c>
      <c r="AU106" s="81"/>
      <c r="AV106" s="81"/>
      <c r="AW106" s="81"/>
      <c r="AX106" s="81"/>
      <c r="AY106" s="81"/>
      <c r="AZ106" s="81"/>
      <c r="BA106" s="81"/>
      <c r="BB106" s="81"/>
    </row>
    <row r="107" spans="1:54" x14ac:dyDescent="0.35">
      <c r="A107" s="66" t="s">
        <v>298</v>
      </c>
      <c r="B107" s="66" t="s">
        <v>335</v>
      </c>
      <c r="C107" s="67"/>
      <c r="D107" s="68"/>
      <c r="E107" s="69"/>
      <c r="F107" s="70"/>
      <c r="G107" s="67"/>
      <c r="H107" s="71"/>
      <c r="I107" s="72"/>
      <c r="J107" s="72"/>
      <c r="K107" s="36"/>
      <c r="L107" s="79"/>
      <c r="M107" s="79"/>
      <c r="N107" s="74"/>
      <c r="O107" s="81" t="s">
        <v>1532</v>
      </c>
      <c r="P107" s="83">
        <v>44458.669525462959</v>
      </c>
      <c r="Q107" s="81" t="s">
        <v>1586</v>
      </c>
      <c r="R107" s="81"/>
      <c r="S107" s="81"/>
      <c r="T107" s="81"/>
      <c r="U107" s="84" t="str">
        <f>HYPERLINK("https://pbs.twimg.com/ext_tw_video_thumb/1439603623520993285/pu/img/4NCBVhjvbYSKxAvX.jpg")</f>
        <v>https://pbs.twimg.com/ext_tw_video_thumb/1439603623520993285/pu/img/4NCBVhjvbYSKxAvX.jpg</v>
      </c>
      <c r="V107" s="84" t="str">
        <f>HYPERLINK("https://pbs.twimg.com/ext_tw_video_thumb/1439603623520993285/pu/img/4NCBVhjvbYSKxAvX.jpg")</f>
        <v>https://pbs.twimg.com/ext_tw_video_thumb/1439603623520993285/pu/img/4NCBVhjvbYSKxAvX.jpg</v>
      </c>
      <c r="W107" s="83">
        <v>44458.669525462959</v>
      </c>
      <c r="X107" s="89">
        <v>44458</v>
      </c>
      <c r="Y107" s="86" t="s">
        <v>2844</v>
      </c>
      <c r="Z107" s="84" t="str">
        <f>HYPERLINK("https://twitter.com/frugalfliza/status/1439621334288326658")</f>
        <v>https://twitter.com/frugalfliza/status/1439621334288326658</v>
      </c>
      <c r="AA107" s="81"/>
      <c r="AB107" s="81"/>
      <c r="AC107" s="86" t="s">
        <v>4304</v>
      </c>
      <c r="AD107" s="81"/>
      <c r="AE107" s="81" t="b">
        <v>0</v>
      </c>
      <c r="AF107" s="81">
        <v>0</v>
      </c>
      <c r="AG107" s="86" t="s">
        <v>6240</v>
      </c>
      <c r="AH107" s="81" t="b">
        <v>0</v>
      </c>
      <c r="AI107" s="81" t="s">
        <v>6478</v>
      </c>
      <c r="AJ107" s="81"/>
      <c r="AK107" s="86" t="s">
        <v>6240</v>
      </c>
      <c r="AL107" s="81" t="b">
        <v>0</v>
      </c>
      <c r="AM107" s="81">
        <v>102</v>
      </c>
      <c r="AN107" s="86" t="s">
        <v>4519</v>
      </c>
      <c r="AO107" s="86" t="s">
        <v>6507</v>
      </c>
      <c r="AP107" s="81" t="b">
        <v>0</v>
      </c>
      <c r="AQ107" s="86" t="s">
        <v>4519</v>
      </c>
      <c r="AR107" s="81" t="s">
        <v>179</v>
      </c>
      <c r="AS107" s="81">
        <v>0</v>
      </c>
      <c r="AT107" s="81">
        <v>0</v>
      </c>
      <c r="AU107" s="81"/>
      <c r="AV107" s="81"/>
      <c r="AW107" s="81"/>
      <c r="AX107" s="81"/>
      <c r="AY107" s="81"/>
      <c r="AZ107" s="81"/>
      <c r="BA107" s="81"/>
      <c r="BB107" s="81"/>
    </row>
    <row r="108" spans="1:54" x14ac:dyDescent="0.35">
      <c r="A108" s="66" t="s">
        <v>299</v>
      </c>
      <c r="B108" s="66" t="s">
        <v>335</v>
      </c>
      <c r="C108" s="67"/>
      <c r="D108" s="68"/>
      <c r="E108" s="69"/>
      <c r="F108" s="70"/>
      <c r="G108" s="67"/>
      <c r="H108" s="71"/>
      <c r="I108" s="72"/>
      <c r="J108" s="72"/>
      <c r="K108" s="36"/>
      <c r="L108" s="79"/>
      <c r="M108" s="79"/>
      <c r="N108" s="74"/>
      <c r="O108" s="81" t="s">
        <v>1532</v>
      </c>
      <c r="P108" s="83">
        <v>44458.670115740744</v>
      </c>
      <c r="Q108" s="81" t="s">
        <v>1586</v>
      </c>
      <c r="R108" s="81"/>
      <c r="S108" s="81"/>
      <c r="T108" s="81"/>
      <c r="U108" s="84" t="str">
        <f>HYPERLINK("https://pbs.twimg.com/ext_tw_video_thumb/1439603623520993285/pu/img/4NCBVhjvbYSKxAvX.jpg")</f>
        <v>https://pbs.twimg.com/ext_tw_video_thumb/1439603623520993285/pu/img/4NCBVhjvbYSKxAvX.jpg</v>
      </c>
      <c r="V108" s="84" t="str">
        <f>HYPERLINK("https://pbs.twimg.com/ext_tw_video_thumb/1439603623520993285/pu/img/4NCBVhjvbYSKxAvX.jpg")</f>
        <v>https://pbs.twimg.com/ext_tw_video_thumb/1439603623520993285/pu/img/4NCBVhjvbYSKxAvX.jpg</v>
      </c>
      <c r="W108" s="83">
        <v>44458.670115740744</v>
      </c>
      <c r="X108" s="89">
        <v>44458</v>
      </c>
      <c r="Y108" s="86" t="s">
        <v>2845</v>
      </c>
      <c r="Z108" s="84" t="str">
        <f>HYPERLINK("https://twitter.com/lyzaoreo/status/1439621548487233541")</f>
        <v>https://twitter.com/lyzaoreo/status/1439621548487233541</v>
      </c>
      <c r="AA108" s="81"/>
      <c r="AB108" s="81"/>
      <c r="AC108" s="86" t="s">
        <v>4305</v>
      </c>
      <c r="AD108" s="81"/>
      <c r="AE108" s="81" t="b">
        <v>0</v>
      </c>
      <c r="AF108" s="81">
        <v>0</v>
      </c>
      <c r="AG108" s="86" t="s">
        <v>6240</v>
      </c>
      <c r="AH108" s="81" t="b">
        <v>0</v>
      </c>
      <c r="AI108" s="81" t="s">
        <v>6478</v>
      </c>
      <c r="AJ108" s="81"/>
      <c r="AK108" s="86" t="s">
        <v>6240</v>
      </c>
      <c r="AL108" s="81" t="b">
        <v>0</v>
      </c>
      <c r="AM108" s="81">
        <v>102</v>
      </c>
      <c r="AN108" s="86" t="s">
        <v>4519</v>
      </c>
      <c r="AO108" s="86" t="s">
        <v>6505</v>
      </c>
      <c r="AP108" s="81" t="b">
        <v>0</v>
      </c>
      <c r="AQ108" s="86" t="s">
        <v>4519</v>
      </c>
      <c r="AR108" s="81" t="s">
        <v>179</v>
      </c>
      <c r="AS108" s="81">
        <v>0</v>
      </c>
      <c r="AT108" s="81">
        <v>0</v>
      </c>
      <c r="AU108" s="81"/>
      <c r="AV108" s="81"/>
      <c r="AW108" s="81"/>
      <c r="AX108" s="81"/>
      <c r="AY108" s="81"/>
      <c r="AZ108" s="81"/>
      <c r="BA108" s="81"/>
      <c r="BB108" s="81"/>
    </row>
    <row r="109" spans="1:54" x14ac:dyDescent="0.35">
      <c r="A109" s="66" t="s">
        <v>300</v>
      </c>
      <c r="B109" s="66" t="s">
        <v>1272</v>
      </c>
      <c r="C109" s="67"/>
      <c r="D109" s="68"/>
      <c r="E109" s="69"/>
      <c r="F109" s="70"/>
      <c r="G109" s="67"/>
      <c r="H109" s="71"/>
      <c r="I109" s="72"/>
      <c r="J109" s="72"/>
      <c r="K109" s="36"/>
      <c r="L109" s="79"/>
      <c r="M109" s="79"/>
      <c r="N109" s="74"/>
      <c r="O109" s="81" t="s">
        <v>1533</v>
      </c>
      <c r="P109" s="83">
        <v>44458.672395833331</v>
      </c>
      <c r="Q109" s="81" t="s">
        <v>1536</v>
      </c>
      <c r="R109" s="81"/>
      <c r="S109" s="81"/>
      <c r="T109" s="86" t="s">
        <v>2656</v>
      </c>
      <c r="U109" s="84" t="str">
        <f>HYPERLINK("https://pbs.twimg.com/media/E_X1zlwVIAES6Ks.jpg")</f>
        <v>https://pbs.twimg.com/media/E_X1zlwVIAES6Ks.jpg</v>
      </c>
      <c r="V109" s="84" t="str">
        <f>HYPERLINK("https://pbs.twimg.com/media/E_X1zlwVIAES6Ks.jpg")</f>
        <v>https://pbs.twimg.com/media/E_X1zlwVIAES6Ks.jpg</v>
      </c>
      <c r="W109" s="83">
        <v>44458.672395833331</v>
      </c>
      <c r="X109" s="89">
        <v>44458</v>
      </c>
      <c r="Y109" s="86" t="s">
        <v>2846</v>
      </c>
      <c r="Z109" s="84" t="str">
        <f>HYPERLINK("https://twitter.com/ariasampash/status/1439622372902924290")</f>
        <v>https://twitter.com/ariasampash/status/1439622372902924290</v>
      </c>
      <c r="AA109" s="81"/>
      <c r="AB109" s="81"/>
      <c r="AC109" s="86" t="s">
        <v>4306</v>
      </c>
      <c r="AD109" s="81"/>
      <c r="AE109" s="81" t="b">
        <v>0</v>
      </c>
      <c r="AF109" s="81">
        <v>0</v>
      </c>
      <c r="AG109" s="86" t="s">
        <v>6240</v>
      </c>
      <c r="AH109" s="81" t="b">
        <v>0</v>
      </c>
      <c r="AI109" s="81" t="s">
        <v>6478</v>
      </c>
      <c r="AJ109" s="81"/>
      <c r="AK109" s="86" t="s">
        <v>6240</v>
      </c>
      <c r="AL109" s="81" t="b">
        <v>0</v>
      </c>
      <c r="AM109" s="81">
        <v>61</v>
      </c>
      <c r="AN109" s="86" t="s">
        <v>4550</v>
      </c>
      <c r="AO109" s="86" t="s">
        <v>6507</v>
      </c>
      <c r="AP109" s="81" t="b">
        <v>0</v>
      </c>
      <c r="AQ109" s="86" t="s">
        <v>4550</v>
      </c>
      <c r="AR109" s="81" t="s">
        <v>179</v>
      </c>
      <c r="AS109" s="81">
        <v>0</v>
      </c>
      <c r="AT109" s="81">
        <v>0</v>
      </c>
      <c r="AU109" s="81"/>
      <c r="AV109" s="81"/>
      <c r="AW109" s="81"/>
      <c r="AX109" s="81"/>
      <c r="AY109" s="81"/>
      <c r="AZ109" s="81"/>
      <c r="BA109" s="81"/>
      <c r="BB109" s="81"/>
    </row>
    <row r="110" spans="1:54" x14ac:dyDescent="0.35">
      <c r="A110" s="66" t="s">
        <v>300</v>
      </c>
      <c r="B110" s="66" t="s">
        <v>526</v>
      </c>
      <c r="C110" s="67"/>
      <c r="D110" s="68"/>
      <c r="E110" s="69"/>
      <c r="F110" s="70"/>
      <c r="G110" s="67"/>
      <c r="H110" s="71"/>
      <c r="I110" s="72"/>
      <c r="J110" s="72"/>
      <c r="K110" s="36"/>
      <c r="L110" s="79"/>
      <c r="M110" s="79"/>
      <c r="N110" s="74"/>
      <c r="O110" s="81" t="s">
        <v>1532</v>
      </c>
      <c r="P110" s="83">
        <v>44458.672395833331</v>
      </c>
      <c r="Q110" s="81" t="s">
        <v>1536</v>
      </c>
      <c r="R110" s="81"/>
      <c r="S110" s="81"/>
      <c r="T110" s="86" t="s">
        <v>2656</v>
      </c>
      <c r="U110" s="84" t="str">
        <f>HYPERLINK("https://pbs.twimg.com/media/E_X1zlwVIAES6Ks.jpg")</f>
        <v>https://pbs.twimg.com/media/E_X1zlwVIAES6Ks.jpg</v>
      </c>
      <c r="V110" s="84" t="str">
        <f>HYPERLINK("https://pbs.twimg.com/media/E_X1zlwVIAES6Ks.jpg")</f>
        <v>https://pbs.twimg.com/media/E_X1zlwVIAES6Ks.jpg</v>
      </c>
      <c r="W110" s="83">
        <v>44458.672395833331</v>
      </c>
      <c r="X110" s="89">
        <v>44458</v>
      </c>
      <c r="Y110" s="86" t="s">
        <v>2846</v>
      </c>
      <c r="Z110" s="84" t="str">
        <f>HYPERLINK("https://twitter.com/ariasampash/status/1439622372902924290")</f>
        <v>https://twitter.com/ariasampash/status/1439622372902924290</v>
      </c>
      <c r="AA110" s="81"/>
      <c r="AB110" s="81"/>
      <c r="AC110" s="86" t="s">
        <v>4306</v>
      </c>
      <c r="AD110" s="81"/>
      <c r="AE110" s="81" t="b">
        <v>0</v>
      </c>
      <c r="AF110" s="81">
        <v>0</v>
      </c>
      <c r="AG110" s="86" t="s">
        <v>6240</v>
      </c>
      <c r="AH110" s="81" t="b">
        <v>0</v>
      </c>
      <c r="AI110" s="81" t="s">
        <v>6478</v>
      </c>
      <c r="AJ110" s="81"/>
      <c r="AK110" s="86" t="s">
        <v>6240</v>
      </c>
      <c r="AL110" s="81" t="b">
        <v>0</v>
      </c>
      <c r="AM110" s="81">
        <v>61</v>
      </c>
      <c r="AN110" s="86" t="s">
        <v>4550</v>
      </c>
      <c r="AO110" s="86" t="s">
        <v>6507</v>
      </c>
      <c r="AP110" s="81" t="b">
        <v>0</v>
      </c>
      <c r="AQ110" s="86" t="s">
        <v>4550</v>
      </c>
      <c r="AR110" s="81" t="s">
        <v>179</v>
      </c>
      <c r="AS110" s="81">
        <v>0</v>
      </c>
      <c r="AT110" s="81">
        <v>0</v>
      </c>
      <c r="AU110" s="81"/>
      <c r="AV110" s="81"/>
      <c r="AW110" s="81"/>
      <c r="AX110" s="81"/>
      <c r="AY110" s="81"/>
      <c r="AZ110" s="81"/>
      <c r="BA110" s="81"/>
      <c r="BB110" s="81"/>
    </row>
    <row r="111" spans="1:54" x14ac:dyDescent="0.35">
      <c r="A111" s="66" t="s">
        <v>301</v>
      </c>
      <c r="B111" s="66" t="s">
        <v>1272</v>
      </c>
      <c r="C111" s="67"/>
      <c r="D111" s="68"/>
      <c r="E111" s="69"/>
      <c r="F111" s="70"/>
      <c r="G111" s="67"/>
      <c r="H111" s="71"/>
      <c r="I111" s="72"/>
      <c r="J111" s="72"/>
      <c r="K111" s="36"/>
      <c r="L111" s="79"/>
      <c r="M111" s="79"/>
      <c r="N111" s="74"/>
      <c r="O111" s="81" t="s">
        <v>1533</v>
      </c>
      <c r="P111" s="83">
        <v>44458.673252314817</v>
      </c>
      <c r="Q111" s="81" t="s">
        <v>1536</v>
      </c>
      <c r="R111" s="81"/>
      <c r="S111" s="81"/>
      <c r="T111" s="86" t="s">
        <v>2656</v>
      </c>
      <c r="U111" s="84" t="str">
        <f>HYPERLINK("https://pbs.twimg.com/media/E_X1zlwVIAES6Ks.jpg")</f>
        <v>https://pbs.twimg.com/media/E_X1zlwVIAES6Ks.jpg</v>
      </c>
      <c r="V111" s="84" t="str">
        <f>HYPERLINK("https://pbs.twimg.com/media/E_X1zlwVIAES6Ks.jpg")</f>
        <v>https://pbs.twimg.com/media/E_X1zlwVIAES6Ks.jpg</v>
      </c>
      <c r="W111" s="83">
        <v>44458.673252314817</v>
      </c>
      <c r="X111" s="89">
        <v>44458</v>
      </c>
      <c r="Y111" s="86" t="s">
        <v>2847</v>
      </c>
      <c r="Z111" s="84" t="str">
        <f>HYPERLINK("https://twitter.com/shahnewaz01/status/1439622682413187074")</f>
        <v>https://twitter.com/shahnewaz01/status/1439622682413187074</v>
      </c>
      <c r="AA111" s="81"/>
      <c r="AB111" s="81"/>
      <c r="AC111" s="86" t="s">
        <v>4307</v>
      </c>
      <c r="AD111" s="81"/>
      <c r="AE111" s="81" t="b">
        <v>0</v>
      </c>
      <c r="AF111" s="81">
        <v>0</v>
      </c>
      <c r="AG111" s="86" t="s">
        <v>6240</v>
      </c>
      <c r="AH111" s="81" t="b">
        <v>0</v>
      </c>
      <c r="AI111" s="81" t="s">
        <v>6478</v>
      </c>
      <c r="AJ111" s="81"/>
      <c r="AK111" s="86" t="s">
        <v>6240</v>
      </c>
      <c r="AL111" s="81" t="b">
        <v>0</v>
      </c>
      <c r="AM111" s="81">
        <v>61</v>
      </c>
      <c r="AN111" s="86" t="s">
        <v>4550</v>
      </c>
      <c r="AO111" s="86" t="s">
        <v>6503</v>
      </c>
      <c r="AP111" s="81" t="b">
        <v>0</v>
      </c>
      <c r="AQ111" s="86" t="s">
        <v>4550</v>
      </c>
      <c r="AR111" s="81" t="s">
        <v>179</v>
      </c>
      <c r="AS111" s="81">
        <v>0</v>
      </c>
      <c r="AT111" s="81">
        <v>0</v>
      </c>
      <c r="AU111" s="81"/>
      <c r="AV111" s="81"/>
      <c r="AW111" s="81"/>
      <c r="AX111" s="81"/>
      <c r="AY111" s="81"/>
      <c r="AZ111" s="81"/>
      <c r="BA111" s="81"/>
      <c r="BB111" s="81"/>
    </row>
    <row r="112" spans="1:54" x14ac:dyDescent="0.35">
      <c r="A112" s="66" t="s">
        <v>301</v>
      </c>
      <c r="B112" s="66" t="s">
        <v>526</v>
      </c>
      <c r="C112" s="67"/>
      <c r="D112" s="68"/>
      <c r="E112" s="69"/>
      <c r="F112" s="70"/>
      <c r="G112" s="67"/>
      <c r="H112" s="71"/>
      <c r="I112" s="72"/>
      <c r="J112" s="72"/>
      <c r="K112" s="36"/>
      <c r="L112" s="79"/>
      <c r="M112" s="79"/>
      <c r="N112" s="74"/>
      <c r="O112" s="81" t="s">
        <v>1532</v>
      </c>
      <c r="P112" s="83">
        <v>44458.673252314817</v>
      </c>
      <c r="Q112" s="81" t="s">
        <v>1536</v>
      </c>
      <c r="R112" s="81"/>
      <c r="S112" s="81"/>
      <c r="T112" s="86" t="s">
        <v>2656</v>
      </c>
      <c r="U112" s="84" t="str">
        <f>HYPERLINK("https://pbs.twimg.com/media/E_X1zlwVIAES6Ks.jpg")</f>
        <v>https://pbs.twimg.com/media/E_X1zlwVIAES6Ks.jpg</v>
      </c>
      <c r="V112" s="84" t="str">
        <f>HYPERLINK("https://pbs.twimg.com/media/E_X1zlwVIAES6Ks.jpg")</f>
        <v>https://pbs.twimg.com/media/E_X1zlwVIAES6Ks.jpg</v>
      </c>
      <c r="W112" s="83">
        <v>44458.673252314817</v>
      </c>
      <c r="X112" s="89">
        <v>44458</v>
      </c>
      <c r="Y112" s="86" t="s">
        <v>2847</v>
      </c>
      <c r="Z112" s="84" t="str">
        <f>HYPERLINK("https://twitter.com/shahnewaz01/status/1439622682413187074")</f>
        <v>https://twitter.com/shahnewaz01/status/1439622682413187074</v>
      </c>
      <c r="AA112" s="81"/>
      <c r="AB112" s="81"/>
      <c r="AC112" s="86" t="s">
        <v>4307</v>
      </c>
      <c r="AD112" s="81"/>
      <c r="AE112" s="81" t="b">
        <v>0</v>
      </c>
      <c r="AF112" s="81">
        <v>0</v>
      </c>
      <c r="AG112" s="86" t="s">
        <v>6240</v>
      </c>
      <c r="AH112" s="81" t="b">
        <v>0</v>
      </c>
      <c r="AI112" s="81" t="s">
        <v>6478</v>
      </c>
      <c r="AJ112" s="81"/>
      <c r="AK112" s="86" t="s">
        <v>6240</v>
      </c>
      <c r="AL112" s="81" t="b">
        <v>0</v>
      </c>
      <c r="AM112" s="81">
        <v>61</v>
      </c>
      <c r="AN112" s="86" t="s">
        <v>4550</v>
      </c>
      <c r="AO112" s="86" t="s">
        <v>6503</v>
      </c>
      <c r="AP112" s="81" t="b">
        <v>0</v>
      </c>
      <c r="AQ112" s="86" t="s">
        <v>4550</v>
      </c>
      <c r="AR112" s="81" t="s">
        <v>179</v>
      </c>
      <c r="AS112" s="81">
        <v>0</v>
      </c>
      <c r="AT112" s="81">
        <v>0</v>
      </c>
      <c r="AU112" s="81"/>
      <c r="AV112" s="81"/>
      <c r="AW112" s="81"/>
      <c r="AX112" s="81"/>
      <c r="AY112" s="81"/>
      <c r="AZ112" s="81"/>
      <c r="BA112" s="81"/>
      <c r="BB112" s="81"/>
    </row>
    <row r="113" spans="1:54" x14ac:dyDescent="0.35">
      <c r="A113" s="66" t="s">
        <v>302</v>
      </c>
      <c r="B113" s="66" t="s">
        <v>335</v>
      </c>
      <c r="C113" s="67"/>
      <c r="D113" s="68"/>
      <c r="E113" s="69"/>
      <c r="F113" s="70"/>
      <c r="G113" s="67"/>
      <c r="H113" s="71"/>
      <c r="I113" s="72"/>
      <c r="J113" s="72"/>
      <c r="K113" s="36"/>
      <c r="L113" s="79"/>
      <c r="M113" s="79"/>
      <c r="N113" s="74"/>
      <c r="O113" s="81" t="s">
        <v>1532</v>
      </c>
      <c r="P113" s="83">
        <v>44458.676018518519</v>
      </c>
      <c r="Q113" s="81" t="s">
        <v>1586</v>
      </c>
      <c r="R113" s="81"/>
      <c r="S113" s="81"/>
      <c r="T113" s="81"/>
      <c r="U113" s="84" t="str">
        <f>HYPERLINK("https://pbs.twimg.com/ext_tw_video_thumb/1439603623520993285/pu/img/4NCBVhjvbYSKxAvX.jpg")</f>
        <v>https://pbs.twimg.com/ext_tw_video_thumb/1439603623520993285/pu/img/4NCBVhjvbYSKxAvX.jpg</v>
      </c>
      <c r="V113" s="84" t="str">
        <f>HYPERLINK("https://pbs.twimg.com/ext_tw_video_thumb/1439603623520993285/pu/img/4NCBVhjvbYSKxAvX.jpg")</f>
        <v>https://pbs.twimg.com/ext_tw_video_thumb/1439603623520993285/pu/img/4NCBVhjvbYSKxAvX.jpg</v>
      </c>
      <c r="W113" s="83">
        <v>44458.676018518519</v>
      </c>
      <c r="X113" s="89">
        <v>44458</v>
      </c>
      <c r="Y113" s="86" t="s">
        <v>2848</v>
      </c>
      <c r="Z113" s="84" t="str">
        <f>HYPERLINK("https://twitter.com/qurratulaini_99/status/1439623686164647936")</f>
        <v>https://twitter.com/qurratulaini_99/status/1439623686164647936</v>
      </c>
      <c r="AA113" s="81"/>
      <c r="AB113" s="81"/>
      <c r="AC113" s="86" t="s">
        <v>4308</v>
      </c>
      <c r="AD113" s="81"/>
      <c r="AE113" s="81" t="b">
        <v>0</v>
      </c>
      <c r="AF113" s="81">
        <v>0</v>
      </c>
      <c r="AG113" s="86" t="s">
        <v>6240</v>
      </c>
      <c r="AH113" s="81" t="b">
        <v>0</v>
      </c>
      <c r="AI113" s="81" t="s">
        <v>6478</v>
      </c>
      <c r="AJ113" s="81"/>
      <c r="AK113" s="86" t="s">
        <v>6240</v>
      </c>
      <c r="AL113" s="81" t="b">
        <v>0</v>
      </c>
      <c r="AM113" s="81">
        <v>102</v>
      </c>
      <c r="AN113" s="86" t="s">
        <v>4519</v>
      </c>
      <c r="AO113" s="86" t="s">
        <v>6505</v>
      </c>
      <c r="AP113" s="81" t="b">
        <v>0</v>
      </c>
      <c r="AQ113" s="86" t="s">
        <v>4519</v>
      </c>
      <c r="AR113" s="81" t="s">
        <v>179</v>
      </c>
      <c r="AS113" s="81">
        <v>0</v>
      </c>
      <c r="AT113" s="81">
        <v>0</v>
      </c>
      <c r="AU113" s="81"/>
      <c r="AV113" s="81"/>
      <c r="AW113" s="81"/>
      <c r="AX113" s="81"/>
      <c r="AY113" s="81"/>
      <c r="AZ113" s="81"/>
      <c r="BA113" s="81"/>
      <c r="BB113" s="81"/>
    </row>
    <row r="114" spans="1:54" x14ac:dyDescent="0.35">
      <c r="A114" s="66" t="s">
        <v>303</v>
      </c>
      <c r="B114" s="66" t="s">
        <v>335</v>
      </c>
      <c r="C114" s="67"/>
      <c r="D114" s="68"/>
      <c r="E114" s="69"/>
      <c r="F114" s="70"/>
      <c r="G114" s="67"/>
      <c r="H114" s="71"/>
      <c r="I114" s="72"/>
      <c r="J114" s="72"/>
      <c r="K114" s="36"/>
      <c r="L114" s="79"/>
      <c r="M114" s="79"/>
      <c r="N114" s="74"/>
      <c r="O114" s="81" t="s">
        <v>1532</v>
      </c>
      <c r="P114" s="83">
        <v>44458.68005787037</v>
      </c>
      <c r="Q114" s="81" t="s">
        <v>1586</v>
      </c>
      <c r="R114" s="81"/>
      <c r="S114" s="81"/>
      <c r="T114" s="81"/>
      <c r="U114" s="84" t="str">
        <f>HYPERLINK("https://pbs.twimg.com/ext_tw_video_thumb/1439603623520993285/pu/img/4NCBVhjvbYSKxAvX.jpg")</f>
        <v>https://pbs.twimg.com/ext_tw_video_thumb/1439603623520993285/pu/img/4NCBVhjvbYSKxAvX.jpg</v>
      </c>
      <c r="V114" s="84" t="str">
        <f>HYPERLINK("https://pbs.twimg.com/ext_tw_video_thumb/1439603623520993285/pu/img/4NCBVhjvbYSKxAvX.jpg")</f>
        <v>https://pbs.twimg.com/ext_tw_video_thumb/1439603623520993285/pu/img/4NCBVhjvbYSKxAvX.jpg</v>
      </c>
      <c r="W114" s="83">
        <v>44458.68005787037</v>
      </c>
      <c r="X114" s="89">
        <v>44458</v>
      </c>
      <c r="Y114" s="86" t="s">
        <v>2849</v>
      </c>
      <c r="Z114" s="84" t="str">
        <f>HYPERLINK("https://twitter.com/doraemonbolatt/status/1439625152270979078")</f>
        <v>https://twitter.com/doraemonbolatt/status/1439625152270979078</v>
      </c>
      <c r="AA114" s="81"/>
      <c r="AB114" s="81"/>
      <c r="AC114" s="86" t="s">
        <v>4309</v>
      </c>
      <c r="AD114" s="81"/>
      <c r="AE114" s="81" t="b">
        <v>0</v>
      </c>
      <c r="AF114" s="81">
        <v>0</v>
      </c>
      <c r="AG114" s="86" t="s">
        <v>6240</v>
      </c>
      <c r="AH114" s="81" t="b">
        <v>0</v>
      </c>
      <c r="AI114" s="81" t="s">
        <v>6478</v>
      </c>
      <c r="AJ114" s="81"/>
      <c r="AK114" s="86" t="s">
        <v>6240</v>
      </c>
      <c r="AL114" s="81" t="b">
        <v>0</v>
      </c>
      <c r="AM114" s="81">
        <v>102</v>
      </c>
      <c r="AN114" s="86" t="s">
        <v>4519</v>
      </c>
      <c r="AO114" s="86" t="s">
        <v>6503</v>
      </c>
      <c r="AP114" s="81" t="b">
        <v>0</v>
      </c>
      <c r="AQ114" s="86" t="s">
        <v>4519</v>
      </c>
      <c r="AR114" s="81" t="s">
        <v>179</v>
      </c>
      <c r="AS114" s="81">
        <v>0</v>
      </c>
      <c r="AT114" s="81">
        <v>0</v>
      </c>
      <c r="AU114" s="81"/>
      <c r="AV114" s="81"/>
      <c r="AW114" s="81"/>
      <c r="AX114" s="81"/>
      <c r="AY114" s="81"/>
      <c r="AZ114" s="81"/>
      <c r="BA114" s="81"/>
      <c r="BB114" s="81"/>
    </row>
    <row r="115" spans="1:54" x14ac:dyDescent="0.35">
      <c r="A115" s="66" t="s">
        <v>304</v>
      </c>
      <c r="B115" s="66" t="s">
        <v>335</v>
      </c>
      <c r="C115" s="67"/>
      <c r="D115" s="68"/>
      <c r="E115" s="69"/>
      <c r="F115" s="70"/>
      <c r="G115" s="67"/>
      <c r="H115" s="71"/>
      <c r="I115" s="72"/>
      <c r="J115" s="72"/>
      <c r="K115" s="36"/>
      <c r="L115" s="79"/>
      <c r="M115" s="79"/>
      <c r="N115" s="74"/>
      <c r="O115" s="81" t="s">
        <v>1532</v>
      </c>
      <c r="P115" s="83">
        <v>44458.683356481481</v>
      </c>
      <c r="Q115" s="81" t="s">
        <v>1586</v>
      </c>
      <c r="R115" s="81"/>
      <c r="S115" s="81"/>
      <c r="T115" s="81"/>
      <c r="U115" s="84" t="str">
        <f>HYPERLINK("https://pbs.twimg.com/ext_tw_video_thumb/1439603623520993285/pu/img/4NCBVhjvbYSKxAvX.jpg")</f>
        <v>https://pbs.twimg.com/ext_tw_video_thumb/1439603623520993285/pu/img/4NCBVhjvbYSKxAvX.jpg</v>
      </c>
      <c r="V115" s="84" t="str">
        <f>HYPERLINK("https://pbs.twimg.com/ext_tw_video_thumb/1439603623520993285/pu/img/4NCBVhjvbYSKxAvX.jpg")</f>
        <v>https://pbs.twimg.com/ext_tw_video_thumb/1439603623520993285/pu/img/4NCBVhjvbYSKxAvX.jpg</v>
      </c>
      <c r="W115" s="83">
        <v>44458.683356481481</v>
      </c>
      <c r="X115" s="89">
        <v>44458</v>
      </c>
      <c r="Y115" s="86" t="s">
        <v>2850</v>
      </c>
      <c r="Z115" s="84" t="str">
        <f>HYPERLINK("https://twitter.com/whysishak/status/1439626343889596419")</f>
        <v>https://twitter.com/whysishak/status/1439626343889596419</v>
      </c>
      <c r="AA115" s="81"/>
      <c r="AB115" s="81"/>
      <c r="AC115" s="86" t="s">
        <v>4310</v>
      </c>
      <c r="AD115" s="81"/>
      <c r="AE115" s="81" t="b">
        <v>0</v>
      </c>
      <c r="AF115" s="81">
        <v>0</v>
      </c>
      <c r="AG115" s="86" t="s">
        <v>6240</v>
      </c>
      <c r="AH115" s="81" t="b">
        <v>0</v>
      </c>
      <c r="AI115" s="81" t="s">
        <v>6478</v>
      </c>
      <c r="AJ115" s="81"/>
      <c r="AK115" s="86" t="s">
        <v>6240</v>
      </c>
      <c r="AL115" s="81" t="b">
        <v>0</v>
      </c>
      <c r="AM115" s="81">
        <v>102</v>
      </c>
      <c r="AN115" s="86" t="s">
        <v>4519</v>
      </c>
      <c r="AO115" s="86" t="s">
        <v>6503</v>
      </c>
      <c r="AP115" s="81" t="b">
        <v>0</v>
      </c>
      <c r="AQ115" s="86" t="s">
        <v>4519</v>
      </c>
      <c r="AR115" s="81" t="s">
        <v>179</v>
      </c>
      <c r="AS115" s="81">
        <v>0</v>
      </c>
      <c r="AT115" s="81">
        <v>0</v>
      </c>
      <c r="AU115" s="81"/>
      <c r="AV115" s="81"/>
      <c r="AW115" s="81"/>
      <c r="AX115" s="81"/>
      <c r="AY115" s="81"/>
      <c r="AZ115" s="81"/>
      <c r="BA115" s="81"/>
      <c r="BB115" s="81"/>
    </row>
    <row r="116" spans="1:54" x14ac:dyDescent="0.35">
      <c r="A116" s="66" t="s">
        <v>305</v>
      </c>
      <c r="B116" s="66" t="s">
        <v>335</v>
      </c>
      <c r="C116" s="67"/>
      <c r="D116" s="68"/>
      <c r="E116" s="69"/>
      <c r="F116" s="70"/>
      <c r="G116" s="67"/>
      <c r="H116" s="71"/>
      <c r="I116" s="72"/>
      <c r="J116" s="72"/>
      <c r="K116" s="36"/>
      <c r="L116" s="79"/>
      <c r="M116" s="79"/>
      <c r="N116" s="74"/>
      <c r="O116" s="81" t="s">
        <v>1532</v>
      </c>
      <c r="P116" s="83">
        <v>44458.68377314815</v>
      </c>
      <c r="Q116" s="81" t="s">
        <v>1586</v>
      </c>
      <c r="R116" s="81"/>
      <c r="S116" s="81"/>
      <c r="T116" s="81"/>
      <c r="U116" s="84" t="str">
        <f>HYPERLINK("https://pbs.twimg.com/ext_tw_video_thumb/1439603623520993285/pu/img/4NCBVhjvbYSKxAvX.jpg")</f>
        <v>https://pbs.twimg.com/ext_tw_video_thumb/1439603623520993285/pu/img/4NCBVhjvbYSKxAvX.jpg</v>
      </c>
      <c r="V116" s="84" t="str">
        <f>HYPERLINK("https://pbs.twimg.com/ext_tw_video_thumb/1439603623520993285/pu/img/4NCBVhjvbYSKxAvX.jpg")</f>
        <v>https://pbs.twimg.com/ext_tw_video_thumb/1439603623520993285/pu/img/4NCBVhjvbYSKxAvX.jpg</v>
      </c>
      <c r="W116" s="83">
        <v>44458.68377314815</v>
      </c>
      <c r="X116" s="89">
        <v>44458</v>
      </c>
      <c r="Y116" s="86" t="s">
        <v>2851</v>
      </c>
      <c r="Z116" s="84" t="str">
        <f>HYPERLINK("https://twitter.com/peachkarin22/status/1439626497526882304")</f>
        <v>https://twitter.com/peachkarin22/status/1439626497526882304</v>
      </c>
      <c r="AA116" s="81"/>
      <c r="AB116" s="81"/>
      <c r="AC116" s="86" t="s">
        <v>4311</v>
      </c>
      <c r="AD116" s="81"/>
      <c r="AE116" s="81" t="b">
        <v>0</v>
      </c>
      <c r="AF116" s="81">
        <v>0</v>
      </c>
      <c r="AG116" s="86" t="s">
        <v>6240</v>
      </c>
      <c r="AH116" s="81" t="b">
        <v>0</v>
      </c>
      <c r="AI116" s="81" t="s">
        <v>6478</v>
      </c>
      <c r="AJ116" s="81"/>
      <c r="AK116" s="86" t="s">
        <v>6240</v>
      </c>
      <c r="AL116" s="81" t="b">
        <v>0</v>
      </c>
      <c r="AM116" s="81">
        <v>102</v>
      </c>
      <c r="AN116" s="86" t="s">
        <v>4519</v>
      </c>
      <c r="AO116" s="86" t="s">
        <v>6505</v>
      </c>
      <c r="AP116" s="81" t="b">
        <v>0</v>
      </c>
      <c r="AQ116" s="86" t="s">
        <v>4519</v>
      </c>
      <c r="AR116" s="81" t="s">
        <v>179</v>
      </c>
      <c r="AS116" s="81">
        <v>0</v>
      </c>
      <c r="AT116" s="81">
        <v>0</v>
      </c>
      <c r="AU116" s="81"/>
      <c r="AV116" s="81"/>
      <c r="AW116" s="81"/>
      <c r="AX116" s="81"/>
      <c r="AY116" s="81"/>
      <c r="AZ116" s="81"/>
      <c r="BA116" s="81"/>
      <c r="BB116" s="81"/>
    </row>
    <row r="117" spans="1:54" x14ac:dyDescent="0.35">
      <c r="A117" s="66" t="s">
        <v>306</v>
      </c>
      <c r="B117" s="66" t="s">
        <v>335</v>
      </c>
      <c r="C117" s="67"/>
      <c r="D117" s="68"/>
      <c r="E117" s="69"/>
      <c r="F117" s="70"/>
      <c r="G117" s="67"/>
      <c r="H117" s="71"/>
      <c r="I117" s="72"/>
      <c r="J117" s="72"/>
      <c r="K117" s="36"/>
      <c r="L117" s="79"/>
      <c r="M117" s="79"/>
      <c r="N117" s="74"/>
      <c r="O117" s="81" t="s">
        <v>1532</v>
      </c>
      <c r="P117" s="83">
        <v>44458.687511574077</v>
      </c>
      <c r="Q117" s="81" t="s">
        <v>1586</v>
      </c>
      <c r="R117" s="81"/>
      <c r="S117" s="81"/>
      <c r="T117" s="81"/>
      <c r="U117" s="84" t="str">
        <f>HYPERLINK("https://pbs.twimg.com/ext_tw_video_thumb/1439603623520993285/pu/img/4NCBVhjvbYSKxAvX.jpg")</f>
        <v>https://pbs.twimg.com/ext_tw_video_thumb/1439603623520993285/pu/img/4NCBVhjvbYSKxAvX.jpg</v>
      </c>
      <c r="V117" s="84" t="str">
        <f>HYPERLINK("https://pbs.twimg.com/ext_tw_video_thumb/1439603623520993285/pu/img/4NCBVhjvbYSKxAvX.jpg")</f>
        <v>https://pbs.twimg.com/ext_tw_video_thumb/1439603623520993285/pu/img/4NCBVhjvbYSKxAvX.jpg</v>
      </c>
      <c r="W117" s="83">
        <v>44458.687511574077</v>
      </c>
      <c r="X117" s="89">
        <v>44458</v>
      </c>
      <c r="Y117" s="86" t="s">
        <v>2852</v>
      </c>
      <c r="Z117" s="84" t="str">
        <f>HYPERLINK("https://twitter.com/aminhakami/status/1439627851074998272")</f>
        <v>https://twitter.com/aminhakami/status/1439627851074998272</v>
      </c>
      <c r="AA117" s="81"/>
      <c r="AB117" s="81"/>
      <c r="AC117" s="86" t="s">
        <v>4312</v>
      </c>
      <c r="AD117" s="81"/>
      <c r="AE117" s="81" t="b">
        <v>0</v>
      </c>
      <c r="AF117" s="81">
        <v>0</v>
      </c>
      <c r="AG117" s="86" t="s">
        <v>6240</v>
      </c>
      <c r="AH117" s="81" t="b">
        <v>0</v>
      </c>
      <c r="AI117" s="81" t="s">
        <v>6478</v>
      </c>
      <c r="AJ117" s="81"/>
      <c r="AK117" s="86" t="s">
        <v>6240</v>
      </c>
      <c r="AL117" s="81" t="b">
        <v>0</v>
      </c>
      <c r="AM117" s="81">
        <v>102</v>
      </c>
      <c r="AN117" s="86" t="s">
        <v>4519</v>
      </c>
      <c r="AO117" s="86" t="s">
        <v>6503</v>
      </c>
      <c r="AP117" s="81" t="b">
        <v>0</v>
      </c>
      <c r="AQ117" s="86" t="s">
        <v>4519</v>
      </c>
      <c r="AR117" s="81" t="s">
        <v>179</v>
      </c>
      <c r="AS117" s="81">
        <v>0</v>
      </c>
      <c r="AT117" s="81">
        <v>0</v>
      </c>
      <c r="AU117" s="81"/>
      <c r="AV117" s="81"/>
      <c r="AW117" s="81"/>
      <c r="AX117" s="81"/>
      <c r="AY117" s="81"/>
      <c r="AZ117" s="81"/>
      <c r="BA117" s="81"/>
      <c r="BB117" s="81"/>
    </row>
    <row r="118" spans="1:54" x14ac:dyDescent="0.35">
      <c r="A118" s="66" t="s">
        <v>307</v>
      </c>
      <c r="B118" s="66" t="s">
        <v>335</v>
      </c>
      <c r="C118" s="67"/>
      <c r="D118" s="68"/>
      <c r="E118" s="69"/>
      <c r="F118" s="70"/>
      <c r="G118" s="67"/>
      <c r="H118" s="71"/>
      <c r="I118" s="72"/>
      <c r="J118" s="72"/>
      <c r="K118" s="36"/>
      <c r="L118" s="79"/>
      <c r="M118" s="79"/>
      <c r="N118" s="74"/>
      <c r="O118" s="81" t="s">
        <v>1532</v>
      </c>
      <c r="P118" s="83">
        <v>44458.689108796294</v>
      </c>
      <c r="Q118" s="81" t="s">
        <v>1586</v>
      </c>
      <c r="R118" s="81"/>
      <c r="S118" s="81"/>
      <c r="T118" s="81"/>
      <c r="U118" s="84" t="str">
        <f>HYPERLINK("https://pbs.twimg.com/ext_tw_video_thumb/1439603623520993285/pu/img/4NCBVhjvbYSKxAvX.jpg")</f>
        <v>https://pbs.twimg.com/ext_tw_video_thumb/1439603623520993285/pu/img/4NCBVhjvbYSKxAvX.jpg</v>
      </c>
      <c r="V118" s="84" t="str">
        <f>HYPERLINK("https://pbs.twimg.com/ext_tw_video_thumb/1439603623520993285/pu/img/4NCBVhjvbYSKxAvX.jpg")</f>
        <v>https://pbs.twimg.com/ext_tw_video_thumb/1439603623520993285/pu/img/4NCBVhjvbYSKxAvX.jpg</v>
      </c>
      <c r="W118" s="83">
        <v>44458.689108796294</v>
      </c>
      <c r="X118" s="89">
        <v>44458</v>
      </c>
      <c r="Y118" s="86" t="s">
        <v>2853</v>
      </c>
      <c r="Z118" s="84" t="str">
        <f>HYPERLINK("https://twitter.com/1zz4tihabshi/status/1439628431344353284")</f>
        <v>https://twitter.com/1zz4tihabshi/status/1439628431344353284</v>
      </c>
      <c r="AA118" s="81"/>
      <c r="AB118" s="81"/>
      <c r="AC118" s="86" t="s">
        <v>4313</v>
      </c>
      <c r="AD118" s="81"/>
      <c r="AE118" s="81" t="b">
        <v>0</v>
      </c>
      <c r="AF118" s="81">
        <v>0</v>
      </c>
      <c r="AG118" s="86" t="s">
        <v>6240</v>
      </c>
      <c r="AH118" s="81" t="b">
        <v>0</v>
      </c>
      <c r="AI118" s="81" t="s">
        <v>6478</v>
      </c>
      <c r="AJ118" s="81"/>
      <c r="AK118" s="86" t="s">
        <v>6240</v>
      </c>
      <c r="AL118" s="81" t="b">
        <v>0</v>
      </c>
      <c r="AM118" s="81">
        <v>102</v>
      </c>
      <c r="AN118" s="86" t="s">
        <v>4519</v>
      </c>
      <c r="AO118" s="86" t="s">
        <v>6505</v>
      </c>
      <c r="AP118" s="81" t="b">
        <v>0</v>
      </c>
      <c r="AQ118" s="86" t="s">
        <v>4519</v>
      </c>
      <c r="AR118" s="81" t="s">
        <v>179</v>
      </c>
      <c r="AS118" s="81">
        <v>0</v>
      </c>
      <c r="AT118" s="81">
        <v>0</v>
      </c>
      <c r="AU118" s="81"/>
      <c r="AV118" s="81"/>
      <c r="AW118" s="81"/>
      <c r="AX118" s="81"/>
      <c r="AY118" s="81"/>
      <c r="AZ118" s="81"/>
      <c r="BA118" s="81"/>
      <c r="BB118" s="81"/>
    </row>
    <row r="119" spans="1:54" x14ac:dyDescent="0.35">
      <c r="A119" s="66" t="s">
        <v>308</v>
      </c>
      <c r="B119" s="66" t="s">
        <v>335</v>
      </c>
      <c r="C119" s="67"/>
      <c r="D119" s="68"/>
      <c r="E119" s="69"/>
      <c r="F119" s="70"/>
      <c r="G119" s="67"/>
      <c r="H119" s="71"/>
      <c r="I119" s="72"/>
      <c r="J119" s="72"/>
      <c r="K119" s="36"/>
      <c r="L119" s="79"/>
      <c r="M119" s="79"/>
      <c r="N119" s="74"/>
      <c r="O119" s="81" t="s">
        <v>1532</v>
      </c>
      <c r="P119" s="83">
        <v>44458.693969907406</v>
      </c>
      <c r="Q119" s="81" t="s">
        <v>1586</v>
      </c>
      <c r="R119" s="81"/>
      <c r="S119" s="81"/>
      <c r="T119" s="81"/>
      <c r="U119" s="84" t="str">
        <f>HYPERLINK("https://pbs.twimg.com/ext_tw_video_thumb/1439603623520993285/pu/img/4NCBVhjvbYSKxAvX.jpg")</f>
        <v>https://pbs.twimg.com/ext_tw_video_thumb/1439603623520993285/pu/img/4NCBVhjvbYSKxAvX.jpg</v>
      </c>
      <c r="V119" s="84" t="str">
        <f>HYPERLINK("https://pbs.twimg.com/ext_tw_video_thumb/1439603623520993285/pu/img/4NCBVhjvbYSKxAvX.jpg")</f>
        <v>https://pbs.twimg.com/ext_tw_video_thumb/1439603623520993285/pu/img/4NCBVhjvbYSKxAvX.jpg</v>
      </c>
      <c r="W119" s="83">
        <v>44458.693969907406</v>
      </c>
      <c r="X119" s="89">
        <v>44458</v>
      </c>
      <c r="Y119" s="86" t="s">
        <v>2854</v>
      </c>
      <c r="Z119" s="84" t="str">
        <f>HYPERLINK("https://twitter.com/imezaq/status/1439630191366590465")</f>
        <v>https://twitter.com/imezaq/status/1439630191366590465</v>
      </c>
      <c r="AA119" s="81"/>
      <c r="AB119" s="81"/>
      <c r="AC119" s="86" t="s">
        <v>4314</v>
      </c>
      <c r="AD119" s="81"/>
      <c r="AE119" s="81" t="b">
        <v>0</v>
      </c>
      <c r="AF119" s="81">
        <v>0</v>
      </c>
      <c r="AG119" s="86" t="s">
        <v>6240</v>
      </c>
      <c r="AH119" s="81" t="b">
        <v>0</v>
      </c>
      <c r="AI119" s="81" t="s">
        <v>6478</v>
      </c>
      <c r="AJ119" s="81"/>
      <c r="AK119" s="86" t="s">
        <v>6240</v>
      </c>
      <c r="AL119" s="81" t="b">
        <v>0</v>
      </c>
      <c r="AM119" s="81">
        <v>102</v>
      </c>
      <c r="AN119" s="86" t="s">
        <v>4519</v>
      </c>
      <c r="AO119" s="86" t="s">
        <v>6507</v>
      </c>
      <c r="AP119" s="81" t="b">
        <v>0</v>
      </c>
      <c r="AQ119" s="86" t="s">
        <v>4519</v>
      </c>
      <c r="AR119" s="81" t="s">
        <v>179</v>
      </c>
      <c r="AS119" s="81">
        <v>0</v>
      </c>
      <c r="AT119" s="81">
        <v>0</v>
      </c>
      <c r="AU119" s="81"/>
      <c r="AV119" s="81"/>
      <c r="AW119" s="81"/>
      <c r="AX119" s="81"/>
      <c r="AY119" s="81"/>
      <c r="AZ119" s="81"/>
      <c r="BA119" s="81"/>
      <c r="BB119" s="81"/>
    </row>
    <row r="120" spans="1:54" x14ac:dyDescent="0.35">
      <c r="A120" s="66" t="s">
        <v>309</v>
      </c>
      <c r="B120" s="66" t="s">
        <v>1283</v>
      </c>
      <c r="C120" s="67"/>
      <c r="D120" s="68"/>
      <c r="E120" s="69"/>
      <c r="F120" s="70"/>
      <c r="G120" s="67"/>
      <c r="H120" s="71"/>
      <c r="I120" s="72"/>
      <c r="J120" s="72"/>
      <c r="K120" s="36"/>
      <c r="L120" s="79"/>
      <c r="M120" s="79"/>
      <c r="N120" s="74"/>
      <c r="O120" s="81" t="s">
        <v>1533</v>
      </c>
      <c r="P120" s="83">
        <v>44458.69976851852</v>
      </c>
      <c r="Q120" s="81" t="s">
        <v>1583</v>
      </c>
      <c r="R120" s="84" t="str">
        <f>HYPERLINK("https://kerjha.com/pos-indonesia-gandeng-nujek-dan-perkenalkan-o-ranger-mawar/")</f>
        <v>https://kerjha.com/pos-indonesia-gandeng-nujek-dan-perkenalkan-o-ranger-mawar/</v>
      </c>
      <c r="S120" s="81" t="s">
        <v>2586</v>
      </c>
      <c r="T120" s="81"/>
      <c r="U120" s="81"/>
      <c r="V120" s="84" t="str">
        <f>HYPERLINK("https://pbs.twimg.com/profile_images/1380108653508714499/tgluJlKK_normal.jpg")</f>
        <v>https://pbs.twimg.com/profile_images/1380108653508714499/tgluJlKK_normal.jpg</v>
      </c>
      <c r="W120" s="83">
        <v>44458.69976851852</v>
      </c>
      <c r="X120" s="89">
        <v>44458</v>
      </c>
      <c r="Y120" s="86" t="s">
        <v>2855</v>
      </c>
      <c r="Z120" s="84" t="str">
        <f>HYPERLINK("https://twitter.com/greatofkratos/status/1439632293006512141")</f>
        <v>https://twitter.com/greatofkratos/status/1439632293006512141</v>
      </c>
      <c r="AA120" s="81"/>
      <c r="AB120" s="81"/>
      <c r="AC120" s="86" t="s">
        <v>4315</v>
      </c>
      <c r="AD120" s="81"/>
      <c r="AE120" s="81" t="b">
        <v>0</v>
      </c>
      <c r="AF120" s="81">
        <v>0</v>
      </c>
      <c r="AG120" s="86" t="s">
        <v>6240</v>
      </c>
      <c r="AH120" s="81" t="b">
        <v>0</v>
      </c>
      <c r="AI120" s="81" t="s">
        <v>6478</v>
      </c>
      <c r="AJ120" s="81"/>
      <c r="AK120" s="86" t="s">
        <v>6240</v>
      </c>
      <c r="AL120" s="81" t="b">
        <v>0</v>
      </c>
      <c r="AM120" s="81">
        <v>10</v>
      </c>
      <c r="AN120" s="86" t="s">
        <v>4365</v>
      </c>
      <c r="AO120" s="86" t="s">
        <v>6503</v>
      </c>
      <c r="AP120" s="81" t="b">
        <v>0</v>
      </c>
      <c r="AQ120" s="86" t="s">
        <v>4365</v>
      </c>
      <c r="AR120" s="81" t="s">
        <v>179</v>
      </c>
      <c r="AS120" s="81">
        <v>0</v>
      </c>
      <c r="AT120" s="81">
        <v>0</v>
      </c>
      <c r="AU120" s="81"/>
      <c r="AV120" s="81"/>
      <c r="AW120" s="81"/>
      <c r="AX120" s="81"/>
      <c r="AY120" s="81"/>
      <c r="AZ120" s="81"/>
      <c r="BA120" s="81"/>
      <c r="BB120" s="81"/>
    </row>
    <row r="121" spans="1:54" x14ac:dyDescent="0.35">
      <c r="A121" s="66" t="s">
        <v>309</v>
      </c>
      <c r="B121" s="66" t="s">
        <v>357</v>
      </c>
      <c r="C121" s="67"/>
      <c r="D121" s="68"/>
      <c r="E121" s="69"/>
      <c r="F121" s="70"/>
      <c r="G121" s="67"/>
      <c r="H121" s="71"/>
      <c r="I121" s="72"/>
      <c r="J121" s="72"/>
      <c r="K121" s="36"/>
      <c r="L121" s="79"/>
      <c r="M121" s="79"/>
      <c r="N121" s="74"/>
      <c r="O121" s="81" t="s">
        <v>1532</v>
      </c>
      <c r="P121" s="83">
        <v>44458.69976851852</v>
      </c>
      <c r="Q121" s="81" t="s">
        <v>1583</v>
      </c>
      <c r="R121" s="84" t="str">
        <f>HYPERLINK("https://kerjha.com/pos-indonesia-gandeng-nujek-dan-perkenalkan-o-ranger-mawar/")</f>
        <v>https://kerjha.com/pos-indonesia-gandeng-nujek-dan-perkenalkan-o-ranger-mawar/</v>
      </c>
      <c r="S121" s="81" t="s">
        <v>2586</v>
      </c>
      <c r="T121" s="81"/>
      <c r="U121" s="81"/>
      <c r="V121" s="84" t="str">
        <f>HYPERLINK("https://pbs.twimg.com/profile_images/1380108653508714499/tgluJlKK_normal.jpg")</f>
        <v>https://pbs.twimg.com/profile_images/1380108653508714499/tgluJlKK_normal.jpg</v>
      </c>
      <c r="W121" s="83">
        <v>44458.69976851852</v>
      </c>
      <c r="X121" s="89">
        <v>44458</v>
      </c>
      <c r="Y121" s="86" t="s">
        <v>2855</v>
      </c>
      <c r="Z121" s="84" t="str">
        <f>HYPERLINK("https://twitter.com/greatofkratos/status/1439632293006512141")</f>
        <v>https://twitter.com/greatofkratos/status/1439632293006512141</v>
      </c>
      <c r="AA121" s="81"/>
      <c r="AB121" s="81"/>
      <c r="AC121" s="86" t="s">
        <v>4315</v>
      </c>
      <c r="AD121" s="81"/>
      <c r="AE121" s="81" t="b">
        <v>0</v>
      </c>
      <c r="AF121" s="81">
        <v>0</v>
      </c>
      <c r="AG121" s="86" t="s">
        <v>6240</v>
      </c>
      <c r="AH121" s="81" t="b">
        <v>0</v>
      </c>
      <c r="AI121" s="81" t="s">
        <v>6478</v>
      </c>
      <c r="AJ121" s="81"/>
      <c r="AK121" s="86" t="s">
        <v>6240</v>
      </c>
      <c r="AL121" s="81" t="b">
        <v>0</v>
      </c>
      <c r="AM121" s="81">
        <v>10</v>
      </c>
      <c r="AN121" s="86" t="s">
        <v>4365</v>
      </c>
      <c r="AO121" s="86" t="s">
        <v>6503</v>
      </c>
      <c r="AP121" s="81" t="b">
        <v>0</v>
      </c>
      <c r="AQ121" s="86" t="s">
        <v>4365</v>
      </c>
      <c r="AR121" s="81" t="s">
        <v>179</v>
      </c>
      <c r="AS121" s="81">
        <v>0</v>
      </c>
      <c r="AT121" s="81">
        <v>0</v>
      </c>
      <c r="AU121" s="81"/>
      <c r="AV121" s="81"/>
      <c r="AW121" s="81"/>
      <c r="AX121" s="81"/>
      <c r="AY121" s="81"/>
      <c r="AZ121" s="81"/>
      <c r="BA121" s="81"/>
      <c r="BB121" s="81"/>
    </row>
    <row r="122" spans="1:54" x14ac:dyDescent="0.35">
      <c r="A122" s="66" t="s">
        <v>310</v>
      </c>
      <c r="B122" s="66" t="s">
        <v>335</v>
      </c>
      <c r="C122" s="67"/>
      <c r="D122" s="68"/>
      <c r="E122" s="69"/>
      <c r="F122" s="70"/>
      <c r="G122" s="67"/>
      <c r="H122" s="71"/>
      <c r="I122" s="72"/>
      <c r="J122" s="72"/>
      <c r="K122" s="36"/>
      <c r="L122" s="79"/>
      <c r="M122" s="79"/>
      <c r="N122" s="74"/>
      <c r="O122" s="81" t="s">
        <v>1532</v>
      </c>
      <c r="P122" s="83">
        <v>44458.709270833337</v>
      </c>
      <c r="Q122" s="81" t="s">
        <v>1586</v>
      </c>
      <c r="R122" s="81"/>
      <c r="S122" s="81"/>
      <c r="T122" s="81"/>
      <c r="U122" s="84" t="str">
        <f>HYPERLINK("https://pbs.twimg.com/ext_tw_video_thumb/1439603623520993285/pu/img/4NCBVhjvbYSKxAvX.jpg")</f>
        <v>https://pbs.twimg.com/ext_tw_video_thumb/1439603623520993285/pu/img/4NCBVhjvbYSKxAvX.jpg</v>
      </c>
      <c r="V122" s="84" t="str">
        <f>HYPERLINK("https://pbs.twimg.com/ext_tw_video_thumb/1439603623520993285/pu/img/4NCBVhjvbYSKxAvX.jpg")</f>
        <v>https://pbs.twimg.com/ext_tw_video_thumb/1439603623520993285/pu/img/4NCBVhjvbYSKxAvX.jpg</v>
      </c>
      <c r="W122" s="83">
        <v>44458.709270833337</v>
      </c>
      <c r="X122" s="89">
        <v>44458</v>
      </c>
      <c r="Y122" s="86" t="s">
        <v>2856</v>
      </c>
      <c r="Z122" s="84" t="str">
        <f>HYPERLINK("https://twitter.com/farisyamat/status/1439635736383221762")</f>
        <v>https://twitter.com/farisyamat/status/1439635736383221762</v>
      </c>
      <c r="AA122" s="81"/>
      <c r="AB122" s="81"/>
      <c r="AC122" s="86" t="s">
        <v>4316</v>
      </c>
      <c r="AD122" s="81"/>
      <c r="AE122" s="81" t="b">
        <v>0</v>
      </c>
      <c r="AF122" s="81">
        <v>0</v>
      </c>
      <c r="AG122" s="86" t="s">
        <v>6240</v>
      </c>
      <c r="AH122" s="81" t="b">
        <v>0</v>
      </c>
      <c r="AI122" s="81" t="s">
        <v>6478</v>
      </c>
      <c r="AJ122" s="81"/>
      <c r="AK122" s="86" t="s">
        <v>6240</v>
      </c>
      <c r="AL122" s="81" t="b">
        <v>0</v>
      </c>
      <c r="AM122" s="81">
        <v>102</v>
      </c>
      <c r="AN122" s="86" t="s">
        <v>4519</v>
      </c>
      <c r="AO122" s="86" t="s">
        <v>6505</v>
      </c>
      <c r="AP122" s="81" t="b">
        <v>0</v>
      </c>
      <c r="AQ122" s="86" t="s">
        <v>4519</v>
      </c>
      <c r="AR122" s="81" t="s">
        <v>179</v>
      </c>
      <c r="AS122" s="81">
        <v>0</v>
      </c>
      <c r="AT122" s="81">
        <v>0</v>
      </c>
      <c r="AU122" s="81"/>
      <c r="AV122" s="81"/>
      <c r="AW122" s="81"/>
      <c r="AX122" s="81"/>
      <c r="AY122" s="81"/>
      <c r="AZ122" s="81"/>
      <c r="BA122" s="81"/>
      <c r="BB122" s="81"/>
    </row>
    <row r="123" spans="1:54" x14ac:dyDescent="0.35">
      <c r="A123" s="66" t="s">
        <v>311</v>
      </c>
      <c r="B123" s="66" t="s">
        <v>335</v>
      </c>
      <c r="C123" s="67"/>
      <c r="D123" s="68"/>
      <c r="E123" s="69"/>
      <c r="F123" s="70"/>
      <c r="G123" s="67"/>
      <c r="H123" s="71"/>
      <c r="I123" s="72"/>
      <c r="J123" s="72"/>
      <c r="K123" s="36"/>
      <c r="L123" s="79"/>
      <c r="M123" s="79"/>
      <c r="N123" s="74"/>
      <c r="O123" s="81" t="s">
        <v>1532</v>
      </c>
      <c r="P123" s="83">
        <v>44458.717094907406</v>
      </c>
      <c r="Q123" s="81" t="s">
        <v>1586</v>
      </c>
      <c r="R123" s="81"/>
      <c r="S123" s="81"/>
      <c r="T123" s="81"/>
      <c r="U123" s="84" t="str">
        <f>HYPERLINK("https://pbs.twimg.com/ext_tw_video_thumb/1439603623520993285/pu/img/4NCBVhjvbYSKxAvX.jpg")</f>
        <v>https://pbs.twimg.com/ext_tw_video_thumb/1439603623520993285/pu/img/4NCBVhjvbYSKxAvX.jpg</v>
      </c>
      <c r="V123" s="84" t="str">
        <f>HYPERLINK("https://pbs.twimg.com/ext_tw_video_thumb/1439603623520993285/pu/img/4NCBVhjvbYSKxAvX.jpg")</f>
        <v>https://pbs.twimg.com/ext_tw_video_thumb/1439603623520993285/pu/img/4NCBVhjvbYSKxAvX.jpg</v>
      </c>
      <c r="W123" s="83">
        <v>44458.717094907406</v>
      </c>
      <c r="X123" s="89">
        <v>44458</v>
      </c>
      <c r="Y123" s="86" t="s">
        <v>2857</v>
      </c>
      <c r="Z123" s="84" t="str">
        <f>HYPERLINK("https://twitter.com/nvraini_/status/1439638573158830087")</f>
        <v>https://twitter.com/nvraini_/status/1439638573158830087</v>
      </c>
      <c r="AA123" s="81"/>
      <c r="AB123" s="81"/>
      <c r="AC123" s="86" t="s">
        <v>4317</v>
      </c>
      <c r="AD123" s="81"/>
      <c r="AE123" s="81" t="b">
        <v>0</v>
      </c>
      <c r="AF123" s="81">
        <v>0</v>
      </c>
      <c r="AG123" s="86" t="s">
        <v>6240</v>
      </c>
      <c r="AH123" s="81" t="b">
        <v>0</v>
      </c>
      <c r="AI123" s="81" t="s">
        <v>6478</v>
      </c>
      <c r="AJ123" s="81"/>
      <c r="AK123" s="86" t="s">
        <v>6240</v>
      </c>
      <c r="AL123" s="81" t="b">
        <v>0</v>
      </c>
      <c r="AM123" s="81">
        <v>102</v>
      </c>
      <c r="AN123" s="86" t="s">
        <v>4519</v>
      </c>
      <c r="AO123" s="86" t="s">
        <v>6503</v>
      </c>
      <c r="AP123" s="81" t="b">
        <v>0</v>
      </c>
      <c r="AQ123" s="86" t="s">
        <v>4519</v>
      </c>
      <c r="AR123" s="81" t="s">
        <v>179</v>
      </c>
      <c r="AS123" s="81">
        <v>0</v>
      </c>
      <c r="AT123" s="81">
        <v>0</v>
      </c>
      <c r="AU123" s="81"/>
      <c r="AV123" s="81"/>
      <c r="AW123" s="81"/>
      <c r="AX123" s="81"/>
      <c r="AY123" s="81"/>
      <c r="AZ123" s="81"/>
      <c r="BA123" s="81"/>
      <c r="BB123" s="81"/>
    </row>
    <row r="124" spans="1:54" x14ac:dyDescent="0.35">
      <c r="A124" s="66" t="s">
        <v>312</v>
      </c>
      <c r="B124" s="66" t="s">
        <v>335</v>
      </c>
      <c r="C124" s="67"/>
      <c r="D124" s="68"/>
      <c r="E124" s="69"/>
      <c r="F124" s="70"/>
      <c r="G124" s="67"/>
      <c r="H124" s="71"/>
      <c r="I124" s="72"/>
      <c r="J124" s="72"/>
      <c r="K124" s="36"/>
      <c r="L124" s="79"/>
      <c r="M124" s="79"/>
      <c r="N124" s="74"/>
      <c r="O124" s="81" t="s">
        <v>1532</v>
      </c>
      <c r="P124" s="83">
        <v>44458.720983796295</v>
      </c>
      <c r="Q124" s="81" t="s">
        <v>1586</v>
      </c>
      <c r="R124" s="81"/>
      <c r="S124" s="81"/>
      <c r="T124" s="81"/>
      <c r="U124" s="84" t="str">
        <f>HYPERLINK("https://pbs.twimg.com/ext_tw_video_thumb/1439603623520993285/pu/img/4NCBVhjvbYSKxAvX.jpg")</f>
        <v>https://pbs.twimg.com/ext_tw_video_thumb/1439603623520993285/pu/img/4NCBVhjvbYSKxAvX.jpg</v>
      </c>
      <c r="V124" s="84" t="str">
        <f>HYPERLINK("https://pbs.twimg.com/ext_tw_video_thumb/1439603623520993285/pu/img/4NCBVhjvbYSKxAvX.jpg")</f>
        <v>https://pbs.twimg.com/ext_tw_video_thumb/1439603623520993285/pu/img/4NCBVhjvbYSKxAvX.jpg</v>
      </c>
      <c r="W124" s="83">
        <v>44458.720983796295</v>
      </c>
      <c r="X124" s="89">
        <v>44458</v>
      </c>
      <c r="Y124" s="86" t="s">
        <v>2858</v>
      </c>
      <c r="Z124" s="84" t="str">
        <f>HYPERLINK("https://twitter.com/rozlyana_/status/1439639979861237762")</f>
        <v>https://twitter.com/rozlyana_/status/1439639979861237762</v>
      </c>
      <c r="AA124" s="81"/>
      <c r="AB124" s="81"/>
      <c r="AC124" s="86" t="s">
        <v>4318</v>
      </c>
      <c r="AD124" s="81"/>
      <c r="AE124" s="81" t="b">
        <v>0</v>
      </c>
      <c r="AF124" s="81">
        <v>0</v>
      </c>
      <c r="AG124" s="86" t="s">
        <v>6240</v>
      </c>
      <c r="AH124" s="81" t="b">
        <v>0</v>
      </c>
      <c r="AI124" s="81" t="s">
        <v>6478</v>
      </c>
      <c r="AJ124" s="81"/>
      <c r="AK124" s="86" t="s">
        <v>6240</v>
      </c>
      <c r="AL124" s="81" t="b">
        <v>0</v>
      </c>
      <c r="AM124" s="81">
        <v>102</v>
      </c>
      <c r="AN124" s="86" t="s">
        <v>4519</v>
      </c>
      <c r="AO124" s="86" t="s">
        <v>6505</v>
      </c>
      <c r="AP124" s="81" t="b">
        <v>0</v>
      </c>
      <c r="AQ124" s="86" t="s">
        <v>4519</v>
      </c>
      <c r="AR124" s="81" t="s">
        <v>179</v>
      </c>
      <c r="AS124" s="81">
        <v>0</v>
      </c>
      <c r="AT124" s="81">
        <v>0</v>
      </c>
      <c r="AU124" s="81"/>
      <c r="AV124" s="81"/>
      <c r="AW124" s="81"/>
      <c r="AX124" s="81"/>
      <c r="AY124" s="81"/>
      <c r="AZ124" s="81"/>
      <c r="BA124" s="81"/>
      <c r="BB124" s="81"/>
    </row>
    <row r="125" spans="1:54" x14ac:dyDescent="0.35">
      <c r="A125" s="66" t="s">
        <v>313</v>
      </c>
      <c r="B125" s="66" t="s">
        <v>335</v>
      </c>
      <c r="C125" s="67"/>
      <c r="D125" s="68"/>
      <c r="E125" s="69"/>
      <c r="F125" s="70"/>
      <c r="G125" s="67"/>
      <c r="H125" s="71"/>
      <c r="I125" s="72"/>
      <c r="J125" s="72"/>
      <c r="K125" s="36"/>
      <c r="L125" s="79"/>
      <c r="M125" s="79"/>
      <c r="N125" s="74"/>
      <c r="O125" s="81" t="s">
        <v>1532</v>
      </c>
      <c r="P125" s="83">
        <v>44458.730046296296</v>
      </c>
      <c r="Q125" s="81" t="s">
        <v>1586</v>
      </c>
      <c r="R125" s="81"/>
      <c r="S125" s="81"/>
      <c r="T125" s="81"/>
      <c r="U125" s="84" t="str">
        <f>HYPERLINK("https://pbs.twimg.com/ext_tw_video_thumb/1439603623520993285/pu/img/4NCBVhjvbYSKxAvX.jpg")</f>
        <v>https://pbs.twimg.com/ext_tw_video_thumb/1439603623520993285/pu/img/4NCBVhjvbYSKxAvX.jpg</v>
      </c>
      <c r="V125" s="84" t="str">
        <f>HYPERLINK("https://pbs.twimg.com/ext_tw_video_thumb/1439603623520993285/pu/img/4NCBVhjvbYSKxAvX.jpg")</f>
        <v>https://pbs.twimg.com/ext_tw_video_thumb/1439603623520993285/pu/img/4NCBVhjvbYSKxAvX.jpg</v>
      </c>
      <c r="W125" s="83">
        <v>44458.730046296296</v>
      </c>
      <c r="X125" s="89">
        <v>44458</v>
      </c>
      <c r="Y125" s="86" t="s">
        <v>2859</v>
      </c>
      <c r="Z125" s="84" t="str">
        <f>HYPERLINK("https://twitter.com/aishaamber_/status/1439643265104441347")</f>
        <v>https://twitter.com/aishaamber_/status/1439643265104441347</v>
      </c>
      <c r="AA125" s="81"/>
      <c r="AB125" s="81"/>
      <c r="AC125" s="86" t="s">
        <v>4319</v>
      </c>
      <c r="AD125" s="81"/>
      <c r="AE125" s="81" t="b">
        <v>0</v>
      </c>
      <c r="AF125" s="81">
        <v>0</v>
      </c>
      <c r="AG125" s="86" t="s">
        <v>6240</v>
      </c>
      <c r="AH125" s="81" t="b">
        <v>0</v>
      </c>
      <c r="AI125" s="81" t="s">
        <v>6478</v>
      </c>
      <c r="AJ125" s="81"/>
      <c r="AK125" s="86" t="s">
        <v>6240</v>
      </c>
      <c r="AL125" s="81" t="b">
        <v>0</v>
      </c>
      <c r="AM125" s="81">
        <v>102</v>
      </c>
      <c r="AN125" s="86" t="s">
        <v>4519</v>
      </c>
      <c r="AO125" s="86" t="s">
        <v>6505</v>
      </c>
      <c r="AP125" s="81" t="b">
        <v>0</v>
      </c>
      <c r="AQ125" s="86" t="s">
        <v>4519</v>
      </c>
      <c r="AR125" s="81" t="s">
        <v>179</v>
      </c>
      <c r="AS125" s="81">
        <v>0</v>
      </c>
      <c r="AT125" s="81">
        <v>0</v>
      </c>
      <c r="AU125" s="81"/>
      <c r="AV125" s="81"/>
      <c r="AW125" s="81"/>
      <c r="AX125" s="81"/>
      <c r="AY125" s="81"/>
      <c r="AZ125" s="81"/>
      <c r="BA125" s="81"/>
      <c r="BB125" s="81"/>
    </row>
    <row r="126" spans="1:54" x14ac:dyDescent="0.35">
      <c r="A126" s="66" t="s">
        <v>314</v>
      </c>
      <c r="B126" s="66" t="s">
        <v>335</v>
      </c>
      <c r="C126" s="67"/>
      <c r="D126" s="68"/>
      <c r="E126" s="69"/>
      <c r="F126" s="70"/>
      <c r="G126" s="67"/>
      <c r="H126" s="71"/>
      <c r="I126" s="72"/>
      <c r="J126" s="72"/>
      <c r="K126" s="36"/>
      <c r="L126" s="79"/>
      <c r="M126" s="79"/>
      <c r="N126" s="74"/>
      <c r="O126" s="81" t="s">
        <v>1532</v>
      </c>
      <c r="P126" s="83">
        <v>44458.750381944446</v>
      </c>
      <c r="Q126" s="81" t="s">
        <v>1586</v>
      </c>
      <c r="R126" s="81"/>
      <c r="S126" s="81"/>
      <c r="T126" s="81"/>
      <c r="U126" s="84" t="str">
        <f>HYPERLINK("https://pbs.twimg.com/ext_tw_video_thumb/1439603623520993285/pu/img/4NCBVhjvbYSKxAvX.jpg")</f>
        <v>https://pbs.twimg.com/ext_tw_video_thumb/1439603623520993285/pu/img/4NCBVhjvbYSKxAvX.jpg</v>
      </c>
      <c r="V126" s="84" t="str">
        <f>HYPERLINK("https://pbs.twimg.com/ext_tw_video_thumb/1439603623520993285/pu/img/4NCBVhjvbYSKxAvX.jpg")</f>
        <v>https://pbs.twimg.com/ext_tw_video_thumb/1439603623520993285/pu/img/4NCBVhjvbYSKxAvX.jpg</v>
      </c>
      <c r="W126" s="83">
        <v>44458.750381944446</v>
      </c>
      <c r="X126" s="89">
        <v>44458</v>
      </c>
      <c r="Y126" s="86" t="s">
        <v>2860</v>
      </c>
      <c r="Z126" s="84" t="str">
        <f>HYPERLINK("https://twitter.com/sithy_farmia/status/1439650636983726083")</f>
        <v>https://twitter.com/sithy_farmia/status/1439650636983726083</v>
      </c>
      <c r="AA126" s="81"/>
      <c r="AB126" s="81"/>
      <c r="AC126" s="86" t="s">
        <v>4320</v>
      </c>
      <c r="AD126" s="81"/>
      <c r="AE126" s="81" t="b">
        <v>0</v>
      </c>
      <c r="AF126" s="81">
        <v>0</v>
      </c>
      <c r="AG126" s="86" t="s">
        <v>6240</v>
      </c>
      <c r="AH126" s="81" t="b">
        <v>0</v>
      </c>
      <c r="AI126" s="81" t="s">
        <v>6478</v>
      </c>
      <c r="AJ126" s="81"/>
      <c r="AK126" s="86" t="s">
        <v>6240</v>
      </c>
      <c r="AL126" s="81" t="b">
        <v>0</v>
      </c>
      <c r="AM126" s="81">
        <v>102</v>
      </c>
      <c r="AN126" s="86" t="s">
        <v>4519</v>
      </c>
      <c r="AO126" s="86" t="s">
        <v>6505</v>
      </c>
      <c r="AP126" s="81" t="b">
        <v>0</v>
      </c>
      <c r="AQ126" s="86" t="s">
        <v>4519</v>
      </c>
      <c r="AR126" s="81" t="s">
        <v>179</v>
      </c>
      <c r="AS126" s="81">
        <v>0</v>
      </c>
      <c r="AT126" s="81">
        <v>0</v>
      </c>
      <c r="AU126" s="81"/>
      <c r="AV126" s="81"/>
      <c r="AW126" s="81"/>
      <c r="AX126" s="81"/>
      <c r="AY126" s="81"/>
      <c r="AZ126" s="81"/>
      <c r="BA126" s="81"/>
      <c r="BB126" s="81"/>
    </row>
    <row r="127" spans="1:54" x14ac:dyDescent="0.35">
      <c r="A127" s="66" t="s">
        <v>315</v>
      </c>
      <c r="B127" s="66" t="s">
        <v>1272</v>
      </c>
      <c r="C127" s="67"/>
      <c r="D127" s="68"/>
      <c r="E127" s="69"/>
      <c r="F127" s="70"/>
      <c r="G127" s="67"/>
      <c r="H127" s="71"/>
      <c r="I127" s="72"/>
      <c r="J127" s="72"/>
      <c r="K127" s="36"/>
      <c r="L127" s="79"/>
      <c r="M127" s="79"/>
      <c r="N127" s="74"/>
      <c r="O127" s="81" t="s">
        <v>1533</v>
      </c>
      <c r="P127" s="83">
        <v>44458.754606481481</v>
      </c>
      <c r="Q127" s="81" t="s">
        <v>1536</v>
      </c>
      <c r="R127" s="81"/>
      <c r="S127" s="81"/>
      <c r="T127" s="86" t="s">
        <v>2656</v>
      </c>
      <c r="U127" s="84" t="str">
        <f>HYPERLINK("https://pbs.twimg.com/media/E_X1zlwVIAES6Ks.jpg")</f>
        <v>https://pbs.twimg.com/media/E_X1zlwVIAES6Ks.jpg</v>
      </c>
      <c r="V127" s="84" t="str">
        <f>HYPERLINK("https://pbs.twimg.com/media/E_X1zlwVIAES6Ks.jpg")</f>
        <v>https://pbs.twimg.com/media/E_X1zlwVIAES6Ks.jpg</v>
      </c>
      <c r="W127" s="83">
        <v>44458.754606481481</v>
      </c>
      <c r="X127" s="89">
        <v>44458</v>
      </c>
      <c r="Y127" s="86" t="s">
        <v>2861</v>
      </c>
      <c r="Z127" s="84" t="str">
        <f>HYPERLINK("https://twitter.com/shahzad29741549/status/1439652164750626821")</f>
        <v>https://twitter.com/shahzad29741549/status/1439652164750626821</v>
      </c>
      <c r="AA127" s="81"/>
      <c r="AB127" s="81"/>
      <c r="AC127" s="86" t="s">
        <v>4321</v>
      </c>
      <c r="AD127" s="81"/>
      <c r="AE127" s="81" t="b">
        <v>0</v>
      </c>
      <c r="AF127" s="81">
        <v>0</v>
      </c>
      <c r="AG127" s="86" t="s">
        <v>6240</v>
      </c>
      <c r="AH127" s="81" t="b">
        <v>0</v>
      </c>
      <c r="AI127" s="81" t="s">
        <v>6478</v>
      </c>
      <c r="AJ127" s="81"/>
      <c r="AK127" s="86" t="s">
        <v>6240</v>
      </c>
      <c r="AL127" s="81" t="b">
        <v>0</v>
      </c>
      <c r="AM127" s="81">
        <v>61</v>
      </c>
      <c r="AN127" s="86" t="s">
        <v>4550</v>
      </c>
      <c r="AO127" s="86" t="s">
        <v>6507</v>
      </c>
      <c r="AP127" s="81" t="b">
        <v>0</v>
      </c>
      <c r="AQ127" s="86" t="s">
        <v>4550</v>
      </c>
      <c r="AR127" s="81" t="s">
        <v>179</v>
      </c>
      <c r="AS127" s="81">
        <v>0</v>
      </c>
      <c r="AT127" s="81">
        <v>0</v>
      </c>
      <c r="AU127" s="81"/>
      <c r="AV127" s="81"/>
      <c r="AW127" s="81"/>
      <c r="AX127" s="81"/>
      <c r="AY127" s="81"/>
      <c r="AZ127" s="81"/>
      <c r="BA127" s="81"/>
      <c r="BB127" s="81"/>
    </row>
    <row r="128" spans="1:54" x14ac:dyDescent="0.35">
      <c r="A128" s="66" t="s">
        <v>315</v>
      </c>
      <c r="B128" s="66" t="s">
        <v>526</v>
      </c>
      <c r="C128" s="67"/>
      <c r="D128" s="68"/>
      <c r="E128" s="69"/>
      <c r="F128" s="70"/>
      <c r="G128" s="67"/>
      <c r="H128" s="71"/>
      <c r="I128" s="72"/>
      <c r="J128" s="72"/>
      <c r="K128" s="36"/>
      <c r="L128" s="79"/>
      <c r="M128" s="79"/>
      <c r="N128" s="74"/>
      <c r="O128" s="81" t="s">
        <v>1532</v>
      </c>
      <c r="P128" s="83">
        <v>44458.754606481481</v>
      </c>
      <c r="Q128" s="81" t="s">
        <v>1536</v>
      </c>
      <c r="R128" s="81"/>
      <c r="S128" s="81"/>
      <c r="T128" s="86" t="s">
        <v>2656</v>
      </c>
      <c r="U128" s="84" t="str">
        <f>HYPERLINK("https://pbs.twimg.com/media/E_X1zlwVIAES6Ks.jpg")</f>
        <v>https://pbs.twimg.com/media/E_X1zlwVIAES6Ks.jpg</v>
      </c>
      <c r="V128" s="84" t="str">
        <f>HYPERLINK("https://pbs.twimg.com/media/E_X1zlwVIAES6Ks.jpg")</f>
        <v>https://pbs.twimg.com/media/E_X1zlwVIAES6Ks.jpg</v>
      </c>
      <c r="W128" s="83">
        <v>44458.754606481481</v>
      </c>
      <c r="X128" s="89">
        <v>44458</v>
      </c>
      <c r="Y128" s="86" t="s">
        <v>2861</v>
      </c>
      <c r="Z128" s="84" t="str">
        <f>HYPERLINK("https://twitter.com/shahzad29741549/status/1439652164750626821")</f>
        <v>https://twitter.com/shahzad29741549/status/1439652164750626821</v>
      </c>
      <c r="AA128" s="81"/>
      <c r="AB128" s="81"/>
      <c r="AC128" s="86" t="s">
        <v>4321</v>
      </c>
      <c r="AD128" s="81"/>
      <c r="AE128" s="81" t="b">
        <v>0</v>
      </c>
      <c r="AF128" s="81">
        <v>0</v>
      </c>
      <c r="AG128" s="86" t="s">
        <v>6240</v>
      </c>
      <c r="AH128" s="81" t="b">
        <v>0</v>
      </c>
      <c r="AI128" s="81" t="s">
        <v>6478</v>
      </c>
      <c r="AJ128" s="81"/>
      <c r="AK128" s="86" t="s">
        <v>6240</v>
      </c>
      <c r="AL128" s="81" t="b">
        <v>0</v>
      </c>
      <c r="AM128" s="81">
        <v>61</v>
      </c>
      <c r="AN128" s="86" t="s">
        <v>4550</v>
      </c>
      <c r="AO128" s="86" t="s">
        <v>6507</v>
      </c>
      <c r="AP128" s="81" t="b">
        <v>0</v>
      </c>
      <c r="AQ128" s="86" t="s">
        <v>4550</v>
      </c>
      <c r="AR128" s="81" t="s">
        <v>179</v>
      </c>
      <c r="AS128" s="81">
        <v>0</v>
      </c>
      <c r="AT128" s="81">
        <v>0</v>
      </c>
      <c r="AU128" s="81"/>
      <c r="AV128" s="81"/>
      <c r="AW128" s="81"/>
      <c r="AX128" s="81"/>
      <c r="AY128" s="81"/>
      <c r="AZ128" s="81"/>
      <c r="BA128" s="81"/>
      <c r="BB128" s="81"/>
    </row>
    <row r="129" spans="1:54" x14ac:dyDescent="0.35">
      <c r="A129" s="66" t="s">
        <v>316</v>
      </c>
      <c r="B129" s="66" t="s">
        <v>1287</v>
      </c>
      <c r="C129" s="67"/>
      <c r="D129" s="68"/>
      <c r="E129" s="69"/>
      <c r="F129" s="70"/>
      <c r="G129" s="67"/>
      <c r="H129" s="71"/>
      <c r="I129" s="72"/>
      <c r="J129" s="72"/>
      <c r="K129" s="36"/>
      <c r="L129" s="79"/>
      <c r="M129" s="79"/>
      <c r="N129" s="74"/>
      <c r="O129" s="81" t="s">
        <v>1535</v>
      </c>
      <c r="P129" s="83">
        <v>44458.780555555553</v>
      </c>
      <c r="Q129" s="81" t="s">
        <v>1591</v>
      </c>
      <c r="R129" s="81"/>
      <c r="S129" s="81"/>
      <c r="T129" s="81"/>
      <c r="U129" s="81"/>
      <c r="V129" s="84" t="str">
        <f>HYPERLINK("https://pbs.twimg.com/profile_images/1429685001281409029/J8ep1Uec_normal.jpg")</f>
        <v>https://pbs.twimg.com/profile_images/1429685001281409029/J8ep1Uec_normal.jpg</v>
      </c>
      <c r="W129" s="83">
        <v>44458.780555555553</v>
      </c>
      <c r="X129" s="89">
        <v>44458</v>
      </c>
      <c r="Y129" s="86" t="s">
        <v>2862</v>
      </c>
      <c r="Z129" s="84" t="str">
        <f>HYPERLINK("https://twitter.com/glowingjuseyo/status/1439661568346656770")</f>
        <v>https://twitter.com/glowingjuseyo/status/1439661568346656770</v>
      </c>
      <c r="AA129" s="81"/>
      <c r="AB129" s="81"/>
      <c r="AC129" s="86" t="s">
        <v>4322</v>
      </c>
      <c r="AD129" s="86" t="s">
        <v>5986</v>
      </c>
      <c r="AE129" s="81" t="b">
        <v>0</v>
      </c>
      <c r="AF129" s="81">
        <v>0</v>
      </c>
      <c r="AG129" s="86" t="s">
        <v>6256</v>
      </c>
      <c r="AH129" s="81" t="b">
        <v>0</v>
      </c>
      <c r="AI129" s="81" t="s">
        <v>6478</v>
      </c>
      <c r="AJ129" s="81"/>
      <c r="AK129" s="86" t="s">
        <v>6240</v>
      </c>
      <c r="AL129" s="81" t="b">
        <v>0</v>
      </c>
      <c r="AM129" s="81">
        <v>0</v>
      </c>
      <c r="AN129" s="86" t="s">
        <v>6240</v>
      </c>
      <c r="AO129" s="86" t="s">
        <v>6503</v>
      </c>
      <c r="AP129" s="81" t="b">
        <v>0</v>
      </c>
      <c r="AQ129" s="86" t="s">
        <v>5986</v>
      </c>
      <c r="AR129" s="81" t="s">
        <v>179</v>
      </c>
      <c r="AS129" s="81">
        <v>0</v>
      </c>
      <c r="AT129" s="81">
        <v>0</v>
      </c>
      <c r="AU129" s="81"/>
      <c r="AV129" s="81"/>
      <c r="AW129" s="81"/>
      <c r="AX129" s="81"/>
      <c r="AY129" s="81"/>
      <c r="AZ129" s="81"/>
      <c r="BA129" s="81"/>
      <c r="BB129" s="81"/>
    </row>
    <row r="130" spans="1:54" x14ac:dyDescent="0.35">
      <c r="A130" s="66" t="s">
        <v>316</v>
      </c>
      <c r="B130" s="66" t="s">
        <v>1288</v>
      </c>
      <c r="C130" s="67"/>
      <c r="D130" s="68"/>
      <c r="E130" s="69"/>
      <c r="F130" s="70"/>
      <c r="G130" s="67"/>
      <c r="H130" s="71"/>
      <c r="I130" s="72"/>
      <c r="J130" s="72"/>
      <c r="K130" s="36"/>
      <c r="L130" s="79"/>
      <c r="M130" s="79"/>
      <c r="N130" s="74"/>
      <c r="O130" s="81" t="s">
        <v>1534</v>
      </c>
      <c r="P130" s="83">
        <v>44458.780555555553</v>
      </c>
      <c r="Q130" s="81" t="s">
        <v>1591</v>
      </c>
      <c r="R130" s="81"/>
      <c r="S130" s="81"/>
      <c r="T130" s="81"/>
      <c r="U130" s="81"/>
      <c r="V130" s="84" t="str">
        <f>HYPERLINK("https://pbs.twimg.com/profile_images/1429685001281409029/J8ep1Uec_normal.jpg")</f>
        <v>https://pbs.twimg.com/profile_images/1429685001281409029/J8ep1Uec_normal.jpg</v>
      </c>
      <c r="W130" s="83">
        <v>44458.780555555553</v>
      </c>
      <c r="X130" s="89">
        <v>44458</v>
      </c>
      <c r="Y130" s="86" t="s">
        <v>2862</v>
      </c>
      <c r="Z130" s="84" t="str">
        <f>HYPERLINK("https://twitter.com/glowingjuseyo/status/1439661568346656770")</f>
        <v>https://twitter.com/glowingjuseyo/status/1439661568346656770</v>
      </c>
      <c r="AA130" s="81"/>
      <c r="AB130" s="81"/>
      <c r="AC130" s="86" t="s">
        <v>4322</v>
      </c>
      <c r="AD130" s="86" t="s">
        <v>5986</v>
      </c>
      <c r="AE130" s="81" t="b">
        <v>0</v>
      </c>
      <c r="AF130" s="81">
        <v>0</v>
      </c>
      <c r="AG130" s="86" t="s">
        <v>6256</v>
      </c>
      <c r="AH130" s="81" t="b">
        <v>0</v>
      </c>
      <c r="AI130" s="81" t="s">
        <v>6478</v>
      </c>
      <c r="AJ130" s="81"/>
      <c r="AK130" s="86" t="s">
        <v>6240</v>
      </c>
      <c r="AL130" s="81" t="b">
        <v>0</v>
      </c>
      <c r="AM130" s="81">
        <v>0</v>
      </c>
      <c r="AN130" s="86" t="s">
        <v>6240</v>
      </c>
      <c r="AO130" s="86" t="s">
        <v>6503</v>
      </c>
      <c r="AP130" s="81" t="b">
        <v>0</v>
      </c>
      <c r="AQ130" s="86" t="s">
        <v>5986</v>
      </c>
      <c r="AR130" s="81" t="s">
        <v>179</v>
      </c>
      <c r="AS130" s="81">
        <v>0</v>
      </c>
      <c r="AT130" s="81">
        <v>0</v>
      </c>
      <c r="AU130" s="81"/>
      <c r="AV130" s="81"/>
      <c r="AW130" s="81"/>
      <c r="AX130" s="81"/>
      <c r="AY130" s="81"/>
      <c r="AZ130" s="81"/>
      <c r="BA130" s="81"/>
      <c r="BB130" s="81"/>
    </row>
    <row r="131" spans="1:54" x14ac:dyDescent="0.35">
      <c r="A131" s="66" t="s">
        <v>317</v>
      </c>
      <c r="B131" s="66" t="s">
        <v>335</v>
      </c>
      <c r="C131" s="67"/>
      <c r="D131" s="68"/>
      <c r="E131" s="69"/>
      <c r="F131" s="70"/>
      <c r="G131" s="67"/>
      <c r="H131" s="71"/>
      <c r="I131" s="72"/>
      <c r="J131" s="72"/>
      <c r="K131" s="36"/>
      <c r="L131" s="79"/>
      <c r="M131" s="79"/>
      <c r="N131" s="74"/>
      <c r="O131" s="81" t="s">
        <v>1532</v>
      </c>
      <c r="P131" s="83">
        <v>44458.837071759262</v>
      </c>
      <c r="Q131" s="81" t="s">
        <v>1586</v>
      </c>
      <c r="R131" s="81"/>
      <c r="S131" s="81"/>
      <c r="T131" s="81"/>
      <c r="U131" s="84" t="str">
        <f>HYPERLINK("https://pbs.twimg.com/ext_tw_video_thumb/1439603623520993285/pu/img/4NCBVhjvbYSKxAvX.jpg")</f>
        <v>https://pbs.twimg.com/ext_tw_video_thumb/1439603623520993285/pu/img/4NCBVhjvbYSKxAvX.jpg</v>
      </c>
      <c r="V131" s="84" t="str">
        <f>HYPERLINK("https://pbs.twimg.com/ext_tw_video_thumb/1439603623520993285/pu/img/4NCBVhjvbYSKxAvX.jpg")</f>
        <v>https://pbs.twimg.com/ext_tw_video_thumb/1439603623520993285/pu/img/4NCBVhjvbYSKxAvX.jpg</v>
      </c>
      <c r="W131" s="83">
        <v>44458.837071759262</v>
      </c>
      <c r="X131" s="89">
        <v>44458</v>
      </c>
      <c r="Y131" s="86" t="s">
        <v>2863</v>
      </c>
      <c r="Z131" s="84" t="str">
        <f>HYPERLINK("https://twitter.com/qayyyyyyyyyy/status/1439682049019838468")</f>
        <v>https://twitter.com/qayyyyyyyyyy/status/1439682049019838468</v>
      </c>
      <c r="AA131" s="81"/>
      <c r="AB131" s="81"/>
      <c r="AC131" s="86" t="s">
        <v>4323</v>
      </c>
      <c r="AD131" s="81"/>
      <c r="AE131" s="81" t="b">
        <v>0</v>
      </c>
      <c r="AF131" s="81">
        <v>0</v>
      </c>
      <c r="AG131" s="86" t="s">
        <v>6240</v>
      </c>
      <c r="AH131" s="81" t="b">
        <v>0</v>
      </c>
      <c r="AI131" s="81" t="s">
        <v>6478</v>
      </c>
      <c r="AJ131" s="81"/>
      <c r="AK131" s="86" t="s">
        <v>6240</v>
      </c>
      <c r="AL131" s="81" t="b">
        <v>0</v>
      </c>
      <c r="AM131" s="81">
        <v>102</v>
      </c>
      <c r="AN131" s="86" t="s">
        <v>4519</v>
      </c>
      <c r="AO131" s="86" t="s">
        <v>6503</v>
      </c>
      <c r="AP131" s="81" t="b">
        <v>0</v>
      </c>
      <c r="AQ131" s="86" t="s">
        <v>4519</v>
      </c>
      <c r="AR131" s="81" t="s">
        <v>179</v>
      </c>
      <c r="AS131" s="81">
        <v>0</v>
      </c>
      <c r="AT131" s="81">
        <v>0</v>
      </c>
      <c r="AU131" s="81"/>
      <c r="AV131" s="81"/>
      <c r="AW131" s="81"/>
      <c r="AX131" s="81"/>
      <c r="AY131" s="81"/>
      <c r="AZ131" s="81"/>
      <c r="BA131" s="81"/>
      <c r="BB131" s="81"/>
    </row>
    <row r="132" spans="1:54" x14ac:dyDescent="0.35">
      <c r="A132" s="66" t="s">
        <v>318</v>
      </c>
      <c r="B132" s="66" t="s">
        <v>335</v>
      </c>
      <c r="C132" s="67"/>
      <c r="D132" s="68"/>
      <c r="E132" s="69"/>
      <c r="F132" s="70"/>
      <c r="G132" s="67"/>
      <c r="H132" s="71"/>
      <c r="I132" s="72"/>
      <c r="J132" s="72"/>
      <c r="K132" s="36"/>
      <c r="L132" s="79"/>
      <c r="M132" s="79"/>
      <c r="N132" s="74"/>
      <c r="O132" s="81" t="s">
        <v>1532</v>
      </c>
      <c r="P132" s="83">
        <v>44458.846192129633</v>
      </c>
      <c r="Q132" s="81" t="s">
        <v>1586</v>
      </c>
      <c r="R132" s="81"/>
      <c r="S132" s="81"/>
      <c r="T132" s="81"/>
      <c r="U132" s="84" t="str">
        <f>HYPERLINK("https://pbs.twimg.com/ext_tw_video_thumb/1439603623520993285/pu/img/4NCBVhjvbYSKxAvX.jpg")</f>
        <v>https://pbs.twimg.com/ext_tw_video_thumb/1439603623520993285/pu/img/4NCBVhjvbYSKxAvX.jpg</v>
      </c>
      <c r="V132" s="84" t="str">
        <f>HYPERLINK("https://pbs.twimg.com/ext_tw_video_thumb/1439603623520993285/pu/img/4NCBVhjvbYSKxAvX.jpg")</f>
        <v>https://pbs.twimg.com/ext_tw_video_thumb/1439603623520993285/pu/img/4NCBVhjvbYSKxAvX.jpg</v>
      </c>
      <c r="W132" s="83">
        <v>44458.846192129633</v>
      </c>
      <c r="X132" s="89">
        <v>44458</v>
      </c>
      <c r="Y132" s="86" t="s">
        <v>2864</v>
      </c>
      <c r="Z132" s="84" t="str">
        <f>HYPERLINK("https://twitter.com/al_adamhafiz/status/1439685355842641920")</f>
        <v>https://twitter.com/al_adamhafiz/status/1439685355842641920</v>
      </c>
      <c r="AA132" s="81"/>
      <c r="AB132" s="81"/>
      <c r="AC132" s="86" t="s">
        <v>4324</v>
      </c>
      <c r="AD132" s="81"/>
      <c r="AE132" s="81" t="b">
        <v>0</v>
      </c>
      <c r="AF132" s="81">
        <v>0</v>
      </c>
      <c r="AG132" s="86" t="s">
        <v>6240</v>
      </c>
      <c r="AH132" s="81" t="b">
        <v>0</v>
      </c>
      <c r="AI132" s="81" t="s">
        <v>6478</v>
      </c>
      <c r="AJ132" s="81"/>
      <c r="AK132" s="86" t="s">
        <v>6240</v>
      </c>
      <c r="AL132" s="81" t="b">
        <v>0</v>
      </c>
      <c r="AM132" s="81">
        <v>102</v>
      </c>
      <c r="AN132" s="86" t="s">
        <v>4519</v>
      </c>
      <c r="AO132" s="86" t="s">
        <v>6505</v>
      </c>
      <c r="AP132" s="81" t="b">
        <v>0</v>
      </c>
      <c r="AQ132" s="86" t="s">
        <v>4519</v>
      </c>
      <c r="AR132" s="81" t="s">
        <v>179</v>
      </c>
      <c r="AS132" s="81">
        <v>0</v>
      </c>
      <c r="AT132" s="81">
        <v>0</v>
      </c>
      <c r="AU132" s="81"/>
      <c r="AV132" s="81"/>
      <c r="AW132" s="81"/>
      <c r="AX132" s="81"/>
      <c r="AY132" s="81"/>
      <c r="AZ132" s="81"/>
      <c r="BA132" s="81"/>
      <c r="BB132" s="81"/>
    </row>
    <row r="133" spans="1:54" x14ac:dyDescent="0.35">
      <c r="A133" s="66" t="s">
        <v>319</v>
      </c>
      <c r="B133" s="66" t="s">
        <v>335</v>
      </c>
      <c r="C133" s="67"/>
      <c r="D133" s="68"/>
      <c r="E133" s="69"/>
      <c r="F133" s="70"/>
      <c r="G133" s="67"/>
      <c r="H133" s="71"/>
      <c r="I133" s="72"/>
      <c r="J133" s="72"/>
      <c r="K133" s="36"/>
      <c r="L133" s="79"/>
      <c r="M133" s="79"/>
      <c r="N133" s="74"/>
      <c r="O133" s="81" t="s">
        <v>1532</v>
      </c>
      <c r="P133" s="83">
        <v>44458.933449074073</v>
      </c>
      <c r="Q133" s="81" t="s">
        <v>1586</v>
      </c>
      <c r="R133" s="81"/>
      <c r="S133" s="81"/>
      <c r="T133" s="81"/>
      <c r="U133" s="84" t="str">
        <f>HYPERLINK("https://pbs.twimg.com/ext_tw_video_thumb/1439603623520993285/pu/img/4NCBVhjvbYSKxAvX.jpg")</f>
        <v>https://pbs.twimg.com/ext_tw_video_thumb/1439603623520993285/pu/img/4NCBVhjvbYSKxAvX.jpg</v>
      </c>
      <c r="V133" s="84" t="str">
        <f>HYPERLINK("https://pbs.twimg.com/ext_tw_video_thumb/1439603623520993285/pu/img/4NCBVhjvbYSKxAvX.jpg")</f>
        <v>https://pbs.twimg.com/ext_tw_video_thumb/1439603623520993285/pu/img/4NCBVhjvbYSKxAvX.jpg</v>
      </c>
      <c r="W133" s="83">
        <v>44458.933449074073</v>
      </c>
      <c r="X133" s="89">
        <v>44458</v>
      </c>
      <c r="Y133" s="86" t="s">
        <v>2865</v>
      </c>
      <c r="Z133" s="84" t="str">
        <f>HYPERLINK("https://twitter.com/afikahmahadi/status/1439716977795231747")</f>
        <v>https://twitter.com/afikahmahadi/status/1439716977795231747</v>
      </c>
      <c r="AA133" s="81"/>
      <c r="AB133" s="81"/>
      <c r="AC133" s="86" t="s">
        <v>4325</v>
      </c>
      <c r="AD133" s="81"/>
      <c r="AE133" s="81" t="b">
        <v>0</v>
      </c>
      <c r="AF133" s="81">
        <v>0</v>
      </c>
      <c r="AG133" s="86" t="s">
        <v>6240</v>
      </c>
      <c r="AH133" s="81" t="b">
        <v>0</v>
      </c>
      <c r="AI133" s="81" t="s">
        <v>6478</v>
      </c>
      <c r="AJ133" s="81"/>
      <c r="AK133" s="86" t="s">
        <v>6240</v>
      </c>
      <c r="AL133" s="81" t="b">
        <v>0</v>
      </c>
      <c r="AM133" s="81">
        <v>102</v>
      </c>
      <c r="AN133" s="86" t="s">
        <v>4519</v>
      </c>
      <c r="AO133" s="86" t="s">
        <v>6505</v>
      </c>
      <c r="AP133" s="81" t="b">
        <v>0</v>
      </c>
      <c r="AQ133" s="86" t="s">
        <v>4519</v>
      </c>
      <c r="AR133" s="81" t="s">
        <v>179</v>
      </c>
      <c r="AS133" s="81">
        <v>0</v>
      </c>
      <c r="AT133" s="81">
        <v>0</v>
      </c>
      <c r="AU133" s="81"/>
      <c r="AV133" s="81"/>
      <c r="AW133" s="81"/>
      <c r="AX133" s="81"/>
      <c r="AY133" s="81"/>
      <c r="AZ133" s="81"/>
      <c r="BA133" s="81"/>
      <c r="BB133" s="81"/>
    </row>
    <row r="134" spans="1:54" x14ac:dyDescent="0.35">
      <c r="A134" s="66" t="s">
        <v>320</v>
      </c>
      <c r="B134" s="66" t="s">
        <v>335</v>
      </c>
      <c r="C134" s="67"/>
      <c r="D134" s="68"/>
      <c r="E134" s="69"/>
      <c r="F134" s="70"/>
      <c r="G134" s="67"/>
      <c r="H134" s="71"/>
      <c r="I134" s="72"/>
      <c r="J134" s="72"/>
      <c r="K134" s="36"/>
      <c r="L134" s="79"/>
      <c r="M134" s="79"/>
      <c r="N134" s="74"/>
      <c r="O134" s="81" t="s">
        <v>1532</v>
      </c>
      <c r="P134" s="83">
        <v>44458.952418981484</v>
      </c>
      <c r="Q134" s="81" t="s">
        <v>1586</v>
      </c>
      <c r="R134" s="81"/>
      <c r="S134" s="81"/>
      <c r="T134" s="81"/>
      <c r="U134" s="84" t="str">
        <f>HYPERLINK("https://pbs.twimg.com/ext_tw_video_thumb/1439603623520993285/pu/img/4NCBVhjvbYSKxAvX.jpg")</f>
        <v>https://pbs.twimg.com/ext_tw_video_thumb/1439603623520993285/pu/img/4NCBVhjvbYSKxAvX.jpg</v>
      </c>
      <c r="V134" s="84" t="str">
        <f>HYPERLINK("https://pbs.twimg.com/ext_tw_video_thumb/1439603623520993285/pu/img/4NCBVhjvbYSKxAvX.jpg")</f>
        <v>https://pbs.twimg.com/ext_tw_video_thumb/1439603623520993285/pu/img/4NCBVhjvbYSKxAvX.jpg</v>
      </c>
      <c r="W134" s="83">
        <v>44458.952418981484</v>
      </c>
      <c r="X134" s="89">
        <v>44458</v>
      </c>
      <c r="Y134" s="86" t="s">
        <v>2866</v>
      </c>
      <c r="Z134" s="84" t="str">
        <f>HYPERLINK("https://twitter.com/aethkims/status/1439723851357704195")</f>
        <v>https://twitter.com/aethkims/status/1439723851357704195</v>
      </c>
      <c r="AA134" s="81"/>
      <c r="AB134" s="81"/>
      <c r="AC134" s="86" t="s">
        <v>4326</v>
      </c>
      <c r="AD134" s="81"/>
      <c r="AE134" s="81" t="b">
        <v>0</v>
      </c>
      <c r="AF134" s="81">
        <v>0</v>
      </c>
      <c r="AG134" s="86" t="s">
        <v>6240</v>
      </c>
      <c r="AH134" s="81" t="b">
        <v>0</v>
      </c>
      <c r="AI134" s="81" t="s">
        <v>6478</v>
      </c>
      <c r="AJ134" s="81"/>
      <c r="AK134" s="86" t="s">
        <v>6240</v>
      </c>
      <c r="AL134" s="81" t="b">
        <v>0</v>
      </c>
      <c r="AM134" s="81">
        <v>102</v>
      </c>
      <c r="AN134" s="86" t="s">
        <v>4519</v>
      </c>
      <c r="AO134" s="86" t="s">
        <v>6505</v>
      </c>
      <c r="AP134" s="81" t="b">
        <v>0</v>
      </c>
      <c r="AQ134" s="86" t="s">
        <v>4519</v>
      </c>
      <c r="AR134" s="81" t="s">
        <v>179</v>
      </c>
      <c r="AS134" s="81">
        <v>0</v>
      </c>
      <c r="AT134" s="81">
        <v>0</v>
      </c>
      <c r="AU134" s="81"/>
      <c r="AV134" s="81"/>
      <c r="AW134" s="81"/>
      <c r="AX134" s="81"/>
      <c r="AY134" s="81"/>
      <c r="AZ134" s="81"/>
      <c r="BA134" s="81"/>
      <c r="BB134" s="81"/>
    </row>
    <row r="135" spans="1:54" x14ac:dyDescent="0.35">
      <c r="A135" s="66" t="s">
        <v>321</v>
      </c>
      <c r="B135" s="66" t="s">
        <v>1283</v>
      </c>
      <c r="C135" s="67"/>
      <c r="D135" s="68"/>
      <c r="E135" s="69"/>
      <c r="F135" s="70"/>
      <c r="G135" s="67"/>
      <c r="H135" s="71"/>
      <c r="I135" s="72"/>
      <c r="J135" s="72"/>
      <c r="K135" s="36"/>
      <c r="L135" s="79"/>
      <c r="M135" s="79"/>
      <c r="N135" s="74"/>
      <c r="O135" s="81" t="s">
        <v>1535</v>
      </c>
      <c r="P135" s="83">
        <v>44458.952997685185</v>
      </c>
      <c r="Q135" s="81" t="s">
        <v>1592</v>
      </c>
      <c r="R135" s="84" t="str">
        <f>HYPERLINK("https://kerjha.com/pos-indonesia-gandeng-nujek-dan-perkenalkan-o-ranger-mawar/")</f>
        <v>https://kerjha.com/pos-indonesia-gandeng-nujek-dan-perkenalkan-o-ranger-mawar/</v>
      </c>
      <c r="S135" s="81" t="s">
        <v>2586</v>
      </c>
      <c r="T135" s="81"/>
      <c r="U135" s="81"/>
      <c r="V135" s="84" t="str">
        <f>HYPERLINK("https://pbs.twimg.com/profile_images/1373867762901078017/tGMsFoc1_normal.jpg")</f>
        <v>https://pbs.twimg.com/profile_images/1373867762901078017/tGMsFoc1_normal.jpg</v>
      </c>
      <c r="W135" s="83">
        <v>44458.952997685185</v>
      </c>
      <c r="X135" s="89">
        <v>44458</v>
      </c>
      <c r="Y135" s="86" t="s">
        <v>2867</v>
      </c>
      <c r="Z135" s="84" t="str">
        <f>HYPERLINK("https://twitter.com/kbrindns/status/1439724059298652162")</f>
        <v>https://twitter.com/kbrindns/status/1439724059298652162</v>
      </c>
      <c r="AA135" s="81"/>
      <c r="AB135" s="81"/>
      <c r="AC135" s="86" t="s">
        <v>4327</v>
      </c>
      <c r="AD135" s="81"/>
      <c r="AE135" s="81" t="b">
        <v>0</v>
      </c>
      <c r="AF135" s="81">
        <v>0</v>
      </c>
      <c r="AG135" s="86" t="s">
        <v>6240</v>
      </c>
      <c r="AH135" s="81" t="b">
        <v>0</v>
      </c>
      <c r="AI135" s="81" t="s">
        <v>6478</v>
      </c>
      <c r="AJ135" s="81"/>
      <c r="AK135" s="86" t="s">
        <v>6240</v>
      </c>
      <c r="AL135" s="81" t="b">
        <v>0</v>
      </c>
      <c r="AM135" s="81">
        <v>0</v>
      </c>
      <c r="AN135" s="86" t="s">
        <v>6240</v>
      </c>
      <c r="AO135" s="86" t="s">
        <v>6507</v>
      </c>
      <c r="AP135" s="81" t="b">
        <v>0</v>
      </c>
      <c r="AQ135" s="86" t="s">
        <v>4327</v>
      </c>
      <c r="AR135" s="81" t="s">
        <v>179</v>
      </c>
      <c r="AS135" s="81">
        <v>0</v>
      </c>
      <c r="AT135" s="81">
        <v>0</v>
      </c>
      <c r="AU135" s="81"/>
      <c r="AV135" s="81"/>
      <c r="AW135" s="81"/>
      <c r="AX135" s="81"/>
      <c r="AY135" s="81"/>
      <c r="AZ135" s="81"/>
      <c r="BA135" s="81"/>
      <c r="BB135" s="81"/>
    </row>
    <row r="136" spans="1:54" x14ac:dyDescent="0.35">
      <c r="A136" s="66" t="s">
        <v>322</v>
      </c>
      <c r="B136" s="66" t="s">
        <v>1283</v>
      </c>
      <c r="C136" s="67"/>
      <c r="D136" s="68"/>
      <c r="E136" s="69"/>
      <c r="F136" s="70"/>
      <c r="G136" s="67"/>
      <c r="H136" s="71"/>
      <c r="I136" s="72"/>
      <c r="J136" s="72"/>
      <c r="K136" s="36"/>
      <c r="L136" s="79"/>
      <c r="M136" s="79"/>
      <c r="N136" s="74"/>
      <c r="O136" s="81" t="s">
        <v>1535</v>
      </c>
      <c r="P136" s="83">
        <v>44458.954814814817</v>
      </c>
      <c r="Q136" s="81" t="s">
        <v>1593</v>
      </c>
      <c r="R136" s="84" t="str">
        <f>HYPERLINK("https://kerjha.com/pos-indonesia-gandeng-nujek-dan-perkenalkan-o-ranger-mawar/")</f>
        <v>https://kerjha.com/pos-indonesia-gandeng-nujek-dan-perkenalkan-o-ranger-mawar/</v>
      </c>
      <c r="S136" s="81" t="s">
        <v>2586</v>
      </c>
      <c r="T136" s="81"/>
      <c r="U136" s="81"/>
      <c r="V136" s="84" t="str">
        <f>HYPERLINK("https://pbs.twimg.com/profile_images/1326566987380613120/BEpjMr5R_normal.jpg")</f>
        <v>https://pbs.twimg.com/profile_images/1326566987380613120/BEpjMr5R_normal.jpg</v>
      </c>
      <c r="W136" s="83">
        <v>44458.954814814817</v>
      </c>
      <c r="X136" s="89">
        <v>44458</v>
      </c>
      <c r="Y136" s="86" t="s">
        <v>2868</v>
      </c>
      <c r="Z136" s="84" t="str">
        <f>HYPERLINK("https://twitter.com/vrishaba05/status/1439724719041773569")</f>
        <v>https://twitter.com/vrishaba05/status/1439724719041773569</v>
      </c>
      <c r="AA136" s="81"/>
      <c r="AB136" s="81"/>
      <c r="AC136" s="86" t="s">
        <v>4328</v>
      </c>
      <c r="AD136" s="81"/>
      <c r="AE136" s="81" t="b">
        <v>0</v>
      </c>
      <c r="AF136" s="81">
        <v>0</v>
      </c>
      <c r="AG136" s="86" t="s">
        <v>6240</v>
      </c>
      <c r="AH136" s="81" t="b">
        <v>0</v>
      </c>
      <c r="AI136" s="81" t="s">
        <v>6478</v>
      </c>
      <c r="AJ136" s="81"/>
      <c r="AK136" s="86" t="s">
        <v>6240</v>
      </c>
      <c r="AL136" s="81" t="b">
        <v>0</v>
      </c>
      <c r="AM136" s="81">
        <v>0</v>
      </c>
      <c r="AN136" s="86" t="s">
        <v>6240</v>
      </c>
      <c r="AO136" s="86" t="s">
        <v>6507</v>
      </c>
      <c r="AP136" s="81" t="b">
        <v>0</v>
      </c>
      <c r="AQ136" s="86" t="s">
        <v>4328</v>
      </c>
      <c r="AR136" s="81" t="s">
        <v>179</v>
      </c>
      <c r="AS136" s="81">
        <v>0</v>
      </c>
      <c r="AT136" s="81">
        <v>0</v>
      </c>
      <c r="AU136" s="81"/>
      <c r="AV136" s="81"/>
      <c r="AW136" s="81"/>
      <c r="AX136" s="81"/>
      <c r="AY136" s="81"/>
      <c r="AZ136" s="81"/>
      <c r="BA136" s="81"/>
      <c r="BB136" s="81"/>
    </row>
    <row r="137" spans="1:54" x14ac:dyDescent="0.35">
      <c r="A137" s="66" t="s">
        <v>323</v>
      </c>
      <c r="B137" s="66" t="s">
        <v>1283</v>
      </c>
      <c r="C137" s="67"/>
      <c r="D137" s="68"/>
      <c r="E137" s="69"/>
      <c r="F137" s="70"/>
      <c r="G137" s="67"/>
      <c r="H137" s="71"/>
      <c r="I137" s="72"/>
      <c r="J137" s="72"/>
      <c r="K137" s="36"/>
      <c r="L137" s="79"/>
      <c r="M137" s="79"/>
      <c r="N137" s="74"/>
      <c r="O137" s="81" t="s">
        <v>1533</v>
      </c>
      <c r="P137" s="83">
        <v>44458.955451388887</v>
      </c>
      <c r="Q137" s="81" t="s">
        <v>1583</v>
      </c>
      <c r="R137" s="84" t="str">
        <f>HYPERLINK("https://kerjha.com/pos-indonesia-gandeng-nujek-dan-perkenalkan-o-ranger-mawar/")</f>
        <v>https://kerjha.com/pos-indonesia-gandeng-nujek-dan-perkenalkan-o-ranger-mawar/</v>
      </c>
      <c r="S137" s="81" t="s">
        <v>2586</v>
      </c>
      <c r="T137" s="81"/>
      <c r="U137" s="81"/>
      <c r="V137" s="84" t="str">
        <f>HYPERLINK("https://pbs.twimg.com/profile_images/1287278476383227904/a4acW3gK_normal.jpg")</f>
        <v>https://pbs.twimg.com/profile_images/1287278476383227904/a4acW3gK_normal.jpg</v>
      </c>
      <c r="W137" s="83">
        <v>44458.955451388887</v>
      </c>
      <c r="X137" s="89">
        <v>44458</v>
      </c>
      <c r="Y137" s="86" t="s">
        <v>2869</v>
      </c>
      <c r="Z137" s="84" t="str">
        <f>HYPERLINK("https://twitter.com/manoharasekar/status/1439724948671459329")</f>
        <v>https://twitter.com/manoharasekar/status/1439724948671459329</v>
      </c>
      <c r="AA137" s="81"/>
      <c r="AB137" s="81"/>
      <c r="AC137" s="86" t="s">
        <v>4329</v>
      </c>
      <c r="AD137" s="81"/>
      <c r="AE137" s="81" t="b">
        <v>0</v>
      </c>
      <c r="AF137" s="81">
        <v>0</v>
      </c>
      <c r="AG137" s="86" t="s">
        <v>6240</v>
      </c>
      <c r="AH137" s="81" t="b">
        <v>0</v>
      </c>
      <c r="AI137" s="81" t="s">
        <v>6478</v>
      </c>
      <c r="AJ137" s="81"/>
      <c r="AK137" s="86" t="s">
        <v>6240</v>
      </c>
      <c r="AL137" s="81" t="b">
        <v>0</v>
      </c>
      <c r="AM137" s="81">
        <v>10</v>
      </c>
      <c r="AN137" s="86" t="s">
        <v>4365</v>
      </c>
      <c r="AO137" s="86" t="s">
        <v>6503</v>
      </c>
      <c r="AP137" s="81" t="b">
        <v>0</v>
      </c>
      <c r="AQ137" s="86" t="s">
        <v>4365</v>
      </c>
      <c r="AR137" s="81" t="s">
        <v>179</v>
      </c>
      <c r="AS137" s="81">
        <v>0</v>
      </c>
      <c r="AT137" s="81">
        <v>0</v>
      </c>
      <c r="AU137" s="81"/>
      <c r="AV137" s="81"/>
      <c r="AW137" s="81"/>
      <c r="AX137" s="81"/>
      <c r="AY137" s="81"/>
      <c r="AZ137" s="81"/>
      <c r="BA137" s="81"/>
      <c r="BB137" s="81"/>
    </row>
    <row r="138" spans="1:54" x14ac:dyDescent="0.35">
      <c r="A138" s="66" t="s">
        <v>323</v>
      </c>
      <c r="B138" s="66" t="s">
        <v>357</v>
      </c>
      <c r="C138" s="67"/>
      <c r="D138" s="68"/>
      <c r="E138" s="69"/>
      <c r="F138" s="70"/>
      <c r="G138" s="67"/>
      <c r="H138" s="71"/>
      <c r="I138" s="72"/>
      <c r="J138" s="72"/>
      <c r="K138" s="36"/>
      <c r="L138" s="79"/>
      <c r="M138" s="79"/>
      <c r="N138" s="74"/>
      <c r="O138" s="81" t="s">
        <v>1532</v>
      </c>
      <c r="P138" s="83">
        <v>44458.955451388887</v>
      </c>
      <c r="Q138" s="81" t="s">
        <v>1583</v>
      </c>
      <c r="R138" s="84" t="str">
        <f>HYPERLINK("https://kerjha.com/pos-indonesia-gandeng-nujek-dan-perkenalkan-o-ranger-mawar/")</f>
        <v>https://kerjha.com/pos-indonesia-gandeng-nujek-dan-perkenalkan-o-ranger-mawar/</v>
      </c>
      <c r="S138" s="81" t="s">
        <v>2586</v>
      </c>
      <c r="T138" s="81"/>
      <c r="U138" s="81"/>
      <c r="V138" s="84" t="str">
        <f>HYPERLINK("https://pbs.twimg.com/profile_images/1287278476383227904/a4acW3gK_normal.jpg")</f>
        <v>https://pbs.twimg.com/profile_images/1287278476383227904/a4acW3gK_normal.jpg</v>
      </c>
      <c r="W138" s="83">
        <v>44458.955451388887</v>
      </c>
      <c r="X138" s="89">
        <v>44458</v>
      </c>
      <c r="Y138" s="86" t="s">
        <v>2869</v>
      </c>
      <c r="Z138" s="84" t="str">
        <f>HYPERLINK("https://twitter.com/manoharasekar/status/1439724948671459329")</f>
        <v>https://twitter.com/manoharasekar/status/1439724948671459329</v>
      </c>
      <c r="AA138" s="81"/>
      <c r="AB138" s="81"/>
      <c r="AC138" s="86" t="s">
        <v>4329</v>
      </c>
      <c r="AD138" s="81"/>
      <c r="AE138" s="81" t="b">
        <v>0</v>
      </c>
      <c r="AF138" s="81">
        <v>0</v>
      </c>
      <c r="AG138" s="86" t="s">
        <v>6240</v>
      </c>
      <c r="AH138" s="81" t="b">
        <v>0</v>
      </c>
      <c r="AI138" s="81" t="s">
        <v>6478</v>
      </c>
      <c r="AJ138" s="81"/>
      <c r="AK138" s="86" t="s">
        <v>6240</v>
      </c>
      <c r="AL138" s="81" t="b">
        <v>0</v>
      </c>
      <c r="AM138" s="81">
        <v>10</v>
      </c>
      <c r="AN138" s="86" t="s">
        <v>4365</v>
      </c>
      <c r="AO138" s="86" t="s">
        <v>6503</v>
      </c>
      <c r="AP138" s="81" t="b">
        <v>0</v>
      </c>
      <c r="AQ138" s="86" t="s">
        <v>4365</v>
      </c>
      <c r="AR138" s="81" t="s">
        <v>179</v>
      </c>
      <c r="AS138" s="81">
        <v>0</v>
      </c>
      <c r="AT138" s="81">
        <v>0</v>
      </c>
      <c r="AU138" s="81"/>
      <c r="AV138" s="81"/>
      <c r="AW138" s="81"/>
      <c r="AX138" s="81"/>
      <c r="AY138" s="81"/>
      <c r="AZ138" s="81"/>
      <c r="BA138" s="81"/>
      <c r="BB138" s="81"/>
    </row>
    <row r="139" spans="1:54" x14ac:dyDescent="0.35">
      <c r="A139" s="66" t="s">
        <v>324</v>
      </c>
      <c r="B139" s="66" t="s">
        <v>335</v>
      </c>
      <c r="C139" s="67"/>
      <c r="D139" s="68"/>
      <c r="E139" s="69"/>
      <c r="F139" s="70"/>
      <c r="G139" s="67"/>
      <c r="H139" s="71"/>
      <c r="I139" s="72"/>
      <c r="J139" s="72"/>
      <c r="K139" s="36"/>
      <c r="L139" s="79"/>
      <c r="M139" s="79"/>
      <c r="N139" s="74"/>
      <c r="O139" s="81" t="s">
        <v>1532</v>
      </c>
      <c r="P139" s="83">
        <v>44458.97923611111</v>
      </c>
      <c r="Q139" s="81" t="s">
        <v>1586</v>
      </c>
      <c r="R139" s="81"/>
      <c r="S139" s="81"/>
      <c r="T139" s="81"/>
      <c r="U139" s="84" t="str">
        <f>HYPERLINK("https://pbs.twimg.com/ext_tw_video_thumb/1439603623520993285/pu/img/4NCBVhjvbYSKxAvX.jpg")</f>
        <v>https://pbs.twimg.com/ext_tw_video_thumb/1439603623520993285/pu/img/4NCBVhjvbYSKxAvX.jpg</v>
      </c>
      <c r="V139" s="84" t="str">
        <f>HYPERLINK("https://pbs.twimg.com/ext_tw_video_thumb/1439603623520993285/pu/img/4NCBVhjvbYSKxAvX.jpg")</f>
        <v>https://pbs.twimg.com/ext_tw_video_thumb/1439603623520993285/pu/img/4NCBVhjvbYSKxAvX.jpg</v>
      </c>
      <c r="W139" s="83">
        <v>44458.97923611111</v>
      </c>
      <c r="X139" s="89">
        <v>44458</v>
      </c>
      <c r="Y139" s="86" t="s">
        <v>2870</v>
      </c>
      <c r="Z139" s="84" t="str">
        <f>HYPERLINK("https://twitter.com/atiknoru/status/1439733570570895365")</f>
        <v>https://twitter.com/atiknoru/status/1439733570570895365</v>
      </c>
      <c r="AA139" s="81"/>
      <c r="AB139" s="81"/>
      <c r="AC139" s="86" t="s">
        <v>4330</v>
      </c>
      <c r="AD139" s="81"/>
      <c r="AE139" s="81" t="b">
        <v>0</v>
      </c>
      <c r="AF139" s="81">
        <v>0</v>
      </c>
      <c r="AG139" s="86" t="s">
        <v>6240</v>
      </c>
      <c r="AH139" s="81" t="b">
        <v>0</v>
      </c>
      <c r="AI139" s="81" t="s">
        <v>6478</v>
      </c>
      <c r="AJ139" s="81"/>
      <c r="AK139" s="86" t="s">
        <v>6240</v>
      </c>
      <c r="AL139" s="81" t="b">
        <v>0</v>
      </c>
      <c r="AM139" s="81">
        <v>102</v>
      </c>
      <c r="AN139" s="86" t="s">
        <v>4519</v>
      </c>
      <c r="AO139" s="86" t="s">
        <v>6505</v>
      </c>
      <c r="AP139" s="81" t="b">
        <v>0</v>
      </c>
      <c r="AQ139" s="86" t="s">
        <v>4519</v>
      </c>
      <c r="AR139" s="81" t="s">
        <v>179</v>
      </c>
      <c r="AS139" s="81">
        <v>0</v>
      </c>
      <c r="AT139" s="81">
        <v>0</v>
      </c>
      <c r="AU139" s="81"/>
      <c r="AV139" s="81"/>
      <c r="AW139" s="81"/>
      <c r="AX139" s="81"/>
      <c r="AY139" s="81"/>
      <c r="AZ139" s="81"/>
      <c r="BA139" s="81"/>
      <c r="BB139" s="81"/>
    </row>
    <row r="140" spans="1:54" x14ac:dyDescent="0.35">
      <c r="A140" s="66" t="s">
        <v>325</v>
      </c>
      <c r="B140" s="66" t="s">
        <v>1289</v>
      </c>
      <c r="C140" s="67"/>
      <c r="D140" s="68"/>
      <c r="E140" s="69"/>
      <c r="F140" s="70"/>
      <c r="G140" s="67"/>
      <c r="H140" s="71"/>
      <c r="I140" s="72"/>
      <c r="J140" s="72"/>
      <c r="K140" s="36"/>
      <c r="L140" s="79"/>
      <c r="M140" s="79"/>
      <c r="N140" s="74"/>
      <c r="O140" s="81" t="s">
        <v>1534</v>
      </c>
      <c r="P140" s="83">
        <v>44458.98945601852</v>
      </c>
      <c r="Q140" s="81" t="s">
        <v>1594</v>
      </c>
      <c r="R140" s="81"/>
      <c r="S140" s="81"/>
      <c r="T140" s="81"/>
      <c r="U140" s="81"/>
      <c r="V140" s="84" t="str">
        <f>HYPERLINK("https://pbs.twimg.com/profile_images/1442168930957619209/Y__ZFQov_normal.jpg")</f>
        <v>https://pbs.twimg.com/profile_images/1442168930957619209/Y__ZFQov_normal.jpg</v>
      </c>
      <c r="W140" s="83">
        <v>44458.98945601852</v>
      </c>
      <c r="X140" s="89">
        <v>44458</v>
      </c>
      <c r="Y140" s="86" t="s">
        <v>2871</v>
      </c>
      <c r="Z140" s="84" t="str">
        <f>HYPERLINK("https://twitter.com/alifiahsftr/status/1439737273675780097")</f>
        <v>https://twitter.com/alifiahsftr/status/1439737273675780097</v>
      </c>
      <c r="AA140" s="81"/>
      <c r="AB140" s="81"/>
      <c r="AC140" s="86" t="s">
        <v>4331</v>
      </c>
      <c r="AD140" s="86" t="s">
        <v>5987</v>
      </c>
      <c r="AE140" s="81" t="b">
        <v>0</v>
      </c>
      <c r="AF140" s="81">
        <v>0</v>
      </c>
      <c r="AG140" s="86" t="s">
        <v>6257</v>
      </c>
      <c r="AH140" s="81" t="b">
        <v>0</v>
      </c>
      <c r="AI140" s="81" t="s">
        <v>6478</v>
      </c>
      <c r="AJ140" s="81"/>
      <c r="AK140" s="86" t="s">
        <v>6240</v>
      </c>
      <c r="AL140" s="81" t="b">
        <v>0</v>
      </c>
      <c r="AM140" s="81">
        <v>0</v>
      </c>
      <c r="AN140" s="86" t="s">
        <v>6240</v>
      </c>
      <c r="AO140" s="86" t="s">
        <v>6503</v>
      </c>
      <c r="AP140" s="81" t="b">
        <v>0</v>
      </c>
      <c r="AQ140" s="86" t="s">
        <v>5987</v>
      </c>
      <c r="AR140" s="81" t="s">
        <v>179</v>
      </c>
      <c r="AS140" s="81">
        <v>0</v>
      </c>
      <c r="AT140" s="81">
        <v>0</v>
      </c>
      <c r="AU140" s="81"/>
      <c r="AV140" s="81"/>
      <c r="AW140" s="81"/>
      <c r="AX140" s="81"/>
      <c r="AY140" s="81"/>
      <c r="AZ140" s="81"/>
      <c r="BA140" s="81"/>
      <c r="BB140" s="81"/>
    </row>
    <row r="141" spans="1:54" x14ac:dyDescent="0.35">
      <c r="A141" s="66" t="s">
        <v>326</v>
      </c>
      <c r="B141" s="66" t="s">
        <v>1290</v>
      </c>
      <c r="C141" s="67"/>
      <c r="D141" s="68"/>
      <c r="E141" s="69"/>
      <c r="F141" s="70"/>
      <c r="G141" s="67"/>
      <c r="H141" s="71"/>
      <c r="I141" s="72"/>
      <c r="J141" s="72"/>
      <c r="K141" s="36"/>
      <c r="L141" s="79"/>
      <c r="M141" s="79"/>
      <c r="N141" s="74"/>
      <c r="O141" s="81" t="s">
        <v>1534</v>
      </c>
      <c r="P141" s="83">
        <v>44459.005787037036</v>
      </c>
      <c r="Q141" s="81" t="s">
        <v>1595</v>
      </c>
      <c r="R141" s="81"/>
      <c r="S141" s="81"/>
      <c r="T141" s="81"/>
      <c r="U141" s="81"/>
      <c r="V141" s="84" t="str">
        <f>HYPERLINK("https://pbs.twimg.com/profile_images/1421784779322630145/mbqqOhlO_normal.jpg")</f>
        <v>https://pbs.twimg.com/profile_images/1421784779322630145/mbqqOhlO_normal.jpg</v>
      </c>
      <c r="W141" s="83">
        <v>44459.005787037036</v>
      </c>
      <c r="X141" s="89">
        <v>44459</v>
      </c>
      <c r="Y141" s="86" t="s">
        <v>2872</v>
      </c>
      <c r="Z141" s="84" t="str">
        <f>HYPERLINK("https://twitter.com/dongchanlee_/status/1439743192358924293")</f>
        <v>https://twitter.com/dongchanlee_/status/1439743192358924293</v>
      </c>
      <c r="AA141" s="81"/>
      <c r="AB141" s="81"/>
      <c r="AC141" s="86" t="s">
        <v>4332</v>
      </c>
      <c r="AD141" s="86" t="s">
        <v>5988</v>
      </c>
      <c r="AE141" s="81" t="b">
        <v>0</v>
      </c>
      <c r="AF141" s="81">
        <v>0</v>
      </c>
      <c r="AG141" s="86" t="s">
        <v>6258</v>
      </c>
      <c r="AH141" s="81" t="b">
        <v>0</v>
      </c>
      <c r="AI141" s="81" t="s">
        <v>6478</v>
      </c>
      <c r="AJ141" s="81"/>
      <c r="AK141" s="86" t="s">
        <v>6240</v>
      </c>
      <c r="AL141" s="81" t="b">
        <v>0</v>
      </c>
      <c r="AM141" s="81">
        <v>0</v>
      </c>
      <c r="AN141" s="86" t="s">
        <v>6240</v>
      </c>
      <c r="AO141" s="86" t="s">
        <v>6505</v>
      </c>
      <c r="AP141" s="81" t="b">
        <v>0</v>
      </c>
      <c r="AQ141" s="86" t="s">
        <v>5988</v>
      </c>
      <c r="AR141" s="81" t="s">
        <v>179</v>
      </c>
      <c r="AS141" s="81">
        <v>0</v>
      </c>
      <c r="AT141" s="81">
        <v>0</v>
      </c>
      <c r="AU141" s="81"/>
      <c r="AV141" s="81"/>
      <c r="AW141" s="81"/>
      <c r="AX141" s="81"/>
      <c r="AY141" s="81"/>
      <c r="AZ141" s="81"/>
      <c r="BA141" s="81"/>
      <c r="BB141" s="81"/>
    </row>
    <row r="142" spans="1:54" x14ac:dyDescent="0.35">
      <c r="A142" s="66" t="s">
        <v>326</v>
      </c>
      <c r="B142" s="66" t="s">
        <v>1290</v>
      </c>
      <c r="C142" s="67"/>
      <c r="D142" s="68"/>
      <c r="E142" s="69"/>
      <c r="F142" s="70"/>
      <c r="G142" s="67"/>
      <c r="H142" s="71"/>
      <c r="I142" s="72"/>
      <c r="J142" s="72"/>
      <c r="K142" s="36"/>
      <c r="L142" s="79"/>
      <c r="M142" s="79"/>
      <c r="N142" s="74"/>
      <c r="O142" s="81" t="s">
        <v>1534</v>
      </c>
      <c r="P142" s="83">
        <v>44459.007002314815</v>
      </c>
      <c r="Q142" s="81" t="s">
        <v>1596</v>
      </c>
      <c r="R142" s="81"/>
      <c r="S142" s="81"/>
      <c r="T142" s="81"/>
      <c r="U142" s="81"/>
      <c r="V142" s="84" t="str">
        <f>HYPERLINK("https://pbs.twimg.com/profile_images/1421784779322630145/mbqqOhlO_normal.jpg")</f>
        <v>https://pbs.twimg.com/profile_images/1421784779322630145/mbqqOhlO_normal.jpg</v>
      </c>
      <c r="W142" s="83">
        <v>44459.007002314815</v>
      </c>
      <c r="X142" s="89">
        <v>44459</v>
      </c>
      <c r="Y142" s="86" t="s">
        <v>2873</v>
      </c>
      <c r="Z142" s="84" t="str">
        <f>HYPERLINK("https://twitter.com/dongchanlee_/status/1439743629870915586")</f>
        <v>https://twitter.com/dongchanlee_/status/1439743629870915586</v>
      </c>
      <c r="AA142" s="81"/>
      <c r="AB142" s="81"/>
      <c r="AC142" s="86" t="s">
        <v>4333</v>
      </c>
      <c r="AD142" s="86" t="s">
        <v>5989</v>
      </c>
      <c r="AE142" s="81" t="b">
        <v>0</v>
      </c>
      <c r="AF142" s="81">
        <v>0</v>
      </c>
      <c r="AG142" s="86" t="s">
        <v>6258</v>
      </c>
      <c r="AH142" s="81" t="b">
        <v>0</v>
      </c>
      <c r="AI142" s="81" t="s">
        <v>6478</v>
      </c>
      <c r="AJ142" s="81"/>
      <c r="AK142" s="86" t="s">
        <v>6240</v>
      </c>
      <c r="AL142" s="81" t="b">
        <v>0</v>
      </c>
      <c r="AM142" s="81">
        <v>0</v>
      </c>
      <c r="AN142" s="86" t="s">
        <v>6240</v>
      </c>
      <c r="AO142" s="86" t="s">
        <v>6505</v>
      </c>
      <c r="AP142" s="81" t="b">
        <v>0</v>
      </c>
      <c r="AQ142" s="86" t="s">
        <v>5989</v>
      </c>
      <c r="AR142" s="81" t="s">
        <v>179</v>
      </c>
      <c r="AS142" s="81">
        <v>0</v>
      </c>
      <c r="AT142" s="81">
        <v>0</v>
      </c>
      <c r="AU142" s="81"/>
      <c r="AV142" s="81"/>
      <c r="AW142" s="81"/>
      <c r="AX142" s="81"/>
      <c r="AY142" s="81"/>
      <c r="AZ142" s="81"/>
      <c r="BA142" s="81"/>
      <c r="BB142" s="81"/>
    </row>
    <row r="143" spans="1:54" x14ac:dyDescent="0.35">
      <c r="A143" s="66" t="s">
        <v>327</v>
      </c>
      <c r="B143" s="66" t="s">
        <v>1291</v>
      </c>
      <c r="C143" s="67"/>
      <c r="D143" s="68"/>
      <c r="E143" s="69"/>
      <c r="F143" s="70"/>
      <c r="G143" s="67"/>
      <c r="H143" s="71"/>
      <c r="I143" s="72"/>
      <c r="J143" s="72"/>
      <c r="K143" s="36"/>
      <c r="L143" s="79"/>
      <c r="M143" s="79"/>
      <c r="N143" s="74"/>
      <c r="O143" s="81" t="s">
        <v>1534</v>
      </c>
      <c r="P143" s="83">
        <v>44459.013796296298</v>
      </c>
      <c r="Q143" s="81" t="s">
        <v>1597</v>
      </c>
      <c r="R143" s="81"/>
      <c r="S143" s="81"/>
      <c r="T143" s="81"/>
      <c r="U143" s="81"/>
      <c r="V143" s="84" t="str">
        <f>HYPERLINK("https://pbs.twimg.com/profile_images/1430087896174718978/z30H2sE3_normal.jpg")</f>
        <v>https://pbs.twimg.com/profile_images/1430087896174718978/z30H2sE3_normal.jpg</v>
      </c>
      <c r="W143" s="83">
        <v>44459.013796296298</v>
      </c>
      <c r="X143" s="89">
        <v>44459</v>
      </c>
      <c r="Y143" s="86" t="s">
        <v>2874</v>
      </c>
      <c r="Z143" s="84" t="str">
        <f>HYPERLINK("https://twitter.com/nggaatauu/status/1439746092686475268")</f>
        <v>https://twitter.com/nggaatauu/status/1439746092686475268</v>
      </c>
      <c r="AA143" s="81"/>
      <c r="AB143" s="81"/>
      <c r="AC143" s="86" t="s">
        <v>4334</v>
      </c>
      <c r="AD143" s="86" t="s">
        <v>5990</v>
      </c>
      <c r="AE143" s="81" t="b">
        <v>0</v>
      </c>
      <c r="AF143" s="81">
        <v>0</v>
      </c>
      <c r="AG143" s="86" t="s">
        <v>6259</v>
      </c>
      <c r="AH143" s="81" t="b">
        <v>0</v>
      </c>
      <c r="AI143" s="81" t="s">
        <v>6478</v>
      </c>
      <c r="AJ143" s="81"/>
      <c r="AK143" s="86" t="s">
        <v>6240</v>
      </c>
      <c r="AL143" s="81" t="b">
        <v>0</v>
      </c>
      <c r="AM143" s="81">
        <v>0</v>
      </c>
      <c r="AN143" s="86" t="s">
        <v>6240</v>
      </c>
      <c r="AO143" s="86" t="s">
        <v>6505</v>
      </c>
      <c r="AP143" s="81" t="b">
        <v>0</v>
      </c>
      <c r="AQ143" s="86" t="s">
        <v>5990</v>
      </c>
      <c r="AR143" s="81" t="s">
        <v>179</v>
      </c>
      <c r="AS143" s="81">
        <v>0</v>
      </c>
      <c r="AT143" s="81">
        <v>0</v>
      </c>
      <c r="AU143" s="81"/>
      <c r="AV143" s="81"/>
      <c r="AW143" s="81"/>
      <c r="AX143" s="81"/>
      <c r="AY143" s="81"/>
      <c r="AZ143" s="81"/>
      <c r="BA143" s="81"/>
      <c r="BB143" s="81"/>
    </row>
    <row r="144" spans="1:54" x14ac:dyDescent="0.35">
      <c r="A144" s="66" t="s">
        <v>328</v>
      </c>
      <c r="B144" s="66" t="s">
        <v>1292</v>
      </c>
      <c r="C144" s="67"/>
      <c r="D144" s="68"/>
      <c r="E144" s="69"/>
      <c r="F144" s="70"/>
      <c r="G144" s="67"/>
      <c r="H144" s="71"/>
      <c r="I144" s="72"/>
      <c r="J144" s="72"/>
      <c r="K144" s="36"/>
      <c r="L144" s="79"/>
      <c r="M144" s="79"/>
      <c r="N144" s="74"/>
      <c r="O144" s="81" t="s">
        <v>1534</v>
      </c>
      <c r="P144" s="83">
        <v>44459.021087962959</v>
      </c>
      <c r="Q144" s="81" t="s">
        <v>1598</v>
      </c>
      <c r="R144" s="81"/>
      <c r="S144" s="81"/>
      <c r="T144" s="81"/>
      <c r="U144" s="81"/>
      <c r="V144" s="84" t="str">
        <f>HYPERLINK("https://pbs.twimg.com/profile_images/1432251723163189254/Shg1CBMs_normal.jpg")</f>
        <v>https://pbs.twimg.com/profile_images/1432251723163189254/Shg1CBMs_normal.jpg</v>
      </c>
      <c r="W144" s="83">
        <v>44459.021087962959</v>
      </c>
      <c r="X144" s="89">
        <v>44459</v>
      </c>
      <c r="Y144" s="86" t="s">
        <v>2875</v>
      </c>
      <c r="Z144" s="84" t="str">
        <f>HYPERLINK("https://twitter.com/alifmuclisinapp/status/1439748735001501700")</f>
        <v>https://twitter.com/alifmuclisinapp/status/1439748735001501700</v>
      </c>
      <c r="AA144" s="81"/>
      <c r="AB144" s="81"/>
      <c r="AC144" s="86" t="s">
        <v>4335</v>
      </c>
      <c r="AD144" s="86" t="s">
        <v>5991</v>
      </c>
      <c r="AE144" s="81" t="b">
        <v>0</v>
      </c>
      <c r="AF144" s="81">
        <v>0</v>
      </c>
      <c r="AG144" s="86" t="s">
        <v>6260</v>
      </c>
      <c r="AH144" s="81" t="b">
        <v>0</v>
      </c>
      <c r="AI144" s="81" t="s">
        <v>6478</v>
      </c>
      <c r="AJ144" s="81"/>
      <c r="AK144" s="86" t="s">
        <v>6240</v>
      </c>
      <c r="AL144" s="81" t="b">
        <v>0</v>
      </c>
      <c r="AM144" s="81">
        <v>0</v>
      </c>
      <c r="AN144" s="86" t="s">
        <v>6240</v>
      </c>
      <c r="AO144" s="86" t="s">
        <v>6503</v>
      </c>
      <c r="AP144" s="81" t="b">
        <v>0</v>
      </c>
      <c r="AQ144" s="86" t="s">
        <v>5991</v>
      </c>
      <c r="AR144" s="81" t="s">
        <v>179</v>
      </c>
      <c r="AS144" s="81">
        <v>0</v>
      </c>
      <c r="AT144" s="81">
        <v>0</v>
      </c>
      <c r="AU144" s="81"/>
      <c r="AV144" s="81"/>
      <c r="AW144" s="81"/>
      <c r="AX144" s="81"/>
      <c r="AY144" s="81"/>
      <c r="AZ144" s="81"/>
      <c r="BA144" s="81"/>
      <c r="BB144" s="81"/>
    </row>
    <row r="145" spans="1:54" x14ac:dyDescent="0.35">
      <c r="A145" s="66" t="s">
        <v>329</v>
      </c>
      <c r="B145" s="66" t="s">
        <v>335</v>
      </c>
      <c r="C145" s="67"/>
      <c r="D145" s="68"/>
      <c r="E145" s="69"/>
      <c r="F145" s="70"/>
      <c r="G145" s="67"/>
      <c r="H145" s="71"/>
      <c r="I145" s="72"/>
      <c r="J145" s="72"/>
      <c r="K145" s="36"/>
      <c r="L145" s="79"/>
      <c r="M145" s="79"/>
      <c r="N145" s="74"/>
      <c r="O145" s="81" t="s">
        <v>1532</v>
      </c>
      <c r="P145" s="83">
        <v>44459.030347222222</v>
      </c>
      <c r="Q145" s="81" t="s">
        <v>1586</v>
      </c>
      <c r="R145" s="81"/>
      <c r="S145" s="81"/>
      <c r="T145" s="81"/>
      <c r="U145" s="84" t="str">
        <f>HYPERLINK("https://pbs.twimg.com/ext_tw_video_thumb/1439603623520993285/pu/img/4NCBVhjvbYSKxAvX.jpg")</f>
        <v>https://pbs.twimg.com/ext_tw_video_thumb/1439603623520993285/pu/img/4NCBVhjvbYSKxAvX.jpg</v>
      </c>
      <c r="V145" s="84" t="str">
        <f>HYPERLINK("https://pbs.twimg.com/ext_tw_video_thumb/1439603623520993285/pu/img/4NCBVhjvbYSKxAvX.jpg")</f>
        <v>https://pbs.twimg.com/ext_tw_video_thumb/1439603623520993285/pu/img/4NCBVhjvbYSKxAvX.jpg</v>
      </c>
      <c r="W145" s="83">
        <v>44459.030347222222</v>
      </c>
      <c r="X145" s="89">
        <v>44459</v>
      </c>
      <c r="Y145" s="86" t="s">
        <v>2876</v>
      </c>
      <c r="Z145" s="84" t="str">
        <f>HYPERLINK("https://twitter.com/amir_r00/status/1439752093087141888")</f>
        <v>https://twitter.com/amir_r00/status/1439752093087141888</v>
      </c>
      <c r="AA145" s="81"/>
      <c r="AB145" s="81"/>
      <c r="AC145" s="86" t="s">
        <v>4336</v>
      </c>
      <c r="AD145" s="81"/>
      <c r="AE145" s="81" t="b">
        <v>0</v>
      </c>
      <c r="AF145" s="81">
        <v>0</v>
      </c>
      <c r="AG145" s="86" t="s">
        <v>6240</v>
      </c>
      <c r="AH145" s="81" t="b">
        <v>0</v>
      </c>
      <c r="AI145" s="81" t="s">
        <v>6478</v>
      </c>
      <c r="AJ145" s="81"/>
      <c r="AK145" s="86" t="s">
        <v>6240</v>
      </c>
      <c r="AL145" s="81" t="b">
        <v>0</v>
      </c>
      <c r="AM145" s="81">
        <v>102</v>
      </c>
      <c r="AN145" s="86" t="s">
        <v>4519</v>
      </c>
      <c r="AO145" s="86" t="s">
        <v>6503</v>
      </c>
      <c r="AP145" s="81" t="b">
        <v>0</v>
      </c>
      <c r="AQ145" s="86" t="s">
        <v>4519</v>
      </c>
      <c r="AR145" s="81" t="s">
        <v>179</v>
      </c>
      <c r="AS145" s="81">
        <v>0</v>
      </c>
      <c r="AT145" s="81">
        <v>0</v>
      </c>
      <c r="AU145" s="81"/>
      <c r="AV145" s="81"/>
      <c r="AW145" s="81"/>
      <c r="AX145" s="81"/>
      <c r="AY145" s="81"/>
      <c r="AZ145" s="81"/>
      <c r="BA145" s="81"/>
      <c r="BB145" s="81"/>
    </row>
    <row r="146" spans="1:54" x14ac:dyDescent="0.35">
      <c r="A146" s="66" t="s">
        <v>330</v>
      </c>
      <c r="B146" s="66" t="s">
        <v>335</v>
      </c>
      <c r="C146" s="67"/>
      <c r="D146" s="68"/>
      <c r="E146" s="69"/>
      <c r="F146" s="70"/>
      <c r="G146" s="67"/>
      <c r="H146" s="71"/>
      <c r="I146" s="72"/>
      <c r="J146" s="72"/>
      <c r="K146" s="36"/>
      <c r="L146" s="79"/>
      <c r="M146" s="79"/>
      <c r="N146" s="74"/>
      <c r="O146" s="81" t="s">
        <v>1532</v>
      </c>
      <c r="P146" s="83">
        <v>44459.065509259257</v>
      </c>
      <c r="Q146" s="81" t="s">
        <v>1586</v>
      </c>
      <c r="R146" s="81"/>
      <c r="S146" s="81"/>
      <c r="T146" s="81"/>
      <c r="U146" s="84" t="str">
        <f>HYPERLINK("https://pbs.twimg.com/ext_tw_video_thumb/1439603623520993285/pu/img/4NCBVhjvbYSKxAvX.jpg")</f>
        <v>https://pbs.twimg.com/ext_tw_video_thumb/1439603623520993285/pu/img/4NCBVhjvbYSKxAvX.jpg</v>
      </c>
      <c r="V146" s="84" t="str">
        <f>HYPERLINK("https://pbs.twimg.com/ext_tw_video_thumb/1439603623520993285/pu/img/4NCBVhjvbYSKxAvX.jpg")</f>
        <v>https://pbs.twimg.com/ext_tw_video_thumb/1439603623520993285/pu/img/4NCBVhjvbYSKxAvX.jpg</v>
      </c>
      <c r="W146" s="83">
        <v>44459.065509259257</v>
      </c>
      <c r="X146" s="89">
        <v>44459</v>
      </c>
      <c r="Y146" s="86" t="s">
        <v>2877</v>
      </c>
      <c r="Z146" s="84" t="str">
        <f>HYPERLINK("https://twitter.com/m_izmie/status/1439764834531168262")</f>
        <v>https://twitter.com/m_izmie/status/1439764834531168262</v>
      </c>
      <c r="AA146" s="81"/>
      <c r="AB146" s="81"/>
      <c r="AC146" s="86" t="s">
        <v>4337</v>
      </c>
      <c r="AD146" s="81"/>
      <c r="AE146" s="81" t="b">
        <v>0</v>
      </c>
      <c r="AF146" s="81">
        <v>0</v>
      </c>
      <c r="AG146" s="86" t="s">
        <v>6240</v>
      </c>
      <c r="AH146" s="81" t="b">
        <v>0</v>
      </c>
      <c r="AI146" s="81" t="s">
        <v>6478</v>
      </c>
      <c r="AJ146" s="81"/>
      <c r="AK146" s="86" t="s">
        <v>6240</v>
      </c>
      <c r="AL146" s="81" t="b">
        <v>0</v>
      </c>
      <c r="AM146" s="81">
        <v>102</v>
      </c>
      <c r="AN146" s="86" t="s">
        <v>4519</v>
      </c>
      <c r="AO146" s="86" t="s">
        <v>6505</v>
      </c>
      <c r="AP146" s="81" t="b">
        <v>0</v>
      </c>
      <c r="AQ146" s="86" t="s">
        <v>4519</v>
      </c>
      <c r="AR146" s="81" t="s">
        <v>179</v>
      </c>
      <c r="AS146" s="81">
        <v>0</v>
      </c>
      <c r="AT146" s="81">
        <v>0</v>
      </c>
      <c r="AU146" s="81"/>
      <c r="AV146" s="81"/>
      <c r="AW146" s="81"/>
      <c r="AX146" s="81"/>
      <c r="AY146" s="81"/>
      <c r="AZ146" s="81"/>
      <c r="BA146" s="81"/>
      <c r="BB146" s="81"/>
    </row>
    <row r="147" spans="1:54" x14ac:dyDescent="0.35">
      <c r="A147" s="66" t="s">
        <v>331</v>
      </c>
      <c r="B147" s="66" t="s">
        <v>335</v>
      </c>
      <c r="C147" s="67"/>
      <c r="D147" s="68"/>
      <c r="E147" s="69"/>
      <c r="F147" s="70"/>
      <c r="G147" s="67"/>
      <c r="H147" s="71"/>
      <c r="I147" s="72"/>
      <c r="J147" s="72"/>
      <c r="K147" s="36"/>
      <c r="L147" s="79"/>
      <c r="M147" s="79"/>
      <c r="N147" s="74"/>
      <c r="O147" s="81" t="s">
        <v>1532</v>
      </c>
      <c r="P147" s="83">
        <v>44459.08357638889</v>
      </c>
      <c r="Q147" s="81" t="s">
        <v>1586</v>
      </c>
      <c r="R147" s="81"/>
      <c r="S147" s="81"/>
      <c r="T147" s="81"/>
      <c r="U147" s="84" t="str">
        <f>HYPERLINK("https://pbs.twimg.com/ext_tw_video_thumb/1439603623520993285/pu/img/4NCBVhjvbYSKxAvX.jpg")</f>
        <v>https://pbs.twimg.com/ext_tw_video_thumb/1439603623520993285/pu/img/4NCBVhjvbYSKxAvX.jpg</v>
      </c>
      <c r="V147" s="84" t="str">
        <f>HYPERLINK("https://pbs.twimg.com/ext_tw_video_thumb/1439603623520993285/pu/img/4NCBVhjvbYSKxAvX.jpg")</f>
        <v>https://pbs.twimg.com/ext_tw_video_thumb/1439603623520993285/pu/img/4NCBVhjvbYSKxAvX.jpg</v>
      </c>
      <c r="W147" s="83">
        <v>44459.08357638889</v>
      </c>
      <c r="X147" s="89">
        <v>44459</v>
      </c>
      <c r="Y147" s="86" t="s">
        <v>2878</v>
      </c>
      <c r="Z147" s="84" t="str">
        <f>HYPERLINK("https://twitter.com/bobelx/status/1439771379394498565")</f>
        <v>https://twitter.com/bobelx/status/1439771379394498565</v>
      </c>
      <c r="AA147" s="81"/>
      <c r="AB147" s="81"/>
      <c r="AC147" s="86" t="s">
        <v>4338</v>
      </c>
      <c r="AD147" s="81"/>
      <c r="AE147" s="81" t="b">
        <v>0</v>
      </c>
      <c r="AF147" s="81">
        <v>0</v>
      </c>
      <c r="AG147" s="86" t="s">
        <v>6240</v>
      </c>
      <c r="AH147" s="81" t="b">
        <v>0</v>
      </c>
      <c r="AI147" s="81" t="s">
        <v>6478</v>
      </c>
      <c r="AJ147" s="81"/>
      <c r="AK147" s="86" t="s">
        <v>6240</v>
      </c>
      <c r="AL147" s="81" t="b">
        <v>0</v>
      </c>
      <c r="AM147" s="81">
        <v>102</v>
      </c>
      <c r="AN147" s="86" t="s">
        <v>4519</v>
      </c>
      <c r="AO147" s="86" t="s">
        <v>6505</v>
      </c>
      <c r="AP147" s="81" t="b">
        <v>0</v>
      </c>
      <c r="AQ147" s="86" t="s">
        <v>4519</v>
      </c>
      <c r="AR147" s="81" t="s">
        <v>179</v>
      </c>
      <c r="AS147" s="81">
        <v>0</v>
      </c>
      <c r="AT147" s="81">
        <v>0</v>
      </c>
      <c r="AU147" s="81"/>
      <c r="AV147" s="81"/>
      <c r="AW147" s="81"/>
      <c r="AX147" s="81"/>
      <c r="AY147" s="81"/>
      <c r="AZ147" s="81"/>
      <c r="BA147" s="81"/>
      <c r="BB147" s="81"/>
    </row>
    <row r="148" spans="1:54" x14ac:dyDescent="0.35">
      <c r="A148" s="66" t="s">
        <v>332</v>
      </c>
      <c r="B148" s="66" t="s">
        <v>332</v>
      </c>
      <c r="C148" s="67"/>
      <c r="D148" s="68"/>
      <c r="E148" s="69"/>
      <c r="F148" s="70"/>
      <c r="G148" s="67"/>
      <c r="H148" s="71"/>
      <c r="I148" s="72"/>
      <c r="J148" s="72"/>
      <c r="K148" s="36"/>
      <c r="L148" s="79"/>
      <c r="M148" s="79"/>
      <c r="N148" s="74"/>
      <c r="O148" s="81" t="s">
        <v>179</v>
      </c>
      <c r="P148" s="83">
        <v>44459.084409722222</v>
      </c>
      <c r="Q148" s="81" t="s">
        <v>1599</v>
      </c>
      <c r="R148" s="81"/>
      <c r="S148" s="81"/>
      <c r="T148" s="86" t="s">
        <v>2664</v>
      </c>
      <c r="U148" s="84" t="str">
        <f>HYPERLINK("https://pbs.twimg.com/media/E_sYj5OUUAIH_Dn.jpg")</f>
        <v>https://pbs.twimg.com/media/E_sYj5OUUAIH_Dn.jpg</v>
      </c>
      <c r="V148" s="84" t="str">
        <f>HYPERLINK("https://pbs.twimg.com/media/E_sYj5OUUAIH_Dn.jpg")</f>
        <v>https://pbs.twimg.com/media/E_sYj5OUUAIH_Dn.jpg</v>
      </c>
      <c r="W148" s="83">
        <v>44459.084409722222</v>
      </c>
      <c r="X148" s="89">
        <v>44459</v>
      </c>
      <c r="Y148" s="86" t="s">
        <v>2879</v>
      </c>
      <c r="Z148" s="84" t="str">
        <f>HYPERLINK("https://twitter.com/pos_ronda123/status/1439771681929662464")</f>
        <v>https://twitter.com/pos_ronda123/status/1439771681929662464</v>
      </c>
      <c r="AA148" s="81"/>
      <c r="AB148" s="81"/>
      <c r="AC148" s="86" t="s">
        <v>4339</v>
      </c>
      <c r="AD148" s="81"/>
      <c r="AE148" s="81" t="b">
        <v>0</v>
      </c>
      <c r="AF148" s="81">
        <v>10</v>
      </c>
      <c r="AG148" s="86" t="s">
        <v>6240</v>
      </c>
      <c r="AH148" s="81" t="b">
        <v>0</v>
      </c>
      <c r="AI148" s="81" t="s">
        <v>6478</v>
      </c>
      <c r="AJ148" s="81"/>
      <c r="AK148" s="86" t="s">
        <v>6240</v>
      </c>
      <c r="AL148" s="81" t="b">
        <v>0</v>
      </c>
      <c r="AM148" s="81">
        <v>8</v>
      </c>
      <c r="AN148" s="86" t="s">
        <v>6240</v>
      </c>
      <c r="AO148" s="86" t="s">
        <v>6503</v>
      </c>
      <c r="AP148" s="81" t="b">
        <v>0</v>
      </c>
      <c r="AQ148" s="86" t="s">
        <v>4339</v>
      </c>
      <c r="AR148" s="81" t="s">
        <v>179</v>
      </c>
      <c r="AS148" s="81">
        <v>0</v>
      </c>
      <c r="AT148" s="81">
        <v>0</v>
      </c>
      <c r="AU148" s="81"/>
      <c r="AV148" s="81"/>
      <c r="AW148" s="81"/>
      <c r="AX148" s="81"/>
      <c r="AY148" s="81"/>
      <c r="AZ148" s="81"/>
      <c r="BA148" s="81"/>
      <c r="BB148" s="81"/>
    </row>
    <row r="149" spans="1:54" x14ac:dyDescent="0.35">
      <c r="A149" s="66" t="s">
        <v>333</v>
      </c>
      <c r="B149" s="66" t="s">
        <v>333</v>
      </c>
      <c r="C149" s="67"/>
      <c r="D149" s="68"/>
      <c r="E149" s="69"/>
      <c r="F149" s="70"/>
      <c r="G149" s="67"/>
      <c r="H149" s="71"/>
      <c r="I149" s="72"/>
      <c r="J149" s="72"/>
      <c r="K149" s="36"/>
      <c r="L149" s="79"/>
      <c r="M149" s="79"/>
      <c r="N149" s="74"/>
      <c r="O149" s="81" t="s">
        <v>179</v>
      </c>
      <c r="P149" s="83">
        <v>44459.08730324074</v>
      </c>
      <c r="Q149" s="81" t="s">
        <v>1600</v>
      </c>
      <c r="R149" s="81"/>
      <c r="S149" s="81"/>
      <c r="T149" s="81"/>
      <c r="U149" s="81"/>
      <c r="V149" s="84" t="str">
        <f>HYPERLINK("https://pbs.twimg.com/profile_images/1440867711391866881/LgEZLEzL_normal.jpg")</f>
        <v>https://pbs.twimg.com/profile_images/1440867711391866881/LgEZLEzL_normal.jpg</v>
      </c>
      <c r="W149" s="83">
        <v>44459.08730324074</v>
      </c>
      <c r="X149" s="89">
        <v>44459</v>
      </c>
      <c r="Y149" s="86" t="s">
        <v>2880</v>
      </c>
      <c r="Z149" s="84" t="str">
        <f>HYPERLINK("https://twitter.com/tiki_teki/status/1439772730811953155")</f>
        <v>https://twitter.com/tiki_teki/status/1439772730811953155</v>
      </c>
      <c r="AA149" s="81"/>
      <c r="AB149" s="81"/>
      <c r="AC149" s="86" t="s">
        <v>4340</v>
      </c>
      <c r="AD149" s="81"/>
      <c r="AE149" s="81" t="b">
        <v>0</v>
      </c>
      <c r="AF149" s="81">
        <v>1</v>
      </c>
      <c r="AG149" s="86" t="s">
        <v>6240</v>
      </c>
      <c r="AH149" s="81" t="b">
        <v>0</v>
      </c>
      <c r="AI149" s="81" t="s">
        <v>6479</v>
      </c>
      <c r="AJ149" s="81"/>
      <c r="AK149" s="86" t="s">
        <v>6240</v>
      </c>
      <c r="AL149" s="81" t="b">
        <v>0</v>
      </c>
      <c r="AM149" s="81">
        <v>0</v>
      </c>
      <c r="AN149" s="86" t="s">
        <v>6240</v>
      </c>
      <c r="AO149" s="86" t="s">
        <v>6505</v>
      </c>
      <c r="AP149" s="81" t="b">
        <v>0</v>
      </c>
      <c r="AQ149" s="86" t="s">
        <v>4340</v>
      </c>
      <c r="AR149" s="81" t="s">
        <v>179</v>
      </c>
      <c r="AS149" s="81">
        <v>0</v>
      </c>
      <c r="AT149" s="81">
        <v>0</v>
      </c>
      <c r="AU149" s="81"/>
      <c r="AV149" s="81"/>
      <c r="AW149" s="81"/>
      <c r="AX149" s="81"/>
      <c r="AY149" s="81"/>
      <c r="AZ149" s="81"/>
      <c r="BA149" s="81"/>
      <c r="BB149" s="81"/>
    </row>
    <row r="150" spans="1:54" x14ac:dyDescent="0.35">
      <c r="A150" s="66" t="s">
        <v>334</v>
      </c>
      <c r="B150" s="66" t="s">
        <v>335</v>
      </c>
      <c r="C150" s="67"/>
      <c r="D150" s="68"/>
      <c r="E150" s="69"/>
      <c r="F150" s="70"/>
      <c r="G150" s="67"/>
      <c r="H150" s="71"/>
      <c r="I150" s="72"/>
      <c r="J150" s="72"/>
      <c r="K150" s="36"/>
      <c r="L150" s="79"/>
      <c r="M150" s="79"/>
      <c r="N150" s="74"/>
      <c r="O150" s="81" t="s">
        <v>1534</v>
      </c>
      <c r="P150" s="83">
        <v>44459.004594907405</v>
      </c>
      <c r="Q150" s="81" t="s">
        <v>1601</v>
      </c>
      <c r="R150" s="81"/>
      <c r="S150" s="81"/>
      <c r="T150" s="81"/>
      <c r="U150" s="81"/>
      <c r="V150" s="84" t="str">
        <f>HYPERLINK("https://pbs.twimg.com/profile_images/1436667992968876032/GTH4GONN_normal.jpg")</f>
        <v>https://pbs.twimg.com/profile_images/1436667992968876032/GTH4GONN_normal.jpg</v>
      </c>
      <c r="W150" s="83">
        <v>44459.004594907405</v>
      </c>
      <c r="X150" s="89">
        <v>44459</v>
      </c>
      <c r="Y150" s="86" t="s">
        <v>2881</v>
      </c>
      <c r="Z150" s="84" t="str">
        <f>HYPERLINK("https://twitter.com/anyrafsa/status/1439742757812072448")</f>
        <v>https://twitter.com/anyrafsa/status/1439742757812072448</v>
      </c>
      <c r="AA150" s="81"/>
      <c r="AB150" s="81"/>
      <c r="AC150" s="86" t="s">
        <v>4341</v>
      </c>
      <c r="AD150" s="86" t="s">
        <v>4519</v>
      </c>
      <c r="AE150" s="81" t="b">
        <v>0</v>
      </c>
      <c r="AF150" s="81">
        <v>26</v>
      </c>
      <c r="AG150" s="86" t="s">
        <v>6261</v>
      </c>
      <c r="AH150" s="81" t="b">
        <v>0</v>
      </c>
      <c r="AI150" s="81" t="s">
        <v>6478</v>
      </c>
      <c r="AJ150" s="81"/>
      <c r="AK150" s="86" t="s">
        <v>6240</v>
      </c>
      <c r="AL150" s="81" t="b">
        <v>0</v>
      </c>
      <c r="AM150" s="81">
        <v>2</v>
      </c>
      <c r="AN150" s="86" t="s">
        <v>6240</v>
      </c>
      <c r="AO150" s="86" t="s">
        <v>6503</v>
      </c>
      <c r="AP150" s="81" t="b">
        <v>0</v>
      </c>
      <c r="AQ150" s="86" t="s">
        <v>4519</v>
      </c>
      <c r="AR150" s="81" t="s">
        <v>179</v>
      </c>
      <c r="AS150" s="81">
        <v>0</v>
      </c>
      <c r="AT150" s="81">
        <v>0</v>
      </c>
      <c r="AU150" s="81"/>
      <c r="AV150" s="81"/>
      <c r="AW150" s="81"/>
      <c r="AX150" s="81"/>
      <c r="AY150" s="81"/>
      <c r="AZ150" s="81"/>
      <c r="BA150" s="81"/>
      <c r="BB150" s="81"/>
    </row>
    <row r="151" spans="1:54" x14ac:dyDescent="0.35">
      <c r="A151" s="66" t="s">
        <v>335</v>
      </c>
      <c r="B151" s="66" t="s">
        <v>334</v>
      </c>
      <c r="C151" s="67"/>
      <c r="D151" s="68"/>
      <c r="E151" s="69"/>
      <c r="F151" s="70"/>
      <c r="G151" s="67"/>
      <c r="H151" s="71"/>
      <c r="I151" s="72"/>
      <c r="J151" s="72"/>
      <c r="K151" s="36"/>
      <c r="L151" s="79"/>
      <c r="M151" s="79"/>
      <c r="N151" s="74"/>
      <c r="O151" s="81" t="s">
        <v>1532</v>
      </c>
      <c r="P151" s="83">
        <v>44459.087430555555</v>
      </c>
      <c r="Q151" s="81" t="s">
        <v>1601</v>
      </c>
      <c r="R151" s="81"/>
      <c r="S151" s="81"/>
      <c r="T151" s="81"/>
      <c r="U151" s="81"/>
      <c r="V151" s="84" t="str">
        <f>HYPERLINK("https://pbs.twimg.com/profile_images/1409364757623185412/aK1A9LPz_normal.jpg")</f>
        <v>https://pbs.twimg.com/profile_images/1409364757623185412/aK1A9LPz_normal.jpg</v>
      </c>
      <c r="W151" s="83">
        <v>44459.087430555555</v>
      </c>
      <c r="X151" s="89">
        <v>44459</v>
      </c>
      <c r="Y151" s="86" t="s">
        <v>2882</v>
      </c>
      <c r="Z151" s="84" t="str">
        <f>HYPERLINK("https://twitter.com/amierah___/status/1439772777926443015")</f>
        <v>https://twitter.com/amierah___/status/1439772777926443015</v>
      </c>
      <c r="AA151" s="81"/>
      <c r="AB151" s="81"/>
      <c r="AC151" s="86" t="s">
        <v>4342</v>
      </c>
      <c r="AD151" s="81"/>
      <c r="AE151" s="81" t="b">
        <v>0</v>
      </c>
      <c r="AF151" s="81">
        <v>0</v>
      </c>
      <c r="AG151" s="86" t="s">
        <v>6240</v>
      </c>
      <c r="AH151" s="81" t="b">
        <v>0</v>
      </c>
      <c r="AI151" s="81" t="s">
        <v>6478</v>
      </c>
      <c r="AJ151" s="81"/>
      <c r="AK151" s="86" t="s">
        <v>6240</v>
      </c>
      <c r="AL151" s="81" t="b">
        <v>0</v>
      </c>
      <c r="AM151" s="81">
        <v>2</v>
      </c>
      <c r="AN151" s="86" t="s">
        <v>4341</v>
      </c>
      <c r="AO151" s="86" t="s">
        <v>6505</v>
      </c>
      <c r="AP151" s="81" t="b">
        <v>0</v>
      </c>
      <c r="AQ151" s="86" t="s">
        <v>4341</v>
      </c>
      <c r="AR151" s="81" t="s">
        <v>179</v>
      </c>
      <c r="AS151" s="81">
        <v>0</v>
      </c>
      <c r="AT151" s="81">
        <v>0</v>
      </c>
      <c r="AU151" s="81"/>
      <c r="AV151" s="81"/>
      <c r="AW151" s="81"/>
      <c r="AX151" s="81"/>
      <c r="AY151" s="81"/>
      <c r="AZ151" s="81"/>
      <c r="BA151" s="81"/>
      <c r="BB151" s="81"/>
    </row>
    <row r="152" spans="1:54" x14ac:dyDescent="0.35">
      <c r="A152" s="66" t="s">
        <v>336</v>
      </c>
      <c r="B152" s="66" t="s">
        <v>1293</v>
      </c>
      <c r="C152" s="67"/>
      <c r="D152" s="68"/>
      <c r="E152" s="69"/>
      <c r="F152" s="70"/>
      <c r="G152" s="67"/>
      <c r="H152" s="71"/>
      <c r="I152" s="72"/>
      <c r="J152" s="72"/>
      <c r="K152" s="36"/>
      <c r="L152" s="79"/>
      <c r="M152" s="79"/>
      <c r="N152" s="74"/>
      <c r="O152" s="81" t="s">
        <v>1534</v>
      </c>
      <c r="P152" s="83">
        <v>44459.089432870373</v>
      </c>
      <c r="Q152" s="81" t="s">
        <v>1602</v>
      </c>
      <c r="R152" s="81"/>
      <c r="S152" s="81"/>
      <c r="T152" s="81"/>
      <c r="U152" s="81"/>
      <c r="V152" s="84" t="str">
        <f>HYPERLINK("https://pbs.twimg.com/profile_images/1410391105858719745/8KiApuIV_normal.jpg")</f>
        <v>https://pbs.twimg.com/profile_images/1410391105858719745/8KiApuIV_normal.jpg</v>
      </c>
      <c r="W152" s="83">
        <v>44459.089432870373</v>
      </c>
      <c r="X152" s="89">
        <v>44459</v>
      </c>
      <c r="Y152" s="86" t="s">
        <v>2883</v>
      </c>
      <c r="Z152" s="84" t="str">
        <f>HYPERLINK("https://twitter.com/ahmadl04644463/status/1439773501276053504")</f>
        <v>https://twitter.com/ahmadl04644463/status/1439773501276053504</v>
      </c>
      <c r="AA152" s="81"/>
      <c r="AB152" s="81"/>
      <c r="AC152" s="86" t="s">
        <v>4343</v>
      </c>
      <c r="AD152" s="86" t="s">
        <v>5992</v>
      </c>
      <c r="AE152" s="81" t="b">
        <v>0</v>
      </c>
      <c r="AF152" s="81">
        <v>0</v>
      </c>
      <c r="AG152" s="86" t="s">
        <v>6262</v>
      </c>
      <c r="AH152" s="81" t="b">
        <v>0</v>
      </c>
      <c r="AI152" s="81" t="s">
        <v>6478</v>
      </c>
      <c r="AJ152" s="81"/>
      <c r="AK152" s="86" t="s">
        <v>6240</v>
      </c>
      <c r="AL152" s="81" t="b">
        <v>0</v>
      </c>
      <c r="AM152" s="81">
        <v>0</v>
      </c>
      <c r="AN152" s="86" t="s">
        <v>6240</v>
      </c>
      <c r="AO152" s="86" t="s">
        <v>6503</v>
      </c>
      <c r="AP152" s="81" t="b">
        <v>0</v>
      </c>
      <c r="AQ152" s="86" t="s">
        <v>5992</v>
      </c>
      <c r="AR152" s="81" t="s">
        <v>179</v>
      </c>
      <c r="AS152" s="81">
        <v>0</v>
      </c>
      <c r="AT152" s="81">
        <v>0</v>
      </c>
      <c r="AU152" s="81"/>
      <c r="AV152" s="81"/>
      <c r="AW152" s="81"/>
      <c r="AX152" s="81"/>
      <c r="AY152" s="81"/>
      <c r="AZ152" s="81"/>
      <c r="BA152" s="81"/>
      <c r="BB152" s="81"/>
    </row>
    <row r="153" spans="1:54" x14ac:dyDescent="0.35">
      <c r="A153" s="66" t="s">
        <v>337</v>
      </c>
      <c r="B153" s="66" t="s">
        <v>335</v>
      </c>
      <c r="C153" s="67"/>
      <c r="D153" s="68"/>
      <c r="E153" s="69"/>
      <c r="F153" s="70"/>
      <c r="G153" s="67"/>
      <c r="H153" s="71"/>
      <c r="I153" s="72"/>
      <c r="J153" s="72"/>
      <c r="K153" s="36"/>
      <c r="L153" s="79"/>
      <c r="M153" s="79"/>
      <c r="N153" s="74"/>
      <c r="O153" s="81" t="s">
        <v>1532</v>
      </c>
      <c r="P153" s="83">
        <v>44459.112222222226</v>
      </c>
      <c r="Q153" s="81" t="s">
        <v>1586</v>
      </c>
      <c r="R153" s="81"/>
      <c r="S153" s="81"/>
      <c r="T153" s="81"/>
      <c r="U153" s="84" t="str">
        <f>HYPERLINK("https://pbs.twimg.com/ext_tw_video_thumb/1439603623520993285/pu/img/4NCBVhjvbYSKxAvX.jpg")</f>
        <v>https://pbs.twimg.com/ext_tw_video_thumb/1439603623520993285/pu/img/4NCBVhjvbYSKxAvX.jpg</v>
      </c>
      <c r="V153" s="84" t="str">
        <f>HYPERLINK("https://pbs.twimg.com/ext_tw_video_thumb/1439603623520993285/pu/img/4NCBVhjvbYSKxAvX.jpg")</f>
        <v>https://pbs.twimg.com/ext_tw_video_thumb/1439603623520993285/pu/img/4NCBVhjvbYSKxAvX.jpg</v>
      </c>
      <c r="W153" s="83">
        <v>44459.112222222226</v>
      </c>
      <c r="X153" s="89">
        <v>44459</v>
      </c>
      <c r="Y153" s="86" t="s">
        <v>2884</v>
      </c>
      <c r="Z153" s="84" t="str">
        <f>HYPERLINK("https://twitter.com/wantwothree__/status/1439781761454469121")</f>
        <v>https://twitter.com/wantwothree__/status/1439781761454469121</v>
      </c>
      <c r="AA153" s="81"/>
      <c r="AB153" s="81"/>
      <c r="AC153" s="86" t="s">
        <v>4344</v>
      </c>
      <c r="AD153" s="81"/>
      <c r="AE153" s="81" t="b">
        <v>0</v>
      </c>
      <c r="AF153" s="81">
        <v>0</v>
      </c>
      <c r="AG153" s="86" t="s">
        <v>6240</v>
      </c>
      <c r="AH153" s="81" t="b">
        <v>0</v>
      </c>
      <c r="AI153" s="81" t="s">
        <v>6478</v>
      </c>
      <c r="AJ153" s="81"/>
      <c r="AK153" s="86" t="s">
        <v>6240</v>
      </c>
      <c r="AL153" s="81" t="b">
        <v>0</v>
      </c>
      <c r="AM153" s="81">
        <v>102</v>
      </c>
      <c r="AN153" s="86" t="s">
        <v>4519</v>
      </c>
      <c r="AO153" s="86" t="s">
        <v>6505</v>
      </c>
      <c r="AP153" s="81" t="b">
        <v>0</v>
      </c>
      <c r="AQ153" s="86" t="s">
        <v>4519</v>
      </c>
      <c r="AR153" s="81" t="s">
        <v>179</v>
      </c>
      <c r="AS153" s="81">
        <v>0</v>
      </c>
      <c r="AT153" s="81">
        <v>0</v>
      </c>
      <c r="AU153" s="81"/>
      <c r="AV153" s="81"/>
      <c r="AW153" s="81"/>
      <c r="AX153" s="81"/>
      <c r="AY153" s="81"/>
      <c r="AZ153" s="81"/>
      <c r="BA153" s="81"/>
      <c r="BB153" s="81"/>
    </row>
    <row r="154" spans="1:54" x14ac:dyDescent="0.35">
      <c r="A154" s="66" t="s">
        <v>338</v>
      </c>
      <c r="B154" s="66" t="s">
        <v>1290</v>
      </c>
      <c r="C154" s="67"/>
      <c r="D154" s="68"/>
      <c r="E154" s="69"/>
      <c r="F154" s="70"/>
      <c r="G154" s="67"/>
      <c r="H154" s="71"/>
      <c r="I154" s="72"/>
      <c r="J154" s="72"/>
      <c r="K154" s="36"/>
      <c r="L154" s="79"/>
      <c r="M154" s="79"/>
      <c r="N154" s="74"/>
      <c r="O154" s="81" t="s">
        <v>1534</v>
      </c>
      <c r="P154" s="83">
        <v>44459.117592592593</v>
      </c>
      <c r="Q154" s="81" t="s">
        <v>1603</v>
      </c>
      <c r="R154" s="81"/>
      <c r="S154" s="81"/>
      <c r="T154" s="81"/>
      <c r="U154" s="81"/>
      <c r="V154" s="84" t="str">
        <f>HYPERLINK("https://pbs.twimg.com/profile_images/1438148932542992385/YYZDnnrB_normal.jpg")</f>
        <v>https://pbs.twimg.com/profile_images/1438148932542992385/YYZDnnrB_normal.jpg</v>
      </c>
      <c r="W154" s="83">
        <v>44459.117592592593</v>
      </c>
      <c r="X154" s="89">
        <v>44459</v>
      </c>
      <c r="Y154" s="86" t="s">
        <v>2885</v>
      </c>
      <c r="Z154" s="84" t="str">
        <f>HYPERLINK("https://twitter.com/diifracha/status/1439783705816358912")</f>
        <v>https://twitter.com/diifracha/status/1439783705816358912</v>
      </c>
      <c r="AA154" s="81"/>
      <c r="AB154" s="81"/>
      <c r="AC154" s="86" t="s">
        <v>4345</v>
      </c>
      <c r="AD154" s="86" t="s">
        <v>5988</v>
      </c>
      <c r="AE154" s="81" t="b">
        <v>0</v>
      </c>
      <c r="AF154" s="81">
        <v>0</v>
      </c>
      <c r="AG154" s="86" t="s">
        <v>6258</v>
      </c>
      <c r="AH154" s="81" t="b">
        <v>0</v>
      </c>
      <c r="AI154" s="81" t="s">
        <v>6478</v>
      </c>
      <c r="AJ154" s="81"/>
      <c r="AK154" s="86" t="s">
        <v>6240</v>
      </c>
      <c r="AL154" s="81" t="b">
        <v>0</v>
      </c>
      <c r="AM154" s="81">
        <v>0</v>
      </c>
      <c r="AN154" s="86" t="s">
        <v>6240</v>
      </c>
      <c r="AO154" s="86" t="s">
        <v>6503</v>
      </c>
      <c r="AP154" s="81" t="b">
        <v>0</v>
      </c>
      <c r="AQ154" s="86" t="s">
        <v>5988</v>
      </c>
      <c r="AR154" s="81" t="s">
        <v>179</v>
      </c>
      <c r="AS154" s="81">
        <v>0</v>
      </c>
      <c r="AT154" s="81">
        <v>0</v>
      </c>
      <c r="AU154" s="81"/>
      <c r="AV154" s="81"/>
      <c r="AW154" s="81"/>
      <c r="AX154" s="81"/>
      <c r="AY154" s="81"/>
      <c r="AZ154" s="81"/>
      <c r="BA154" s="81"/>
      <c r="BB154" s="81"/>
    </row>
    <row r="155" spans="1:54" x14ac:dyDescent="0.35">
      <c r="A155" s="66" t="s">
        <v>339</v>
      </c>
      <c r="B155" s="66" t="s">
        <v>339</v>
      </c>
      <c r="C155" s="67"/>
      <c r="D155" s="68"/>
      <c r="E155" s="69"/>
      <c r="F155" s="70"/>
      <c r="G155" s="67"/>
      <c r="H155" s="71"/>
      <c r="I155" s="72"/>
      <c r="J155" s="72"/>
      <c r="K155" s="36"/>
      <c r="L155" s="79"/>
      <c r="M155" s="79"/>
      <c r="N155" s="74"/>
      <c r="O155" s="81" t="s">
        <v>179</v>
      </c>
      <c r="P155" s="83">
        <v>44459.119421296295</v>
      </c>
      <c r="Q155" s="81" t="s">
        <v>1604</v>
      </c>
      <c r="R155" s="84" t="str">
        <f>HYPERLINK("https://twitter.com/prettybumper/status/1400389233878044675")</f>
        <v>https://twitter.com/prettybumper/status/1400389233878044675</v>
      </c>
      <c r="S155" s="81" t="s">
        <v>2588</v>
      </c>
      <c r="T155" s="81"/>
      <c r="U155" s="81"/>
      <c r="V155" s="84" t="str">
        <f>HYPERLINK("https://pbs.twimg.com/profile_images/1427482974660882437/GGsignQU_normal.jpg")</f>
        <v>https://pbs.twimg.com/profile_images/1427482974660882437/GGsignQU_normal.jpg</v>
      </c>
      <c r="W155" s="83">
        <v>44459.119421296295</v>
      </c>
      <c r="X155" s="89">
        <v>44459</v>
      </c>
      <c r="Y155" s="86" t="s">
        <v>2886</v>
      </c>
      <c r="Z155" s="84" t="str">
        <f>HYPERLINK("https://twitter.com/strkrsndty/status/1439784371918032897")</f>
        <v>https://twitter.com/strkrsndty/status/1439784371918032897</v>
      </c>
      <c r="AA155" s="81"/>
      <c r="AB155" s="81"/>
      <c r="AC155" s="86" t="s">
        <v>4346</v>
      </c>
      <c r="AD155" s="81"/>
      <c r="AE155" s="81" t="b">
        <v>0</v>
      </c>
      <c r="AF155" s="81">
        <v>12</v>
      </c>
      <c r="AG155" s="86" t="s">
        <v>6240</v>
      </c>
      <c r="AH155" s="81" t="b">
        <v>1</v>
      </c>
      <c r="AI155" s="81" t="s">
        <v>6478</v>
      </c>
      <c r="AJ155" s="81"/>
      <c r="AK155" s="86" t="s">
        <v>6491</v>
      </c>
      <c r="AL155" s="81" t="b">
        <v>0</v>
      </c>
      <c r="AM155" s="81">
        <v>0</v>
      </c>
      <c r="AN155" s="86" t="s">
        <v>6240</v>
      </c>
      <c r="AO155" s="86" t="s">
        <v>6507</v>
      </c>
      <c r="AP155" s="81" t="b">
        <v>0</v>
      </c>
      <c r="AQ155" s="86" t="s">
        <v>4346</v>
      </c>
      <c r="AR155" s="81" t="s">
        <v>179</v>
      </c>
      <c r="AS155" s="81">
        <v>0</v>
      </c>
      <c r="AT155" s="81">
        <v>0</v>
      </c>
      <c r="AU155" s="81"/>
      <c r="AV155" s="81"/>
      <c r="AW155" s="81"/>
      <c r="AX155" s="81"/>
      <c r="AY155" s="81"/>
      <c r="AZ155" s="81"/>
      <c r="BA155" s="81"/>
      <c r="BB155" s="81"/>
    </row>
    <row r="156" spans="1:54" x14ac:dyDescent="0.35">
      <c r="A156" s="66" t="s">
        <v>340</v>
      </c>
      <c r="B156" s="66" t="s">
        <v>1294</v>
      </c>
      <c r="C156" s="67"/>
      <c r="D156" s="68"/>
      <c r="E156" s="69"/>
      <c r="F156" s="70"/>
      <c r="G156" s="67"/>
      <c r="H156" s="71"/>
      <c r="I156" s="72"/>
      <c r="J156" s="72"/>
      <c r="K156" s="36"/>
      <c r="L156" s="79"/>
      <c r="M156" s="79"/>
      <c r="N156" s="74"/>
      <c r="O156" s="81" t="s">
        <v>1534</v>
      </c>
      <c r="P156" s="83">
        <v>44459.125868055555</v>
      </c>
      <c r="Q156" s="81" t="s">
        <v>1605</v>
      </c>
      <c r="R156" s="81"/>
      <c r="S156" s="81"/>
      <c r="T156" s="81"/>
      <c r="U156" s="81"/>
      <c r="V156" s="84" t="str">
        <f>HYPERLINK("https://pbs.twimg.com/profile_images/1289418903609733120/TxoGUnqY_normal.jpg")</f>
        <v>https://pbs.twimg.com/profile_images/1289418903609733120/TxoGUnqY_normal.jpg</v>
      </c>
      <c r="W156" s="83">
        <v>44459.125868055555</v>
      </c>
      <c r="X156" s="89">
        <v>44459</v>
      </c>
      <c r="Y156" s="86" t="s">
        <v>2887</v>
      </c>
      <c r="Z156" s="84" t="str">
        <f>HYPERLINK("https://twitter.com/epham_/status/1439786708225069066")</f>
        <v>https://twitter.com/epham_/status/1439786708225069066</v>
      </c>
      <c r="AA156" s="81"/>
      <c r="AB156" s="81"/>
      <c r="AC156" s="86" t="s">
        <v>4347</v>
      </c>
      <c r="AD156" s="86" t="s">
        <v>5993</v>
      </c>
      <c r="AE156" s="81" t="b">
        <v>0</v>
      </c>
      <c r="AF156" s="81">
        <v>0</v>
      </c>
      <c r="AG156" s="86" t="s">
        <v>6263</v>
      </c>
      <c r="AH156" s="81" t="b">
        <v>0</v>
      </c>
      <c r="AI156" s="81" t="s">
        <v>6478</v>
      </c>
      <c r="AJ156" s="81"/>
      <c r="AK156" s="86" t="s">
        <v>6240</v>
      </c>
      <c r="AL156" s="81" t="b">
        <v>0</v>
      </c>
      <c r="AM156" s="81">
        <v>0</v>
      </c>
      <c r="AN156" s="86" t="s">
        <v>6240</v>
      </c>
      <c r="AO156" s="86" t="s">
        <v>6505</v>
      </c>
      <c r="AP156" s="81" t="b">
        <v>0</v>
      </c>
      <c r="AQ156" s="86" t="s">
        <v>5993</v>
      </c>
      <c r="AR156" s="81" t="s">
        <v>179</v>
      </c>
      <c r="AS156" s="81">
        <v>0</v>
      </c>
      <c r="AT156" s="81">
        <v>0</v>
      </c>
      <c r="AU156" s="81"/>
      <c r="AV156" s="81"/>
      <c r="AW156" s="81"/>
      <c r="AX156" s="81"/>
      <c r="AY156" s="81"/>
      <c r="AZ156" s="81"/>
      <c r="BA156" s="81"/>
      <c r="BB156" s="81"/>
    </row>
    <row r="157" spans="1:54" x14ac:dyDescent="0.35">
      <c r="A157" s="66" t="s">
        <v>341</v>
      </c>
      <c r="B157" s="66" t="s">
        <v>344</v>
      </c>
      <c r="C157" s="67"/>
      <c r="D157" s="68"/>
      <c r="E157" s="69"/>
      <c r="F157" s="70"/>
      <c r="G157" s="67"/>
      <c r="H157" s="71"/>
      <c r="I157" s="72"/>
      <c r="J157" s="72"/>
      <c r="K157" s="36"/>
      <c r="L157" s="79"/>
      <c r="M157" s="79"/>
      <c r="N157" s="74"/>
      <c r="O157" s="81" t="s">
        <v>1532</v>
      </c>
      <c r="P157" s="83">
        <v>44459.130844907406</v>
      </c>
      <c r="Q157" s="81" t="s">
        <v>1606</v>
      </c>
      <c r="R157" s="81"/>
      <c r="S157" s="81"/>
      <c r="T157" s="81"/>
      <c r="U157" s="81"/>
      <c r="V157" s="84" t="str">
        <f>HYPERLINK("https://pbs.twimg.com/profile_images/1439027143887839241/lUKmJxeX_normal.jpg")</f>
        <v>https://pbs.twimg.com/profile_images/1439027143887839241/lUKmJxeX_normal.jpg</v>
      </c>
      <c r="W157" s="83">
        <v>44459.130844907406</v>
      </c>
      <c r="X157" s="89">
        <v>44459</v>
      </c>
      <c r="Y157" s="86" t="s">
        <v>2888</v>
      </c>
      <c r="Z157" s="84" t="str">
        <f>HYPERLINK("https://twitter.com/kkurominikura/status/1439788509225652227")</f>
        <v>https://twitter.com/kkurominikura/status/1439788509225652227</v>
      </c>
      <c r="AA157" s="81"/>
      <c r="AB157" s="81"/>
      <c r="AC157" s="86" t="s">
        <v>4348</v>
      </c>
      <c r="AD157" s="81"/>
      <c r="AE157" s="81" t="b">
        <v>0</v>
      </c>
      <c r="AF157" s="81">
        <v>0</v>
      </c>
      <c r="AG157" s="86" t="s">
        <v>6240</v>
      </c>
      <c r="AH157" s="81" t="b">
        <v>0</v>
      </c>
      <c r="AI157" s="81" t="s">
        <v>6478</v>
      </c>
      <c r="AJ157" s="81"/>
      <c r="AK157" s="86" t="s">
        <v>6240</v>
      </c>
      <c r="AL157" s="81" t="b">
        <v>0</v>
      </c>
      <c r="AM157" s="81">
        <v>3</v>
      </c>
      <c r="AN157" s="86" t="s">
        <v>4351</v>
      </c>
      <c r="AO157" s="86" t="s">
        <v>6503</v>
      </c>
      <c r="AP157" s="81" t="b">
        <v>0</v>
      </c>
      <c r="AQ157" s="86" t="s">
        <v>4351</v>
      </c>
      <c r="AR157" s="81" t="s">
        <v>179</v>
      </c>
      <c r="AS157" s="81">
        <v>0</v>
      </c>
      <c r="AT157" s="81">
        <v>0</v>
      </c>
      <c r="AU157" s="81"/>
      <c r="AV157" s="81"/>
      <c r="AW157" s="81"/>
      <c r="AX157" s="81"/>
      <c r="AY157" s="81"/>
      <c r="AZ157" s="81"/>
      <c r="BA157" s="81"/>
      <c r="BB157" s="81"/>
    </row>
    <row r="158" spans="1:54" x14ac:dyDescent="0.35">
      <c r="A158" s="66" t="s">
        <v>342</v>
      </c>
      <c r="B158" s="66" t="s">
        <v>344</v>
      </c>
      <c r="C158" s="67"/>
      <c r="D158" s="68"/>
      <c r="E158" s="69"/>
      <c r="F158" s="70"/>
      <c r="G158" s="67"/>
      <c r="H158" s="71"/>
      <c r="I158" s="72"/>
      <c r="J158" s="72"/>
      <c r="K158" s="36"/>
      <c r="L158" s="79"/>
      <c r="M158" s="79"/>
      <c r="N158" s="74"/>
      <c r="O158" s="81" t="s">
        <v>1532</v>
      </c>
      <c r="P158" s="83">
        <v>44459.131041666667</v>
      </c>
      <c r="Q158" s="81" t="s">
        <v>1606</v>
      </c>
      <c r="R158" s="81"/>
      <c r="S158" s="81"/>
      <c r="T158" s="81"/>
      <c r="U158" s="81"/>
      <c r="V158" s="84" t="str">
        <f>HYPERLINK("https://pbs.twimg.com/profile_images/1423552222973943812/wPRcLIY6_normal.jpg")</f>
        <v>https://pbs.twimg.com/profile_images/1423552222973943812/wPRcLIY6_normal.jpg</v>
      </c>
      <c r="W158" s="83">
        <v>44459.131041666667</v>
      </c>
      <c r="X158" s="89">
        <v>44459</v>
      </c>
      <c r="Y158" s="86" t="s">
        <v>2889</v>
      </c>
      <c r="Z158" s="84" t="str">
        <f>HYPERLINK("https://twitter.com/jayparkie_/status/1439788580532994055")</f>
        <v>https://twitter.com/jayparkie_/status/1439788580532994055</v>
      </c>
      <c r="AA158" s="81"/>
      <c r="AB158" s="81"/>
      <c r="AC158" s="86" t="s">
        <v>4349</v>
      </c>
      <c r="AD158" s="81"/>
      <c r="AE158" s="81" t="b">
        <v>0</v>
      </c>
      <c r="AF158" s="81">
        <v>0</v>
      </c>
      <c r="AG158" s="86" t="s">
        <v>6240</v>
      </c>
      <c r="AH158" s="81" t="b">
        <v>0</v>
      </c>
      <c r="AI158" s="81" t="s">
        <v>6478</v>
      </c>
      <c r="AJ158" s="81"/>
      <c r="AK158" s="86" t="s">
        <v>6240</v>
      </c>
      <c r="AL158" s="81" t="b">
        <v>0</v>
      </c>
      <c r="AM158" s="81">
        <v>3</v>
      </c>
      <c r="AN158" s="86" t="s">
        <v>4351</v>
      </c>
      <c r="AO158" s="86" t="s">
        <v>6503</v>
      </c>
      <c r="AP158" s="81" t="b">
        <v>0</v>
      </c>
      <c r="AQ158" s="86" t="s">
        <v>4351</v>
      </c>
      <c r="AR158" s="81" t="s">
        <v>179</v>
      </c>
      <c r="AS158" s="81">
        <v>0</v>
      </c>
      <c r="AT158" s="81">
        <v>0</v>
      </c>
      <c r="AU158" s="81"/>
      <c r="AV158" s="81"/>
      <c r="AW158" s="81"/>
      <c r="AX158" s="81"/>
      <c r="AY158" s="81"/>
      <c r="AZ158" s="81"/>
      <c r="BA158" s="81"/>
      <c r="BB158" s="81"/>
    </row>
    <row r="159" spans="1:54" x14ac:dyDescent="0.35">
      <c r="A159" s="66" t="s">
        <v>343</v>
      </c>
      <c r="B159" s="66" t="s">
        <v>335</v>
      </c>
      <c r="C159" s="67"/>
      <c r="D159" s="68"/>
      <c r="E159" s="69"/>
      <c r="F159" s="70"/>
      <c r="G159" s="67"/>
      <c r="H159" s="71"/>
      <c r="I159" s="72"/>
      <c r="J159" s="72"/>
      <c r="K159" s="36"/>
      <c r="L159" s="79"/>
      <c r="M159" s="79"/>
      <c r="N159" s="74"/>
      <c r="O159" s="81" t="s">
        <v>1532</v>
      </c>
      <c r="P159" s="83">
        <v>44459.135081018518</v>
      </c>
      <c r="Q159" s="81" t="s">
        <v>1586</v>
      </c>
      <c r="R159" s="81"/>
      <c r="S159" s="81"/>
      <c r="T159" s="81"/>
      <c r="U159" s="84" t="str">
        <f>HYPERLINK("https://pbs.twimg.com/ext_tw_video_thumb/1439603623520993285/pu/img/4NCBVhjvbYSKxAvX.jpg")</f>
        <v>https://pbs.twimg.com/ext_tw_video_thumb/1439603623520993285/pu/img/4NCBVhjvbYSKxAvX.jpg</v>
      </c>
      <c r="V159" s="84" t="str">
        <f>HYPERLINK("https://pbs.twimg.com/ext_tw_video_thumb/1439603623520993285/pu/img/4NCBVhjvbYSKxAvX.jpg")</f>
        <v>https://pbs.twimg.com/ext_tw_video_thumb/1439603623520993285/pu/img/4NCBVhjvbYSKxAvX.jpg</v>
      </c>
      <c r="W159" s="83">
        <v>44459.135081018518</v>
      </c>
      <c r="X159" s="89">
        <v>44459</v>
      </c>
      <c r="Y159" s="86" t="s">
        <v>2890</v>
      </c>
      <c r="Z159" s="84" t="str">
        <f>HYPERLINK("https://twitter.com/atiqahdalila/status/1439790047251681281")</f>
        <v>https://twitter.com/atiqahdalila/status/1439790047251681281</v>
      </c>
      <c r="AA159" s="81"/>
      <c r="AB159" s="81"/>
      <c r="AC159" s="86" t="s">
        <v>4350</v>
      </c>
      <c r="AD159" s="81"/>
      <c r="AE159" s="81" t="b">
        <v>0</v>
      </c>
      <c r="AF159" s="81">
        <v>0</v>
      </c>
      <c r="AG159" s="86" t="s">
        <v>6240</v>
      </c>
      <c r="AH159" s="81" t="b">
        <v>0</v>
      </c>
      <c r="AI159" s="81" t="s">
        <v>6478</v>
      </c>
      <c r="AJ159" s="81"/>
      <c r="AK159" s="86" t="s">
        <v>6240</v>
      </c>
      <c r="AL159" s="81" t="b">
        <v>0</v>
      </c>
      <c r="AM159" s="81">
        <v>102</v>
      </c>
      <c r="AN159" s="86" t="s">
        <v>4519</v>
      </c>
      <c r="AO159" s="86" t="s">
        <v>6505</v>
      </c>
      <c r="AP159" s="81" t="b">
        <v>0</v>
      </c>
      <c r="AQ159" s="86" t="s">
        <v>4519</v>
      </c>
      <c r="AR159" s="81" t="s">
        <v>179</v>
      </c>
      <c r="AS159" s="81">
        <v>0</v>
      </c>
      <c r="AT159" s="81">
        <v>0</v>
      </c>
      <c r="AU159" s="81"/>
      <c r="AV159" s="81"/>
      <c r="AW159" s="81"/>
      <c r="AX159" s="81"/>
      <c r="AY159" s="81"/>
      <c r="AZ159" s="81"/>
      <c r="BA159" s="81"/>
      <c r="BB159" s="81"/>
    </row>
    <row r="160" spans="1:54" x14ac:dyDescent="0.35">
      <c r="A160" s="66" t="s">
        <v>344</v>
      </c>
      <c r="B160" s="66" t="s">
        <v>344</v>
      </c>
      <c r="C160" s="67"/>
      <c r="D160" s="68"/>
      <c r="E160" s="69"/>
      <c r="F160" s="70"/>
      <c r="G160" s="67"/>
      <c r="H160" s="71"/>
      <c r="I160" s="72"/>
      <c r="J160" s="72"/>
      <c r="K160" s="36"/>
      <c r="L160" s="79"/>
      <c r="M160" s="79"/>
      <c r="N160" s="74"/>
      <c r="O160" s="81" t="s">
        <v>179</v>
      </c>
      <c r="P160" s="83">
        <v>44459.130266203705</v>
      </c>
      <c r="Q160" s="81" t="s">
        <v>1606</v>
      </c>
      <c r="R160" s="81"/>
      <c r="S160" s="81"/>
      <c r="T160" s="81"/>
      <c r="U160" s="81"/>
      <c r="V160" s="84" t="str">
        <f>HYPERLINK("https://pbs.twimg.com/profile_images/1432705767879159809/2_VY-CJD_normal.jpg")</f>
        <v>https://pbs.twimg.com/profile_images/1432705767879159809/2_VY-CJD_normal.jpg</v>
      </c>
      <c r="W160" s="83">
        <v>44459.130266203705</v>
      </c>
      <c r="X160" s="89">
        <v>44459</v>
      </c>
      <c r="Y160" s="86" t="s">
        <v>2891</v>
      </c>
      <c r="Z160" s="84" t="str">
        <f>HYPERLINK("https://twitter.com/divarubybear/status/1439788301188169736")</f>
        <v>https://twitter.com/divarubybear/status/1439788301188169736</v>
      </c>
      <c r="AA160" s="81"/>
      <c r="AB160" s="81"/>
      <c r="AC160" s="86" t="s">
        <v>4351</v>
      </c>
      <c r="AD160" s="81"/>
      <c r="AE160" s="81" t="b">
        <v>0</v>
      </c>
      <c r="AF160" s="81">
        <v>0</v>
      </c>
      <c r="AG160" s="86" t="s">
        <v>6240</v>
      </c>
      <c r="AH160" s="81" t="b">
        <v>0</v>
      </c>
      <c r="AI160" s="81" t="s">
        <v>6478</v>
      </c>
      <c r="AJ160" s="81"/>
      <c r="AK160" s="86" t="s">
        <v>6240</v>
      </c>
      <c r="AL160" s="81" t="b">
        <v>0</v>
      </c>
      <c r="AM160" s="81">
        <v>3</v>
      </c>
      <c r="AN160" s="86" t="s">
        <v>6240</v>
      </c>
      <c r="AO160" s="86" t="s">
        <v>6503</v>
      </c>
      <c r="AP160" s="81" t="b">
        <v>0</v>
      </c>
      <c r="AQ160" s="86" t="s">
        <v>4351</v>
      </c>
      <c r="AR160" s="81" t="s">
        <v>179</v>
      </c>
      <c r="AS160" s="81">
        <v>0</v>
      </c>
      <c r="AT160" s="81">
        <v>0</v>
      </c>
      <c r="AU160" s="81"/>
      <c r="AV160" s="81"/>
      <c r="AW160" s="81"/>
      <c r="AX160" s="81"/>
      <c r="AY160" s="81"/>
      <c r="AZ160" s="81"/>
      <c r="BA160" s="81"/>
      <c r="BB160" s="81"/>
    </row>
    <row r="161" spans="1:54" x14ac:dyDescent="0.35">
      <c r="A161" s="66" t="s">
        <v>345</v>
      </c>
      <c r="B161" s="66" t="s">
        <v>344</v>
      </c>
      <c r="C161" s="67"/>
      <c r="D161" s="68"/>
      <c r="E161" s="69"/>
      <c r="F161" s="70"/>
      <c r="G161" s="67"/>
      <c r="H161" s="71"/>
      <c r="I161" s="72"/>
      <c r="J161" s="72"/>
      <c r="K161" s="36"/>
      <c r="L161" s="79"/>
      <c r="M161" s="79"/>
      <c r="N161" s="74"/>
      <c r="O161" s="81" t="s">
        <v>1532</v>
      </c>
      <c r="P161" s="83">
        <v>44459.135717592595</v>
      </c>
      <c r="Q161" s="81" t="s">
        <v>1606</v>
      </c>
      <c r="R161" s="81"/>
      <c r="S161" s="81"/>
      <c r="T161" s="81"/>
      <c r="U161" s="81"/>
      <c r="V161" s="84" t="str">
        <f>HYPERLINK("https://pbs.twimg.com/profile_images/1439071501592903684/f8kheHG2_normal.jpg")</f>
        <v>https://pbs.twimg.com/profile_images/1439071501592903684/f8kheHG2_normal.jpg</v>
      </c>
      <c r="W161" s="83">
        <v>44459.135717592595</v>
      </c>
      <c r="X161" s="89">
        <v>44459</v>
      </c>
      <c r="Y161" s="86" t="s">
        <v>2892</v>
      </c>
      <c r="Z161" s="84" t="str">
        <f>HYPERLINK("https://twitter.com/snowqmini/status/1439790277955239937")</f>
        <v>https://twitter.com/snowqmini/status/1439790277955239937</v>
      </c>
      <c r="AA161" s="81"/>
      <c r="AB161" s="81"/>
      <c r="AC161" s="86" t="s">
        <v>4352</v>
      </c>
      <c r="AD161" s="81"/>
      <c r="AE161" s="81" t="b">
        <v>0</v>
      </c>
      <c r="AF161" s="81">
        <v>0</v>
      </c>
      <c r="AG161" s="86" t="s">
        <v>6240</v>
      </c>
      <c r="AH161" s="81" t="b">
        <v>0</v>
      </c>
      <c r="AI161" s="81" t="s">
        <v>6478</v>
      </c>
      <c r="AJ161" s="81"/>
      <c r="AK161" s="86" t="s">
        <v>6240</v>
      </c>
      <c r="AL161" s="81" t="b">
        <v>0</v>
      </c>
      <c r="AM161" s="81">
        <v>3</v>
      </c>
      <c r="AN161" s="86" t="s">
        <v>4351</v>
      </c>
      <c r="AO161" s="86" t="s">
        <v>6503</v>
      </c>
      <c r="AP161" s="81" t="b">
        <v>0</v>
      </c>
      <c r="AQ161" s="86" t="s">
        <v>4351</v>
      </c>
      <c r="AR161" s="81" t="s">
        <v>179</v>
      </c>
      <c r="AS161" s="81">
        <v>0</v>
      </c>
      <c r="AT161" s="81">
        <v>0</v>
      </c>
      <c r="AU161" s="81"/>
      <c r="AV161" s="81"/>
      <c r="AW161" s="81"/>
      <c r="AX161" s="81"/>
      <c r="AY161" s="81"/>
      <c r="AZ161" s="81"/>
      <c r="BA161" s="81"/>
      <c r="BB161" s="81"/>
    </row>
    <row r="162" spans="1:54" x14ac:dyDescent="0.35">
      <c r="A162" s="66" t="s">
        <v>346</v>
      </c>
      <c r="B162" s="66" t="s">
        <v>1295</v>
      </c>
      <c r="C162" s="67"/>
      <c r="D162" s="68"/>
      <c r="E162" s="69"/>
      <c r="F162" s="70"/>
      <c r="G162" s="67"/>
      <c r="H162" s="71"/>
      <c r="I162" s="72"/>
      <c r="J162" s="72"/>
      <c r="K162" s="36"/>
      <c r="L162" s="79"/>
      <c r="M162" s="79"/>
      <c r="N162" s="74"/>
      <c r="O162" s="81" t="s">
        <v>1534</v>
      </c>
      <c r="P162" s="83">
        <v>44459.158252314817</v>
      </c>
      <c r="Q162" s="81" t="s">
        <v>1607</v>
      </c>
      <c r="R162" s="81"/>
      <c r="S162" s="81"/>
      <c r="T162" s="81"/>
      <c r="U162" s="81"/>
      <c r="V162" s="84" t="str">
        <f>HYPERLINK("https://pbs.twimg.com/profile_images/1421573891680440324/vCk-tEeY_normal.jpg")</f>
        <v>https://pbs.twimg.com/profile_images/1421573891680440324/vCk-tEeY_normal.jpg</v>
      </c>
      <c r="W162" s="83">
        <v>44459.158252314817</v>
      </c>
      <c r="X162" s="89">
        <v>44459</v>
      </c>
      <c r="Y162" s="86" t="s">
        <v>2893</v>
      </c>
      <c r="Z162" s="84" t="str">
        <f>HYPERLINK("https://twitter.com/onewishaday1999/status/1439798442495123460")</f>
        <v>https://twitter.com/onewishaday1999/status/1439798442495123460</v>
      </c>
      <c r="AA162" s="81"/>
      <c r="AB162" s="81"/>
      <c r="AC162" s="86" t="s">
        <v>4353</v>
      </c>
      <c r="AD162" s="86" t="s">
        <v>5994</v>
      </c>
      <c r="AE162" s="81" t="b">
        <v>0</v>
      </c>
      <c r="AF162" s="81">
        <v>0</v>
      </c>
      <c r="AG162" s="86" t="s">
        <v>6264</v>
      </c>
      <c r="AH162" s="81" t="b">
        <v>0</v>
      </c>
      <c r="AI162" s="81" t="s">
        <v>6479</v>
      </c>
      <c r="AJ162" s="81"/>
      <c r="AK162" s="86" t="s">
        <v>6240</v>
      </c>
      <c r="AL162" s="81" t="b">
        <v>0</v>
      </c>
      <c r="AM162" s="81">
        <v>0</v>
      </c>
      <c r="AN162" s="86" t="s">
        <v>6240</v>
      </c>
      <c r="AO162" s="86" t="s">
        <v>6507</v>
      </c>
      <c r="AP162" s="81" t="b">
        <v>0</v>
      </c>
      <c r="AQ162" s="86" t="s">
        <v>5994</v>
      </c>
      <c r="AR162" s="81" t="s">
        <v>179</v>
      </c>
      <c r="AS162" s="81">
        <v>0</v>
      </c>
      <c r="AT162" s="81">
        <v>0</v>
      </c>
      <c r="AU162" s="81"/>
      <c r="AV162" s="81"/>
      <c r="AW162" s="81"/>
      <c r="AX162" s="81"/>
      <c r="AY162" s="81"/>
      <c r="AZ162" s="81"/>
      <c r="BA162" s="81"/>
      <c r="BB162" s="81"/>
    </row>
    <row r="163" spans="1:54" x14ac:dyDescent="0.35">
      <c r="A163" s="66" t="s">
        <v>347</v>
      </c>
      <c r="B163" s="66" t="s">
        <v>347</v>
      </c>
      <c r="C163" s="67"/>
      <c r="D163" s="68"/>
      <c r="E163" s="69"/>
      <c r="F163" s="70"/>
      <c r="G163" s="67"/>
      <c r="H163" s="71"/>
      <c r="I163" s="72"/>
      <c r="J163" s="72"/>
      <c r="K163" s="36"/>
      <c r="L163" s="79"/>
      <c r="M163" s="79"/>
      <c r="N163" s="74"/>
      <c r="O163" s="81" t="s">
        <v>179</v>
      </c>
      <c r="P163" s="83">
        <v>44459.177812499998</v>
      </c>
      <c r="Q163" s="81" t="s">
        <v>1608</v>
      </c>
      <c r="R163" s="84" t="str">
        <f>HYPERLINK("https://voi.id/ekonomi/86554/perkenalkan-kurir-khusus-perempuan-dari-pt-pos-indonesia-yang-bernama-o-ranger-mawar")</f>
        <v>https://voi.id/ekonomi/86554/perkenalkan-kurir-khusus-perempuan-dari-pt-pos-indonesia-yang-bernama-o-ranger-mawar</v>
      </c>
      <c r="S163" s="81" t="s">
        <v>2593</v>
      </c>
      <c r="T163" s="81"/>
      <c r="U163" s="81"/>
      <c r="V163" s="84" t="str">
        <f>HYPERLINK("https://pbs.twimg.com/profile_images/1394919866776264704/ZeNbpu-D_normal.jpg")</f>
        <v>https://pbs.twimg.com/profile_images/1394919866776264704/ZeNbpu-D_normal.jpg</v>
      </c>
      <c r="W163" s="83">
        <v>44459.177812499998</v>
      </c>
      <c r="X163" s="89">
        <v>44459</v>
      </c>
      <c r="Y163" s="86" t="s">
        <v>2894</v>
      </c>
      <c r="Z163" s="84" t="str">
        <f>HYPERLINK("https://twitter.com/voidotid/status/1439805532211007490")</f>
        <v>https://twitter.com/voidotid/status/1439805532211007490</v>
      </c>
      <c r="AA163" s="81"/>
      <c r="AB163" s="81"/>
      <c r="AC163" s="86" t="s">
        <v>4354</v>
      </c>
      <c r="AD163" s="81"/>
      <c r="AE163" s="81" t="b">
        <v>0</v>
      </c>
      <c r="AF163" s="81">
        <v>0</v>
      </c>
      <c r="AG163" s="86" t="s">
        <v>6240</v>
      </c>
      <c r="AH163" s="81" t="b">
        <v>0</v>
      </c>
      <c r="AI163" s="81" t="s">
        <v>6478</v>
      </c>
      <c r="AJ163" s="81"/>
      <c r="AK163" s="86" t="s">
        <v>6240</v>
      </c>
      <c r="AL163" s="81" t="b">
        <v>0</v>
      </c>
      <c r="AM163" s="81">
        <v>0</v>
      </c>
      <c r="AN163" s="86" t="s">
        <v>6240</v>
      </c>
      <c r="AO163" s="86" t="s">
        <v>6510</v>
      </c>
      <c r="AP163" s="81" t="b">
        <v>0</v>
      </c>
      <c r="AQ163" s="86" t="s">
        <v>4354</v>
      </c>
      <c r="AR163" s="81" t="s">
        <v>179</v>
      </c>
      <c r="AS163" s="81">
        <v>0</v>
      </c>
      <c r="AT163" s="81">
        <v>0</v>
      </c>
      <c r="AU163" s="81"/>
      <c r="AV163" s="81"/>
      <c r="AW163" s="81"/>
      <c r="AX163" s="81"/>
      <c r="AY163" s="81"/>
      <c r="AZ163" s="81"/>
      <c r="BA163" s="81"/>
      <c r="BB163" s="81"/>
    </row>
    <row r="164" spans="1:54" x14ac:dyDescent="0.35">
      <c r="A164" s="66" t="s">
        <v>348</v>
      </c>
      <c r="B164" s="66" t="s">
        <v>335</v>
      </c>
      <c r="C164" s="67"/>
      <c r="D164" s="68"/>
      <c r="E164" s="69"/>
      <c r="F164" s="70"/>
      <c r="G164" s="67"/>
      <c r="H164" s="71"/>
      <c r="I164" s="72"/>
      <c r="J164" s="72"/>
      <c r="K164" s="36"/>
      <c r="L164" s="79"/>
      <c r="M164" s="79"/>
      <c r="N164" s="74"/>
      <c r="O164" s="81" t="s">
        <v>1532</v>
      </c>
      <c r="P164" s="83">
        <v>44459.180439814816</v>
      </c>
      <c r="Q164" s="81" t="s">
        <v>1586</v>
      </c>
      <c r="R164" s="81"/>
      <c r="S164" s="81"/>
      <c r="T164" s="81"/>
      <c r="U164" s="84" t="str">
        <f>HYPERLINK("https://pbs.twimg.com/ext_tw_video_thumb/1439603623520993285/pu/img/4NCBVhjvbYSKxAvX.jpg")</f>
        <v>https://pbs.twimg.com/ext_tw_video_thumb/1439603623520993285/pu/img/4NCBVhjvbYSKxAvX.jpg</v>
      </c>
      <c r="V164" s="84" t="str">
        <f>HYPERLINK("https://pbs.twimg.com/ext_tw_video_thumb/1439603623520993285/pu/img/4NCBVhjvbYSKxAvX.jpg")</f>
        <v>https://pbs.twimg.com/ext_tw_video_thumb/1439603623520993285/pu/img/4NCBVhjvbYSKxAvX.jpg</v>
      </c>
      <c r="W164" s="83">
        <v>44459.180439814816</v>
      </c>
      <c r="X164" s="89">
        <v>44459</v>
      </c>
      <c r="Y164" s="86" t="s">
        <v>2895</v>
      </c>
      <c r="Z164" s="84" t="str">
        <f>HYPERLINK("https://twitter.com/nhbrrr/status/1439806481667276803")</f>
        <v>https://twitter.com/nhbrrr/status/1439806481667276803</v>
      </c>
      <c r="AA164" s="81"/>
      <c r="AB164" s="81"/>
      <c r="AC164" s="86" t="s">
        <v>4355</v>
      </c>
      <c r="AD164" s="81"/>
      <c r="AE164" s="81" t="b">
        <v>0</v>
      </c>
      <c r="AF164" s="81">
        <v>0</v>
      </c>
      <c r="AG164" s="86" t="s">
        <v>6240</v>
      </c>
      <c r="AH164" s="81" t="b">
        <v>0</v>
      </c>
      <c r="AI164" s="81" t="s">
        <v>6478</v>
      </c>
      <c r="AJ164" s="81"/>
      <c r="AK164" s="86" t="s">
        <v>6240</v>
      </c>
      <c r="AL164" s="81" t="b">
        <v>0</v>
      </c>
      <c r="AM164" s="81">
        <v>102</v>
      </c>
      <c r="AN164" s="86" t="s">
        <v>4519</v>
      </c>
      <c r="AO164" s="86" t="s">
        <v>6505</v>
      </c>
      <c r="AP164" s="81" t="b">
        <v>0</v>
      </c>
      <c r="AQ164" s="86" t="s">
        <v>4519</v>
      </c>
      <c r="AR164" s="81" t="s">
        <v>179</v>
      </c>
      <c r="AS164" s="81">
        <v>0</v>
      </c>
      <c r="AT164" s="81">
        <v>0</v>
      </c>
      <c r="AU164" s="81"/>
      <c r="AV164" s="81"/>
      <c r="AW164" s="81"/>
      <c r="AX164" s="81"/>
      <c r="AY164" s="81"/>
      <c r="AZ164" s="81"/>
      <c r="BA164" s="81"/>
      <c r="BB164" s="81"/>
    </row>
    <row r="165" spans="1:54" x14ac:dyDescent="0.35">
      <c r="A165" s="66" t="s">
        <v>349</v>
      </c>
      <c r="B165" s="66" t="s">
        <v>335</v>
      </c>
      <c r="C165" s="67"/>
      <c r="D165" s="68"/>
      <c r="E165" s="69"/>
      <c r="F165" s="70"/>
      <c r="G165" s="67"/>
      <c r="H165" s="71"/>
      <c r="I165" s="72"/>
      <c r="J165" s="72"/>
      <c r="K165" s="36"/>
      <c r="L165" s="79"/>
      <c r="M165" s="79"/>
      <c r="N165" s="74"/>
      <c r="O165" s="81" t="s">
        <v>1532</v>
      </c>
      <c r="P165" s="83">
        <v>44459.183009259257</v>
      </c>
      <c r="Q165" s="81" t="s">
        <v>1586</v>
      </c>
      <c r="R165" s="81"/>
      <c r="S165" s="81"/>
      <c r="T165" s="81"/>
      <c r="U165" s="84" t="str">
        <f>HYPERLINK("https://pbs.twimg.com/ext_tw_video_thumb/1439603623520993285/pu/img/4NCBVhjvbYSKxAvX.jpg")</f>
        <v>https://pbs.twimg.com/ext_tw_video_thumb/1439603623520993285/pu/img/4NCBVhjvbYSKxAvX.jpg</v>
      </c>
      <c r="V165" s="84" t="str">
        <f>HYPERLINK("https://pbs.twimg.com/ext_tw_video_thumb/1439603623520993285/pu/img/4NCBVhjvbYSKxAvX.jpg")</f>
        <v>https://pbs.twimg.com/ext_tw_video_thumb/1439603623520993285/pu/img/4NCBVhjvbYSKxAvX.jpg</v>
      </c>
      <c r="W165" s="83">
        <v>44459.183009259257</v>
      </c>
      <c r="X165" s="89">
        <v>44459</v>
      </c>
      <c r="Y165" s="86" t="s">
        <v>2896</v>
      </c>
      <c r="Z165" s="84" t="str">
        <f>HYPERLINK("https://twitter.com/adam_danxxl/status/1439807414694408195")</f>
        <v>https://twitter.com/adam_danxxl/status/1439807414694408195</v>
      </c>
      <c r="AA165" s="81"/>
      <c r="AB165" s="81"/>
      <c r="AC165" s="86" t="s">
        <v>4356</v>
      </c>
      <c r="AD165" s="81"/>
      <c r="AE165" s="81" t="b">
        <v>0</v>
      </c>
      <c r="AF165" s="81">
        <v>0</v>
      </c>
      <c r="AG165" s="86" t="s">
        <v>6240</v>
      </c>
      <c r="AH165" s="81" t="b">
        <v>0</v>
      </c>
      <c r="AI165" s="81" t="s">
        <v>6478</v>
      </c>
      <c r="AJ165" s="81"/>
      <c r="AK165" s="86" t="s">
        <v>6240</v>
      </c>
      <c r="AL165" s="81" t="b">
        <v>0</v>
      </c>
      <c r="AM165" s="81">
        <v>102</v>
      </c>
      <c r="AN165" s="86" t="s">
        <v>4519</v>
      </c>
      <c r="AO165" s="86" t="s">
        <v>6503</v>
      </c>
      <c r="AP165" s="81" t="b">
        <v>0</v>
      </c>
      <c r="AQ165" s="86" t="s">
        <v>4519</v>
      </c>
      <c r="AR165" s="81" t="s">
        <v>179</v>
      </c>
      <c r="AS165" s="81">
        <v>0</v>
      </c>
      <c r="AT165" s="81">
        <v>0</v>
      </c>
      <c r="AU165" s="81"/>
      <c r="AV165" s="81"/>
      <c r="AW165" s="81"/>
      <c r="AX165" s="81"/>
      <c r="AY165" s="81"/>
      <c r="AZ165" s="81"/>
      <c r="BA165" s="81"/>
      <c r="BB165" s="81"/>
    </row>
    <row r="166" spans="1:54" x14ac:dyDescent="0.35">
      <c r="A166" s="66" t="s">
        <v>350</v>
      </c>
      <c r="B166" s="66" t="s">
        <v>350</v>
      </c>
      <c r="C166" s="67"/>
      <c r="D166" s="68"/>
      <c r="E166" s="69"/>
      <c r="F166" s="70"/>
      <c r="G166" s="67"/>
      <c r="H166" s="71"/>
      <c r="I166" s="72"/>
      <c r="J166" s="72"/>
      <c r="K166" s="36"/>
      <c r="L166" s="79"/>
      <c r="M166" s="79"/>
      <c r="N166" s="74"/>
      <c r="O166" s="81" t="s">
        <v>179</v>
      </c>
      <c r="P166" s="83">
        <v>44459.185960648145</v>
      </c>
      <c r="Q166" s="81" t="s">
        <v>1609</v>
      </c>
      <c r="R166" s="81"/>
      <c r="S166" s="81"/>
      <c r="T166" s="81"/>
      <c r="U166" s="81"/>
      <c r="V166" s="84" t="str">
        <f>HYPERLINK("https://pbs.twimg.com/profile_images/1440137424680591360/Qt6Wgv7W_normal.jpg")</f>
        <v>https://pbs.twimg.com/profile_images/1440137424680591360/Qt6Wgv7W_normal.jpg</v>
      </c>
      <c r="W166" s="83">
        <v>44459.185960648145</v>
      </c>
      <c r="X166" s="89">
        <v>44459</v>
      </c>
      <c r="Y166" s="86" t="s">
        <v>2897</v>
      </c>
      <c r="Z166" s="84" t="str">
        <f>HYPERLINK("https://twitter.com/baeshilight/status/1439808483751129088")</f>
        <v>https://twitter.com/baeshilight/status/1439808483751129088</v>
      </c>
      <c r="AA166" s="81"/>
      <c r="AB166" s="81"/>
      <c r="AC166" s="86" t="s">
        <v>4357</v>
      </c>
      <c r="AD166" s="81"/>
      <c r="AE166" s="81" t="b">
        <v>0</v>
      </c>
      <c r="AF166" s="81">
        <v>0</v>
      </c>
      <c r="AG166" s="86" t="s">
        <v>6240</v>
      </c>
      <c r="AH166" s="81" t="b">
        <v>0</v>
      </c>
      <c r="AI166" s="81" t="s">
        <v>6479</v>
      </c>
      <c r="AJ166" s="81"/>
      <c r="AK166" s="86" t="s">
        <v>6240</v>
      </c>
      <c r="AL166" s="81" t="b">
        <v>0</v>
      </c>
      <c r="AM166" s="81">
        <v>0</v>
      </c>
      <c r="AN166" s="86" t="s">
        <v>6240</v>
      </c>
      <c r="AO166" s="86" t="s">
        <v>6507</v>
      </c>
      <c r="AP166" s="81" t="b">
        <v>0</v>
      </c>
      <c r="AQ166" s="86" t="s">
        <v>4357</v>
      </c>
      <c r="AR166" s="81" t="s">
        <v>179</v>
      </c>
      <c r="AS166" s="81">
        <v>0</v>
      </c>
      <c r="AT166" s="81">
        <v>0</v>
      </c>
      <c r="AU166" s="81"/>
      <c r="AV166" s="81"/>
      <c r="AW166" s="81"/>
      <c r="AX166" s="81"/>
      <c r="AY166" s="81"/>
      <c r="AZ166" s="81"/>
      <c r="BA166" s="81"/>
      <c r="BB166" s="81"/>
    </row>
    <row r="167" spans="1:54" x14ac:dyDescent="0.35">
      <c r="A167" s="66" t="s">
        <v>351</v>
      </c>
      <c r="B167" s="66" t="s">
        <v>1296</v>
      </c>
      <c r="C167" s="67"/>
      <c r="D167" s="68"/>
      <c r="E167" s="69"/>
      <c r="F167" s="70"/>
      <c r="G167" s="67"/>
      <c r="H167" s="71"/>
      <c r="I167" s="72"/>
      <c r="J167" s="72"/>
      <c r="K167" s="36"/>
      <c r="L167" s="79"/>
      <c r="M167" s="79"/>
      <c r="N167" s="74"/>
      <c r="O167" s="81" t="s">
        <v>1535</v>
      </c>
      <c r="P167" s="83">
        <v>44459.186932870369</v>
      </c>
      <c r="Q167" s="81" t="s">
        <v>1610</v>
      </c>
      <c r="R167" s="81"/>
      <c r="S167" s="81"/>
      <c r="T167" s="81"/>
      <c r="U167" s="81"/>
      <c r="V167" s="84" t="str">
        <f>HYPERLINK("https://pbs.twimg.com/profile_images/1440708525815058436/1xwnE1IX_normal.jpg")</f>
        <v>https://pbs.twimg.com/profile_images/1440708525815058436/1xwnE1IX_normal.jpg</v>
      </c>
      <c r="W167" s="83">
        <v>44459.186932870369</v>
      </c>
      <c r="X167" s="89">
        <v>44459</v>
      </c>
      <c r="Y167" s="86" t="s">
        <v>2898</v>
      </c>
      <c r="Z167" s="84" t="str">
        <f>HYPERLINK("https://twitter.com/rajutpremium/status/1439808834227245059")</f>
        <v>https://twitter.com/rajutpremium/status/1439808834227245059</v>
      </c>
      <c r="AA167" s="81"/>
      <c r="AB167" s="81"/>
      <c r="AC167" s="86" t="s">
        <v>4358</v>
      </c>
      <c r="AD167" s="86" t="s">
        <v>5995</v>
      </c>
      <c r="AE167" s="81" t="b">
        <v>0</v>
      </c>
      <c r="AF167" s="81">
        <v>0</v>
      </c>
      <c r="AG167" s="86" t="s">
        <v>6265</v>
      </c>
      <c r="AH167" s="81" t="b">
        <v>0</v>
      </c>
      <c r="AI167" s="81" t="s">
        <v>6478</v>
      </c>
      <c r="AJ167" s="81"/>
      <c r="AK167" s="86" t="s">
        <v>6240</v>
      </c>
      <c r="AL167" s="81" t="b">
        <v>0</v>
      </c>
      <c r="AM167" s="81">
        <v>0</v>
      </c>
      <c r="AN167" s="86" t="s">
        <v>6240</v>
      </c>
      <c r="AO167" s="86" t="s">
        <v>6505</v>
      </c>
      <c r="AP167" s="81" t="b">
        <v>0</v>
      </c>
      <c r="AQ167" s="86" t="s">
        <v>5995</v>
      </c>
      <c r="AR167" s="81" t="s">
        <v>179</v>
      </c>
      <c r="AS167" s="81">
        <v>0</v>
      </c>
      <c r="AT167" s="81">
        <v>0</v>
      </c>
      <c r="AU167" s="81"/>
      <c r="AV167" s="81"/>
      <c r="AW167" s="81"/>
      <c r="AX167" s="81"/>
      <c r="AY167" s="81"/>
      <c r="AZ167" s="81"/>
      <c r="BA167" s="81"/>
      <c r="BB167" s="81"/>
    </row>
    <row r="168" spans="1:54" x14ac:dyDescent="0.35">
      <c r="A168" s="66" t="s">
        <v>351</v>
      </c>
      <c r="B168" s="66" t="s">
        <v>1297</v>
      </c>
      <c r="C168" s="67"/>
      <c r="D168" s="68"/>
      <c r="E168" s="69"/>
      <c r="F168" s="70"/>
      <c r="G168" s="67"/>
      <c r="H168" s="71"/>
      <c r="I168" s="72"/>
      <c r="J168" s="72"/>
      <c r="K168" s="36"/>
      <c r="L168" s="79"/>
      <c r="M168" s="79"/>
      <c r="N168" s="74"/>
      <c r="O168" s="81" t="s">
        <v>1534</v>
      </c>
      <c r="P168" s="83">
        <v>44459.186932870369</v>
      </c>
      <c r="Q168" s="81" t="s">
        <v>1610</v>
      </c>
      <c r="R168" s="81"/>
      <c r="S168" s="81"/>
      <c r="T168" s="81"/>
      <c r="U168" s="81"/>
      <c r="V168" s="84" t="str">
        <f>HYPERLINK("https://pbs.twimg.com/profile_images/1440708525815058436/1xwnE1IX_normal.jpg")</f>
        <v>https://pbs.twimg.com/profile_images/1440708525815058436/1xwnE1IX_normal.jpg</v>
      </c>
      <c r="W168" s="83">
        <v>44459.186932870369</v>
      </c>
      <c r="X168" s="89">
        <v>44459</v>
      </c>
      <c r="Y168" s="86" t="s">
        <v>2898</v>
      </c>
      <c r="Z168" s="84" t="str">
        <f>HYPERLINK("https://twitter.com/rajutpremium/status/1439808834227245059")</f>
        <v>https://twitter.com/rajutpremium/status/1439808834227245059</v>
      </c>
      <c r="AA168" s="81"/>
      <c r="AB168" s="81"/>
      <c r="AC168" s="86" t="s">
        <v>4358</v>
      </c>
      <c r="AD168" s="86" t="s">
        <v>5995</v>
      </c>
      <c r="AE168" s="81" t="b">
        <v>0</v>
      </c>
      <c r="AF168" s="81">
        <v>0</v>
      </c>
      <c r="AG168" s="86" t="s">
        <v>6265</v>
      </c>
      <c r="AH168" s="81" t="b">
        <v>0</v>
      </c>
      <c r="AI168" s="81" t="s">
        <v>6478</v>
      </c>
      <c r="AJ168" s="81"/>
      <c r="AK168" s="86" t="s">
        <v>6240</v>
      </c>
      <c r="AL168" s="81" t="b">
        <v>0</v>
      </c>
      <c r="AM168" s="81">
        <v>0</v>
      </c>
      <c r="AN168" s="86" t="s">
        <v>6240</v>
      </c>
      <c r="AO168" s="86" t="s">
        <v>6505</v>
      </c>
      <c r="AP168" s="81" t="b">
        <v>0</v>
      </c>
      <c r="AQ168" s="86" t="s">
        <v>5995</v>
      </c>
      <c r="AR168" s="81" t="s">
        <v>179</v>
      </c>
      <c r="AS168" s="81">
        <v>0</v>
      </c>
      <c r="AT168" s="81">
        <v>0</v>
      </c>
      <c r="AU168" s="81"/>
      <c r="AV168" s="81"/>
      <c r="AW168" s="81"/>
      <c r="AX168" s="81"/>
      <c r="AY168" s="81"/>
      <c r="AZ168" s="81"/>
      <c r="BA168" s="81"/>
      <c r="BB168" s="81"/>
    </row>
    <row r="169" spans="1:54" x14ac:dyDescent="0.35">
      <c r="A169" s="66" t="s">
        <v>352</v>
      </c>
      <c r="B169" s="66" t="s">
        <v>352</v>
      </c>
      <c r="C169" s="67"/>
      <c r="D169" s="68"/>
      <c r="E169" s="69"/>
      <c r="F169" s="70"/>
      <c r="G169" s="67"/>
      <c r="H169" s="71"/>
      <c r="I169" s="72"/>
      <c r="J169" s="72"/>
      <c r="K169" s="36"/>
      <c r="L169" s="79"/>
      <c r="M169" s="79"/>
      <c r="N169" s="74"/>
      <c r="O169" s="81" t="s">
        <v>179</v>
      </c>
      <c r="P169" s="83">
        <v>44458.441527777781</v>
      </c>
      <c r="Q169" s="81" t="s">
        <v>1611</v>
      </c>
      <c r="R169" s="81"/>
      <c r="S169" s="81"/>
      <c r="T169" s="81"/>
      <c r="U169" s="81"/>
      <c r="V169" s="84" t="str">
        <f>HYPERLINK("https://pbs.twimg.com/profile_images/1442669306551046151/PekugUFP_normal.jpg")</f>
        <v>https://pbs.twimg.com/profile_images/1442669306551046151/PekugUFP_normal.jpg</v>
      </c>
      <c r="W169" s="83">
        <v>44458.441527777781</v>
      </c>
      <c r="X169" s="89">
        <v>44458</v>
      </c>
      <c r="Y169" s="86" t="s">
        <v>2899</v>
      </c>
      <c r="Z169" s="84" t="str">
        <f>HYPERLINK("https://twitter.com/renpiess/status/1439538710513537029")</f>
        <v>https://twitter.com/renpiess/status/1439538710513537029</v>
      </c>
      <c r="AA169" s="81"/>
      <c r="AB169" s="81"/>
      <c r="AC169" s="86" t="s">
        <v>4359</v>
      </c>
      <c r="AD169" s="86" t="s">
        <v>5996</v>
      </c>
      <c r="AE169" s="81" t="b">
        <v>0</v>
      </c>
      <c r="AF169" s="81">
        <v>0</v>
      </c>
      <c r="AG169" s="86" t="s">
        <v>6266</v>
      </c>
      <c r="AH169" s="81" t="b">
        <v>0</v>
      </c>
      <c r="AI169" s="81" t="s">
        <v>6478</v>
      </c>
      <c r="AJ169" s="81"/>
      <c r="AK169" s="86" t="s">
        <v>6240</v>
      </c>
      <c r="AL169" s="81" t="b">
        <v>0</v>
      </c>
      <c r="AM169" s="81">
        <v>0</v>
      </c>
      <c r="AN169" s="86" t="s">
        <v>6240</v>
      </c>
      <c r="AO169" s="86" t="s">
        <v>6503</v>
      </c>
      <c r="AP169" s="81" t="b">
        <v>0</v>
      </c>
      <c r="AQ169" s="86" t="s">
        <v>5996</v>
      </c>
      <c r="AR169" s="81" t="s">
        <v>179</v>
      </c>
      <c r="AS169" s="81">
        <v>0</v>
      </c>
      <c r="AT169" s="81">
        <v>0</v>
      </c>
      <c r="AU169" s="81"/>
      <c r="AV169" s="81"/>
      <c r="AW169" s="81"/>
      <c r="AX169" s="81"/>
      <c r="AY169" s="81"/>
      <c r="AZ169" s="81"/>
      <c r="BA169" s="81"/>
      <c r="BB169" s="81"/>
    </row>
    <row r="170" spans="1:54" x14ac:dyDescent="0.35">
      <c r="A170" s="66" t="s">
        <v>352</v>
      </c>
      <c r="B170" s="66" t="s">
        <v>352</v>
      </c>
      <c r="C170" s="67"/>
      <c r="D170" s="68"/>
      <c r="E170" s="69"/>
      <c r="F170" s="70"/>
      <c r="G170" s="67"/>
      <c r="H170" s="71"/>
      <c r="I170" s="72"/>
      <c r="J170" s="72"/>
      <c r="K170" s="36"/>
      <c r="L170" s="79"/>
      <c r="M170" s="79"/>
      <c r="N170" s="74"/>
      <c r="O170" s="81" t="s">
        <v>179</v>
      </c>
      <c r="P170" s="83">
        <v>44459.194664351853</v>
      </c>
      <c r="Q170" s="81" t="s">
        <v>1612</v>
      </c>
      <c r="R170" s="81"/>
      <c r="S170" s="81"/>
      <c r="T170" s="81"/>
      <c r="U170" s="81"/>
      <c r="V170" s="84" t="str">
        <f>HYPERLINK("https://pbs.twimg.com/profile_images/1442669306551046151/PekugUFP_normal.jpg")</f>
        <v>https://pbs.twimg.com/profile_images/1442669306551046151/PekugUFP_normal.jpg</v>
      </c>
      <c r="W170" s="83">
        <v>44459.194664351853</v>
      </c>
      <c r="X170" s="89">
        <v>44459</v>
      </c>
      <c r="Y170" s="86" t="s">
        <v>2900</v>
      </c>
      <c r="Z170" s="84" t="str">
        <f>HYPERLINK("https://twitter.com/renpiess/status/1439811638379515904")</f>
        <v>https://twitter.com/renpiess/status/1439811638379515904</v>
      </c>
      <c r="AA170" s="81"/>
      <c r="AB170" s="81"/>
      <c r="AC170" s="86" t="s">
        <v>4360</v>
      </c>
      <c r="AD170" s="86" t="s">
        <v>5997</v>
      </c>
      <c r="AE170" s="81" t="b">
        <v>0</v>
      </c>
      <c r="AF170" s="81">
        <v>0</v>
      </c>
      <c r="AG170" s="86" t="s">
        <v>6266</v>
      </c>
      <c r="AH170" s="81" t="b">
        <v>0</v>
      </c>
      <c r="AI170" s="81" t="s">
        <v>6478</v>
      </c>
      <c r="AJ170" s="81"/>
      <c r="AK170" s="86" t="s">
        <v>6240</v>
      </c>
      <c r="AL170" s="81" t="b">
        <v>0</v>
      </c>
      <c r="AM170" s="81">
        <v>0</v>
      </c>
      <c r="AN170" s="86" t="s">
        <v>6240</v>
      </c>
      <c r="AO170" s="86" t="s">
        <v>6503</v>
      </c>
      <c r="AP170" s="81" t="b">
        <v>0</v>
      </c>
      <c r="AQ170" s="86" t="s">
        <v>5997</v>
      </c>
      <c r="AR170" s="81" t="s">
        <v>179</v>
      </c>
      <c r="AS170" s="81">
        <v>0</v>
      </c>
      <c r="AT170" s="81">
        <v>0</v>
      </c>
      <c r="AU170" s="81"/>
      <c r="AV170" s="81"/>
      <c r="AW170" s="81"/>
      <c r="AX170" s="81"/>
      <c r="AY170" s="81"/>
      <c r="AZ170" s="81"/>
      <c r="BA170" s="81"/>
      <c r="BB170" s="81"/>
    </row>
    <row r="171" spans="1:54" x14ac:dyDescent="0.35">
      <c r="A171" s="66" t="s">
        <v>353</v>
      </c>
      <c r="B171" s="66" t="s">
        <v>353</v>
      </c>
      <c r="C171" s="67"/>
      <c r="D171" s="68"/>
      <c r="E171" s="69"/>
      <c r="F171" s="70"/>
      <c r="G171" s="67"/>
      <c r="H171" s="71"/>
      <c r="I171" s="72"/>
      <c r="J171" s="72"/>
      <c r="K171" s="36"/>
      <c r="L171" s="79"/>
      <c r="M171" s="79"/>
      <c r="N171" s="74"/>
      <c r="O171" s="81" t="s">
        <v>179</v>
      </c>
      <c r="P171" s="83">
        <v>44459.197106481479</v>
      </c>
      <c r="Q171" s="81" t="s">
        <v>1613</v>
      </c>
      <c r="R171" s="84" t="str">
        <f>HYPERLINK("https://www.transonlinewatch.com/kenalkan-kurir-khusus-wanita-o-ranger-mawar-pos-indonesia-gandeng-nujek/")</f>
        <v>https://www.transonlinewatch.com/kenalkan-kurir-khusus-wanita-o-ranger-mawar-pos-indonesia-gandeng-nujek/</v>
      </c>
      <c r="S171" s="81" t="s">
        <v>2594</v>
      </c>
      <c r="T171" s="81"/>
      <c r="U171" s="84" t="str">
        <f>HYPERLINK("https://pbs.twimg.com/media/E_s9219UcAc3FHB.jpg")</f>
        <v>https://pbs.twimg.com/media/E_s9219UcAc3FHB.jpg</v>
      </c>
      <c r="V171" s="84" t="str">
        <f>HYPERLINK("https://pbs.twimg.com/media/E_s9219UcAc3FHB.jpg")</f>
        <v>https://pbs.twimg.com/media/E_s9219UcAc3FHB.jpg</v>
      </c>
      <c r="W171" s="83">
        <v>44459.197106481479</v>
      </c>
      <c r="X171" s="89">
        <v>44459</v>
      </c>
      <c r="Y171" s="86" t="s">
        <v>2901</v>
      </c>
      <c r="Z171" s="84" t="str">
        <f>HYPERLINK("https://twitter.com/aimer_riska/status/1439812520974245891")</f>
        <v>https://twitter.com/aimer_riska/status/1439812520974245891</v>
      </c>
      <c r="AA171" s="81"/>
      <c r="AB171" s="81"/>
      <c r="AC171" s="86" t="s">
        <v>4361</v>
      </c>
      <c r="AD171" s="81"/>
      <c r="AE171" s="81" t="b">
        <v>0</v>
      </c>
      <c r="AF171" s="81">
        <v>0</v>
      </c>
      <c r="AG171" s="86" t="s">
        <v>6240</v>
      </c>
      <c r="AH171" s="81" t="b">
        <v>0</v>
      </c>
      <c r="AI171" s="81" t="s">
        <v>6478</v>
      </c>
      <c r="AJ171" s="81"/>
      <c r="AK171" s="86" t="s">
        <v>6240</v>
      </c>
      <c r="AL171" s="81" t="b">
        <v>0</v>
      </c>
      <c r="AM171" s="81">
        <v>0</v>
      </c>
      <c r="AN171" s="86" t="s">
        <v>6240</v>
      </c>
      <c r="AO171" s="86" t="s">
        <v>6503</v>
      </c>
      <c r="AP171" s="81" t="b">
        <v>0</v>
      </c>
      <c r="AQ171" s="86" t="s">
        <v>4361</v>
      </c>
      <c r="AR171" s="81" t="s">
        <v>179</v>
      </c>
      <c r="AS171" s="81">
        <v>0</v>
      </c>
      <c r="AT171" s="81">
        <v>0</v>
      </c>
      <c r="AU171" s="81"/>
      <c r="AV171" s="81"/>
      <c r="AW171" s="81"/>
      <c r="AX171" s="81"/>
      <c r="AY171" s="81"/>
      <c r="AZ171" s="81"/>
      <c r="BA171" s="81"/>
      <c r="BB171" s="81"/>
    </row>
    <row r="172" spans="1:54" x14ac:dyDescent="0.35">
      <c r="A172" s="66" t="s">
        <v>354</v>
      </c>
      <c r="B172" s="66" t="s">
        <v>354</v>
      </c>
      <c r="C172" s="67"/>
      <c r="D172" s="68"/>
      <c r="E172" s="69"/>
      <c r="F172" s="70"/>
      <c r="G172" s="67"/>
      <c r="H172" s="71"/>
      <c r="I172" s="72"/>
      <c r="J172" s="72"/>
      <c r="K172" s="36"/>
      <c r="L172" s="79"/>
      <c r="M172" s="79"/>
      <c r="N172" s="74"/>
      <c r="O172" s="81" t="s">
        <v>179</v>
      </c>
      <c r="P172" s="83">
        <v>44459.198935185188</v>
      </c>
      <c r="Q172" s="81" t="s">
        <v>1614</v>
      </c>
      <c r="R172" s="84" t="str">
        <f>HYPERLINK("https://twitter.com/1085350_nel/status/1376374692789977089")</f>
        <v>https://twitter.com/1085350_nel/status/1376374692789977089</v>
      </c>
      <c r="S172" s="81" t="s">
        <v>2588</v>
      </c>
      <c r="T172" s="81"/>
      <c r="U172" s="81"/>
      <c r="V172" s="84" t="str">
        <f>HYPERLINK("https://pbs.twimg.com/profile_images/1438054388665253889/Dzfs5w0v_normal.jpg")</f>
        <v>https://pbs.twimg.com/profile_images/1438054388665253889/Dzfs5w0v_normal.jpg</v>
      </c>
      <c r="W172" s="83">
        <v>44459.198935185188</v>
      </c>
      <c r="X172" s="89">
        <v>44459</v>
      </c>
      <c r="Y172" s="86" t="s">
        <v>2902</v>
      </c>
      <c r="Z172" s="84" t="str">
        <f>HYPERLINK("https://twitter.com/1085350_nel/status/1439813186161577985")</f>
        <v>https://twitter.com/1085350_nel/status/1439813186161577985</v>
      </c>
      <c r="AA172" s="81"/>
      <c r="AB172" s="81"/>
      <c r="AC172" s="86" t="s">
        <v>4362</v>
      </c>
      <c r="AD172" s="81"/>
      <c r="AE172" s="81" t="b">
        <v>0</v>
      </c>
      <c r="AF172" s="81">
        <v>0</v>
      </c>
      <c r="AG172" s="86" t="s">
        <v>6240</v>
      </c>
      <c r="AH172" s="81" t="b">
        <v>1</v>
      </c>
      <c r="AI172" s="81" t="s">
        <v>6478</v>
      </c>
      <c r="AJ172" s="81"/>
      <c r="AK172" s="86" t="s">
        <v>6492</v>
      </c>
      <c r="AL172" s="81" t="b">
        <v>0</v>
      </c>
      <c r="AM172" s="81">
        <v>0</v>
      </c>
      <c r="AN172" s="86" t="s">
        <v>6240</v>
      </c>
      <c r="AO172" s="86" t="s">
        <v>6503</v>
      </c>
      <c r="AP172" s="81" t="b">
        <v>0</v>
      </c>
      <c r="AQ172" s="86" t="s">
        <v>4362</v>
      </c>
      <c r="AR172" s="81" t="s">
        <v>179</v>
      </c>
      <c r="AS172" s="81">
        <v>0</v>
      </c>
      <c r="AT172" s="81">
        <v>0</v>
      </c>
      <c r="AU172" s="81"/>
      <c r="AV172" s="81"/>
      <c r="AW172" s="81"/>
      <c r="AX172" s="81"/>
      <c r="AY172" s="81"/>
      <c r="AZ172" s="81"/>
      <c r="BA172" s="81"/>
      <c r="BB172" s="81"/>
    </row>
    <row r="173" spans="1:54" x14ac:dyDescent="0.35">
      <c r="A173" s="66" t="s">
        <v>355</v>
      </c>
      <c r="B173" s="66" t="s">
        <v>335</v>
      </c>
      <c r="C173" s="67"/>
      <c r="D173" s="68"/>
      <c r="E173" s="69"/>
      <c r="F173" s="70"/>
      <c r="G173" s="67"/>
      <c r="H173" s="71"/>
      <c r="I173" s="72"/>
      <c r="J173" s="72"/>
      <c r="K173" s="36"/>
      <c r="L173" s="79"/>
      <c r="M173" s="79"/>
      <c r="N173" s="74"/>
      <c r="O173" s="81" t="s">
        <v>1532</v>
      </c>
      <c r="P173" s="83">
        <v>44459.221736111111</v>
      </c>
      <c r="Q173" s="81" t="s">
        <v>1586</v>
      </c>
      <c r="R173" s="81"/>
      <c r="S173" s="81"/>
      <c r="T173" s="81"/>
      <c r="U173" s="84" t="str">
        <f>HYPERLINK("https://pbs.twimg.com/ext_tw_video_thumb/1439603623520993285/pu/img/4NCBVhjvbYSKxAvX.jpg")</f>
        <v>https://pbs.twimg.com/ext_tw_video_thumb/1439603623520993285/pu/img/4NCBVhjvbYSKxAvX.jpg</v>
      </c>
      <c r="V173" s="84" t="str">
        <f>HYPERLINK("https://pbs.twimg.com/ext_tw_video_thumb/1439603623520993285/pu/img/4NCBVhjvbYSKxAvX.jpg")</f>
        <v>https://pbs.twimg.com/ext_tw_video_thumb/1439603623520993285/pu/img/4NCBVhjvbYSKxAvX.jpg</v>
      </c>
      <c r="W173" s="83">
        <v>44459.221736111111</v>
      </c>
      <c r="X173" s="89">
        <v>44459</v>
      </c>
      <c r="Y173" s="86" t="s">
        <v>2903</v>
      </c>
      <c r="Z173" s="84" t="str">
        <f>HYPERLINK("https://twitter.com/jijahcrochet/status/1439821447195545605")</f>
        <v>https://twitter.com/jijahcrochet/status/1439821447195545605</v>
      </c>
      <c r="AA173" s="81"/>
      <c r="AB173" s="81"/>
      <c r="AC173" s="86" t="s">
        <v>4363</v>
      </c>
      <c r="AD173" s="81"/>
      <c r="AE173" s="81" t="b">
        <v>0</v>
      </c>
      <c r="AF173" s="81">
        <v>0</v>
      </c>
      <c r="AG173" s="86" t="s">
        <v>6240</v>
      </c>
      <c r="AH173" s="81" t="b">
        <v>0</v>
      </c>
      <c r="AI173" s="81" t="s">
        <v>6478</v>
      </c>
      <c r="AJ173" s="81"/>
      <c r="AK173" s="86" t="s">
        <v>6240</v>
      </c>
      <c r="AL173" s="81" t="b">
        <v>0</v>
      </c>
      <c r="AM173" s="81">
        <v>102</v>
      </c>
      <c r="AN173" s="86" t="s">
        <v>4519</v>
      </c>
      <c r="AO173" s="86" t="s">
        <v>6503</v>
      </c>
      <c r="AP173" s="81" t="b">
        <v>0</v>
      </c>
      <c r="AQ173" s="86" t="s">
        <v>4519</v>
      </c>
      <c r="AR173" s="81" t="s">
        <v>179</v>
      </c>
      <c r="AS173" s="81">
        <v>0</v>
      </c>
      <c r="AT173" s="81">
        <v>0</v>
      </c>
      <c r="AU173" s="81"/>
      <c r="AV173" s="81"/>
      <c r="AW173" s="81"/>
      <c r="AX173" s="81"/>
      <c r="AY173" s="81"/>
      <c r="AZ173" s="81"/>
      <c r="BA173" s="81"/>
      <c r="BB173" s="81"/>
    </row>
    <row r="174" spans="1:54" x14ac:dyDescent="0.35">
      <c r="A174" s="66" t="s">
        <v>356</v>
      </c>
      <c r="B174" s="66" t="s">
        <v>335</v>
      </c>
      <c r="C174" s="67"/>
      <c r="D174" s="68"/>
      <c r="E174" s="69"/>
      <c r="F174" s="70"/>
      <c r="G174" s="67"/>
      <c r="H174" s="71"/>
      <c r="I174" s="72"/>
      <c r="J174" s="72"/>
      <c r="K174" s="36"/>
      <c r="L174" s="79"/>
      <c r="M174" s="79"/>
      <c r="N174" s="74"/>
      <c r="O174" s="81" t="s">
        <v>1532</v>
      </c>
      <c r="P174" s="83">
        <v>44459.230717592596</v>
      </c>
      <c r="Q174" s="81" t="s">
        <v>1586</v>
      </c>
      <c r="R174" s="81"/>
      <c r="S174" s="81"/>
      <c r="T174" s="81"/>
      <c r="U174" s="84" t="str">
        <f>HYPERLINK("https://pbs.twimg.com/ext_tw_video_thumb/1439603623520993285/pu/img/4NCBVhjvbYSKxAvX.jpg")</f>
        <v>https://pbs.twimg.com/ext_tw_video_thumb/1439603623520993285/pu/img/4NCBVhjvbYSKxAvX.jpg</v>
      </c>
      <c r="V174" s="84" t="str">
        <f>HYPERLINK("https://pbs.twimg.com/ext_tw_video_thumb/1439603623520993285/pu/img/4NCBVhjvbYSKxAvX.jpg")</f>
        <v>https://pbs.twimg.com/ext_tw_video_thumb/1439603623520993285/pu/img/4NCBVhjvbYSKxAvX.jpg</v>
      </c>
      <c r="W174" s="83">
        <v>44459.230717592596</v>
      </c>
      <c r="X174" s="89">
        <v>44459</v>
      </c>
      <c r="Y174" s="86" t="s">
        <v>2904</v>
      </c>
      <c r="Z174" s="84" t="str">
        <f>HYPERLINK("https://twitter.com/tomoeyushiro/status/1439824702638149634")</f>
        <v>https://twitter.com/tomoeyushiro/status/1439824702638149634</v>
      </c>
      <c r="AA174" s="81"/>
      <c r="AB174" s="81"/>
      <c r="AC174" s="86" t="s">
        <v>4364</v>
      </c>
      <c r="AD174" s="81"/>
      <c r="AE174" s="81" t="b">
        <v>0</v>
      </c>
      <c r="AF174" s="81">
        <v>0</v>
      </c>
      <c r="AG174" s="86" t="s">
        <v>6240</v>
      </c>
      <c r="AH174" s="81" t="b">
        <v>0</v>
      </c>
      <c r="AI174" s="81" t="s">
        <v>6478</v>
      </c>
      <c r="AJ174" s="81"/>
      <c r="AK174" s="86" t="s">
        <v>6240</v>
      </c>
      <c r="AL174" s="81" t="b">
        <v>0</v>
      </c>
      <c r="AM174" s="81">
        <v>102</v>
      </c>
      <c r="AN174" s="86" t="s">
        <v>4519</v>
      </c>
      <c r="AO174" s="86" t="s">
        <v>6503</v>
      </c>
      <c r="AP174" s="81" t="b">
        <v>0</v>
      </c>
      <c r="AQ174" s="86" t="s">
        <v>4519</v>
      </c>
      <c r="AR174" s="81" t="s">
        <v>179</v>
      </c>
      <c r="AS174" s="81">
        <v>0</v>
      </c>
      <c r="AT174" s="81">
        <v>0</v>
      </c>
      <c r="AU174" s="81"/>
      <c r="AV174" s="81"/>
      <c r="AW174" s="81"/>
      <c r="AX174" s="81"/>
      <c r="AY174" s="81"/>
      <c r="AZ174" s="81"/>
      <c r="BA174" s="81"/>
      <c r="BB174" s="81"/>
    </row>
    <row r="175" spans="1:54" x14ac:dyDescent="0.35">
      <c r="A175" s="66" t="s">
        <v>357</v>
      </c>
      <c r="B175" s="66" t="s">
        <v>1283</v>
      </c>
      <c r="C175" s="67"/>
      <c r="D175" s="68"/>
      <c r="E175" s="69"/>
      <c r="F175" s="70"/>
      <c r="G175" s="67"/>
      <c r="H175" s="71"/>
      <c r="I175" s="72"/>
      <c r="J175" s="72"/>
      <c r="K175" s="36"/>
      <c r="L175" s="79"/>
      <c r="M175" s="79"/>
      <c r="N175" s="74"/>
      <c r="O175" s="81" t="s">
        <v>1535</v>
      </c>
      <c r="P175" s="83">
        <v>44458.585659722223</v>
      </c>
      <c r="Q175" s="81" t="s">
        <v>1583</v>
      </c>
      <c r="R175" s="84" t="str">
        <f>HYPERLINK("https://kerjha.com/pos-indonesia-gandeng-nujek-dan-perkenalkan-o-ranger-mawar/")</f>
        <v>https://kerjha.com/pos-indonesia-gandeng-nujek-dan-perkenalkan-o-ranger-mawar/</v>
      </c>
      <c r="S175" s="81" t="s">
        <v>2586</v>
      </c>
      <c r="T175" s="81"/>
      <c r="U175" s="81"/>
      <c r="V175" s="84" t="str">
        <f>HYPERLINK("https://pbs.twimg.com/profile_images/1372795753656057857/w9mDheRu_normal.jpg")</f>
        <v>https://pbs.twimg.com/profile_images/1372795753656057857/w9mDheRu_normal.jpg</v>
      </c>
      <c r="W175" s="83">
        <v>44458.585659722223</v>
      </c>
      <c r="X175" s="89">
        <v>44458</v>
      </c>
      <c r="Y175" s="86" t="s">
        <v>2905</v>
      </c>
      <c r="Z175" s="84" t="str">
        <f>HYPERLINK("https://twitter.com/kardosony/status/1439590940331495426")</f>
        <v>https://twitter.com/kardosony/status/1439590940331495426</v>
      </c>
      <c r="AA175" s="81"/>
      <c r="AB175" s="81"/>
      <c r="AC175" s="86" t="s">
        <v>4365</v>
      </c>
      <c r="AD175" s="81"/>
      <c r="AE175" s="81" t="b">
        <v>0</v>
      </c>
      <c r="AF175" s="81">
        <v>18</v>
      </c>
      <c r="AG175" s="86" t="s">
        <v>6240</v>
      </c>
      <c r="AH175" s="81" t="b">
        <v>0</v>
      </c>
      <c r="AI175" s="81" t="s">
        <v>6478</v>
      </c>
      <c r="AJ175" s="81"/>
      <c r="AK175" s="86" t="s">
        <v>6240</v>
      </c>
      <c r="AL175" s="81" t="b">
        <v>0</v>
      </c>
      <c r="AM175" s="81">
        <v>10</v>
      </c>
      <c r="AN175" s="86" t="s">
        <v>6240</v>
      </c>
      <c r="AO175" s="86" t="s">
        <v>6503</v>
      </c>
      <c r="AP175" s="81" t="b">
        <v>0</v>
      </c>
      <c r="AQ175" s="86" t="s">
        <v>4365</v>
      </c>
      <c r="AR175" s="81" t="s">
        <v>179</v>
      </c>
      <c r="AS175" s="81">
        <v>0</v>
      </c>
      <c r="AT175" s="81">
        <v>0</v>
      </c>
      <c r="AU175" s="81"/>
      <c r="AV175" s="81"/>
      <c r="AW175" s="81"/>
      <c r="AX175" s="81"/>
      <c r="AY175" s="81"/>
      <c r="AZ175" s="81"/>
      <c r="BA175" s="81"/>
      <c r="BB175" s="81"/>
    </row>
    <row r="176" spans="1:54" x14ac:dyDescent="0.35">
      <c r="A176" s="66" t="s">
        <v>358</v>
      </c>
      <c r="B176" s="66" t="s">
        <v>357</v>
      </c>
      <c r="C176" s="67"/>
      <c r="D176" s="68"/>
      <c r="E176" s="69"/>
      <c r="F176" s="70"/>
      <c r="G176" s="67"/>
      <c r="H176" s="71"/>
      <c r="I176" s="72"/>
      <c r="J176" s="72"/>
      <c r="K176" s="36"/>
      <c r="L176" s="79"/>
      <c r="M176" s="79"/>
      <c r="N176" s="74"/>
      <c r="O176" s="81" t="s">
        <v>1532</v>
      </c>
      <c r="P176" s="83">
        <v>44459.237615740742</v>
      </c>
      <c r="Q176" s="81" t="s">
        <v>1583</v>
      </c>
      <c r="R176" s="84" t="str">
        <f>HYPERLINK("https://kerjha.com/pos-indonesia-gandeng-nujek-dan-perkenalkan-o-ranger-mawar/")</f>
        <v>https://kerjha.com/pos-indonesia-gandeng-nujek-dan-perkenalkan-o-ranger-mawar/</v>
      </c>
      <c r="S176" s="81" t="s">
        <v>2586</v>
      </c>
      <c r="T176" s="81"/>
      <c r="U176" s="81"/>
      <c r="V176" s="84" t="str">
        <f>HYPERLINK("https://pbs.twimg.com/profile_images/1423887272961662977/2nk6BCCD_normal.jpg")</f>
        <v>https://pbs.twimg.com/profile_images/1423887272961662977/2nk6BCCD_normal.jpg</v>
      </c>
      <c r="W176" s="83">
        <v>44459.237615740742</v>
      </c>
      <c r="X176" s="89">
        <v>44459</v>
      </c>
      <c r="Y176" s="86" t="s">
        <v>2906</v>
      </c>
      <c r="Z176" s="84" t="str">
        <f>HYPERLINK("https://twitter.com/ranisor/status/1439827202049073158")</f>
        <v>https://twitter.com/ranisor/status/1439827202049073158</v>
      </c>
      <c r="AA176" s="81"/>
      <c r="AB176" s="81"/>
      <c r="AC176" s="86" t="s">
        <v>4366</v>
      </c>
      <c r="AD176" s="81"/>
      <c r="AE176" s="81" t="b">
        <v>0</v>
      </c>
      <c r="AF176" s="81">
        <v>0</v>
      </c>
      <c r="AG176" s="86" t="s">
        <v>6240</v>
      </c>
      <c r="AH176" s="81" t="b">
        <v>0</v>
      </c>
      <c r="AI176" s="81" t="s">
        <v>6478</v>
      </c>
      <c r="AJ176" s="81"/>
      <c r="AK176" s="86" t="s">
        <v>6240</v>
      </c>
      <c r="AL176" s="81" t="b">
        <v>0</v>
      </c>
      <c r="AM176" s="81">
        <v>10</v>
      </c>
      <c r="AN176" s="86" t="s">
        <v>4365</v>
      </c>
      <c r="AO176" s="86" t="s">
        <v>6503</v>
      </c>
      <c r="AP176" s="81" t="b">
        <v>0</v>
      </c>
      <c r="AQ176" s="86" t="s">
        <v>4365</v>
      </c>
      <c r="AR176" s="81" t="s">
        <v>179</v>
      </c>
      <c r="AS176" s="81">
        <v>0</v>
      </c>
      <c r="AT176" s="81">
        <v>0</v>
      </c>
      <c r="AU176" s="81"/>
      <c r="AV176" s="81"/>
      <c r="AW176" s="81"/>
      <c r="AX176" s="81"/>
      <c r="AY176" s="81"/>
      <c r="AZ176" s="81"/>
      <c r="BA176" s="81"/>
      <c r="BB176" s="81"/>
    </row>
    <row r="177" spans="1:54" x14ac:dyDescent="0.35">
      <c r="A177" s="66" t="s">
        <v>358</v>
      </c>
      <c r="B177" s="66" t="s">
        <v>1283</v>
      </c>
      <c r="C177" s="67"/>
      <c r="D177" s="68"/>
      <c r="E177" s="69"/>
      <c r="F177" s="70"/>
      <c r="G177" s="67"/>
      <c r="H177" s="71"/>
      <c r="I177" s="72"/>
      <c r="J177" s="72"/>
      <c r="K177" s="36"/>
      <c r="L177" s="79"/>
      <c r="M177" s="79"/>
      <c r="N177" s="74"/>
      <c r="O177" s="81" t="s">
        <v>1533</v>
      </c>
      <c r="P177" s="83">
        <v>44459.237615740742</v>
      </c>
      <c r="Q177" s="81" t="s">
        <v>1583</v>
      </c>
      <c r="R177" s="84" t="str">
        <f>HYPERLINK("https://kerjha.com/pos-indonesia-gandeng-nujek-dan-perkenalkan-o-ranger-mawar/")</f>
        <v>https://kerjha.com/pos-indonesia-gandeng-nujek-dan-perkenalkan-o-ranger-mawar/</v>
      </c>
      <c r="S177" s="81" t="s">
        <v>2586</v>
      </c>
      <c r="T177" s="81"/>
      <c r="U177" s="81"/>
      <c r="V177" s="84" t="str">
        <f>HYPERLINK("https://pbs.twimg.com/profile_images/1423887272961662977/2nk6BCCD_normal.jpg")</f>
        <v>https://pbs.twimg.com/profile_images/1423887272961662977/2nk6BCCD_normal.jpg</v>
      </c>
      <c r="W177" s="83">
        <v>44459.237615740742</v>
      </c>
      <c r="X177" s="89">
        <v>44459</v>
      </c>
      <c r="Y177" s="86" t="s">
        <v>2906</v>
      </c>
      <c r="Z177" s="84" t="str">
        <f>HYPERLINK("https://twitter.com/ranisor/status/1439827202049073158")</f>
        <v>https://twitter.com/ranisor/status/1439827202049073158</v>
      </c>
      <c r="AA177" s="81"/>
      <c r="AB177" s="81"/>
      <c r="AC177" s="86" t="s">
        <v>4366</v>
      </c>
      <c r="AD177" s="81"/>
      <c r="AE177" s="81" t="b">
        <v>0</v>
      </c>
      <c r="AF177" s="81">
        <v>0</v>
      </c>
      <c r="AG177" s="86" t="s">
        <v>6240</v>
      </c>
      <c r="AH177" s="81" t="b">
        <v>0</v>
      </c>
      <c r="AI177" s="81" t="s">
        <v>6478</v>
      </c>
      <c r="AJ177" s="81"/>
      <c r="AK177" s="86" t="s">
        <v>6240</v>
      </c>
      <c r="AL177" s="81" t="b">
        <v>0</v>
      </c>
      <c r="AM177" s="81">
        <v>10</v>
      </c>
      <c r="AN177" s="86" t="s">
        <v>4365</v>
      </c>
      <c r="AO177" s="86" t="s">
        <v>6503</v>
      </c>
      <c r="AP177" s="81" t="b">
        <v>0</v>
      </c>
      <c r="AQ177" s="86" t="s">
        <v>4365</v>
      </c>
      <c r="AR177" s="81" t="s">
        <v>179</v>
      </c>
      <c r="AS177" s="81">
        <v>0</v>
      </c>
      <c r="AT177" s="81">
        <v>0</v>
      </c>
      <c r="AU177" s="81"/>
      <c r="AV177" s="81"/>
      <c r="AW177" s="81"/>
      <c r="AX177" s="81"/>
      <c r="AY177" s="81"/>
      <c r="AZ177" s="81"/>
      <c r="BA177" s="81"/>
      <c r="BB177" s="81"/>
    </row>
    <row r="178" spans="1:54" x14ac:dyDescent="0.35">
      <c r="A178" s="66" t="s">
        <v>359</v>
      </c>
      <c r="B178" s="66" t="s">
        <v>335</v>
      </c>
      <c r="C178" s="67"/>
      <c r="D178" s="68"/>
      <c r="E178" s="69"/>
      <c r="F178" s="70"/>
      <c r="G178" s="67"/>
      <c r="H178" s="71"/>
      <c r="I178" s="72"/>
      <c r="J178" s="72"/>
      <c r="K178" s="36"/>
      <c r="L178" s="79"/>
      <c r="M178" s="79"/>
      <c r="N178" s="74"/>
      <c r="O178" s="81" t="s">
        <v>1532</v>
      </c>
      <c r="P178" s="83">
        <v>44459.239560185182</v>
      </c>
      <c r="Q178" s="81" t="s">
        <v>1586</v>
      </c>
      <c r="R178" s="81"/>
      <c r="S178" s="81"/>
      <c r="T178" s="81"/>
      <c r="U178" s="84" t="str">
        <f>HYPERLINK("https://pbs.twimg.com/ext_tw_video_thumb/1439603623520993285/pu/img/4NCBVhjvbYSKxAvX.jpg")</f>
        <v>https://pbs.twimg.com/ext_tw_video_thumb/1439603623520993285/pu/img/4NCBVhjvbYSKxAvX.jpg</v>
      </c>
      <c r="V178" s="84" t="str">
        <f>HYPERLINK("https://pbs.twimg.com/ext_tw_video_thumb/1439603623520993285/pu/img/4NCBVhjvbYSKxAvX.jpg")</f>
        <v>https://pbs.twimg.com/ext_tw_video_thumb/1439603623520993285/pu/img/4NCBVhjvbYSKxAvX.jpg</v>
      </c>
      <c r="W178" s="83">
        <v>44459.239560185182</v>
      </c>
      <c r="X178" s="89">
        <v>44459</v>
      </c>
      <c r="Y178" s="86" t="s">
        <v>2907</v>
      </c>
      <c r="Z178" s="84" t="str">
        <f>HYPERLINK("https://twitter.com/folkloreswifty/status/1439827908130795522")</f>
        <v>https://twitter.com/folkloreswifty/status/1439827908130795522</v>
      </c>
      <c r="AA178" s="81"/>
      <c r="AB178" s="81"/>
      <c r="AC178" s="86" t="s">
        <v>4367</v>
      </c>
      <c r="AD178" s="81"/>
      <c r="AE178" s="81" t="b">
        <v>0</v>
      </c>
      <c r="AF178" s="81">
        <v>0</v>
      </c>
      <c r="AG178" s="86" t="s">
        <v>6240</v>
      </c>
      <c r="AH178" s="81" t="b">
        <v>0</v>
      </c>
      <c r="AI178" s="81" t="s">
        <v>6478</v>
      </c>
      <c r="AJ178" s="81"/>
      <c r="AK178" s="86" t="s">
        <v>6240</v>
      </c>
      <c r="AL178" s="81" t="b">
        <v>0</v>
      </c>
      <c r="AM178" s="81">
        <v>102</v>
      </c>
      <c r="AN178" s="86" t="s">
        <v>4519</v>
      </c>
      <c r="AO178" s="86" t="s">
        <v>6505</v>
      </c>
      <c r="AP178" s="81" t="b">
        <v>0</v>
      </c>
      <c r="AQ178" s="86" t="s">
        <v>4519</v>
      </c>
      <c r="AR178" s="81" t="s">
        <v>179</v>
      </c>
      <c r="AS178" s="81">
        <v>0</v>
      </c>
      <c r="AT178" s="81">
        <v>0</v>
      </c>
      <c r="AU178" s="81"/>
      <c r="AV178" s="81"/>
      <c r="AW178" s="81"/>
      <c r="AX178" s="81"/>
      <c r="AY178" s="81"/>
      <c r="AZ178" s="81"/>
      <c r="BA178" s="81"/>
      <c r="BB178" s="81"/>
    </row>
    <row r="179" spans="1:54" x14ac:dyDescent="0.35">
      <c r="A179" s="66" t="s">
        <v>360</v>
      </c>
      <c r="B179" s="66" t="s">
        <v>335</v>
      </c>
      <c r="C179" s="67"/>
      <c r="D179" s="68"/>
      <c r="E179" s="69"/>
      <c r="F179" s="70"/>
      <c r="G179" s="67"/>
      <c r="H179" s="71"/>
      <c r="I179" s="72"/>
      <c r="J179" s="72"/>
      <c r="K179" s="36"/>
      <c r="L179" s="79"/>
      <c r="M179" s="79"/>
      <c r="N179" s="74"/>
      <c r="O179" s="81" t="s">
        <v>1532</v>
      </c>
      <c r="P179" s="83">
        <v>44459.240810185183</v>
      </c>
      <c r="Q179" s="81" t="s">
        <v>1586</v>
      </c>
      <c r="R179" s="81"/>
      <c r="S179" s="81"/>
      <c r="T179" s="81"/>
      <c r="U179" s="84" t="str">
        <f>HYPERLINK("https://pbs.twimg.com/ext_tw_video_thumb/1439603623520993285/pu/img/4NCBVhjvbYSKxAvX.jpg")</f>
        <v>https://pbs.twimg.com/ext_tw_video_thumb/1439603623520993285/pu/img/4NCBVhjvbYSKxAvX.jpg</v>
      </c>
      <c r="V179" s="84" t="str">
        <f>HYPERLINK("https://pbs.twimg.com/ext_tw_video_thumb/1439603623520993285/pu/img/4NCBVhjvbYSKxAvX.jpg")</f>
        <v>https://pbs.twimg.com/ext_tw_video_thumb/1439603623520993285/pu/img/4NCBVhjvbYSKxAvX.jpg</v>
      </c>
      <c r="W179" s="83">
        <v>44459.240810185183</v>
      </c>
      <c r="X179" s="89">
        <v>44459</v>
      </c>
      <c r="Y179" s="86" t="s">
        <v>2908</v>
      </c>
      <c r="Z179" s="84" t="str">
        <f>HYPERLINK("https://twitter.com/ameliaamin_/status/1439828359383453703")</f>
        <v>https://twitter.com/ameliaamin_/status/1439828359383453703</v>
      </c>
      <c r="AA179" s="81"/>
      <c r="AB179" s="81"/>
      <c r="AC179" s="86" t="s">
        <v>4368</v>
      </c>
      <c r="AD179" s="81"/>
      <c r="AE179" s="81" t="b">
        <v>0</v>
      </c>
      <c r="AF179" s="81">
        <v>0</v>
      </c>
      <c r="AG179" s="86" t="s">
        <v>6240</v>
      </c>
      <c r="AH179" s="81" t="b">
        <v>0</v>
      </c>
      <c r="AI179" s="81" t="s">
        <v>6478</v>
      </c>
      <c r="AJ179" s="81"/>
      <c r="AK179" s="86" t="s">
        <v>6240</v>
      </c>
      <c r="AL179" s="81" t="b">
        <v>0</v>
      </c>
      <c r="AM179" s="81">
        <v>102</v>
      </c>
      <c r="AN179" s="86" t="s">
        <v>4519</v>
      </c>
      <c r="AO179" s="86" t="s">
        <v>6503</v>
      </c>
      <c r="AP179" s="81" t="b">
        <v>0</v>
      </c>
      <c r="AQ179" s="86" t="s">
        <v>4519</v>
      </c>
      <c r="AR179" s="81" t="s">
        <v>179</v>
      </c>
      <c r="AS179" s="81">
        <v>0</v>
      </c>
      <c r="AT179" s="81">
        <v>0</v>
      </c>
      <c r="AU179" s="81"/>
      <c r="AV179" s="81"/>
      <c r="AW179" s="81"/>
      <c r="AX179" s="81"/>
      <c r="AY179" s="81"/>
      <c r="AZ179" s="81"/>
      <c r="BA179" s="81"/>
      <c r="BB179" s="81"/>
    </row>
    <row r="180" spans="1:54" x14ac:dyDescent="0.35">
      <c r="A180" s="66" t="s">
        <v>361</v>
      </c>
      <c r="B180" s="66" t="s">
        <v>361</v>
      </c>
      <c r="C180" s="67"/>
      <c r="D180" s="68"/>
      <c r="E180" s="69"/>
      <c r="F180" s="70"/>
      <c r="G180" s="67"/>
      <c r="H180" s="71"/>
      <c r="I180" s="72"/>
      <c r="J180" s="72"/>
      <c r="K180" s="36"/>
      <c r="L180" s="79"/>
      <c r="M180" s="79"/>
      <c r="N180" s="74"/>
      <c r="O180" s="81" t="s">
        <v>179</v>
      </c>
      <c r="P180" s="83">
        <v>44459.240312499998</v>
      </c>
      <c r="Q180" s="81" t="s">
        <v>1615</v>
      </c>
      <c r="R180" s="81"/>
      <c r="S180" s="81"/>
      <c r="T180" s="81"/>
      <c r="U180" s="81"/>
      <c r="V180" s="84" t="str">
        <f>HYPERLINK("https://pbs.twimg.com/profile_images/1383258537527107593/bx_NnSCZ_normal.jpg")</f>
        <v>https://pbs.twimg.com/profile_images/1383258537527107593/bx_NnSCZ_normal.jpg</v>
      </c>
      <c r="W180" s="83">
        <v>44459.240312499998</v>
      </c>
      <c r="X180" s="89">
        <v>44459</v>
      </c>
      <c r="Y180" s="86" t="s">
        <v>2909</v>
      </c>
      <c r="Z180" s="84" t="str">
        <f>HYPERLINK("https://twitter.com/dianamadlani/status/1439828179779133444")</f>
        <v>https://twitter.com/dianamadlani/status/1439828179779133444</v>
      </c>
      <c r="AA180" s="81"/>
      <c r="AB180" s="81"/>
      <c r="AC180" s="86" t="s">
        <v>4369</v>
      </c>
      <c r="AD180" s="81"/>
      <c r="AE180" s="81" t="b">
        <v>0</v>
      </c>
      <c r="AF180" s="81">
        <v>0</v>
      </c>
      <c r="AG180" s="86" t="s">
        <v>6240</v>
      </c>
      <c r="AH180" s="81" t="b">
        <v>0</v>
      </c>
      <c r="AI180" s="81" t="s">
        <v>6478</v>
      </c>
      <c r="AJ180" s="81"/>
      <c r="AK180" s="86" t="s">
        <v>6240</v>
      </c>
      <c r="AL180" s="81" t="b">
        <v>0</v>
      </c>
      <c r="AM180" s="81">
        <v>0</v>
      </c>
      <c r="AN180" s="86" t="s">
        <v>6240</v>
      </c>
      <c r="AO180" s="86" t="s">
        <v>6507</v>
      </c>
      <c r="AP180" s="81" t="b">
        <v>0</v>
      </c>
      <c r="AQ180" s="86" t="s">
        <v>4369</v>
      </c>
      <c r="AR180" s="81" t="s">
        <v>179</v>
      </c>
      <c r="AS180" s="81">
        <v>0</v>
      </c>
      <c r="AT180" s="81">
        <v>0</v>
      </c>
      <c r="AU180" s="81"/>
      <c r="AV180" s="81"/>
      <c r="AW180" s="81"/>
      <c r="AX180" s="81"/>
      <c r="AY180" s="81"/>
      <c r="AZ180" s="81"/>
      <c r="BA180" s="81"/>
      <c r="BB180" s="81"/>
    </row>
    <row r="181" spans="1:54" x14ac:dyDescent="0.35">
      <c r="A181" s="66" t="s">
        <v>361</v>
      </c>
      <c r="B181" s="66" t="s">
        <v>361</v>
      </c>
      <c r="C181" s="67"/>
      <c r="D181" s="68"/>
      <c r="E181" s="69"/>
      <c r="F181" s="70"/>
      <c r="G181" s="67"/>
      <c r="H181" s="71"/>
      <c r="I181" s="72"/>
      <c r="J181" s="72"/>
      <c r="K181" s="36"/>
      <c r="L181" s="79"/>
      <c r="M181" s="79"/>
      <c r="N181" s="74"/>
      <c r="O181" s="81" t="s">
        <v>179</v>
      </c>
      <c r="P181" s="83">
        <v>44459.242395833331</v>
      </c>
      <c r="Q181" s="81" t="s">
        <v>1616</v>
      </c>
      <c r="R181" s="81"/>
      <c r="S181" s="81"/>
      <c r="T181" s="81"/>
      <c r="U181" s="81"/>
      <c r="V181" s="84" t="str">
        <f>HYPERLINK("https://pbs.twimg.com/profile_images/1383258537527107593/bx_NnSCZ_normal.jpg")</f>
        <v>https://pbs.twimg.com/profile_images/1383258537527107593/bx_NnSCZ_normal.jpg</v>
      </c>
      <c r="W181" s="83">
        <v>44459.242395833331</v>
      </c>
      <c r="X181" s="89">
        <v>44459</v>
      </c>
      <c r="Y181" s="86" t="s">
        <v>2910</v>
      </c>
      <c r="Z181" s="84" t="str">
        <f>HYPERLINK("https://twitter.com/dianamadlani/status/1439828934690938883")</f>
        <v>https://twitter.com/dianamadlani/status/1439828934690938883</v>
      </c>
      <c r="AA181" s="81"/>
      <c r="AB181" s="81"/>
      <c r="AC181" s="86" t="s">
        <v>4370</v>
      </c>
      <c r="AD181" s="81"/>
      <c r="AE181" s="81" t="b">
        <v>0</v>
      </c>
      <c r="AF181" s="81">
        <v>0</v>
      </c>
      <c r="AG181" s="86" t="s">
        <v>6240</v>
      </c>
      <c r="AH181" s="81" t="b">
        <v>0</v>
      </c>
      <c r="AI181" s="81" t="s">
        <v>6478</v>
      </c>
      <c r="AJ181" s="81"/>
      <c r="AK181" s="86" t="s">
        <v>6240</v>
      </c>
      <c r="AL181" s="81" t="b">
        <v>0</v>
      </c>
      <c r="AM181" s="81">
        <v>0</v>
      </c>
      <c r="AN181" s="86" t="s">
        <v>6240</v>
      </c>
      <c r="AO181" s="86" t="s">
        <v>6507</v>
      </c>
      <c r="AP181" s="81" t="b">
        <v>0</v>
      </c>
      <c r="AQ181" s="86" t="s">
        <v>4370</v>
      </c>
      <c r="AR181" s="81" t="s">
        <v>179</v>
      </c>
      <c r="AS181" s="81">
        <v>0</v>
      </c>
      <c r="AT181" s="81">
        <v>0</v>
      </c>
      <c r="AU181" s="81"/>
      <c r="AV181" s="81"/>
      <c r="AW181" s="81"/>
      <c r="AX181" s="81"/>
      <c r="AY181" s="81"/>
      <c r="AZ181" s="81"/>
      <c r="BA181" s="81"/>
      <c r="BB181" s="81"/>
    </row>
    <row r="182" spans="1:54" x14ac:dyDescent="0.35">
      <c r="A182" s="66" t="s">
        <v>362</v>
      </c>
      <c r="B182" s="66" t="s">
        <v>335</v>
      </c>
      <c r="C182" s="67"/>
      <c r="D182" s="68"/>
      <c r="E182" s="69"/>
      <c r="F182" s="70"/>
      <c r="G182" s="67"/>
      <c r="H182" s="71"/>
      <c r="I182" s="72"/>
      <c r="J182" s="72"/>
      <c r="K182" s="36"/>
      <c r="L182" s="79"/>
      <c r="M182" s="79"/>
      <c r="N182" s="74"/>
      <c r="O182" s="81" t="s">
        <v>1532</v>
      </c>
      <c r="P182" s="83">
        <v>44459.255659722221</v>
      </c>
      <c r="Q182" s="81" t="s">
        <v>1586</v>
      </c>
      <c r="R182" s="81"/>
      <c r="S182" s="81"/>
      <c r="T182" s="81"/>
      <c r="U182" s="84" t="str">
        <f>HYPERLINK("https://pbs.twimg.com/ext_tw_video_thumb/1439603623520993285/pu/img/4NCBVhjvbYSKxAvX.jpg")</f>
        <v>https://pbs.twimg.com/ext_tw_video_thumb/1439603623520993285/pu/img/4NCBVhjvbYSKxAvX.jpg</v>
      </c>
      <c r="V182" s="84" t="str">
        <f>HYPERLINK("https://pbs.twimg.com/ext_tw_video_thumb/1439603623520993285/pu/img/4NCBVhjvbYSKxAvX.jpg")</f>
        <v>https://pbs.twimg.com/ext_tw_video_thumb/1439603623520993285/pu/img/4NCBVhjvbYSKxAvX.jpg</v>
      </c>
      <c r="W182" s="83">
        <v>44459.255659722221</v>
      </c>
      <c r="X182" s="89">
        <v>44459</v>
      </c>
      <c r="Y182" s="86" t="s">
        <v>2911</v>
      </c>
      <c r="Z182" s="84" t="str">
        <f>HYPERLINK("https://twitter.com/mrfiqa/status/1439833739882745859")</f>
        <v>https://twitter.com/mrfiqa/status/1439833739882745859</v>
      </c>
      <c r="AA182" s="81"/>
      <c r="AB182" s="81"/>
      <c r="AC182" s="86" t="s">
        <v>4371</v>
      </c>
      <c r="AD182" s="81"/>
      <c r="AE182" s="81" t="b">
        <v>0</v>
      </c>
      <c r="AF182" s="81">
        <v>0</v>
      </c>
      <c r="AG182" s="86" t="s">
        <v>6240</v>
      </c>
      <c r="AH182" s="81" t="b">
        <v>0</v>
      </c>
      <c r="AI182" s="81" t="s">
        <v>6478</v>
      </c>
      <c r="AJ182" s="81"/>
      <c r="AK182" s="86" t="s">
        <v>6240</v>
      </c>
      <c r="AL182" s="81" t="b">
        <v>0</v>
      </c>
      <c r="AM182" s="81">
        <v>102</v>
      </c>
      <c r="AN182" s="86" t="s">
        <v>4519</v>
      </c>
      <c r="AO182" s="86" t="s">
        <v>6505</v>
      </c>
      <c r="AP182" s="81" t="b">
        <v>0</v>
      </c>
      <c r="AQ182" s="86" t="s">
        <v>4519</v>
      </c>
      <c r="AR182" s="81" t="s">
        <v>179</v>
      </c>
      <c r="AS182" s="81">
        <v>0</v>
      </c>
      <c r="AT182" s="81">
        <v>0</v>
      </c>
      <c r="AU182" s="81"/>
      <c r="AV182" s="81"/>
      <c r="AW182" s="81"/>
      <c r="AX182" s="81"/>
      <c r="AY182" s="81"/>
      <c r="AZ182" s="81"/>
      <c r="BA182" s="81"/>
      <c r="BB182" s="81"/>
    </row>
    <row r="183" spans="1:54" x14ac:dyDescent="0.35">
      <c r="A183" s="66" t="s">
        <v>363</v>
      </c>
      <c r="B183" s="66" t="s">
        <v>335</v>
      </c>
      <c r="C183" s="67"/>
      <c r="D183" s="68"/>
      <c r="E183" s="69"/>
      <c r="F183" s="70"/>
      <c r="G183" s="67"/>
      <c r="H183" s="71"/>
      <c r="I183" s="72"/>
      <c r="J183" s="72"/>
      <c r="K183" s="36"/>
      <c r="L183" s="79"/>
      <c r="M183" s="79"/>
      <c r="N183" s="74"/>
      <c r="O183" s="81" t="s">
        <v>1532</v>
      </c>
      <c r="P183" s="83">
        <v>44459.272048611114</v>
      </c>
      <c r="Q183" s="81" t="s">
        <v>1586</v>
      </c>
      <c r="R183" s="81"/>
      <c r="S183" s="81"/>
      <c r="T183" s="81"/>
      <c r="U183" s="84" t="str">
        <f>HYPERLINK("https://pbs.twimg.com/ext_tw_video_thumb/1439603623520993285/pu/img/4NCBVhjvbYSKxAvX.jpg")</f>
        <v>https://pbs.twimg.com/ext_tw_video_thumb/1439603623520993285/pu/img/4NCBVhjvbYSKxAvX.jpg</v>
      </c>
      <c r="V183" s="84" t="str">
        <f>HYPERLINK("https://pbs.twimg.com/ext_tw_video_thumb/1439603623520993285/pu/img/4NCBVhjvbYSKxAvX.jpg")</f>
        <v>https://pbs.twimg.com/ext_tw_video_thumb/1439603623520993285/pu/img/4NCBVhjvbYSKxAvX.jpg</v>
      </c>
      <c r="W183" s="83">
        <v>44459.272048611114</v>
      </c>
      <c r="X183" s="89">
        <v>44459</v>
      </c>
      <c r="Y183" s="86" t="s">
        <v>2912</v>
      </c>
      <c r="Z183" s="84" t="str">
        <f>HYPERLINK("https://twitter.com/sanahfdzel/status/1439839680443273220")</f>
        <v>https://twitter.com/sanahfdzel/status/1439839680443273220</v>
      </c>
      <c r="AA183" s="81"/>
      <c r="AB183" s="81"/>
      <c r="AC183" s="86" t="s">
        <v>4372</v>
      </c>
      <c r="AD183" s="81"/>
      <c r="AE183" s="81" t="b">
        <v>0</v>
      </c>
      <c r="AF183" s="81">
        <v>0</v>
      </c>
      <c r="AG183" s="86" t="s">
        <v>6240</v>
      </c>
      <c r="AH183" s="81" t="b">
        <v>0</v>
      </c>
      <c r="AI183" s="81" t="s">
        <v>6478</v>
      </c>
      <c r="AJ183" s="81"/>
      <c r="AK183" s="86" t="s">
        <v>6240</v>
      </c>
      <c r="AL183" s="81" t="b">
        <v>0</v>
      </c>
      <c r="AM183" s="81">
        <v>102</v>
      </c>
      <c r="AN183" s="86" t="s">
        <v>4519</v>
      </c>
      <c r="AO183" s="86" t="s">
        <v>6503</v>
      </c>
      <c r="AP183" s="81" t="b">
        <v>0</v>
      </c>
      <c r="AQ183" s="86" t="s">
        <v>4519</v>
      </c>
      <c r="AR183" s="81" t="s">
        <v>179</v>
      </c>
      <c r="AS183" s="81">
        <v>0</v>
      </c>
      <c r="AT183" s="81">
        <v>0</v>
      </c>
      <c r="AU183" s="81"/>
      <c r="AV183" s="81"/>
      <c r="AW183" s="81"/>
      <c r="AX183" s="81"/>
      <c r="AY183" s="81"/>
      <c r="AZ183" s="81"/>
      <c r="BA183" s="81"/>
      <c r="BB183" s="81"/>
    </row>
    <row r="184" spans="1:54" x14ac:dyDescent="0.35">
      <c r="A184" s="66" t="s">
        <v>364</v>
      </c>
      <c r="B184" s="66" t="s">
        <v>364</v>
      </c>
      <c r="C184" s="67"/>
      <c r="D184" s="68"/>
      <c r="E184" s="69"/>
      <c r="F184" s="70"/>
      <c r="G184" s="67"/>
      <c r="H184" s="71"/>
      <c r="I184" s="72"/>
      <c r="J184" s="72"/>
      <c r="K184" s="36"/>
      <c r="L184" s="79"/>
      <c r="M184" s="79"/>
      <c r="N184" s="74"/>
      <c r="O184" s="81" t="s">
        <v>179</v>
      </c>
      <c r="P184" s="83">
        <v>44459.285474537035</v>
      </c>
      <c r="Q184" s="81" t="s">
        <v>1617</v>
      </c>
      <c r="R184" s="84" t="str">
        <f>HYPERLINK("https://medan.tribunnews.com/2021/09/20/pos-indonesia-buka-lowongan-kerja-untuk-lulusan-sma-buruan-daftar")</f>
        <v>https://medan.tribunnews.com/2021/09/20/pos-indonesia-buka-lowongan-kerja-untuk-lulusan-sma-buruan-daftar</v>
      </c>
      <c r="S184" s="81" t="s">
        <v>2590</v>
      </c>
      <c r="T184" s="81"/>
      <c r="U184" s="81"/>
      <c r="V184" s="84" t="str">
        <f>HYPERLINK("https://pbs.twimg.com/profile_images/1126074856057888774/MS5WNlYd_normal.png")</f>
        <v>https://pbs.twimg.com/profile_images/1126074856057888774/MS5WNlYd_normal.png</v>
      </c>
      <c r="W184" s="83">
        <v>44459.285474537035</v>
      </c>
      <c r="X184" s="89">
        <v>44459</v>
      </c>
      <c r="Y184" s="86" t="s">
        <v>2913</v>
      </c>
      <c r="Z184" s="84" t="str">
        <f>HYPERLINK("https://twitter.com/tribunmedan/status/1439844548096577543")</f>
        <v>https://twitter.com/tribunmedan/status/1439844548096577543</v>
      </c>
      <c r="AA184" s="81"/>
      <c r="AB184" s="81"/>
      <c r="AC184" s="86" t="s">
        <v>4373</v>
      </c>
      <c r="AD184" s="81"/>
      <c r="AE184" s="81" t="b">
        <v>0</v>
      </c>
      <c r="AF184" s="81">
        <v>2</v>
      </c>
      <c r="AG184" s="86" t="s">
        <v>6240</v>
      </c>
      <c r="AH184" s="81" t="b">
        <v>0</v>
      </c>
      <c r="AI184" s="81" t="s">
        <v>6478</v>
      </c>
      <c r="AJ184" s="81"/>
      <c r="AK184" s="86" t="s">
        <v>6240</v>
      </c>
      <c r="AL184" s="81" t="b">
        <v>0</v>
      </c>
      <c r="AM184" s="81">
        <v>0</v>
      </c>
      <c r="AN184" s="86" t="s">
        <v>6240</v>
      </c>
      <c r="AO184" s="86" t="s">
        <v>6507</v>
      </c>
      <c r="AP184" s="81" t="b">
        <v>0</v>
      </c>
      <c r="AQ184" s="86" t="s">
        <v>4373</v>
      </c>
      <c r="AR184" s="81" t="s">
        <v>179</v>
      </c>
      <c r="AS184" s="81">
        <v>0</v>
      </c>
      <c r="AT184" s="81">
        <v>0</v>
      </c>
      <c r="AU184" s="81"/>
      <c r="AV184" s="81"/>
      <c r="AW184" s="81"/>
      <c r="AX184" s="81"/>
      <c r="AY184" s="81"/>
      <c r="AZ184" s="81"/>
      <c r="BA184" s="81"/>
      <c r="BB184" s="81"/>
    </row>
    <row r="185" spans="1:54" x14ac:dyDescent="0.35">
      <c r="A185" s="66" t="s">
        <v>365</v>
      </c>
      <c r="B185" s="66" t="s">
        <v>365</v>
      </c>
      <c r="C185" s="67"/>
      <c r="D185" s="68"/>
      <c r="E185" s="69"/>
      <c r="F185" s="70"/>
      <c r="G185" s="67"/>
      <c r="H185" s="71"/>
      <c r="I185" s="72"/>
      <c r="J185" s="72"/>
      <c r="K185" s="36"/>
      <c r="L185" s="79"/>
      <c r="M185" s="79"/>
      <c r="N185" s="74"/>
      <c r="O185" s="81" t="s">
        <v>179</v>
      </c>
      <c r="P185" s="83">
        <v>44417.741238425922</v>
      </c>
      <c r="Q185" s="81" t="s">
        <v>1618</v>
      </c>
      <c r="R185" s="81"/>
      <c r="S185" s="81"/>
      <c r="T185" s="81"/>
      <c r="U185" s="81"/>
      <c r="V185" s="84" t="str">
        <f>HYPERLINK("https://pbs.twimg.com/profile_images/1441265800128520196/SeQq2gtA_normal.jpg")</f>
        <v>https://pbs.twimg.com/profile_images/1441265800128520196/SeQq2gtA_normal.jpg</v>
      </c>
      <c r="W185" s="83">
        <v>44417.741238425922</v>
      </c>
      <c r="X185" s="89">
        <v>44417</v>
      </c>
      <c r="Y185" s="86" t="s">
        <v>2914</v>
      </c>
      <c r="Z185" s="84" t="str">
        <f>HYPERLINK("https://twitter.com/geageez/status/1424789420054499342")</f>
        <v>https://twitter.com/geageez/status/1424789420054499342</v>
      </c>
      <c r="AA185" s="81"/>
      <c r="AB185" s="81"/>
      <c r="AC185" s="86" t="s">
        <v>4374</v>
      </c>
      <c r="AD185" s="81"/>
      <c r="AE185" s="81" t="b">
        <v>0</v>
      </c>
      <c r="AF185" s="81">
        <v>5</v>
      </c>
      <c r="AG185" s="86" t="s">
        <v>6240</v>
      </c>
      <c r="AH185" s="81" t="b">
        <v>0</v>
      </c>
      <c r="AI185" s="81" t="s">
        <v>6478</v>
      </c>
      <c r="AJ185" s="81"/>
      <c r="AK185" s="86" t="s">
        <v>6240</v>
      </c>
      <c r="AL185" s="81" t="b">
        <v>0</v>
      </c>
      <c r="AM185" s="81">
        <v>3</v>
      </c>
      <c r="AN185" s="86" t="s">
        <v>6240</v>
      </c>
      <c r="AO185" s="86" t="s">
        <v>6503</v>
      </c>
      <c r="AP185" s="81" t="b">
        <v>0</v>
      </c>
      <c r="AQ185" s="86" t="s">
        <v>4374</v>
      </c>
      <c r="AR185" s="81" t="s">
        <v>1532</v>
      </c>
      <c r="AS185" s="81">
        <v>0</v>
      </c>
      <c r="AT185" s="81">
        <v>0</v>
      </c>
      <c r="AU185" s="81"/>
      <c r="AV185" s="81"/>
      <c r="AW185" s="81"/>
      <c r="AX185" s="81"/>
      <c r="AY185" s="81"/>
      <c r="AZ185" s="81"/>
      <c r="BA185" s="81"/>
      <c r="BB185" s="81"/>
    </row>
    <row r="186" spans="1:54" x14ac:dyDescent="0.35">
      <c r="A186" s="66" t="s">
        <v>365</v>
      </c>
      <c r="B186" s="66" t="s">
        <v>365</v>
      </c>
      <c r="C186" s="67"/>
      <c r="D186" s="68"/>
      <c r="E186" s="69"/>
      <c r="F186" s="70"/>
      <c r="G186" s="67"/>
      <c r="H186" s="71"/>
      <c r="I186" s="72"/>
      <c r="J186" s="72"/>
      <c r="K186" s="36"/>
      <c r="L186" s="79"/>
      <c r="M186" s="79"/>
      <c r="N186" s="74"/>
      <c r="O186" s="81" t="s">
        <v>1532</v>
      </c>
      <c r="P186" s="83">
        <v>44459.298460648148</v>
      </c>
      <c r="Q186" s="81" t="s">
        <v>1618</v>
      </c>
      <c r="R186" s="81"/>
      <c r="S186" s="81"/>
      <c r="T186" s="81"/>
      <c r="U186" s="81"/>
      <c r="V186" s="84" t="str">
        <f>HYPERLINK("https://pbs.twimg.com/profile_images/1441265800128520196/SeQq2gtA_normal.jpg")</f>
        <v>https://pbs.twimg.com/profile_images/1441265800128520196/SeQq2gtA_normal.jpg</v>
      </c>
      <c r="W186" s="83">
        <v>44459.298460648148</v>
      </c>
      <c r="X186" s="89">
        <v>44459</v>
      </c>
      <c r="Y186" s="86" t="s">
        <v>2915</v>
      </c>
      <c r="Z186" s="84" t="str">
        <f>HYPERLINK("https://twitter.com/geageez/status/1439849251698352129")</f>
        <v>https://twitter.com/geageez/status/1439849251698352129</v>
      </c>
      <c r="AA186" s="81"/>
      <c r="AB186" s="81"/>
      <c r="AC186" s="86" t="s">
        <v>4375</v>
      </c>
      <c r="AD186" s="81"/>
      <c r="AE186" s="81" t="b">
        <v>0</v>
      </c>
      <c r="AF186" s="81">
        <v>0</v>
      </c>
      <c r="AG186" s="86" t="s">
        <v>6240</v>
      </c>
      <c r="AH186" s="81" t="b">
        <v>0</v>
      </c>
      <c r="AI186" s="81" t="s">
        <v>6478</v>
      </c>
      <c r="AJ186" s="81"/>
      <c r="AK186" s="86" t="s">
        <v>6240</v>
      </c>
      <c r="AL186" s="81" t="b">
        <v>0</v>
      </c>
      <c r="AM186" s="81">
        <v>3</v>
      </c>
      <c r="AN186" s="86" t="s">
        <v>4374</v>
      </c>
      <c r="AO186" s="86" t="s">
        <v>6507</v>
      </c>
      <c r="AP186" s="81" t="b">
        <v>0</v>
      </c>
      <c r="AQ186" s="86" t="s">
        <v>4374</v>
      </c>
      <c r="AR186" s="81" t="s">
        <v>179</v>
      </c>
      <c r="AS186" s="81">
        <v>0</v>
      </c>
      <c r="AT186" s="81">
        <v>0</v>
      </c>
      <c r="AU186" s="81"/>
      <c r="AV186" s="81"/>
      <c r="AW186" s="81"/>
      <c r="AX186" s="81"/>
      <c r="AY186" s="81"/>
      <c r="AZ186" s="81"/>
      <c r="BA186" s="81"/>
      <c r="BB186" s="81"/>
    </row>
    <row r="187" spans="1:54" x14ac:dyDescent="0.35">
      <c r="A187" s="66" t="s">
        <v>366</v>
      </c>
      <c r="B187" s="66" t="s">
        <v>366</v>
      </c>
      <c r="C187" s="67"/>
      <c r="D187" s="68"/>
      <c r="E187" s="69"/>
      <c r="F187" s="70"/>
      <c r="G187" s="67"/>
      <c r="H187" s="71"/>
      <c r="I187" s="72"/>
      <c r="J187" s="72"/>
      <c r="K187" s="36"/>
      <c r="L187" s="79"/>
      <c r="M187" s="79"/>
      <c r="N187" s="74"/>
      <c r="O187" s="81" t="s">
        <v>179</v>
      </c>
      <c r="P187" s="83">
        <v>44459.302210648151</v>
      </c>
      <c r="Q187" s="81" t="s">
        <v>1619</v>
      </c>
      <c r="R187" s="81"/>
      <c r="S187" s="81"/>
      <c r="T187" s="81"/>
      <c r="U187" s="81"/>
      <c r="V187" s="84" t="str">
        <f>HYPERLINK("https://pbs.twimg.com/profile_images/1434756800134352906/Lm7J-AIk_normal.jpg")</f>
        <v>https://pbs.twimg.com/profile_images/1434756800134352906/Lm7J-AIk_normal.jpg</v>
      </c>
      <c r="W187" s="83">
        <v>44459.302210648151</v>
      </c>
      <c r="X187" s="89">
        <v>44459</v>
      </c>
      <c r="Y187" s="86" t="s">
        <v>2916</v>
      </c>
      <c r="Z187" s="84" t="str">
        <f>HYPERLINK("https://twitter.com/renhyuckarts/status/1439850609453133831")</f>
        <v>https://twitter.com/renhyuckarts/status/1439850609453133831</v>
      </c>
      <c r="AA187" s="81"/>
      <c r="AB187" s="81"/>
      <c r="AC187" s="86" t="s">
        <v>4376</v>
      </c>
      <c r="AD187" s="81"/>
      <c r="AE187" s="81" t="b">
        <v>0</v>
      </c>
      <c r="AF187" s="81">
        <v>0</v>
      </c>
      <c r="AG187" s="86" t="s">
        <v>6240</v>
      </c>
      <c r="AH187" s="81" t="b">
        <v>0</v>
      </c>
      <c r="AI187" s="81" t="s">
        <v>6478</v>
      </c>
      <c r="AJ187" s="81"/>
      <c r="AK187" s="86" t="s">
        <v>6240</v>
      </c>
      <c r="AL187" s="81" t="b">
        <v>0</v>
      </c>
      <c r="AM187" s="81">
        <v>0</v>
      </c>
      <c r="AN187" s="86" t="s">
        <v>6240</v>
      </c>
      <c r="AO187" s="86" t="s">
        <v>6503</v>
      </c>
      <c r="AP187" s="81" t="b">
        <v>0</v>
      </c>
      <c r="AQ187" s="86" t="s">
        <v>4376</v>
      </c>
      <c r="AR187" s="81" t="s">
        <v>179</v>
      </c>
      <c r="AS187" s="81">
        <v>0</v>
      </c>
      <c r="AT187" s="81">
        <v>0</v>
      </c>
      <c r="AU187" s="81"/>
      <c r="AV187" s="81"/>
      <c r="AW187" s="81"/>
      <c r="AX187" s="81"/>
      <c r="AY187" s="81"/>
      <c r="AZ187" s="81"/>
      <c r="BA187" s="81"/>
      <c r="BB187" s="81"/>
    </row>
    <row r="188" spans="1:54" x14ac:dyDescent="0.35">
      <c r="A188" s="66" t="s">
        <v>367</v>
      </c>
      <c r="B188" s="66" t="s">
        <v>335</v>
      </c>
      <c r="C188" s="67"/>
      <c r="D188" s="68"/>
      <c r="E188" s="69"/>
      <c r="F188" s="70"/>
      <c r="G188" s="67"/>
      <c r="H188" s="71"/>
      <c r="I188" s="72"/>
      <c r="J188" s="72"/>
      <c r="K188" s="36"/>
      <c r="L188" s="79"/>
      <c r="M188" s="79"/>
      <c r="N188" s="74"/>
      <c r="O188" s="81" t="s">
        <v>1532</v>
      </c>
      <c r="P188" s="83">
        <v>44459.302719907406</v>
      </c>
      <c r="Q188" s="81" t="s">
        <v>1586</v>
      </c>
      <c r="R188" s="81"/>
      <c r="S188" s="81"/>
      <c r="T188" s="81"/>
      <c r="U188" s="84" t="str">
        <f>HYPERLINK("https://pbs.twimg.com/ext_tw_video_thumb/1439603623520993285/pu/img/4NCBVhjvbYSKxAvX.jpg")</f>
        <v>https://pbs.twimg.com/ext_tw_video_thumb/1439603623520993285/pu/img/4NCBVhjvbYSKxAvX.jpg</v>
      </c>
      <c r="V188" s="84" t="str">
        <f>HYPERLINK("https://pbs.twimg.com/ext_tw_video_thumb/1439603623520993285/pu/img/4NCBVhjvbYSKxAvX.jpg")</f>
        <v>https://pbs.twimg.com/ext_tw_video_thumb/1439603623520993285/pu/img/4NCBVhjvbYSKxAvX.jpg</v>
      </c>
      <c r="W188" s="83">
        <v>44459.302719907406</v>
      </c>
      <c r="X188" s="89">
        <v>44459</v>
      </c>
      <c r="Y188" s="86" t="s">
        <v>2917</v>
      </c>
      <c r="Z188" s="84" t="str">
        <f>HYPERLINK("https://twitter.com/emyra97/status/1439850796628074498")</f>
        <v>https://twitter.com/emyra97/status/1439850796628074498</v>
      </c>
      <c r="AA188" s="81"/>
      <c r="AB188" s="81"/>
      <c r="AC188" s="86" t="s">
        <v>4377</v>
      </c>
      <c r="AD188" s="81"/>
      <c r="AE188" s="81" t="b">
        <v>0</v>
      </c>
      <c r="AF188" s="81">
        <v>0</v>
      </c>
      <c r="AG188" s="86" t="s">
        <v>6240</v>
      </c>
      <c r="AH188" s="81" t="b">
        <v>0</v>
      </c>
      <c r="AI188" s="81" t="s">
        <v>6478</v>
      </c>
      <c r="AJ188" s="81"/>
      <c r="AK188" s="86" t="s">
        <v>6240</v>
      </c>
      <c r="AL188" s="81" t="b">
        <v>0</v>
      </c>
      <c r="AM188" s="81">
        <v>102</v>
      </c>
      <c r="AN188" s="86" t="s">
        <v>4519</v>
      </c>
      <c r="AO188" s="86" t="s">
        <v>6505</v>
      </c>
      <c r="AP188" s="81" t="b">
        <v>0</v>
      </c>
      <c r="AQ188" s="86" t="s">
        <v>4519</v>
      </c>
      <c r="AR188" s="81" t="s">
        <v>179</v>
      </c>
      <c r="AS188" s="81">
        <v>0</v>
      </c>
      <c r="AT188" s="81">
        <v>0</v>
      </c>
      <c r="AU188" s="81"/>
      <c r="AV188" s="81"/>
      <c r="AW188" s="81"/>
      <c r="AX188" s="81"/>
      <c r="AY188" s="81"/>
      <c r="AZ188" s="81"/>
      <c r="BA188" s="81"/>
      <c r="BB188" s="81"/>
    </row>
    <row r="189" spans="1:54" x14ac:dyDescent="0.35">
      <c r="A189" s="66" t="s">
        <v>368</v>
      </c>
      <c r="B189" s="66" t="s">
        <v>335</v>
      </c>
      <c r="C189" s="67"/>
      <c r="D189" s="68"/>
      <c r="E189" s="69"/>
      <c r="F189" s="70"/>
      <c r="G189" s="67"/>
      <c r="H189" s="71"/>
      <c r="I189" s="72"/>
      <c r="J189" s="72"/>
      <c r="K189" s="36"/>
      <c r="L189" s="79"/>
      <c r="M189" s="79"/>
      <c r="N189" s="74"/>
      <c r="O189" s="81" t="s">
        <v>1532</v>
      </c>
      <c r="P189" s="83">
        <v>44459.302824074075</v>
      </c>
      <c r="Q189" s="81" t="s">
        <v>1586</v>
      </c>
      <c r="R189" s="81"/>
      <c r="S189" s="81"/>
      <c r="T189" s="81"/>
      <c r="U189" s="84" t="str">
        <f>HYPERLINK("https://pbs.twimg.com/ext_tw_video_thumb/1439603623520993285/pu/img/4NCBVhjvbYSKxAvX.jpg")</f>
        <v>https://pbs.twimg.com/ext_tw_video_thumb/1439603623520993285/pu/img/4NCBVhjvbYSKxAvX.jpg</v>
      </c>
      <c r="V189" s="84" t="str">
        <f>HYPERLINK("https://pbs.twimg.com/ext_tw_video_thumb/1439603623520993285/pu/img/4NCBVhjvbYSKxAvX.jpg")</f>
        <v>https://pbs.twimg.com/ext_tw_video_thumb/1439603623520993285/pu/img/4NCBVhjvbYSKxAvX.jpg</v>
      </c>
      <c r="W189" s="83">
        <v>44459.302824074075</v>
      </c>
      <c r="X189" s="89">
        <v>44459</v>
      </c>
      <c r="Y189" s="86" t="s">
        <v>2918</v>
      </c>
      <c r="Z189" s="84" t="str">
        <f>HYPERLINK("https://twitter.com/afiqks6/status/1439850834401980419")</f>
        <v>https://twitter.com/afiqks6/status/1439850834401980419</v>
      </c>
      <c r="AA189" s="81"/>
      <c r="AB189" s="81"/>
      <c r="AC189" s="86" t="s">
        <v>4378</v>
      </c>
      <c r="AD189" s="81"/>
      <c r="AE189" s="81" t="b">
        <v>0</v>
      </c>
      <c r="AF189" s="81">
        <v>0</v>
      </c>
      <c r="AG189" s="86" t="s">
        <v>6240</v>
      </c>
      <c r="AH189" s="81" t="b">
        <v>0</v>
      </c>
      <c r="AI189" s="81" t="s">
        <v>6478</v>
      </c>
      <c r="AJ189" s="81"/>
      <c r="AK189" s="86" t="s">
        <v>6240</v>
      </c>
      <c r="AL189" s="81" t="b">
        <v>0</v>
      </c>
      <c r="AM189" s="81">
        <v>102</v>
      </c>
      <c r="AN189" s="86" t="s">
        <v>4519</v>
      </c>
      <c r="AO189" s="86" t="s">
        <v>6503</v>
      </c>
      <c r="AP189" s="81" t="b">
        <v>0</v>
      </c>
      <c r="AQ189" s="86" t="s">
        <v>4519</v>
      </c>
      <c r="AR189" s="81" t="s">
        <v>179</v>
      </c>
      <c r="AS189" s="81">
        <v>0</v>
      </c>
      <c r="AT189" s="81">
        <v>0</v>
      </c>
      <c r="AU189" s="81"/>
      <c r="AV189" s="81"/>
      <c r="AW189" s="81"/>
      <c r="AX189" s="81"/>
      <c r="AY189" s="81"/>
      <c r="AZ189" s="81"/>
      <c r="BA189" s="81"/>
      <c r="BB189" s="81"/>
    </row>
    <row r="190" spans="1:54" x14ac:dyDescent="0.35">
      <c r="A190" s="66" t="s">
        <v>369</v>
      </c>
      <c r="B190" s="66" t="s">
        <v>335</v>
      </c>
      <c r="C190" s="67"/>
      <c r="D190" s="68"/>
      <c r="E190" s="69"/>
      <c r="F190" s="70"/>
      <c r="G190" s="67"/>
      <c r="H190" s="71"/>
      <c r="I190" s="72"/>
      <c r="J190" s="72"/>
      <c r="K190" s="36"/>
      <c r="L190" s="79"/>
      <c r="M190" s="79"/>
      <c r="N190" s="74"/>
      <c r="O190" s="81" t="s">
        <v>1532</v>
      </c>
      <c r="P190" s="83">
        <v>44459.304571759261</v>
      </c>
      <c r="Q190" s="81" t="s">
        <v>1586</v>
      </c>
      <c r="R190" s="81"/>
      <c r="S190" s="81"/>
      <c r="T190" s="81"/>
      <c r="U190" s="84" t="str">
        <f>HYPERLINK("https://pbs.twimg.com/ext_tw_video_thumb/1439603623520993285/pu/img/4NCBVhjvbYSKxAvX.jpg")</f>
        <v>https://pbs.twimg.com/ext_tw_video_thumb/1439603623520993285/pu/img/4NCBVhjvbYSKxAvX.jpg</v>
      </c>
      <c r="V190" s="84" t="str">
        <f>HYPERLINK("https://pbs.twimg.com/ext_tw_video_thumb/1439603623520993285/pu/img/4NCBVhjvbYSKxAvX.jpg")</f>
        <v>https://pbs.twimg.com/ext_tw_video_thumb/1439603623520993285/pu/img/4NCBVhjvbYSKxAvX.jpg</v>
      </c>
      <c r="W190" s="83">
        <v>44459.304571759261</v>
      </c>
      <c r="X190" s="89">
        <v>44459</v>
      </c>
      <c r="Y190" s="86" t="s">
        <v>2919</v>
      </c>
      <c r="Z190" s="84" t="str">
        <f>HYPERLINK("https://twitter.com/frshahnis_ee/status/1439851468358447105")</f>
        <v>https://twitter.com/frshahnis_ee/status/1439851468358447105</v>
      </c>
      <c r="AA190" s="81"/>
      <c r="AB190" s="81"/>
      <c r="AC190" s="86" t="s">
        <v>4379</v>
      </c>
      <c r="AD190" s="81"/>
      <c r="AE190" s="81" t="b">
        <v>0</v>
      </c>
      <c r="AF190" s="81">
        <v>0</v>
      </c>
      <c r="AG190" s="86" t="s">
        <v>6240</v>
      </c>
      <c r="AH190" s="81" t="b">
        <v>0</v>
      </c>
      <c r="AI190" s="81" t="s">
        <v>6478</v>
      </c>
      <c r="AJ190" s="81"/>
      <c r="AK190" s="86" t="s">
        <v>6240</v>
      </c>
      <c r="AL190" s="81" t="b">
        <v>0</v>
      </c>
      <c r="AM190" s="81">
        <v>102</v>
      </c>
      <c r="AN190" s="86" t="s">
        <v>4519</v>
      </c>
      <c r="AO190" s="86" t="s">
        <v>6505</v>
      </c>
      <c r="AP190" s="81" t="b">
        <v>0</v>
      </c>
      <c r="AQ190" s="86" t="s">
        <v>4519</v>
      </c>
      <c r="AR190" s="81" t="s">
        <v>179</v>
      </c>
      <c r="AS190" s="81">
        <v>0</v>
      </c>
      <c r="AT190" s="81">
        <v>0</v>
      </c>
      <c r="AU190" s="81"/>
      <c r="AV190" s="81"/>
      <c r="AW190" s="81"/>
      <c r="AX190" s="81"/>
      <c r="AY190" s="81"/>
      <c r="AZ190" s="81"/>
      <c r="BA190" s="81"/>
      <c r="BB190" s="81"/>
    </row>
    <row r="191" spans="1:54" x14ac:dyDescent="0.35">
      <c r="A191" s="66" t="s">
        <v>370</v>
      </c>
      <c r="B191" s="66" t="s">
        <v>335</v>
      </c>
      <c r="C191" s="67"/>
      <c r="D191" s="68"/>
      <c r="E191" s="69"/>
      <c r="F191" s="70"/>
      <c r="G191" s="67"/>
      <c r="H191" s="71"/>
      <c r="I191" s="72"/>
      <c r="J191" s="72"/>
      <c r="K191" s="36"/>
      <c r="L191" s="79"/>
      <c r="M191" s="79"/>
      <c r="N191" s="74"/>
      <c r="O191" s="81" t="s">
        <v>1532</v>
      </c>
      <c r="P191" s="83">
        <v>44459.304976851854</v>
      </c>
      <c r="Q191" s="81" t="s">
        <v>1586</v>
      </c>
      <c r="R191" s="81"/>
      <c r="S191" s="81"/>
      <c r="T191" s="81"/>
      <c r="U191" s="84" t="str">
        <f>HYPERLINK("https://pbs.twimg.com/ext_tw_video_thumb/1439603623520993285/pu/img/4NCBVhjvbYSKxAvX.jpg")</f>
        <v>https://pbs.twimg.com/ext_tw_video_thumb/1439603623520993285/pu/img/4NCBVhjvbYSKxAvX.jpg</v>
      </c>
      <c r="V191" s="84" t="str">
        <f>HYPERLINK("https://pbs.twimg.com/ext_tw_video_thumb/1439603623520993285/pu/img/4NCBVhjvbYSKxAvX.jpg")</f>
        <v>https://pbs.twimg.com/ext_tw_video_thumb/1439603623520993285/pu/img/4NCBVhjvbYSKxAvX.jpg</v>
      </c>
      <c r="W191" s="83">
        <v>44459.304976851854</v>
      </c>
      <c r="X191" s="89">
        <v>44459</v>
      </c>
      <c r="Y191" s="86" t="s">
        <v>2920</v>
      </c>
      <c r="Z191" s="84" t="str">
        <f>HYPERLINK("https://twitter.com/nvrxkmxl_/status/1439851613682683909")</f>
        <v>https://twitter.com/nvrxkmxl_/status/1439851613682683909</v>
      </c>
      <c r="AA191" s="81"/>
      <c r="AB191" s="81"/>
      <c r="AC191" s="86" t="s">
        <v>4380</v>
      </c>
      <c r="AD191" s="81"/>
      <c r="AE191" s="81" t="b">
        <v>0</v>
      </c>
      <c r="AF191" s="81">
        <v>0</v>
      </c>
      <c r="AG191" s="86" t="s">
        <v>6240</v>
      </c>
      <c r="AH191" s="81" t="b">
        <v>0</v>
      </c>
      <c r="AI191" s="81" t="s">
        <v>6478</v>
      </c>
      <c r="AJ191" s="81"/>
      <c r="AK191" s="86" t="s">
        <v>6240</v>
      </c>
      <c r="AL191" s="81" t="b">
        <v>0</v>
      </c>
      <c r="AM191" s="81">
        <v>102</v>
      </c>
      <c r="AN191" s="86" t="s">
        <v>4519</v>
      </c>
      <c r="AO191" s="86" t="s">
        <v>6503</v>
      </c>
      <c r="AP191" s="81" t="b">
        <v>0</v>
      </c>
      <c r="AQ191" s="86" t="s">
        <v>4519</v>
      </c>
      <c r="AR191" s="81" t="s">
        <v>179</v>
      </c>
      <c r="AS191" s="81">
        <v>0</v>
      </c>
      <c r="AT191" s="81">
        <v>0</v>
      </c>
      <c r="AU191" s="81"/>
      <c r="AV191" s="81"/>
      <c r="AW191" s="81"/>
      <c r="AX191" s="81"/>
      <c r="AY191" s="81"/>
      <c r="AZ191" s="81"/>
      <c r="BA191" s="81"/>
      <c r="BB191" s="81"/>
    </row>
    <row r="192" spans="1:54" x14ac:dyDescent="0.35">
      <c r="A192" s="66" t="s">
        <v>371</v>
      </c>
      <c r="B192" s="66" t="s">
        <v>371</v>
      </c>
      <c r="C192" s="67"/>
      <c r="D192" s="68"/>
      <c r="E192" s="69"/>
      <c r="F192" s="70"/>
      <c r="G192" s="67"/>
      <c r="H192" s="71"/>
      <c r="I192" s="72"/>
      <c r="J192" s="72"/>
      <c r="K192" s="36"/>
      <c r="L192" s="79"/>
      <c r="M192" s="79"/>
      <c r="N192" s="74"/>
      <c r="O192" s="81" t="s">
        <v>179</v>
      </c>
      <c r="P192" s="83">
        <v>44459.306562500002</v>
      </c>
      <c r="Q192" s="81" t="s">
        <v>1620</v>
      </c>
      <c r="R192" s="81"/>
      <c r="S192" s="81"/>
      <c r="T192" s="81"/>
      <c r="U192" s="81"/>
      <c r="V192" s="84" t="str">
        <f>HYPERLINK("https://pbs.twimg.com/profile_images/1417675308329627648/J3VwBMUj_normal.jpg")</f>
        <v>https://pbs.twimg.com/profile_images/1417675308329627648/J3VwBMUj_normal.jpg</v>
      </c>
      <c r="W192" s="83">
        <v>44459.306562500002</v>
      </c>
      <c r="X192" s="89">
        <v>44459</v>
      </c>
      <c r="Y192" s="86" t="s">
        <v>2921</v>
      </c>
      <c r="Z192" s="84" t="str">
        <f>HYPERLINK("https://twitter.com/tengkuharry_/status/1439852188000403460")</f>
        <v>https://twitter.com/tengkuharry_/status/1439852188000403460</v>
      </c>
      <c r="AA192" s="81"/>
      <c r="AB192" s="81"/>
      <c r="AC192" s="86" t="s">
        <v>4381</v>
      </c>
      <c r="AD192" s="81"/>
      <c r="AE192" s="81" t="b">
        <v>0</v>
      </c>
      <c r="AF192" s="81">
        <v>0</v>
      </c>
      <c r="AG192" s="86" t="s">
        <v>6240</v>
      </c>
      <c r="AH192" s="81" t="b">
        <v>0</v>
      </c>
      <c r="AI192" s="81" t="s">
        <v>6478</v>
      </c>
      <c r="AJ192" s="81"/>
      <c r="AK192" s="86" t="s">
        <v>6240</v>
      </c>
      <c r="AL192" s="81" t="b">
        <v>0</v>
      </c>
      <c r="AM192" s="81">
        <v>0</v>
      </c>
      <c r="AN192" s="86" t="s">
        <v>6240</v>
      </c>
      <c r="AO192" s="86" t="s">
        <v>6503</v>
      </c>
      <c r="AP192" s="81" t="b">
        <v>0</v>
      </c>
      <c r="AQ192" s="86" t="s">
        <v>4381</v>
      </c>
      <c r="AR192" s="81" t="s">
        <v>179</v>
      </c>
      <c r="AS192" s="81">
        <v>0</v>
      </c>
      <c r="AT192" s="81">
        <v>0</v>
      </c>
      <c r="AU192" s="81"/>
      <c r="AV192" s="81"/>
      <c r="AW192" s="81"/>
      <c r="AX192" s="81"/>
      <c r="AY192" s="81"/>
      <c r="AZ192" s="81"/>
      <c r="BA192" s="81"/>
      <c r="BB192" s="81"/>
    </row>
    <row r="193" spans="1:54" x14ac:dyDescent="0.35">
      <c r="A193" s="66" t="s">
        <v>372</v>
      </c>
      <c r="B193" s="66" t="s">
        <v>335</v>
      </c>
      <c r="C193" s="67"/>
      <c r="D193" s="68"/>
      <c r="E193" s="69"/>
      <c r="F193" s="70"/>
      <c r="G193" s="67"/>
      <c r="H193" s="71"/>
      <c r="I193" s="72"/>
      <c r="J193" s="72"/>
      <c r="K193" s="36"/>
      <c r="L193" s="79"/>
      <c r="M193" s="79"/>
      <c r="N193" s="74"/>
      <c r="O193" s="81" t="s">
        <v>1532</v>
      </c>
      <c r="P193" s="83">
        <v>44459.308472222219</v>
      </c>
      <c r="Q193" s="81" t="s">
        <v>1586</v>
      </c>
      <c r="R193" s="81"/>
      <c r="S193" s="81"/>
      <c r="T193" s="81"/>
      <c r="U193" s="84" t="str">
        <f>HYPERLINK("https://pbs.twimg.com/ext_tw_video_thumb/1439603623520993285/pu/img/4NCBVhjvbYSKxAvX.jpg")</f>
        <v>https://pbs.twimg.com/ext_tw_video_thumb/1439603623520993285/pu/img/4NCBVhjvbYSKxAvX.jpg</v>
      </c>
      <c r="V193" s="84" t="str">
        <f>HYPERLINK("https://pbs.twimg.com/ext_tw_video_thumb/1439603623520993285/pu/img/4NCBVhjvbYSKxAvX.jpg")</f>
        <v>https://pbs.twimg.com/ext_tw_video_thumb/1439603623520993285/pu/img/4NCBVhjvbYSKxAvX.jpg</v>
      </c>
      <c r="W193" s="83">
        <v>44459.308472222219</v>
      </c>
      <c r="X193" s="89">
        <v>44459</v>
      </c>
      <c r="Y193" s="86" t="s">
        <v>2922</v>
      </c>
      <c r="Z193" s="84" t="str">
        <f>HYPERLINK("https://twitter.com/arziezy/status/1439852881344020490")</f>
        <v>https://twitter.com/arziezy/status/1439852881344020490</v>
      </c>
      <c r="AA193" s="81"/>
      <c r="AB193" s="81"/>
      <c r="AC193" s="86" t="s">
        <v>4382</v>
      </c>
      <c r="AD193" s="81"/>
      <c r="AE193" s="81" t="b">
        <v>0</v>
      </c>
      <c r="AF193" s="81">
        <v>0</v>
      </c>
      <c r="AG193" s="86" t="s">
        <v>6240</v>
      </c>
      <c r="AH193" s="81" t="b">
        <v>0</v>
      </c>
      <c r="AI193" s="81" t="s">
        <v>6478</v>
      </c>
      <c r="AJ193" s="81"/>
      <c r="AK193" s="86" t="s">
        <v>6240</v>
      </c>
      <c r="AL193" s="81" t="b">
        <v>0</v>
      </c>
      <c r="AM193" s="81">
        <v>102</v>
      </c>
      <c r="AN193" s="86" t="s">
        <v>4519</v>
      </c>
      <c r="AO193" s="86" t="s">
        <v>6503</v>
      </c>
      <c r="AP193" s="81" t="b">
        <v>0</v>
      </c>
      <c r="AQ193" s="86" t="s">
        <v>4519</v>
      </c>
      <c r="AR193" s="81" t="s">
        <v>179</v>
      </c>
      <c r="AS193" s="81">
        <v>0</v>
      </c>
      <c r="AT193" s="81">
        <v>0</v>
      </c>
      <c r="AU193" s="81"/>
      <c r="AV193" s="81"/>
      <c r="AW193" s="81"/>
      <c r="AX193" s="81"/>
      <c r="AY193" s="81"/>
      <c r="AZ193" s="81"/>
      <c r="BA193" s="81"/>
      <c r="BB193" s="81"/>
    </row>
    <row r="194" spans="1:54" x14ac:dyDescent="0.35">
      <c r="A194" s="66" t="s">
        <v>373</v>
      </c>
      <c r="B194" s="66" t="s">
        <v>335</v>
      </c>
      <c r="C194" s="67"/>
      <c r="D194" s="68"/>
      <c r="E194" s="69"/>
      <c r="F194" s="70"/>
      <c r="G194" s="67"/>
      <c r="H194" s="71"/>
      <c r="I194" s="72"/>
      <c r="J194" s="72"/>
      <c r="K194" s="36"/>
      <c r="L194" s="79"/>
      <c r="M194" s="79"/>
      <c r="N194" s="74"/>
      <c r="O194" s="81" t="s">
        <v>1532</v>
      </c>
      <c r="P194" s="83">
        <v>44459.314236111109</v>
      </c>
      <c r="Q194" s="81" t="s">
        <v>1586</v>
      </c>
      <c r="R194" s="81"/>
      <c r="S194" s="81"/>
      <c r="T194" s="81"/>
      <c r="U194" s="84" t="str">
        <f>HYPERLINK("https://pbs.twimg.com/ext_tw_video_thumb/1439603623520993285/pu/img/4NCBVhjvbYSKxAvX.jpg")</f>
        <v>https://pbs.twimg.com/ext_tw_video_thumb/1439603623520993285/pu/img/4NCBVhjvbYSKxAvX.jpg</v>
      </c>
      <c r="V194" s="84" t="str">
        <f>HYPERLINK("https://pbs.twimg.com/ext_tw_video_thumb/1439603623520993285/pu/img/4NCBVhjvbYSKxAvX.jpg")</f>
        <v>https://pbs.twimg.com/ext_tw_video_thumb/1439603623520993285/pu/img/4NCBVhjvbYSKxAvX.jpg</v>
      </c>
      <c r="W194" s="83">
        <v>44459.314236111109</v>
      </c>
      <c r="X194" s="89">
        <v>44459</v>
      </c>
      <c r="Y194" s="86" t="s">
        <v>2923</v>
      </c>
      <c r="Z194" s="84" t="str">
        <f>HYPERLINK("https://twitter.com/minoccall/status/1439854968593272844")</f>
        <v>https://twitter.com/minoccall/status/1439854968593272844</v>
      </c>
      <c r="AA194" s="81"/>
      <c r="AB194" s="81"/>
      <c r="AC194" s="86" t="s">
        <v>4383</v>
      </c>
      <c r="AD194" s="81"/>
      <c r="AE194" s="81" t="b">
        <v>0</v>
      </c>
      <c r="AF194" s="81">
        <v>0</v>
      </c>
      <c r="AG194" s="86" t="s">
        <v>6240</v>
      </c>
      <c r="AH194" s="81" t="b">
        <v>0</v>
      </c>
      <c r="AI194" s="81" t="s">
        <v>6478</v>
      </c>
      <c r="AJ194" s="81"/>
      <c r="AK194" s="86" t="s">
        <v>6240</v>
      </c>
      <c r="AL194" s="81" t="b">
        <v>0</v>
      </c>
      <c r="AM194" s="81">
        <v>102</v>
      </c>
      <c r="AN194" s="86" t="s">
        <v>4519</v>
      </c>
      <c r="AO194" s="86" t="s">
        <v>6505</v>
      </c>
      <c r="AP194" s="81" t="b">
        <v>0</v>
      </c>
      <c r="AQ194" s="86" t="s">
        <v>4519</v>
      </c>
      <c r="AR194" s="81" t="s">
        <v>179</v>
      </c>
      <c r="AS194" s="81">
        <v>0</v>
      </c>
      <c r="AT194" s="81">
        <v>0</v>
      </c>
      <c r="AU194" s="81"/>
      <c r="AV194" s="81"/>
      <c r="AW194" s="81"/>
      <c r="AX194" s="81"/>
      <c r="AY194" s="81"/>
      <c r="AZ194" s="81"/>
      <c r="BA194" s="81"/>
      <c r="BB194" s="81"/>
    </row>
    <row r="195" spans="1:54" x14ac:dyDescent="0.35">
      <c r="A195" s="66" t="s">
        <v>374</v>
      </c>
      <c r="B195" s="66" t="s">
        <v>1298</v>
      </c>
      <c r="C195" s="67"/>
      <c r="D195" s="68"/>
      <c r="E195" s="69"/>
      <c r="F195" s="70"/>
      <c r="G195" s="67"/>
      <c r="H195" s="71"/>
      <c r="I195" s="72"/>
      <c r="J195" s="72"/>
      <c r="K195" s="36"/>
      <c r="L195" s="79"/>
      <c r="M195" s="79"/>
      <c r="N195" s="74"/>
      <c r="O195" s="81" t="s">
        <v>1534</v>
      </c>
      <c r="P195" s="83">
        <v>44459.326967592591</v>
      </c>
      <c r="Q195" s="81" t="s">
        <v>1621</v>
      </c>
      <c r="R195" s="81"/>
      <c r="S195" s="81"/>
      <c r="T195" s="81"/>
      <c r="U195" s="81"/>
      <c r="V195" s="84" t="str">
        <f>HYPERLINK("https://pbs.twimg.com/profile_images/1389934330974113795/1TVKydOD_normal.jpg")</f>
        <v>https://pbs.twimg.com/profile_images/1389934330974113795/1TVKydOD_normal.jpg</v>
      </c>
      <c r="W195" s="83">
        <v>44459.326967592591</v>
      </c>
      <c r="X195" s="89">
        <v>44459</v>
      </c>
      <c r="Y195" s="86" t="s">
        <v>2924</v>
      </c>
      <c r="Z195" s="84" t="str">
        <f>HYPERLINK("https://twitter.com/jaemjne/status/1439859583380381698")</f>
        <v>https://twitter.com/jaemjne/status/1439859583380381698</v>
      </c>
      <c r="AA195" s="81"/>
      <c r="AB195" s="81"/>
      <c r="AC195" s="86" t="s">
        <v>4384</v>
      </c>
      <c r="AD195" s="86" t="s">
        <v>5998</v>
      </c>
      <c r="AE195" s="81" t="b">
        <v>0</v>
      </c>
      <c r="AF195" s="81">
        <v>0</v>
      </c>
      <c r="AG195" s="86" t="s">
        <v>6267</v>
      </c>
      <c r="AH195" s="81" t="b">
        <v>0</v>
      </c>
      <c r="AI195" s="81" t="s">
        <v>6478</v>
      </c>
      <c r="AJ195" s="81"/>
      <c r="AK195" s="86" t="s">
        <v>6240</v>
      </c>
      <c r="AL195" s="81" t="b">
        <v>0</v>
      </c>
      <c r="AM195" s="81">
        <v>0</v>
      </c>
      <c r="AN195" s="86" t="s">
        <v>6240</v>
      </c>
      <c r="AO195" s="86" t="s">
        <v>6505</v>
      </c>
      <c r="AP195" s="81" t="b">
        <v>0</v>
      </c>
      <c r="AQ195" s="86" t="s">
        <v>5998</v>
      </c>
      <c r="AR195" s="81" t="s">
        <v>179</v>
      </c>
      <c r="AS195" s="81">
        <v>0</v>
      </c>
      <c r="AT195" s="81">
        <v>0</v>
      </c>
      <c r="AU195" s="81"/>
      <c r="AV195" s="81"/>
      <c r="AW195" s="81"/>
      <c r="AX195" s="81"/>
      <c r="AY195" s="81"/>
      <c r="AZ195" s="81"/>
      <c r="BA195" s="81"/>
      <c r="BB195" s="81"/>
    </row>
    <row r="196" spans="1:54" x14ac:dyDescent="0.35">
      <c r="A196" s="66" t="s">
        <v>375</v>
      </c>
      <c r="B196" s="66" t="s">
        <v>1298</v>
      </c>
      <c r="C196" s="67"/>
      <c r="D196" s="68"/>
      <c r="E196" s="69"/>
      <c r="F196" s="70"/>
      <c r="G196" s="67"/>
      <c r="H196" s="71"/>
      <c r="I196" s="72"/>
      <c r="J196" s="72"/>
      <c r="K196" s="36"/>
      <c r="L196" s="79"/>
      <c r="M196" s="79"/>
      <c r="N196" s="74"/>
      <c r="O196" s="81" t="s">
        <v>1534</v>
      </c>
      <c r="P196" s="83">
        <v>44459.328842592593</v>
      </c>
      <c r="Q196" s="81" t="s">
        <v>1622</v>
      </c>
      <c r="R196" s="81"/>
      <c r="S196" s="81"/>
      <c r="T196" s="81"/>
      <c r="U196" s="81"/>
      <c r="V196" s="84" t="str">
        <f>HYPERLINK("https://pbs.twimg.com/profile_images/1442456520252219393/1M3sV1YN_normal.jpg")</f>
        <v>https://pbs.twimg.com/profile_images/1442456520252219393/1M3sV1YN_normal.jpg</v>
      </c>
      <c r="W196" s="83">
        <v>44459.328842592593</v>
      </c>
      <c r="X196" s="89">
        <v>44459</v>
      </c>
      <c r="Y196" s="86" t="s">
        <v>2925</v>
      </c>
      <c r="Z196" s="84" t="str">
        <f>HYPERLINK("https://twitter.com/shuaevee/status/1439860261259677701")</f>
        <v>https://twitter.com/shuaevee/status/1439860261259677701</v>
      </c>
      <c r="AA196" s="81"/>
      <c r="AB196" s="81"/>
      <c r="AC196" s="86" t="s">
        <v>4385</v>
      </c>
      <c r="AD196" s="86" t="s">
        <v>5998</v>
      </c>
      <c r="AE196" s="81" t="b">
        <v>0</v>
      </c>
      <c r="AF196" s="81">
        <v>0</v>
      </c>
      <c r="AG196" s="86" t="s">
        <v>6267</v>
      </c>
      <c r="AH196" s="81" t="b">
        <v>0</v>
      </c>
      <c r="AI196" s="81" t="s">
        <v>6478</v>
      </c>
      <c r="AJ196" s="81"/>
      <c r="AK196" s="86" t="s">
        <v>6240</v>
      </c>
      <c r="AL196" s="81" t="b">
        <v>0</v>
      </c>
      <c r="AM196" s="81">
        <v>0</v>
      </c>
      <c r="AN196" s="86" t="s">
        <v>6240</v>
      </c>
      <c r="AO196" s="86" t="s">
        <v>6505</v>
      </c>
      <c r="AP196" s="81" t="b">
        <v>0</v>
      </c>
      <c r="AQ196" s="86" t="s">
        <v>5998</v>
      </c>
      <c r="AR196" s="81" t="s">
        <v>179</v>
      </c>
      <c r="AS196" s="81">
        <v>0</v>
      </c>
      <c r="AT196" s="81">
        <v>0</v>
      </c>
      <c r="AU196" s="81"/>
      <c r="AV196" s="81"/>
      <c r="AW196" s="81"/>
      <c r="AX196" s="81"/>
      <c r="AY196" s="81"/>
      <c r="AZ196" s="81"/>
      <c r="BA196" s="81"/>
      <c r="BB196" s="81"/>
    </row>
    <row r="197" spans="1:54" x14ac:dyDescent="0.35">
      <c r="A197" s="66" t="s">
        <v>376</v>
      </c>
      <c r="B197" s="66" t="s">
        <v>1299</v>
      </c>
      <c r="C197" s="67"/>
      <c r="D197" s="68"/>
      <c r="E197" s="69"/>
      <c r="F197" s="70"/>
      <c r="G197" s="67"/>
      <c r="H197" s="71"/>
      <c r="I197" s="72"/>
      <c r="J197" s="72"/>
      <c r="K197" s="36"/>
      <c r="L197" s="79"/>
      <c r="M197" s="79"/>
      <c r="N197" s="74"/>
      <c r="O197" s="81" t="s">
        <v>1534</v>
      </c>
      <c r="P197" s="83">
        <v>44459.339120370372</v>
      </c>
      <c r="Q197" s="81" t="s">
        <v>1623</v>
      </c>
      <c r="R197" s="81"/>
      <c r="S197" s="81"/>
      <c r="T197" s="81"/>
      <c r="U197" s="81"/>
      <c r="V197" s="84" t="str">
        <f>HYPERLINK("https://pbs.twimg.com/profile_images/1439932725046087683/BB9-jejy_normal.jpg")</f>
        <v>https://pbs.twimg.com/profile_images/1439932725046087683/BB9-jejy_normal.jpg</v>
      </c>
      <c r="W197" s="83">
        <v>44459.339120370372</v>
      </c>
      <c r="X197" s="89">
        <v>44459</v>
      </c>
      <c r="Y197" s="86" t="s">
        <v>2926</v>
      </c>
      <c r="Z197" s="84" t="str">
        <f>HYPERLINK("https://twitter.com/suminnasen/status/1439863988888616965")</f>
        <v>https://twitter.com/suminnasen/status/1439863988888616965</v>
      </c>
      <c r="AA197" s="81"/>
      <c r="AB197" s="81"/>
      <c r="AC197" s="86" t="s">
        <v>4386</v>
      </c>
      <c r="AD197" s="86" t="s">
        <v>5999</v>
      </c>
      <c r="AE197" s="81" t="b">
        <v>0</v>
      </c>
      <c r="AF197" s="81">
        <v>1</v>
      </c>
      <c r="AG197" s="86" t="s">
        <v>6268</v>
      </c>
      <c r="AH197" s="81" t="b">
        <v>0</v>
      </c>
      <c r="AI197" s="81" t="s">
        <v>6478</v>
      </c>
      <c r="AJ197" s="81"/>
      <c r="AK197" s="86" t="s">
        <v>6240</v>
      </c>
      <c r="AL197" s="81" t="b">
        <v>0</v>
      </c>
      <c r="AM197" s="81">
        <v>0</v>
      </c>
      <c r="AN197" s="86" t="s">
        <v>6240</v>
      </c>
      <c r="AO197" s="86" t="s">
        <v>6505</v>
      </c>
      <c r="AP197" s="81" t="b">
        <v>0</v>
      </c>
      <c r="AQ197" s="86" t="s">
        <v>5999</v>
      </c>
      <c r="AR197" s="81" t="s">
        <v>179</v>
      </c>
      <c r="AS197" s="81">
        <v>0</v>
      </c>
      <c r="AT197" s="81">
        <v>0</v>
      </c>
      <c r="AU197" s="81"/>
      <c r="AV197" s="81"/>
      <c r="AW197" s="81"/>
      <c r="AX197" s="81"/>
      <c r="AY197" s="81"/>
      <c r="AZ197" s="81"/>
      <c r="BA197" s="81"/>
      <c r="BB197" s="81"/>
    </row>
    <row r="198" spans="1:54" x14ac:dyDescent="0.35">
      <c r="A198" s="66" t="s">
        <v>377</v>
      </c>
      <c r="B198" s="66" t="s">
        <v>335</v>
      </c>
      <c r="C198" s="67"/>
      <c r="D198" s="68"/>
      <c r="E198" s="69"/>
      <c r="F198" s="70"/>
      <c r="G198" s="67"/>
      <c r="H198" s="71"/>
      <c r="I198" s="72"/>
      <c r="J198" s="72"/>
      <c r="K198" s="36"/>
      <c r="L198" s="79"/>
      <c r="M198" s="79"/>
      <c r="N198" s="74"/>
      <c r="O198" s="81" t="s">
        <v>1532</v>
      </c>
      <c r="P198" s="83">
        <v>44459.343877314815</v>
      </c>
      <c r="Q198" s="81" t="s">
        <v>1586</v>
      </c>
      <c r="R198" s="81"/>
      <c r="S198" s="81"/>
      <c r="T198" s="81"/>
      <c r="U198" s="84" t="str">
        <f>HYPERLINK("https://pbs.twimg.com/ext_tw_video_thumb/1439603623520993285/pu/img/4NCBVhjvbYSKxAvX.jpg")</f>
        <v>https://pbs.twimg.com/ext_tw_video_thumb/1439603623520993285/pu/img/4NCBVhjvbYSKxAvX.jpg</v>
      </c>
      <c r="V198" s="84" t="str">
        <f>HYPERLINK("https://pbs.twimg.com/ext_tw_video_thumb/1439603623520993285/pu/img/4NCBVhjvbYSKxAvX.jpg")</f>
        <v>https://pbs.twimg.com/ext_tw_video_thumb/1439603623520993285/pu/img/4NCBVhjvbYSKxAvX.jpg</v>
      </c>
      <c r="W198" s="83">
        <v>44459.343877314815</v>
      </c>
      <c r="X198" s="89">
        <v>44459</v>
      </c>
      <c r="Y198" s="86" t="s">
        <v>2927</v>
      </c>
      <c r="Z198" s="84" t="str">
        <f>HYPERLINK("https://twitter.com/mhdaq__/status/1439865710361018370")</f>
        <v>https://twitter.com/mhdaq__/status/1439865710361018370</v>
      </c>
      <c r="AA198" s="81"/>
      <c r="AB198" s="81"/>
      <c r="AC198" s="86" t="s">
        <v>4387</v>
      </c>
      <c r="AD198" s="81"/>
      <c r="AE198" s="81" t="b">
        <v>0</v>
      </c>
      <c r="AF198" s="81">
        <v>0</v>
      </c>
      <c r="AG198" s="86" t="s">
        <v>6240</v>
      </c>
      <c r="AH198" s="81" t="b">
        <v>0</v>
      </c>
      <c r="AI198" s="81" t="s">
        <v>6478</v>
      </c>
      <c r="AJ198" s="81"/>
      <c r="AK198" s="86" t="s">
        <v>6240</v>
      </c>
      <c r="AL198" s="81" t="b">
        <v>0</v>
      </c>
      <c r="AM198" s="81">
        <v>102</v>
      </c>
      <c r="AN198" s="86" t="s">
        <v>4519</v>
      </c>
      <c r="AO198" s="86" t="s">
        <v>6503</v>
      </c>
      <c r="AP198" s="81" t="b">
        <v>0</v>
      </c>
      <c r="AQ198" s="86" t="s">
        <v>4519</v>
      </c>
      <c r="AR198" s="81" t="s">
        <v>179</v>
      </c>
      <c r="AS198" s="81">
        <v>0</v>
      </c>
      <c r="AT198" s="81">
        <v>0</v>
      </c>
      <c r="AU198" s="81"/>
      <c r="AV198" s="81"/>
      <c r="AW198" s="81"/>
      <c r="AX198" s="81"/>
      <c r="AY198" s="81"/>
      <c r="AZ198" s="81"/>
      <c r="BA198" s="81"/>
      <c r="BB198" s="81"/>
    </row>
    <row r="199" spans="1:54" x14ac:dyDescent="0.35">
      <c r="A199" s="66" t="s">
        <v>377</v>
      </c>
      <c r="B199" s="66" t="s">
        <v>335</v>
      </c>
      <c r="C199" s="67"/>
      <c r="D199" s="68"/>
      <c r="E199" s="69"/>
      <c r="F199" s="70"/>
      <c r="G199" s="67"/>
      <c r="H199" s="71"/>
      <c r="I199" s="72"/>
      <c r="J199" s="72"/>
      <c r="K199" s="36"/>
      <c r="L199" s="79"/>
      <c r="M199" s="79"/>
      <c r="N199" s="74"/>
      <c r="O199" s="81" t="s">
        <v>1532</v>
      </c>
      <c r="P199" s="83">
        <v>44459.343946759262</v>
      </c>
      <c r="Q199" s="81" t="s">
        <v>1624</v>
      </c>
      <c r="R199" s="81"/>
      <c r="S199" s="81"/>
      <c r="T199" s="81"/>
      <c r="U199" s="84" t="str">
        <f>HYPERLINK("https://pbs.twimg.com/media/E_qBUbPVUAwaLsS.jpg")</f>
        <v>https://pbs.twimg.com/media/E_qBUbPVUAwaLsS.jpg</v>
      </c>
      <c r="V199" s="84" t="str">
        <f>HYPERLINK("https://pbs.twimg.com/media/E_qBUbPVUAwaLsS.jpg")</f>
        <v>https://pbs.twimg.com/media/E_qBUbPVUAwaLsS.jpg</v>
      </c>
      <c r="W199" s="83">
        <v>44459.343946759262</v>
      </c>
      <c r="X199" s="89">
        <v>44459</v>
      </c>
      <c r="Y199" s="86" t="s">
        <v>2928</v>
      </c>
      <c r="Z199" s="84" t="str">
        <f>HYPERLINK("https://twitter.com/mhdaq__/status/1439865734469849089")</f>
        <v>https://twitter.com/mhdaq__/status/1439865734469849089</v>
      </c>
      <c r="AA199" s="81"/>
      <c r="AB199" s="81"/>
      <c r="AC199" s="86" t="s">
        <v>4388</v>
      </c>
      <c r="AD199" s="81"/>
      <c r="AE199" s="81" t="b">
        <v>0</v>
      </c>
      <c r="AF199" s="81">
        <v>0</v>
      </c>
      <c r="AG199" s="86" t="s">
        <v>6240</v>
      </c>
      <c r="AH199" s="81" t="b">
        <v>0</v>
      </c>
      <c r="AI199" s="81" t="s">
        <v>6478</v>
      </c>
      <c r="AJ199" s="81"/>
      <c r="AK199" s="86" t="s">
        <v>6240</v>
      </c>
      <c r="AL199" s="81" t="b">
        <v>0</v>
      </c>
      <c r="AM199" s="81">
        <v>1</v>
      </c>
      <c r="AN199" s="86" t="s">
        <v>4520</v>
      </c>
      <c r="AO199" s="86" t="s">
        <v>6503</v>
      </c>
      <c r="AP199" s="81" t="b">
        <v>0</v>
      </c>
      <c r="AQ199" s="86" t="s">
        <v>4520</v>
      </c>
      <c r="AR199" s="81" t="s">
        <v>179</v>
      </c>
      <c r="AS199" s="81">
        <v>0</v>
      </c>
      <c r="AT199" s="81">
        <v>0</v>
      </c>
      <c r="AU199" s="81"/>
      <c r="AV199" s="81"/>
      <c r="AW199" s="81"/>
      <c r="AX199" s="81"/>
      <c r="AY199" s="81"/>
      <c r="AZ199" s="81"/>
      <c r="BA199" s="81"/>
      <c r="BB199" s="81"/>
    </row>
    <row r="200" spans="1:54" x14ac:dyDescent="0.35">
      <c r="A200" s="66" t="s">
        <v>378</v>
      </c>
      <c r="B200" s="66" t="s">
        <v>335</v>
      </c>
      <c r="C200" s="67"/>
      <c r="D200" s="68"/>
      <c r="E200" s="69"/>
      <c r="F200" s="70"/>
      <c r="G200" s="67"/>
      <c r="H200" s="71"/>
      <c r="I200" s="72"/>
      <c r="J200" s="72"/>
      <c r="K200" s="36"/>
      <c r="L200" s="79"/>
      <c r="M200" s="79"/>
      <c r="N200" s="74"/>
      <c r="O200" s="81" t="s">
        <v>1532</v>
      </c>
      <c r="P200" s="83">
        <v>44459.344247685185</v>
      </c>
      <c r="Q200" s="81" t="s">
        <v>1586</v>
      </c>
      <c r="R200" s="81"/>
      <c r="S200" s="81"/>
      <c r="T200" s="81"/>
      <c r="U200" s="84" t="str">
        <f>HYPERLINK("https://pbs.twimg.com/ext_tw_video_thumb/1439603623520993285/pu/img/4NCBVhjvbYSKxAvX.jpg")</f>
        <v>https://pbs.twimg.com/ext_tw_video_thumb/1439603623520993285/pu/img/4NCBVhjvbYSKxAvX.jpg</v>
      </c>
      <c r="V200" s="84" t="str">
        <f>HYPERLINK("https://pbs.twimg.com/ext_tw_video_thumb/1439603623520993285/pu/img/4NCBVhjvbYSKxAvX.jpg")</f>
        <v>https://pbs.twimg.com/ext_tw_video_thumb/1439603623520993285/pu/img/4NCBVhjvbYSKxAvX.jpg</v>
      </c>
      <c r="W200" s="83">
        <v>44459.344247685185</v>
      </c>
      <c r="X200" s="89">
        <v>44459</v>
      </c>
      <c r="Y200" s="86" t="s">
        <v>2929</v>
      </c>
      <c r="Z200" s="84" t="str">
        <f>HYPERLINK("https://twitter.com/acha2612/status/1439865843534286856")</f>
        <v>https://twitter.com/acha2612/status/1439865843534286856</v>
      </c>
      <c r="AA200" s="81"/>
      <c r="AB200" s="81"/>
      <c r="AC200" s="86" t="s">
        <v>4389</v>
      </c>
      <c r="AD200" s="81"/>
      <c r="AE200" s="81" t="b">
        <v>0</v>
      </c>
      <c r="AF200" s="81">
        <v>0</v>
      </c>
      <c r="AG200" s="86" t="s">
        <v>6240</v>
      </c>
      <c r="AH200" s="81" t="b">
        <v>0</v>
      </c>
      <c r="AI200" s="81" t="s">
        <v>6478</v>
      </c>
      <c r="AJ200" s="81"/>
      <c r="AK200" s="86" t="s">
        <v>6240</v>
      </c>
      <c r="AL200" s="81" t="b">
        <v>0</v>
      </c>
      <c r="AM200" s="81">
        <v>102</v>
      </c>
      <c r="AN200" s="86" t="s">
        <v>4519</v>
      </c>
      <c r="AO200" s="86" t="s">
        <v>6503</v>
      </c>
      <c r="AP200" s="81" t="b">
        <v>0</v>
      </c>
      <c r="AQ200" s="86" t="s">
        <v>4519</v>
      </c>
      <c r="AR200" s="81" t="s">
        <v>179</v>
      </c>
      <c r="AS200" s="81">
        <v>0</v>
      </c>
      <c r="AT200" s="81">
        <v>0</v>
      </c>
      <c r="AU200" s="81"/>
      <c r="AV200" s="81"/>
      <c r="AW200" s="81"/>
      <c r="AX200" s="81"/>
      <c r="AY200" s="81"/>
      <c r="AZ200" s="81"/>
      <c r="BA200" s="81"/>
      <c r="BB200" s="81"/>
    </row>
    <row r="201" spans="1:54" x14ac:dyDescent="0.35">
      <c r="A201" s="66" t="s">
        <v>379</v>
      </c>
      <c r="B201" s="66" t="s">
        <v>561</v>
      </c>
      <c r="C201" s="67"/>
      <c r="D201" s="68"/>
      <c r="E201" s="69"/>
      <c r="F201" s="70"/>
      <c r="G201" s="67"/>
      <c r="H201" s="71"/>
      <c r="I201" s="72"/>
      <c r="J201" s="72"/>
      <c r="K201" s="36"/>
      <c r="L201" s="79"/>
      <c r="M201" s="79"/>
      <c r="N201" s="74"/>
      <c r="O201" s="81" t="s">
        <v>1532</v>
      </c>
      <c r="P201" s="83">
        <v>44459.351053240738</v>
      </c>
      <c r="Q201" s="81" t="s">
        <v>1625</v>
      </c>
      <c r="R201" s="81"/>
      <c r="S201" s="81"/>
      <c r="T201" s="81"/>
      <c r="U201" s="84" t="str">
        <f>HYPERLINK("https://pbs.twimg.com/media/E_tum5vVkAE_bIX.jpg")</f>
        <v>https://pbs.twimg.com/media/E_tum5vVkAE_bIX.jpg</v>
      </c>
      <c r="V201" s="84" t="str">
        <f>HYPERLINK("https://pbs.twimg.com/media/E_tum5vVkAE_bIX.jpg")</f>
        <v>https://pbs.twimg.com/media/E_tum5vVkAE_bIX.jpg</v>
      </c>
      <c r="W201" s="83">
        <v>44459.351053240738</v>
      </c>
      <c r="X201" s="89">
        <v>44459</v>
      </c>
      <c r="Y201" s="86" t="s">
        <v>2930</v>
      </c>
      <c r="Z201" s="84" t="str">
        <f>HYPERLINK("https://twitter.com/dottlily/status/1439868312071016448")</f>
        <v>https://twitter.com/dottlily/status/1439868312071016448</v>
      </c>
      <c r="AA201" s="81"/>
      <c r="AB201" s="81"/>
      <c r="AC201" s="86" t="s">
        <v>4390</v>
      </c>
      <c r="AD201" s="81"/>
      <c r="AE201" s="81" t="b">
        <v>0</v>
      </c>
      <c r="AF201" s="81">
        <v>0</v>
      </c>
      <c r="AG201" s="86" t="s">
        <v>6240</v>
      </c>
      <c r="AH201" s="81" t="b">
        <v>0</v>
      </c>
      <c r="AI201" s="81" t="s">
        <v>6478</v>
      </c>
      <c r="AJ201" s="81"/>
      <c r="AK201" s="86" t="s">
        <v>6240</v>
      </c>
      <c r="AL201" s="81" t="b">
        <v>0</v>
      </c>
      <c r="AM201" s="81">
        <v>3</v>
      </c>
      <c r="AN201" s="86" t="s">
        <v>4596</v>
      </c>
      <c r="AO201" s="86" t="s">
        <v>6503</v>
      </c>
      <c r="AP201" s="81" t="b">
        <v>0</v>
      </c>
      <c r="AQ201" s="86" t="s">
        <v>4596</v>
      </c>
      <c r="AR201" s="81" t="s">
        <v>179</v>
      </c>
      <c r="AS201" s="81">
        <v>0</v>
      </c>
      <c r="AT201" s="81">
        <v>0</v>
      </c>
      <c r="AU201" s="81"/>
      <c r="AV201" s="81"/>
      <c r="AW201" s="81"/>
      <c r="AX201" s="81"/>
      <c r="AY201" s="81"/>
      <c r="AZ201" s="81"/>
      <c r="BA201" s="81"/>
      <c r="BB201" s="81"/>
    </row>
    <row r="202" spans="1:54" x14ac:dyDescent="0.35">
      <c r="A202" s="66" t="s">
        <v>380</v>
      </c>
      <c r="B202" s="66" t="s">
        <v>380</v>
      </c>
      <c r="C202" s="67"/>
      <c r="D202" s="68"/>
      <c r="E202" s="69"/>
      <c r="F202" s="70"/>
      <c r="G202" s="67"/>
      <c r="H202" s="71"/>
      <c r="I202" s="72"/>
      <c r="J202" s="72"/>
      <c r="K202" s="36"/>
      <c r="L202" s="79"/>
      <c r="M202" s="79"/>
      <c r="N202" s="74"/>
      <c r="O202" s="81" t="s">
        <v>179</v>
      </c>
      <c r="P202" s="83">
        <v>44459.357881944445</v>
      </c>
      <c r="Q202" s="81" t="s">
        <v>1626</v>
      </c>
      <c r="R202" s="81"/>
      <c r="S202" s="81"/>
      <c r="T202" s="81"/>
      <c r="U202" s="81"/>
      <c r="V202" s="84" t="str">
        <f>HYPERLINK("https://pbs.twimg.com/profile_images/1214723655806009344/shjadctT_normal.jpg")</f>
        <v>https://pbs.twimg.com/profile_images/1214723655806009344/shjadctT_normal.jpg</v>
      </c>
      <c r="W202" s="83">
        <v>44459.357881944445</v>
      </c>
      <c r="X202" s="89">
        <v>44459</v>
      </c>
      <c r="Y202" s="86" t="s">
        <v>2931</v>
      </c>
      <c r="Z202" s="84" t="str">
        <f>HYPERLINK("https://twitter.com/kanimentikong/status/1439870784869044232")</f>
        <v>https://twitter.com/kanimentikong/status/1439870784869044232</v>
      </c>
      <c r="AA202" s="81"/>
      <c r="AB202" s="81"/>
      <c r="AC202" s="86" t="s">
        <v>4391</v>
      </c>
      <c r="AD202" s="86" t="s">
        <v>6000</v>
      </c>
      <c r="AE202" s="81" t="b">
        <v>0</v>
      </c>
      <c r="AF202" s="81">
        <v>0</v>
      </c>
      <c r="AG202" s="86" t="s">
        <v>6269</v>
      </c>
      <c r="AH202" s="81" t="b">
        <v>0</v>
      </c>
      <c r="AI202" s="81" t="s">
        <v>6478</v>
      </c>
      <c r="AJ202" s="81"/>
      <c r="AK202" s="86" t="s">
        <v>6240</v>
      </c>
      <c r="AL202" s="81" t="b">
        <v>0</v>
      </c>
      <c r="AM202" s="81">
        <v>0</v>
      </c>
      <c r="AN202" s="86" t="s">
        <v>6240</v>
      </c>
      <c r="AO202" s="86" t="s">
        <v>6507</v>
      </c>
      <c r="AP202" s="81" t="b">
        <v>0</v>
      </c>
      <c r="AQ202" s="86" t="s">
        <v>6000</v>
      </c>
      <c r="AR202" s="81" t="s">
        <v>179</v>
      </c>
      <c r="AS202" s="81">
        <v>0</v>
      </c>
      <c r="AT202" s="81">
        <v>0</v>
      </c>
      <c r="AU202" s="81"/>
      <c r="AV202" s="81"/>
      <c r="AW202" s="81"/>
      <c r="AX202" s="81"/>
      <c r="AY202" s="81"/>
      <c r="AZ202" s="81"/>
      <c r="BA202" s="81"/>
      <c r="BB202" s="81"/>
    </row>
    <row r="203" spans="1:54" x14ac:dyDescent="0.35">
      <c r="A203" s="66" t="s">
        <v>381</v>
      </c>
      <c r="B203" s="66" t="s">
        <v>381</v>
      </c>
      <c r="C203" s="67"/>
      <c r="D203" s="68"/>
      <c r="E203" s="69"/>
      <c r="F203" s="70"/>
      <c r="G203" s="67"/>
      <c r="H203" s="71"/>
      <c r="I203" s="72"/>
      <c r="J203" s="72"/>
      <c r="K203" s="36"/>
      <c r="L203" s="79"/>
      <c r="M203" s="79"/>
      <c r="N203" s="74"/>
      <c r="O203" s="81" t="s">
        <v>179</v>
      </c>
      <c r="P203" s="83">
        <v>44459.358657407407</v>
      </c>
      <c r="Q203" s="81" t="s">
        <v>1627</v>
      </c>
      <c r="R203" s="81"/>
      <c r="S203" s="81"/>
      <c r="T203" s="81"/>
      <c r="U203" s="84" t="str">
        <f>HYPERLINK("https://pbs.twimg.com/media/E_tzGXFUcAIg_td.jpg")</f>
        <v>https://pbs.twimg.com/media/E_tzGXFUcAIg_td.jpg</v>
      </c>
      <c r="V203" s="84" t="str">
        <f>HYPERLINK("https://pbs.twimg.com/media/E_tzGXFUcAIg_td.jpg")</f>
        <v>https://pbs.twimg.com/media/E_tzGXFUcAIg_td.jpg</v>
      </c>
      <c r="W203" s="83">
        <v>44459.358657407407</v>
      </c>
      <c r="X203" s="89">
        <v>44459</v>
      </c>
      <c r="Y203" s="86" t="s">
        <v>2932</v>
      </c>
      <c r="Z203" s="84" t="str">
        <f>HYPERLINK("https://twitter.com/kamustikaa/status/1439871068550823940")</f>
        <v>https://twitter.com/kamustikaa/status/1439871068550823940</v>
      </c>
      <c r="AA203" s="81"/>
      <c r="AB203" s="81"/>
      <c r="AC203" s="86" t="s">
        <v>4392</v>
      </c>
      <c r="AD203" s="86" t="s">
        <v>6001</v>
      </c>
      <c r="AE203" s="81" t="b">
        <v>0</v>
      </c>
      <c r="AF203" s="81">
        <v>0</v>
      </c>
      <c r="AG203" s="86" t="s">
        <v>6270</v>
      </c>
      <c r="AH203" s="81" t="b">
        <v>0</v>
      </c>
      <c r="AI203" s="81" t="s">
        <v>6478</v>
      </c>
      <c r="AJ203" s="81"/>
      <c r="AK203" s="86" t="s">
        <v>6240</v>
      </c>
      <c r="AL203" s="81" t="b">
        <v>0</v>
      </c>
      <c r="AM203" s="81">
        <v>0</v>
      </c>
      <c r="AN203" s="86" t="s">
        <v>6240</v>
      </c>
      <c r="AO203" s="86" t="s">
        <v>6503</v>
      </c>
      <c r="AP203" s="81" t="b">
        <v>0</v>
      </c>
      <c r="AQ203" s="86" t="s">
        <v>6001</v>
      </c>
      <c r="AR203" s="81" t="s">
        <v>179</v>
      </c>
      <c r="AS203" s="81">
        <v>0</v>
      </c>
      <c r="AT203" s="81">
        <v>0</v>
      </c>
      <c r="AU203" s="81"/>
      <c r="AV203" s="81"/>
      <c r="AW203" s="81"/>
      <c r="AX203" s="81"/>
      <c r="AY203" s="81"/>
      <c r="AZ203" s="81"/>
      <c r="BA203" s="81"/>
      <c r="BB203" s="81"/>
    </row>
    <row r="204" spans="1:54" x14ac:dyDescent="0.35">
      <c r="A204" s="66" t="s">
        <v>381</v>
      </c>
      <c r="B204" s="66" t="s">
        <v>381</v>
      </c>
      <c r="C204" s="67"/>
      <c r="D204" s="68"/>
      <c r="E204" s="69"/>
      <c r="F204" s="70"/>
      <c r="G204" s="67"/>
      <c r="H204" s="71"/>
      <c r="I204" s="72"/>
      <c r="J204" s="72"/>
      <c r="K204" s="36"/>
      <c r="L204" s="79"/>
      <c r="M204" s="79"/>
      <c r="N204" s="74"/>
      <c r="O204" s="81" t="s">
        <v>179</v>
      </c>
      <c r="P204" s="83">
        <v>44459.359710648147</v>
      </c>
      <c r="Q204" s="81" t="s">
        <v>1628</v>
      </c>
      <c r="R204" s="81"/>
      <c r="S204" s="81"/>
      <c r="T204" s="81"/>
      <c r="U204" s="81"/>
      <c r="V204" s="84" t="str">
        <f>HYPERLINK("https://pbs.twimg.com/profile_images/1384930450070593537/99K18rDq_normal.jpg")</f>
        <v>https://pbs.twimg.com/profile_images/1384930450070593537/99K18rDq_normal.jpg</v>
      </c>
      <c r="W204" s="83">
        <v>44459.359710648147</v>
      </c>
      <c r="X204" s="89">
        <v>44459</v>
      </c>
      <c r="Y204" s="86" t="s">
        <v>2933</v>
      </c>
      <c r="Z204" s="84" t="str">
        <f>HYPERLINK("https://twitter.com/kamustikaa/status/1439871449070587909")</f>
        <v>https://twitter.com/kamustikaa/status/1439871449070587909</v>
      </c>
      <c r="AA204" s="81"/>
      <c r="AB204" s="81"/>
      <c r="AC204" s="86" t="s">
        <v>4393</v>
      </c>
      <c r="AD204" s="86" t="s">
        <v>4392</v>
      </c>
      <c r="AE204" s="81" t="b">
        <v>0</v>
      </c>
      <c r="AF204" s="81">
        <v>0</v>
      </c>
      <c r="AG204" s="86" t="s">
        <v>6270</v>
      </c>
      <c r="AH204" s="81" t="b">
        <v>0</v>
      </c>
      <c r="AI204" s="81" t="s">
        <v>6478</v>
      </c>
      <c r="AJ204" s="81"/>
      <c r="AK204" s="86" t="s">
        <v>6240</v>
      </c>
      <c r="AL204" s="81" t="b">
        <v>0</v>
      </c>
      <c r="AM204" s="81">
        <v>0</v>
      </c>
      <c r="AN204" s="86" t="s">
        <v>6240</v>
      </c>
      <c r="AO204" s="86" t="s">
        <v>6503</v>
      </c>
      <c r="AP204" s="81" t="b">
        <v>0</v>
      </c>
      <c r="AQ204" s="86" t="s">
        <v>4392</v>
      </c>
      <c r="AR204" s="81" t="s">
        <v>179</v>
      </c>
      <c r="AS204" s="81">
        <v>0</v>
      </c>
      <c r="AT204" s="81">
        <v>0</v>
      </c>
      <c r="AU204" s="81"/>
      <c r="AV204" s="81"/>
      <c r="AW204" s="81"/>
      <c r="AX204" s="81"/>
      <c r="AY204" s="81"/>
      <c r="AZ204" s="81"/>
      <c r="BA204" s="81"/>
      <c r="BB204" s="81"/>
    </row>
    <row r="205" spans="1:54" x14ac:dyDescent="0.35">
      <c r="A205" s="66" t="s">
        <v>382</v>
      </c>
      <c r="B205" s="66" t="s">
        <v>382</v>
      </c>
      <c r="C205" s="67"/>
      <c r="D205" s="68"/>
      <c r="E205" s="69"/>
      <c r="F205" s="70"/>
      <c r="G205" s="67"/>
      <c r="H205" s="71"/>
      <c r="I205" s="72"/>
      <c r="J205" s="72"/>
      <c r="K205" s="36"/>
      <c r="L205" s="79"/>
      <c r="M205" s="79"/>
      <c r="N205" s="74"/>
      <c r="O205" s="81" t="s">
        <v>179</v>
      </c>
      <c r="P205" s="83">
        <v>44459.361284722225</v>
      </c>
      <c r="Q205" s="81" t="s">
        <v>1629</v>
      </c>
      <c r="R205" s="84" t="str">
        <f>HYPERLINK("https://jobtripper.com/Product-Owner-POS-job-94536?t")</f>
        <v>https://jobtripper.com/Product-Owner-POS-job-94536?t</v>
      </c>
      <c r="S205" s="81" t="s">
        <v>2595</v>
      </c>
      <c r="T205" s="86" t="s">
        <v>2665</v>
      </c>
      <c r="U205" s="81"/>
      <c r="V205" s="84" t="str">
        <f>HYPERLINK("https://pbs.twimg.com/profile_images/1360564371156471811/0LhtS6Y4_normal.jpg")</f>
        <v>https://pbs.twimg.com/profile_images/1360564371156471811/0LhtS6Y4_normal.jpg</v>
      </c>
      <c r="W205" s="83">
        <v>44459.361284722225</v>
      </c>
      <c r="X205" s="89">
        <v>44459</v>
      </c>
      <c r="Y205" s="86" t="s">
        <v>2934</v>
      </c>
      <c r="Z205" s="84" t="str">
        <f>HYPERLINK("https://twitter.com/jobtripper/status/1439872017252028421")</f>
        <v>https://twitter.com/jobtripper/status/1439872017252028421</v>
      </c>
      <c r="AA205" s="81"/>
      <c r="AB205" s="81"/>
      <c r="AC205" s="86" t="s">
        <v>4394</v>
      </c>
      <c r="AD205" s="81"/>
      <c r="AE205" s="81" t="b">
        <v>0</v>
      </c>
      <c r="AF205" s="81">
        <v>0</v>
      </c>
      <c r="AG205" s="86" t="s">
        <v>6240</v>
      </c>
      <c r="AH205" s="81" t="b">
        <v>0</v>
      </c>
      <c r="AI205" s="81" t="s">
        <v>6479</v>
      </c>
      <c r="AJ205" s="81"/>
      <c r="AK205" s="86" t="s">
        <v>6240</v>
      </c>
      <c r="AL205" s="81" t="b">
        <v>0</v>
      </c>
      <c r="AM205" s="81">
        <v>0</v>
      </c>
      <c r="AN205" s="86" t="s">
        <v>6240</v>
      </c>
      <c r="AO205" s="86" t="s">
        <v>6507</v>
      </c>
      <c r="AP205" s="81" t="b">
        <v>0</v>
      </c>
      <c r="AQ205" s="86" t="s">
        <v>4394</v>
      </c>
      <c r="AR205" s="81" t="s">
        <v>179</v>
      </c>
      <c r="AS205" s="81">
        <v>0</v>
      </c>
      <c r="AT205" s="81">
        <v>0</v>
      </c>
      <c r="AU205" s="81"/>
      <c r="AV205" s="81"/>
      <c r="AW205" s="81"/>
      <c r="AX205" s="81"/>
      <c r="AY205" s="81"/>
      <c r="AZ205" s="81"/>
      <c r="BA205" s="81"/>
      <c r="BB205" s="81"/>
    </row>
    <row r="206" spans="1:54" x14ac:dyDescent="0.35">
      <c r="A206" s="66" t="s">
        <v>383</v>
      </c>
      <c r="B206" s="66" t="s">
        <v>383</v>
      </c>
      <c r="C206" s="67"/>
      <c r="D206" s="68"/>
      <c r="E206" s="69"/>
      <c r="F206" s="70"/>
      <c r="G206" s="67"/>
      <c r="H206" s="71"/>
      <c r="I206" s="72"/>
      <c r="J206" s="72"/>
      <c r="K206" s="36"/>
      <c r="L206" s="79"/>
      <c r="M206" s="79"/>
      <c r="N206" s="74"/>
      <c r="O206" s="81" t="s">
        <v>179</v>
      </c>
      <c r="P206" s="83">
        <v>44459.365115740744</v>
      </c>
      <c r="Q206" s="81" t="s">
        <v>1630</v>
      </c>
      <c r="R206" s="81"/>
      <c r="S206" s="81"/>
      <c r="T206" s="81"/>
      <c r="U206" s="81"/>
      <c r="V206" s="84" t="str">
        <f>HYPERLINK("https://pbs.twimg.com/profile_images/1434558986540371971/_TiK8zFG_normal.jpg")</f>
        <v>https://pbs.twimg.com/profile_images/1434558986540371971/_TiK8zFG_normal.jpg</v>
      </c>
      <c r="W206" s="83">
        <v>44459.365115740744</v>
      </c>
      <c r="X206" s="89">
        <v>44459</v>
      </c>
      <c r="Y206" s="86" t="s">
        <v>2935</v>
      </c>
      <c r="Z206" s="84" t="str">
        <f>HYPERLINK("https://twitter.com/selebcuit/status/1439873405726035968")</f>
        <v>https://twitter.com/selebcuit/status/1439873405726035968</v>
      </c>
      <c r="AA206" s="81"/>
      <c r="AB206" s="81"/>
      <c r="AC206" s="86" t="s">
        <v>4395</v>
      </c>
      <c r="AD206" s="81"/>
      <c r="AE206" s="81" t="b">
        <v>0</v>
      </c>
      <c r="AF206" s="81">
        <v>2</v>
      </c>
      <c r="AG206" s="86" t="s">
        <v>6240</v>
      </c>
      <c r="AH206" s="81" t="b">
        <v>0</v>
      </c>
      <c r="AI206" s="81" t="s">
        <v>6478</v>
      </c>
      <c r="AJ206" s="81"/>
      <c r="AK206" s="86" t="s">
        <v>6240</v>
      </c>
      <c r="AL206" s="81" t="b">
        <v>0</v>
      </c>
      <c r="AM206" s="81">
        <v>0</v>
      </c>
      <c r="AN206" s="86" t="s">
        <v>6240</v>
      </c>
      <c r="AO206" s="86" t="s">
        <v>6507</v>
      </c>
      <c r="AP206" s="81" t="b">
        <v>0</v>
      </c>
      <c r="AQ206" s="86" t="s">
        <v>4395</v>
      </c>
      <c r="AR206" s="81" t="s">
        <v>179</v>
      </c>
      <c r="AS206" s="81">
        <v>0</v>
      </c>
      <c r="AT206" s="81">
        <v>0</v>
      </c>
      <c r="AU206" s="81"/>
      <c r="AV206" s="81"/>
      <c r="AW206" s="81"/>
      <c r="AX206" s="81"/>
      <c r="AY206" s="81"/>
      <c r="AZ206" s="81"/>
      <c r="BA206" s="81"/>
      <c r="BB206" s="81"/>
    </row>
    <row r="207" spans="1:54" x14ac:dyDescent="0.35">
      <c r="A207" s="66" t="s">
        <v>384</v>
      </c>
      <c r="B207" s="66" t="s">
        <v>335</v>
      </c>
      <c r="C207" s="67"/>
      <c r="D207" s="68"/>
      <c r="E207" s="69"/>
      <c r="F207" s="70"/>
      <c r="G207" s="67"/>
      <c r="H207" s="71"/>
      <c r="I207" s="72"/>
      <c r="J207" s="72"/>
      <c r="K207" s="36"/>
      <c r="L207" s="79"/>
      <c r="M207" s="79"/>
      <c r="N207" s="74"/>
      <c r="O207" s="81" t="s">
        <v>1532</v>
      </c>
      <c r="P207" s="83">
        <v>44459.366400462961</v>
      </c>
      <c r="Q207" s="81" t="s">
        <v>1586</v>
      </c>
      <c r="R207" s="81"/>
      <c r="S207" s="81"/>
      <c r="T207" s="81"/>
      <c r="U207" s="84" t="str">
        <f>HYPERLINK("https://pbs.twimg.com/ext_tw_video_thumb/1439603623520993285/pu/img/4NCBVhjvbYSKxAvX.jpg")</f>
        <v>https://pbs.twimg.com/ext_tw_video_thumb/1439603623520993285/pu/img/4NCBVhjvbYSKxAvX.jpg</v>
      </c>
      <c r="V207" s="84" t="str">
        <f>HYPERLINK("https://pbs.twimg.com/ext_tw_video_thumb/1439603623520993285/pu/img/4NCBVhjvbYSKxAvX.jpg")</f>
        <v>https://pbs.twimg.com/ext_tw_video_thumb/1439603623520993285/pu/img/4NCBVhjvbYSKxAvX.jpg</v>
      </c>
      <c r="W207" s="83">
        <v>44459.366400462961</v>
      </c>
      <c r="X207" s="89">
        <v>44459</v>
      </c>
      <c r="Y207" s="86" t="s">
        <v>2936</v>
      </c>
      <c r="Z207" s="84" t="str">
        <f>HYPERLINK("https://twitter.com/alepsss_/status/1439873873613180928")</f>
        <v>https://twitter.com/alepsss_/status/1439873873613180928</v>
      </c>
      <c r="AA207" s="81"/>
      <c r="AB207" s="81"/>
      <c r="AC207" s="86" t="s">
        <v>4396</v>
      </c>
      <c r="AD207" s="81"/>
      <c r="AE207" s="81" t="b">
        <v>0</v>
      </c>
      <c r="AF207" s="81">
        <v>0</v>
      </c>
      <c r="AG207" s="86" t="s">
        <v>6240</v>
      </c>
      <c r="AH207" s="81" t="b">
        <v>0</v>
      </c>
      <c r="AI207" s="81" t="s">
        <v>6478</v>
      </c>
      <c r="AJ207" s="81"/>
      <c r="AK207" s="86" t="s">
        <v>6240</v>
      </c>
      <c r="AL207" s="81" t="b">
        <v>0</v>
      </c>
      <c r="AM207" s="81">
        <v>102</v>
      </c>
      <c r="AN207" s="86" t="s">
        <v>4519</v>
      </c>
      <c r="AO207" s="86" t="s">
        <v>6503</v>
      </c>
      <c r="AP207" s="81" t="b">
        <v>0</v>
      </c>
      <c r="AQ207" s="86" t="s">
        <v>4519</v>
      </c>
      <c r="AR207" s="81" t="s">
        <v>179</v>
      </c>
      <c r="AS207" s="81">
        <v>0</v>
      </c>
      <c r="AT207" s="81">
        <v>0</v>
      </c>
      <c r="AU207" s="81"/>
      <c r="AV207" s="81"/>
      <c r="AW207" s="81"/>
      <c r="AX207" s="81"/>
      <c r="AY207" s="81"/>
      <c r="AZ207" s="81"/>
      <c r="BA207" s="81"/>
      <c r="BB207" s="81"/>
    </row>
    <row r="208" spans="1:54" x14ac:dyDescent="0.35">
      <c r="A208" s="66" t="s">
        <v>385</v>
      </c>
      <c r="B208" s="66" t="s">
        <v>561</v>
      </c>
      <c r="C208" s="67"/>
      <c r="D208" s="68"/>
      <c r="E208" s="69"/>
      <c r="F208" s="70"/>
      <c r="G208" s="67"/>
      <c r="H208" s="71"/>
      <c r="I208" s="72"/>
      <c r="J208" s="72"/>
      <c r="K208" s="36"/>
      <c r="L208" s="79"/>
      <c r="M208" s="79"/>
      <c r="N208" s="74"/>
      <c r="O208" s="81" t="s">
        <v>1532</v>
      </c>
      <c r="P208" s="83">
        <v>44459.373715277776</v>
      </c>
      <c r="Q208" s="81" t="s">
        <v>1625</v>
      </c>
      <c r="R208" s="81"/>
      <c r="S208" s="81"/>
      <c r="T208" s="81"/>
      <c r="U208" s="84" t="str">
        <f>HYPERLINK("https://pbs.twimg.com/media/E_tum5vVkAE_bIX.jpg")</f>
        <v>https://pbs.twimg.com/media/E_tum5vVkAE_bIX.jpg</v>
      </c>
      <c r="V208" s="84" t="str">
        <f>HYPERLINK("https://pbs.twimg.com/media/E_tum5vVkAE_bIX.jpg")</f>
        <v>https://pbs.twimg.com/media/E_tum5vVkAE_bIX.jpg</v>
      </c>
      <c r="W208" s="83">
        <v>44459.373715277776</v>
      </c>
      <c r="X208" s="89">
        <v>44459</v>
      </c>
      <c r="Y208" s="86" t="s">
        <v>2937</v>
      </c>
      <c r="Z208" s="84" t="str">
        <f>HYPERLINK("https://twitter.com/kenanga_co/status/1439876523616391180")</f>
        <v>https://twitter.com/kenanga_co/status/1439876523616391180</v>
      </c>
      <c r="AA208" s="81"/>
      <c r="AB208" s="81"/>
      <c r="AC208" s="86" t="s">
        <v>4397</v>
      </c>
      <c r="AD208" s="81"/>
      <c r="AE208" s="81" t="b">
        <v>0</v>
      </c>
      <c r="AF208" s="81">
        <v>0</v>
      </c>
      <c r="AG208" s="86" t="s">
        <v>6240</v>
      </c>
      <c r="AH208" s="81" t="b">
        <v>0</v>
      </c>
      <c r="AI208" s="81" t="s">
        <v>6478</v>
      </c>
      <c r="AJ208" s="81"/>
      <c r="AK208" s="86" t="s">
        <v>6240</v>
      </c>
      <c r="AL208" s="81" t="b">
        <v>0</v>
      </c>
      <c r="AM208" s="81">
        <v>3</v>
      </c>
      <c r="AN208" s="86" t="s">
        <v>4596</v>
      </c>
      <c r="AO208" s="86" t="s">
        <v>6503</v>
      </c>
      <c r="AP208" s="81" t="b">
        <v>0</v>
      </c>
      <c r="AQ208" s="86" t="s">
        <v>4596</v>
      </c>
      <c r="AR208" s="81" t="s">
        <v>179</v>
      </c>
      <c r="AS208" s="81">
        <v>0</v>
      </c>
      <c r="AT208" s="81">
        <v>0</v>
      </c>
      <c r="AU208" s="81"/>
      <c r="AV208" s="81"/>
      <c r="AW208" s="81"/>
      <c r="AX208" s="81"/>
      <c r="AY208" s="81"/>
      <c r="AZ208" s="81"/>
      <c r="BA208" s="81"/>
      <c r="BB208" s="81"/>
    </row>
    <row r="209" spans="1:54" x14ac:dyDescent="0.35">
      <c r="A209" s="66" t="s">
        <v>386</v>
      </c>
      <c r="B209" s="66" t="s">
        <v>388</v>
      </c>
      <c r="C209" s="67"/>
      <c r="D209" s="68"/>
      <c r="E209" s="69"/>
      <c r="F209" s="70"/>
      <c r="G209" s="67"/>
      <c r="H209" s="71"/>
      <c r="I209" s="72"/>
      <c r="J209" s="72"/>
      <c r="K209" s="36"/>
      <c r="L209" s="79"/>
      <c r="M209" s="79"/>
      <c r="N209" s="74"/>
      <c r="O209" s="81" t="s">
        <v>1532</v>
      </c>
      <c r="P209" s="83">
        <v>44459.378275462965</v>
      </c>
      <c r="Q209" s="81" t="s">
        <v>1631</v>
      </c>
      <c r="R209" s="81"/>
      <c r="S209" s="81"/>
      <c r="T209" s="86" t="s">
        <v>2666</v>
      </c>
      <c r="U209" s="84" t="str">
        <f>HYPERLINK("https://pbs.twimg.com/media/E_txqUjVgAAwPpD.jpg")</f>
        <v>https://pbs.twimg.com/media/E_txqUjVgAAwPpD.jpg</v>
      </c>
      <c r="V209" s="84" t="str">
        <f>HYPERLINK("https://pbs.twimg.com/media/E_txqUjVgAAwPpD.jpg")</f>
        <v>https://pbs.twimg.com/media/E_txqUjVgAAwPpD.jpg</v>
      </c>
      <c r="W209" s="83">
        <v>44459.378275462965</v>
      </c>
      <c r="X209" s="89">
        <v>44459</v>
      </c>
      <c r="Y209" s="86" t="s">
        <v>2938</v>
      </c>
      <c r="Z209" s="84" t="str">
        <f>HYPERLINK("https://twitter.com/ronimputra/status/1439878177258569730")</f>
        <v>https://twitter.com/ronimputra/status/1439878177258569730</v>
      </c>
      <c r="AA209" s="81"/>
      <c r="AB209" s="81"/>
      <c r="AC209" s="86" t="s">
        <v>4398</v>
      </c>
      <c r="AD209" s="81"/>
      <c r="AE209" s="81" t="b">
        <v>0</v>
      </c>
      <c r="AF209" s="81">
        <v>0</v>
      </c>
      <c r="AG209" s="86" t="s">
        <v>6240</v>
      </c>
      <c r="AH209" s="81" t="b">
        <v>0</v>
      </c>
      <c r="AI209" s="81" t="s">
        <v>6479</v>
      </c>
      <c r="AJ209" s="81"/>
      <c r="AK209" s="86" t="s">
        <v>6240</v>
      </c>
      <c r="AL209" s="81" t="b">
        <v>0</v>
      </c>
      <c r="AM209" s="81">
        <v>3</v>
      </c>
      <c r="AN209" s="86" t="s">
        <v>4400</v>
      </c>
      <c r="AO209" s="86" t="s">
        <v>6505</v>
      </c>
      <c r="AP209" s="81" t="b">
        <v>0</v>
      </c>
      <c r="AQ209" s="86" t="s">
        <v>4400</v>
      </c>
      <c r="AR209" s="81" t="s">
        <v>179</v>
      </c>
      <c r="AS209" s="81">
        <v>0</v>
      </c>
      <c r="AT209" s="81">
        <v>0</v>
      </c>
      <c r="AU209" s="81"/>
      <c r="AV209" s="81"/>
      <c r="AW209" s="81"/>
      <c r="AX209" s="81"/>
      <c r="AY209" s="81"/>
      <c r="AZ209" s="81"/>
      <c r="BA209" s="81"/>
      <c r="BB209" s="81"/>
    </row>
    <row r="210" spans="1:54" x14ac:dyDescent="0.35">
      <c r="A210" s="66" t="s">
        <v>387</v>
      </c>
      <c r="B210" s="66" t="s">
        <v>1300</v>
      </c>
      <c r="C210" s="67"/>
      <c r="D210" s="68"/>
      <c r="E210" s="69"/>
      <c r="F210" s="70"/>
      <c r="G210" s="67"/>
      <c r="H210" s="71"/>
      <c r="I210" s="72"/>
      <c r="J210" s="72"/>
      <c r="K210" s="36"/>
      <c r="L210" s="79"/>
      <c r="M210" s="79"/>
      <c r="N210" s="74"/>
      <c r="O210" s="81" t="s">
        <v>1534</v>
      </c>
      <c r="P210" s="83">
        <v>44459.378668981481</v>
      </c>
      <c r="Q210" s="81" t="s">
        <v>1632</v>
      </c>
      <c r="R210" s="81"/>
      <c r="S210" s="81"/>
      <c r="T210" s="81"/>
      <c r="U210" s="81"/>
      <c r="V210" s="84" t="str">
        <f>HYPERLINK("https://pbs.twimg.com/profile_images/1406723222335234048/OgEwc7GO_normal.jpg")</f>
        <v>https://pbs.twimg.com/profile_images/1406723222335234048/OgEwc7GO_normal.jpg</v>
      </c>
      <c r="W210" s="83">
        <v>44459.378668981481</v>
      </c>
      <c r="X210" s="89">
        <v>44459</v>
      </c>
      <c r="Y210" s="86" t="s">
        <v>2939</v>
      </c>
      <c r="Z210" s="84" t="str">
        <f>HYPERLINK("https://twitter.com/romshahrom1/status/1439878316819947522")</f>
        <v>https://twitter.com/romshahrom1/status/1439878316819947522</v>
      </c>
      <c r="AA210" s="81"/>
      <c r="AB210" s="81"/>
      <c r="AC210" s="86" t="s">
        <v>4399</v>
      </c>
      <c r="AD210" s="86" t="s">
        <v>6002</v>
      </c>
      <c r="AE210" s="81" t="b">
        <v>0</v>
      </c>
      <c r="AF210" s="81">
        <v>0</v>
      </c>
      <c r="AG210" s="86" t="s">
        <v>6271</v>
      </c>
      <c r="AH210" s="81" t="b">
        <v>0</v>
      </c>
      <c r="AI210" s="81" t="s">
        <v>6478</v>
      </c>
      <c r="AJ210" s="81"/>
      <c r="AK210" s="86" t="s">
        <v>6240</v>
      </c>
      <c r="AL210" s="81" t="b">
        <v>0</v>
      </c>
      <c r="AM210" s="81">
        <v>0</v>
      </c>
      <c r="AN210" s="86" t="s">
        <v>6240</v>
      </c>
      <c r="AO210" s="86" t="s">
        <v>6503</v>
      </c>
      <c r="AP210" s="81" t="b">
        <v>0</v>
      </c>
      <c r="AQ210" s="86" t="s">
        <v>6002</v>
      </c>
      <c r="AR210" s="81" t="s">
        <v>179</v>
      </c>
      <c r="AS210" s="81">
        <v>0</v>
      </c>
      <c r="AT210" s="81">
        <v>0</v>
      </c>
      <c r="AU210" s="81"/>
      <c r="AV210" s="81"/>
      <c r="AW210" s="81"/>
      <c r="AX210" s="81"/>
      <c r="AY210" s="81"/>
      <c r="AZ210" s="81"/>
      <c r="BA210" s="81"/>
      <c r="BB210" s="81"/>
    </row>
    <row r="211" spans="1:54" x14ac:dyDescent="0.35">
      <c r="A211" s="66" t="s">
        <v>388</v>
      </c>
      <c r="B211" s="66" t="s">
        <v>388</v>
      </c>
      <c r="C211" s="67"/>
      <c r="D211" s="68"/>
      <c r="E211" s="69"/>
      <c r="F211" s="70"/>
      <c r="G211" s="67"/>
      <c r="H211" s="71"/>
      <c r="I211" s="72"/>
      <c r="J211" s="72"/>
      <c r="K211" s="36"/>
      <c r="L211" s="79"/>
      <c r="M211" s="79"/>
      <c r="N211" s="74"/>
      <c r="O211" s="81" t="s">
        <v>179</v>
      </c>
      <c r="P211" s="83">
        <v>44459.35429398148</v>
      </c>
      <c r="Q211" s="81" t="s">
        <v>1631</v>
      </c>
      <c r="R211" s="81"/>
      <c r="S211" s="81"/>
      <c r="T211" s="86" t="s">
        <v>2666</v>
      </c>
      <c r="U211" s="84" t="str">
        <f>HYPERLINK("https://pbs.twimg.com/media/E_txqUjVgAAwPpD.jpg")</f>
        <v>https://pbs.twimg.com/media/E_txqUjVgAAwPpD.jpg</v>
      </c>
      <c r="V211" s="84" t="str">
        <f>HYPERLINK("https://pbs.twimg.com/media/E_txqUjVgAAwPpD.jpg")</f>
        <v>https://pbs.twimg.com/media/E_txqUjVgAAwPpD.jpg</v>
      </c>
      <c r="W211" s="83">
        <v>44459.35429398148</v>
      </c>
      <c r="X211" s="89">
        <v>44459</v>
      </c>
      <c r="Y211" s="86" t="s">
        <v>2940</v>
      </c>
      <c r="Z211" s="84" t="str">
        <f>HYPERLINK("https://twitter.com/flagamedia/status/1439869487390412803")</f>
        <v>https://twitter.com/flagamedia/status/1439869487390412803</v>
      </c>
      <c r="AA211" s="81"/>
      <c r="AB211" s="81"/>
      <c r="AC211" s="86" t="s">
        <v>4400</v>
      </c>
      <c r="AD211" s="81"/>
      <c r="AE211" s="81" t="b">
        <v>0</v>
      </c>
      <c r="AF211" s="81">
        <v>2</v>
      </c>
      <c r="AG211" s="86" t="s">
        <v>6240</v>
      </c>
      <c r="AH211" s="81" t="b">
        <v>0</v>
      </c>
      <c r="AI211" s="81" t="s">
        <v>6479</v>
      </c>
      <c r="AJ211" s="81"/>
      <c r="AK211" s="86" t="s">
        <v>6240</v>
      </c>
      <c r="AL211" s="81" t="b">
        <v>0</v>
      </c>
      <c r="AM211" s="81">
        <v>3</v>
      </c>
      <c r="AN211" s="86" t="s">
        <v>6240</v>
      </c>
      <c r="AO211" s="86" t="s">
        <v>6505</v>
      </c>
      <c r="AP211" s="81" t="b">
        <v>0</v>
      </c>
      <c r="AQ211" s="86" t="s">
        <v>4400</v>
      </c>
      <c r="AR211" s="81" t="s">
        <v>179</v>
      </c>
      <c r="AS211" s="81">
        <v>0</v>
      </c>
      <c r="AT211" s="81">
        <v>0</v>
      </c>
      <c r="AU211" s="81"/>
      <c r="AV211" s="81"/>
      <c r="AW211" s="81"/>
      <c r="AX211" s="81"/>
      <c r="AY211" s="81"/>
      <c r="AZ211" s="81"/>
      <c r="BA211" s="81"/>
      <c r="BB211" s="81"/>
    </row>
    <row r="212" spans="1:54" x14ac:dyDescent="0.35">
      <c r="A212" s="66" t="s">
        <v>389</v>
      </c>
      <c r="B212" s="66" t="s">
        <v>388</v>
      </c>
      <c r="C212" s="67"/>
      <c r="D212" s="68"/>
      <c r="E212" s="69"/>
      <c r="F212" s="70"/>
      <c r="G212" s="67"/>
      <c r="H212" s="71"/>
      <c r="I212" s="72"/>
      <c r="J212" s="72"/>
      <c r="K212" s="36"/>
      <c r="L212" s="79"/>
      <c r="M212" s="79"/>
      <c r="N212" s="74"/>
      <c r="O212" s="81" t="s">
        <v>1532</v>
      </c>
      <c r="P212" s="83">
        <v>44459.390219907407</v>
      </c>
      <c r="Q212" s="81" t="s">
        <v>1631</v>
      </c>
      <c r="R212" s="81"/>
      <c r="S212" s="81"/>
      <c r="T212" s="86" t="s">
        <v>2666</v>
      </c>
      <c r="U212" s="84" t="str">
        <f>HYPERLINK("https://pbs.twimg.com/media/E_txqUjVgAAwPpD.jpg")</f>
        <v>https://pbs.twimg.com/media/E_txqUjVgAAwPpD.jpg</v>
      </c>
      <c r="V212" s="84" t="str">
        <f>HYPERLINK("https://pbs.twimg.com/media/E_txqUjVgAAwPpD.jpg")</f>
        <v>https://pbs.twimg.com/media/E_txqUjVgAAwPpD.jpg</v>
      </c>
      <c r="W212" s="83">
        <v>44459.390219907407</v>
      </c>
      <c r="X212" s="89">
        <v>44459</v>
      </c>
      <c r="Y212" s="86" t="s">
        <v>2941</v>
      </c>
      <c r="Z212" s="84" t="str">
        <f>HYPERLINK("https://twitter.com/seotips_vanprob/status/1439882502882091016")</f>
        <v>https://twitter.com/seotips_vanprob/status/1439882502882091016</v>
      </c>
      <c r="AA212" s="81"/>
      <c r="AB212" s="81"/>
      <c r="AC212" s="86" t="s">
        <v>4401</v>
      </c>
      <c r="AD212" s="81"/>
      <c r="AE212" s="81" t="b">
        <v>0</v>
      </c>
      <c r="AF212" s="81">
        <v>0</v>
      </c>
      <c r="AG212" s="86" t="s">
        <v>6240</v>
      </c>
      <c r="AH212" s="81" t="b">
        <v>0</v>
      </c>
      <c r="AI212" s="81" t="s">
        <v>6479</v>
      </c>
      <c r="AJ212" s="81"/>
      <c r="AK212" s="86" t="s">
        <v>6240</v>
      </c>
      <c r="AL212" s="81" t="b">
        <v>0</v>
      </c>
      <c r="AM212" s="81">
        <v>3</v>
      </c>
      <c r="AN212" s="86" t="s">
        <v>4400</v>
      </c>
      <c r="AO212" s="86" t="s">
        <v>6511</v>
      </c>
      <c r="AP212" s="81" t="b">
        <v>0</v>
      </c>
      <c r="AQ212" s="86" t="s">
        <v>4400</v>
      </c>
      <c r="AR212" s="81" t="s">
        <v>179</v>
      </c>
      <c r="AS212" s="81">
        <v>0</v>
      </c>
      <c r="AT212" s="81">
        <v>0</v>
      </c>
      <c r="AU212" s="81"/>
      <c r="AV212" s="81"/>
      <c r="AW212" s="81"/>
      <c r="AX212" s="81"/>
      <c r="AY212" s="81"/>
      <c r="AZ212" s="81"/>
      <c r="BA212" s="81"/>
      <c r="BB212" s="81"/>
    </row>
    <row r="213" spans="1:54" x14ac:dyDescent="0.35">
      <c r="A213" s="66" t="s">
        <v>390</v>
      </c>
      <c r="B213" s="66" t="s">
        <v>1272</v>
      </c>
      <c r="C213" s="67"/>
      <c r="D213" s="68"/>
      <c r="E213" s="69"/>
      <c r="F213" s="70"/>
      <c r="G213" s="67"/>
      <c r="H213" s="71"/>
      <c r="I213" s="72"/>
      <c r="J213" s="72"/>
      <c r="K213" s="36"/>
      <c r="L213" s="79"/>
      <c r="M213" s="79"/>
      <c r="N213" s="74"/>
      <c r="O213" s="81" t="s">
        <v>1533</v>
      </c>
      <c r="P213" s="83">
        <v>44459.397569444445</v>
      </c>
      <c r="Q213" s="81" t="s">
        <v>1536</v>
      </c>
      <c r="R213" s="81"/>
      <c r="S213" s="81"/>
      <c r="T213" s="86" t="s">
        <v>2656</v>
      </c>
      <c r="U213" s="84" t="str">
        <f>HYPERLINK("https://pbs.twimg.com/media/E_X1zlwVIAES6Ks.jpg")</f>
        <v>https://pbs.twimg.com/media/E_X1zlwVIAES6Ks.jpg</v>
      </c>
      <c r="V213" s="84" t="str">
        <f>HYPERLINK("https://pbs.twimg.com/media/E_X1zlwVIAES6Ks.jpg")</f>
        <v>https://pbs.twimg.com/media/E_X1zlwVIAES6Ks.jpg</v>
      </c>
      <c r="W213" s="83">
        <v>44459.397569444445</v>
      </c>
      <c r="X213" s="89">
        <v>44459</v>
      </c>
      <c r="Y213" s="86" t="s">
        <v>2942</v>
      </c>
      <c r="Z213" s="84" t="str">
        <f>HYPERLINK("https://twitter.com/ehteshambilal/status/1439885166705582082")</f>
        <v>https://twitter.com/ehteshambilal/status/1439885166705582082</v>
      </c>
      <c r="AA213" s="81"/>
      <c r="AB213" s="81"/>
      <c r="AC213" s="86" t="s">
        <v>4402</v>
      </c>
      <c r="AD213" s="81"/>
      <c r="AE213" s="81" t="b">
        <v>0</v>
      </c>
      <c r="AF213" s="81">
        <v>0</v>
      </c>
      <c r="AG213" s="86" t="s">
        <v>6240</v>
      </c>
      <c r="AH213" s="81" t="b">
        <v>0</v>
      </c>
      <c r="AI213" s="81" t="s">
        <v>6478</v>
      </c>
      <c r="AJ213" s="81"/>
      <c r="AK213" s="86" t="s">
        <v>6240</v>
      </c>
      <c r="AL213" s="81" t="b">
        <v>0</v>
      </c>
      <c r="AM213" s="81">
        <v>61</v>
      </c>
      <c r="AN213" s="86" t="s">
        <v>4550</v>
      </c>
      <c r="AO213" s="86" t="s">
        <v>6507</v>
      </c>
      <c r="AP213" s="81" t="b">
        <v>0</v>
      </c>
      <c r="AQ213" s="86" t="s">
        <v>4550</v>
      </c>
      <c r="AR213" s="81" t="s">
        <v>179</v>
      </c>
      <c r="AS213" s="81">
        <v>0</v>
      </c>
      <c r="AT213" s="81">
        <v>0</v>
      </c>
      <c r="AU213" s="81"/>
      <c r="AV213" s="81"/>
      <c r="AW213" s="81"/>
      <c r="AX213" s="81"/>
      <c r="AY213" s="81"/>
      <c r="AZ213" s="81"/>
      <c r="BA213" s="81"/>
      <c r="BB213" s="81"/>
    </row>
    <row r="214" spans="1:54" x14ac:dyDescent="0.35">
      <c r="A214" s="66" t="s">
        <v>390</v>
      </c>
      <c r="B214" s="66" t="s">
        <v>526</v>
      </c>
      <c r="C214" s="67"/>
      <c r="D214" s="68"/>
      <c r="E214" s="69"/>
      <c r="F214" s="70"/>
      <c r="G214" s="67"/>
      <c r="H214" s="71"/>
      <c r="I214" s="72"/>
      <c r="J214" s="72"/>
      <c r="K214" s="36"/>
      <c r="L214" s="79"/>
      <c r="M214" s="79"/>
      <c r="N214" s="74"/>
      <c r="O214" s="81" t="s">
        <v>1532</v>
      </c>
      <c r="P214" s="83">
        <v>44459.397569444445</v>
      </c>
      <c r="Q214" s="81" t="s">
        <v>1536</v>
      </c>
      <c r="R214" s="81"/>
      <c r="S214" s="81"/>
      <c r="T214" s="86" t="s">
        <v>2656</v>
      </c>
      <c r="U214" s="84" t="str">
        <f>HYPERLINK("https://pbs.twimg.com/media/E_X1zlwVIAES6Ks.jpg")</f>
        <v>https://pbs.twimg.com/media/E_X1zlwVIAES6Ks.jpg</v>
      </c>
      <c r="V214" s="84" t="str">
        <f>HYPERLINK("https://pbs.twimg.com/media/E_X1zlwVIAES6Ks.jpg")</f>
        <v>https://pbs.twimg.com/media/E_X1zlwVIAES6Ks.jpg</v>
      </c>
      <c r="W214" s="83">
        <v>44459.397569444445</v>
      </c>
      <c r="X214" s="89">
        <v>44459</v>
      </c>
      <c r="Y214" s="86" t="s">
        <v>2942</v>
      </c>
      <c r="Z214" s="84" t="str">
        <f>HYPERLINK("https://twitter.com/ehteshambilal/status/1439885166705582082")</f>
        <v>https://twitter.com/ehteshambilal/status/1439885166705582082</v>
      </c>
      <c r="AA214" s="81"/>
      <c r="AB214" s="81"/>
      <c r="AC214" s="86" t="s">
        <v>4402</v>
      </c>
      <c r="AD214" s="81"/>
      <c r="AE214" s="81" t="b">
        <v>0</v>
      </c>
      <c r="AF214" s="81">
        <v>0</v>
      </c>
      <c r="AG214" s="86" t="s">
        <v>6240</v>
      </c>
      <c r="AH214" s="81" t="b">
        <v>0</v>
      </c>
      <c r="AI214" s="81" t="s">
        <v>6478</v>
      </c>
      <c r="AJ214" s="81"/>
      <c r="AK214" s="86" t="s">
        <v>6240</v>
      </c>
      <c r="AL214" s="81" t="b">
        <v>0</v>
      </c>
      <c r="AM214" s="81">
        <v>61</v>
      </c>
      <c r="AN214" s="86" t="s">
        <v>4550</v>
      </c>
      <c r="AO214" s="86" t="s">
        <v>6507</v>
      </c>
      <c r="AP214" s="81" t="b">
        <v>0</v>
      </c>
      <c r="AQ214" s="86" t="s">
        <v>4550</v>
      </c>
      <c r="AR214" s="81" t="s">
        <v>179</v>
      </c>
      <c r="AS214" s="81">
        <v>0</v>
      </c>
      <c r="AT214" s="81">
        <v>0</v>
      </c>
      <c r="AU214" s="81"/>
      <c r="AV214" s="81"/>
      <c r="AW214" s="81"/>
      <c r="AX214" s="81"/>
      <c r="AY214" s="81"/>
      <c r="AZ214" s="81"/>
      <c r="BA214" s="81"/>
      <c r="BB214" s="81"/>
    </row>
    <row r="215" spans="1:54" x14ac:dyDescent="0.35">
      <c r="A215" s="66" t="s">
        <v>391</v>
      </c>
      <c r="B215" s="66" t="s">
        <v>391</v>
      </c>
      <c r="C215" s="67"/>
      <c r="D215" s="68"/>
      <c r="E215" s="69"/>
      <c r="F215" s="70"/>
      <c r="G215" s="67"/>
      <c r="H215" s="71"/>
      <c r="I215" s="72"/>
      <c r="J215" s="72"/>
      <c r="K215" s="36"/>
      <c r="L215" s="79"/>
      <c r="M215" s="79"/>
      <c r="N215" s="74"/>
      <c r="O215" s="81" t="s">
        <v>179</v>
      </c>
      <c r="P215" s="83">
        <v>44459.397638888891</v>
      </c>
      <c r="Q215" s="81" t="s">
        <v>1633</v>
      </c>
      <c r="R215" s="81"/>
      <c r="S215" s="81"/>
      <c r="T215" s="81"/>
      <c r="U215" s="84" t="str">
        <f>HYPERLINK("https://pbs.twimg.com/media/E_t_8trVgAAD12I.jpg")</f>
        <v>https://pbs.twimg.com/media/E_t_8trVgAAD12I.jpg</v>
      </c>
      <c r="V215" s="84" t="str">
        <f>HYPERLINK("https://pbs.twimg.com/media/E_t_8trVgAAD12I.jpg")</f>
        <v>https://pbs.twimg.com/media/E_t_8trVgAAD12I.jpg</v>
      </c>
      <c r="W215" s="83">
        <v>44459.397638888891</v>
      </c>
      <c r="X215" s="89">
        <v>44459</v>
      </c>
      <c r="Y215" s="86" t="s">
        <v>2943</v>
      </c>
      <c r="Z215" s="84" t="str">
        <f>HYPERLINK("https://twitter.com/iruuulll__/status/1439885191816769538")</f>
        <v>https://twitter.com/iruuulll__/status/1439885191816769538</v>
      </c>
      <c r="AA215" s="81"/>
      <c r="AB215" s="81"/>
      <c r="AC215" s="86" t="s">
        <v>4403</v>
      </c>
      <c r="AD215" s="81"/>
      <c r="AE215" s="81" t="b">
        <v>0</v>
      </c>
      <c r="AF215" s="81">
        <v>0</v>
      </c>
      <c r="AG215" s="86" t="s">
        <v>6240</v>
      </c>
      <c r="AH215" s="81" t="b">
        <v>0</v>
      </c>
      <c r="AI215" s="81" t="s">
        <v>6478</v>
      </c>
      <c r="AJ215" s="81"/>
      <c r="AK215" s="86" t="s">
        <v>6240</v>
      </c>
      <c r="AL215" s="81" t="b">
        <v>0</v>
      </c>
      <c r="AM215" s="81">
        <v>0</v>
      </c>
      <c r="AN215" s="86" t="s">
        <v>6240</v>
      </c>
      <c r="AO215" s="86" t="s">
        <v>6505</v>
      </c>
      <c r="AP215" s="81" t="b">
        <v>0</v>
      </c>
      <c r="AQ215" s="86" t="s">
        <v>4403</v>
      </c>
      <c r="AR215" s="81" t="s">
        <v>179</v>
      </c>
      <c r="AS215" s="81">
        <v>0</v>
      </c>
      <c r="AT215" s="81">
        <v>0</v>
      </c>
      <c r="AU215" s="81"/>
      <c r="AV215" s="81"/>
      <c r="AW215" s="81"/>
      <c r="AX215" s="81"/>
      <c r="AY215" s="81"/>
      <c r="AZ215" s="81"/>
      <c r="BA215" s="81"/>
      <c r="BB215" s="81"/>
    </row>
    <row r="216" spans="1:54" x14ac:dyDescent="0.35">
      <c r="A216" s="66" t="s">
        <v>392</v>
      </c>
      <c r="B216" s="66" t="s">
        <v>392</v>
      </c>
      <c r="C216" s="67"/>
      <c r="D216" s="68"/>
      <c r="E216" s="69"/>
      <c r="F216" s="70"/>
      <c r="G216" s="67"/>
      <c r="H216" s="71"/>
      <c r="I216" s="72"/>
      <c r="J216" s="72"/>
      <c r="K216" s="36"/>
      <c r="L216" s="79"/>
      <c r="M216" s="79"/>
      <c r="N216" s="74"/>
      <c r="O216" s="81" t="s">
        <v>179</v>
      </c>
      <c r="P216" s="83">
        <v>44459.413923611108</v>
      </c>
      <c r="Q216" s="81" t="s">
        <v>1634</v>
      </c>
      <c r="R216" s="84" t="str">
        <f>HYPERLINK("https://twitter.com/khairulaming/status/1439804066050101258")</f>
        <v>https://twitter.com/khairulaming/status/1439804066050101258</v>
      </c>
      <c r="S216" s="81" t="s">
        <v>2588</v>
      </c>
      <c r="T216" s="81"/>
      <c r="U216" s="81"/>
      <c r="V216" s="84" t="str">
        <f>HYPERLINK("https://pbs.twimg.com/profile_images/1028597099556888576/dzChXvPK_normal.jpg")</f>
        <v>https://pbs.twimg.com/profile_images/1028597099556888576/dzChXvPK_normal.jpg</v>
      </c>
      <c r="W216" s="83">
        <v>44459.413923611108</v>
      </c>
      <c r="X216" s="89">
        <v>44459</v>
      </c>
      <c r="Y216" s="86" t="s">
        <v>2944</v>
      </c>
      <c r="Z216" s="84" t="str">
        <f>HYPERLINK("https://twitter.com/liyanaabubakar/status/1439891096079716355")</f>
        <v>https://twitter.com/liyanaabubakar/status/1439891096079716355</v>
      </c>
      <c r="AA216" s="81"/>
      <c r="AB216" s="81"/>
      <c r="AC216" s="86" t="s">
        <v>4404</v>
      </c>
      <c r="AD216" s="81"/>
      <c r="AE216" s="81" t="b">
        <v>0</v>
      </c>
      <c r="AF216" s="81">
        <v>0</v>
      </c>
      <c r="AG216" s="86" t="s">
        <v>6240</v>
      </c>
      <c r="AH216" s="81" t="b">
        <v>1</v>
      </c>
      <c r="AI216" s="81" t="s">
        <v>6478</v>
      </c>
      <c r="AJ216" s="81"/>
      <c r="AK216" s="86" t="s">
        <v>6493</v>
      </c>
      <c r="AL216" s="81" t="b">
        <v>0</v>
      </c>
      <c r="AM216" s="81">
        <v>0</v>
      </c>
      <c r="AN216" s="86" t="s">
        <v>6240</v>
      </c>
      <c r="AO216" s="86" t="s">
        <v>6505</v>
      </c>
      <c r="AP216" s="81" t="b">
        <v>0</v>
      </c>
      <c r="AQ216" s="86" t="s">
        <v>4404</v>
      </c>
      <c r="AR216" s="81" t="s">
        <v>179</v>
      </c>
      <c r="AS216" s="81">
        <v>0</v>
      </c>
      <c r="AT216" s="81">
        <v>0</v>
      </c>
      <c r="AU216" s="81"/>
      <c r="AV216" s="81"/>
      <c r="AW216" s="81"/>
      <c r="AX216" s="81"/>
      <c r="AY216" s="81"/>
      <c r="AZ216" s="81"/>
      <c r="BA216" s="81"/>
      <c r="BB216" s="81"/>
    </row>
    <row r="217" spans="1:54" x14ac:dyDescent="0.35">
      <c r="A217" s="66" t="s">
        <v>393</v>
      </c>
      <c r="B217" s="66" t="s">
        <v>1301</v>
      </c>
      <c r="C217" s="67"/>
      <c r="D217" s="68"/>
      <c r="E217" s="69"/>
      <c r="F217" s="70"/>
      <c r="G217" s="67"/>
      <c r="H217" s="71"/>
      <c r="I217" s="72"/>
      <c r="J217" s="72"/>
      <c r="K217" s="36"/>
      <c r="L217" s="79"/>
      <c r="M217" s="79"/>
      <c r="N217" s="74"/>
      <c r="O217" s="81" t="s">
        <v>1534</v>
      </c>
      <c r="P217" s="83">
        <v>44459.414687500001</v>
      </c>
      <c r="Q217" s="81" t="s">
        <v>1635</v>
      </c>
      <c r="R217" s="81"/>
      <c r="S217" s="81"/>
      <c r="T217" s="81"/>
      <c r="U217" s="81"/>
      <c r="V217" s="84" t="str">
        <f>HYPERLINK("https://pbs.twimg.com/profile_images/1433601734085996574/E1uaFObJ_normal.jpg")</f>
        <v>https://pbs.twimg.com/profile_images/1433601734085996574/E1uaFObJ_normal.jpg</v>
      </c>
      <c r="W217" s="83">
        <v>44459.414687500001</v>
      </c>
      <c r="X217" s="89">
        <v>44459</v>
      </c>
      <c r="Y217" s="86" t="s">
        <v>2945</v>
      </c>
      <c r="Z217" s="84" t="str">
        <f>HYPERLINK("https://twitter.com/odhsbnsjhgg/status/1439891372941533184")</f>
        <v>https://twitter.com/odhsbnsjhgg/status/1439891372941533184</v>
      </c>
      <c r="AA217" s="81"/>
      <c r="AB217" s="81"/>
      <c r="AC217" s="86" t="s">
        <v>4405</v>
      </c>
      <c r="AD217" s="86" t="s">
        <v>6003</v>
      </c>
      <c r="AE217" s="81" t="b">
        <v>0</v>
      </c>
      <c r="AF217" s="81">
        <v>0</v>
      </c>
      <c r="AG217" s="86" t="s">
        <v>6272</v>
      </c>
      <c r="AH217" s="81" t="b">
        <v>0</v>
      </c>
      <c r="AI217" s="81" t="s">
        <v>6478</v>
      </c>
      <c r="AJ217" s="81"/>
      <c r="AK217" s="86" t="s">
        <v>6240</v>
      </c>
      <c r="AL217" s="81" t="b">
        <v>0</v>
      </c>
      <c r="AM217" s="81">
        <v>0</v>
      </c>
      <c r="AN217" s="86" t="s">
        <v>6240</v>
      </c>
      <c r="AO217" s="86" t="s">
        <v>6503</v>
      </c>
      <c r="AP217" s="81" t="b">
        <v>0</v>
      </c>
      <c r="AQ217" s="86" t="s">
        <v>6003</v>
      </c>
      <c r="AR217" s="81" t="s">
        <v>179</v>
      </c>
      <c r="AS217" s="81">
        <v>0</v>
      </c>
      <c r="AT217" s="81">
        <v>0</v>
      </c>
      <c r="AU217" s="81"/>
      <c r="AV217" s="81"/>
      <c r="AW217" s="81"/>
      <c r="AX217" s="81"/>
      <c r="AY217" s="81"/>
      <c r="AZ217" s="81"/>
      <c r="BA217" s="81"/>
      <c r="BB217" s="81"/>
    </row>
    <row r="218" spans="1:54" x14ac:dyDescent="0.35">
      <c r="A218" s="66" t="s">
        <v>394</v>
      </c>
      <c r="B218" s="66" t="s">
        <v>394</v>
      </c>
      <c r="C218" s="67"/>
      <c r="D218" s="68"/>
      <c r="E218" s="69"/>
      <c r="F218" s="70"/>
      <c r="G218" s="67"/>
      <c r="H218" s="71"/>
      <c r="I218" s="72"/>
      <c r="J218" s="72"/>
      <c r="K218" s="36"/>
      <c r="L218" s="79"/>
      <c r="M218" s="79"/>
      <c r="N218" s="74"/>
      <c r="O218" s="81" t="s">
        <v>179</v>
      </c>
      <c r="P218" s="83">
        <v>44459.441238425927</v>
      </c>
      <c r="Q218" s="81" t="s">
        <v>1636</v>
      </c>
      <c r="R218" s="81"/>
      <c r="S218" s="81"/>
      <c r="T218" s="81"/>
      <c r="U218" s="81"/>
      <c r="V218" s="84" t="str">
        <f>HYPERLINK("https://pbs.twimg.com/profile_images/1441729117175500804/wkSSR4Ma_normal.jpg")</f>
        <v>https://pbs.twimg.com/profile_images/1441729117175500804/wkSSR4Ma_normal.jpg</v>
      </c>
      <c r="W218" s="83">
        <v>44459.441238425927</v>
      </c>
      <c r="X218" s="89">
        <v>44459</v>
      </c>
      <c r="Y218" s="86" t="s">
        <v>2946</v>
      </c>
      <c r="Z218" s="84" t="str">
        <f>HYPERLINK("https://twitter.com/woshbeom/status/1439900992602992642")</f>
        <v>https://twitter.com/woshbeom/status/1439900992602992642</v>
      </c>
      <c r="AA218" s="81"/>
      <c r="AB218" s="81"/>
      <c r="AC218" s="86" t="s">
        <v>4406</v>
      </c>
      <c r="AD218" s="81"/>
      <c r="AE218" s="81" t="b">
        <v>0</v>
      </c>
      <c r="AF218" s="81">
        <v>0</v>
      </c>
      <c r="AG218" s="86" t="s">
        <v>6240</v>
      </c>
      <c r="AH218" s="81" t="b">
        <v>0</v>
      </c>
      <c r="AI218" s="81" t="s">
        <v>6478</v>
      </c>
      <c r="AJ218" s="81"/>
      <c r="AK218" s="86" t="s">
        <v>6240</v>
      </c>
      <c r="AL218" s="81" t="b">
        <v>0</v>
      </c>
      <c r="AM218" s="81">
        <v>0</v>
      </c>
      <c r="AN218" s="86" t="s">
        <v>6240</v>
      </c>
      <c r="AO218" s="86" t="s">
        <v>6503</v>
      </c>
      <c r="AP218" s="81" t="b">
        <v>0</v>
      </c>
      <c r="AQ218" s="86" t="s">
        <v>4406</v>
      </c>
      <c r="AR218" s="81" t="s">
        <v>179</v>
      </c>
      <c r="AS218" s="81">
        <v>0</v>
      </c>
      <c r="AT218" s="81">
        <v>0</v>
      </c>
      <c r="AU218" s="81"/>
      <c r="AV218" s="81"/>
      <c r="AW218" s="81"/>
      <c r="AX218" s="81"/>
      <c r="AY218" s="81"/>
      <c r="AZ218" s="81"/>
      <c r="BA218" s="81"/>
      <c r="BB218" s="81"/>
    </row>
    <row r="219" spans="1:54" x14ac:dyDescent="0.35">
      <c r="A219" s="66" t="s">
        <v>395</v>
      </c>
      <c r="B219" s="66" t="s">
        <v>395</v>
      </c>
      <c r="C219" s="67"/>
      <c r="D219" s="68"/>
      <c r="E219" s="69"/>
      <c r="F219" s="70"/>
      <c r="G219" s="67"/>
      <c r="H219" s="71"/>
      <c r="I219" s="72"/>
      <c r="J219" s="72"/>
      <c r="K219" s="36"/>
      <c r="L219" s="79"/>
      <c r="M219" s="79"/>
      <c r="N219" s="74"/>
      <c r="O219" s="81" t="s">
        <v>179</v>
      </c>
      <c r="P219" s="83">
        <v>44459.443020833336</v>
      </c>
      <c r="Q219" s="81" t="s">
        <v>1637</v>
      </c>
      <c r="R219" s="81"/>
      <c r="S219" s="81"/>
      <c r="T219" s="81"/>
      <c r="U219" s="84" t="str">
        <f>HYPERLINK("https://pbs.twimg.com/media/E_uO6VOUYAALNHH.jpg")</f>
        <v>https://pbs.twimg.com/media/E_uO6VOUYAALNHH.jpg</v>
      </c>
      <c r="V219" s="84" t="str">
        <f>HYPERLINK("https://pbs.twimg.com/media/E_uO6VOUYAALNHH.jpg")</f>
        <v>https://pbs.twimg.com/media/E_uO6VOUYAALNHH.jpg</v>
      </c>
      <c r="W219" s="83">
        <v>44459.443020833336</v>
      </c>
      <c r="X219" s="89">
        <v>44459</v>
      </c>
      <c r="Y219" s="86" t="s">
        <v>2947</v>
      </c>
      <c r="Z219" s="84" t="str">
        <f>HYPERLINK("https://twitter.com/karantinapdg/status/1439901641013010436")</f>
        <v>https://twitter.com/karantinapdg/status/1439901641013010436</v>
      </c>
      <c r="AA219" s="81"/>
      <c r="AB219" s="81"/>
      <c r="AC219" s="86" t="s">
        <v>4407</v>
      </c>
      <c r="AD219" s="81"/>
      <c r="AE219" s="81" t="b">
        <v>0</v>
      </c>
      <c r="AF219" s="81">
        <v>1</v>
      </c>
      <c r="AG219" s="86" t="s">
        <v>6273</v>
      </c>
      <c r="AH219" s="81" t="b">
        <v>0</v>
      </c>
      <c r="AI219" s="81" t="s">
        <v>6478</v>
      </c>
      <c r="AJ219" s="81"/>
      <c r="AK219" s="86" t="s">
        <v>6240</v>
      </c>
      <c r="AL219" s="81" t="b">
        <v>0</v>
      </c>
      <c r="AM219" s="81">
        <v>0</v>
      </c>
      <c r="AN219" s="86" t="s">
        <v>6240</v>
      </c>
      <c r="AO219" s="86" t="s">
        <v>6503</v>
      </c>
      <c r="AP219" s="81" t="b">
        <v>0</v>
      </c>
      <c r="AQ219" s="86" t="s">
        <v>4407</v>
      </c>
      <c r="AR219" s="81" t="s">
        <v>179</v>
      </c>
      <c r="AS219" s="81">
        <v>0</v>
      </c>
      <c r="AT219" s="81">
        <v>0</v>
      </c>
      <c r="AU219" s="81"/>
      <c r="AV219" s="81"/>
      <c r="AW219" s="81"/>
      <c r="AX219" s="81"/>
      <c r="AY219" s="81"/>
      <c r="AZ219" s="81"/>
      <c r="BA219" s="81"/>
      <c r="BB219" s="81"/>
    </row>
    <row r="220" spans="1:54" x14ac:dyDescent="0.35">
      <c r="A220" s="66" t="s">
        <v>396</v>
      </c>
      <c r="B220" s="66" t="s">
        <v>1302</v>
      </c>
      <c r="C220" s="67"/>
      <c r="D220" s="68"/>
      <c r="E220" s="69"/>
      <c r="F220" s="70"/>
      <c r="G220" s="67"/>
      <c r="H220" s="71"/>
      <c r="I220" s="72"/>
      <c r="J220" s="72"/>
      <c r="K220" s="36"/>
      <c r="L220" s="79"/>
      <c r="M220" s="79"/>
      <c r="N220" s="74"/>
      <c r="O220" s="81" t="s">
        <v>1534</v>
      </c>
      <c r="P220" s="83">
        <v>44459.444293981483</v>
      </c>
      <c r="Q220" s="81" t="s">
        <v>1638</v>
      </c>
      <c r="R220" s="81"/>
      <c r="S220" s="81"/>
      <c r="T220" s="81"/>
      <c r="U220" s="81"/>
      <c r="V220" s="84" t="str">
        <f>HYPERLINK("https://pbs.twimg.com/profile_images/1436728248822423553/6MW1lzib_normal.jpg")</f>
        <v>https://pbs.twimg.com/profile_images/1436728248822423553/6MW1lzib_normal.jpg</v>
      </c>
      <c r="W220" s="83">
        <v>44459.444293981483</v>
      </c>
      <c r="X220" s="89">
        <v>44459</v>
      </c>
      <c r="Y220" s="86" t="s">
        <v>2948</v>
      </c>
      <c r="Z220" s="84" t="str">
        <f>HYPERLINK("https://twitter.com/mazeruney/status/1439902098842263555")</f>
        <v>https://twitter.com/mazeruney/status/1439902098842263555</v>
      </c>
      <c r="AA220" s="81"/>
      <c r="AB220" s="81"/>
      <c r="AC220" s="86" t="s">
        <v>4408</v>
      </c>
      <c r="AD220" s="86" t="s">
        <v>6004</v>
      </c>
      <c r="AE220" s="81" t="b">
        <v>0</v>
      </c>
      <c r="AF220" s="81">
        <v>0</v>
      </c>
      <c r="AG220" s="86" t="s">
        <v>6274</v>
      </c>
      <c r="AH220" s="81" t="b">
        <v>0</v>
      </c>
      <c r="AI220" s="81" t="s">
        <v>6478</v>
      </c>
      <c r="AJ220" s="81"/>
      <c r="AK220" s="86" t="s">
        <v>6240</v>
      </c>
      <c r="AL220" s="81" t="b">
        <v>0</v>
      </c>
      <c r="AM220" s="81">
        <v>0</v>
      </c>
      <c r="AN220" s="86" t="s">
        <v>6240</v>
      </c>
      <c r="AO220" s="86" t="s">
        <v>6503</v>
      </c>
      <c r="AP220" s="81" t="b">
        <v>0</v>
      </c>
      <c r="AQ220" s="86" t="s">
        <v>6004</v>
      </c>
      <c r="AR220" s="81" t="s">
        <v>179</v>
      </c>
      <c r="AS220" s="81">
        <v>0</v>
      </c>
      <c r="AT220" s="81">
        <v>0</v>
      </c>
      <c r="AU220" s="81"/>
      <c r="AV220" s="81"/>
      <c r="AW220" s="81"/>
      <c r="AX220" s="81"/>
      <c r="AY220" s="81"/>
      <c r="AZ220" s="81"/>
      <c r="BA220" s="81"/>
      <c r="BB220" s="81"/>
    </row>
    <row r="221" spans="1:54" x14ac:dyDescent="0.35">
      <c r="A221" s="66" t="s">
        <v>397</v>
      </c>
      <c r="B221" s="66" t="s">
        <v>335</v>
      </c>
      <c r="C221" s="67"/>
      <c r="D221" s="68"/>
      <c r="E221" s="69"/>
      <c r="F221" s="70"/>
      <c r="G221" s="67"/>
      <c r="H221" s="71"/>
      <c r="I221" s="72"/>
      <c r="J221" s="72"/>
      <c r="K221" s="36"/>
      <c r="L221" s="79"/>
      <c r="M221" s="79"/>
      <c r="N221" s="74"/>
      <c r="O221" s="81" t="s">
        <v>1532</v>
      </c>
      <c r="P221" s="83">
        <v>44459.446423611109</v>
      </c>
      <c r="Q221" s="81" t="s">
        <v>1586</v>
      </c>
      <c r="R221" s="81"/>
      <c r="S221" s="81"/>
      <c r="T221" s="81"/>
      <c r="U221" s="84" t="str">
        <f>HYPERLINK("https://pbs.twimg.com/ext_tw_video_thumb/1439603623520993285/pu/img/4NCBVhjvbYSKxAvX.jpg")</f>
        <v>https://pbs.twimg.com/ext_tw_video_thumb/1439603623520993285/pu/img/4NCBVhjvbYSKxAvX.jpg</v>
      </c>
      <c r="V221" s="84" t="str">
        <f>HYPERLINK("https://pbs.twimg.com/ext_tw_video_thumb/1439603623520993285/pu/img/4NCBVhjvbYSKxAvX.jpg")</f>
        <v>https://pbs.twimg.com/ext_tw_video_thumb/1439603623520993285/pu/img/4NCBVhjvbYSKxAvX.jpg</v>
      </c>
      <c r="W221" s="83">
        <v>44459.446423611109</v>
      </c>
      <c r="X221" s="89">
        <v>44459</v>
      </c>
      <c r="Y221" s="86" t="s">
        <v>2949</v>
      </c>
      <c r="Z221" s="84" t="str">
        <f>HYPERLINK("https://twitter.com/lailaarina_/status/1439902870468395012")</f>
        <v>https://twitter.com/lailaarina_/status/1439902870468395012</v>
      </c>
      <c r="AA221" s="81"/>
      <c r="AB221" s="81"/>
      <c r="AC221" s="86" t="s">
        <v>4409</v>
      </c>
      <c r="AD221" s="81"/>
      <c r="AE221" s="81" t="b">
        <v>0</v>
      </c>
      <c r="AF221" s="81">
        <v>0</v>
      </c>
      <c r="AG221" s="86" t="s">
        <v>6240</v>
      </c>
      <c r="AH221" s="81" t="b">
        <v>0</v>
      </c>
      <c r="AI221" s="81" t="s">
        <v>6478</v>
      </c>
      <c r="AJ221" s="81"/>
      <c r="AK221" s="86" t="s">
        <v>6240</v>
      </c>
      <c r="AL221" s="81" t="b">
        <v>0</v>
      </c>
      <c r="AM221" s="81">
        <v>102</v>
      </c>
      <c r="AN221" s="86" t="s">
        <v>4519</v>
      </c>
      <c r="AO221" s="86" t="s">
        <v>6503</v>
      </c>
      <c r="AP221" s="81" t="b">
        <v>0</v>
      </c>
      <c r="AQ221" s="86" t="s">
        <v>4519</v>
      </c>
      <c r="AR221" s="81" t="s">
        <v>179</v>
      </c>
      <c r="AS221" s="81">
        <v>0</v>
      </c>
      <c r="AT221" s="81">
        <v>0</v>
      </c>
      <c r="AU221" s="81"/>
      <c r="AV221" s="81"/>
      <c r="AW221" s="81"/>
      <c r="AX221" s="81"/>
      <c r="AY221" s="81"/>
      <c r="AZ221" s="81"/>
      <c r="BA221" s="81"/>
      <c r="BB221" s="81"/>
    </row>
    <row r="222" spans="1:54" x14ac:dyDescent="0.35">
      <c r="A222" s="66" t="s">
        <v>398</v>
      </c>
      <c r="B222" s="66" t="s">
        <v>335</v>
      </c>
      <c r="C222" s="67"/>
      <c r="D222" s="68"/>
      <c r="E222" s="69"/>
      <c r="F222" s="70"/>
      <c r="G222" s="67"/>
      <c r="H222" s="71"/>
      <c r="I222" s="72"/>
      <c r="J222" s="72"/>
      <c r="K222" s="36"/>
      <c r="L222" s="79"/>
      <c r="M222" s="79"/>
      <c r="N222" s="74"/>
      <c r="O222" s="81" t="s">
        <v>1532</v>
      </c>
      <c r="P222" s="83">
        <v>44459.455416666664</v>
      </c>
      <c r="Q222" s="81" t="s">
        <v>1586</v>
      </c>
      <c r="R222" s="81"/>
      <c r="S222" s="81"/>
      <c r="T222" s="81"/>
      <c r="U222" s="84" t="str">
        <f>HYPERLINK("https://pbs.twimg.com/ext_tw_video_thumb/1439603623520993285/pu/img/4NCBVhjvbYSKxAvX.jpg")</f>
        <v>https://pbs.twimg.com/ext_tw_video_thumb/1439603623520993285/pu/img/4NCBVhjvbYSKxAvX.jpg</v>
      </c>
      <c r="V222" s="84" t="str">
        <f>HYPERLINK("https://pbs.twimg.com/ext_tw_video_thumb/1439603623520993285/pu/img/4NCBVhjvbYSKxAvX.jpg")</f>
        <v>https://pbs.twimg.com/ext_tw_video_thumb/1439603623520993285/pu/img/4NCBVhjvbYSKxAvX.jpg</v>
      </c>
      <c r="W222" s="83">
        <v>44459.455416666664</v>
      </c>
      <c r="X222" s="89">
        <v>44459</v>
      </c>
      <c r="Y222" s="86" t="s">
        <v>2950</v>
      </c>
      <c r="Z222" s="84" t="str">
        <f>HYPERLINK("https://twitter.com/muzaliii/status/1439906130793091082")</f>
        <v>https://twitter.com/muzaliii/status/1439906130793091082</v>
      </c>
      <c r="AA222" s="81"/>
      <c r="AB222" s="81"/>
      <c r="AC222" s="86" t="s">
        <v>4410</v>
      </c>
      <c r="AD222" s="81"/>
      <c r="AE222" s="81" t="b">
        <v>0</v>
      </c>
      <c r="AF222" s="81">
        <v>0</v>
      </c>
      <c r="AG222" s="86" t="s">
        <v>6240</v>
      </c>
      <c r="AH222" s="81" t="b">
        <v>0</v>
      </c>
      <c r="AI222" s="81" t="s">
        <v>6478</v>
      </c>
      <c r="AJ222" s="81"/>
      <c r="AK222" s="86" t="s">
        <v>6240</v>
      </c>
      <c r="AL222" s="81" t="b">
        <v>0</v>
      </c>
      <c r="AM222" s="81">
        <v>102</v>
      </c>
      <c r="AN222" s="86" t="s">
        <v>4519</v>
      </c>
      <c r="AO222" s="86" t="s">
        <v>6503</v>
      </c>
      <c r="AP222" s="81" t="b">
        <v>0</v>
      </c>
      <c r="AQ222" s="86" t="s">
        <v>4519</v>
      </c>
      <c r="AR222" s="81" t="s">
        <v>179</v>
      </c>
      <c r="AS222" s="81">
        <v>0</v>
      </c>
      <c r="AT222" s="81">
        <v>0</v>
      </c>
      <c r="AU222" s="81"/>
      <c r="AV222" s="81"/>
      <c r="AW222" s="81"/>
      <c r="AX222" s="81"/>
      <c r="AY222" s="81"/>
      <c r="AZ222" s="81"/>
      <c r="BA222" s="81"/>
      <c r="BB222" s="81"/>
    </row>
    <row r="223" spans="1:54" x14ac:dyDescent="0.35">
      <c r="A223" s="66" t="s">
        <v>399</v>
      </c>
      <c r="B223" s="66" t="s">
        <v>1283</v>
      </c>
      <c r="C223" s="67"/>
      <c r="D223" s="68"/>
      <c r="E223" s="69"/>
      <c r="F223" s="70"/>
      <c r="G223" s="67"/>
      <c r="H223" s="71"/>
      <c r="I223" s="72"/>
      <c r="J223" s="72"/>
      <c r="K223" s="36"/>
      <c r="L223" s="79"/>
      <c r="M223" s="79"/>
      <c r="N223" s="74"/>
      <c r="O223" s="81" t="s">
        <v>1533</v>
      </c>
      <c r="P223" s="83">
        <v>44458.312268518515</v>
      </c>
      <c r="Q223" s="81" t="s">
        <v>1639</v>
      </c>
      <c r="R223" s="84" t="str">
        <f>HYPERLINK("https://kerjha.com/pos-indonesia-gandeng-nujek-dan-perkenalkan-o-ranger-mawar/")</f>
        <v>https://kerjha.com/pos-indonesia-gandeng-nujek-dan-perkenalkan-o-ranger-mawar/</v>
      </c>
      <c r="S223" s="81" t="s">
        <v>2586</v>
      </c>
      <c r="T223" s="81"/>
      <c r="U223" s="81"/>
      <c r="V223" s="84" t="str">
        <f>HYPERLINK("https://pbs.twimg.com/profile_images/1438405719968022529/pUZQoUcS_normal.jpg")</f>
        <v>https://pbs.twimg.com/profile_images/1438405719968022529/pUZQoUcS_normal.jpg</v>
      </c>
      <c r="W223" s="83">
        <v>44458.312268518515</v>
      </c>
      <c r="X223" s="89">
        <v>44458</v>
      </c>
      <c r="Y223" s="86" t="s">
        <v>2951</v>
      </c>
      <c r="Z223" s="84" t="str">
        <f>HYPERLINK("https://twitter.com/reshtua/status/1439491868769734658")</f>
        <v>https://twitter.com/reshtua/status/1439491868769734658</v>
      </c>
      <c r="AA223" s="81"/>
      <c r="AB223" s="81"/>
      <c r="AC223" s="86" t="s">
        <v>4411</v>
      </c>
      <c r="AD223" s="81"/>
      <c r="AE223" s="81" t="b">
        <v>0</v>
      </c>
      <c r="AF223" s="81">
        <v>0</v>
      </c>
      <c r="AG223" s="86" t="s">
        <v>6240</v>
      </c>
      <c r="AH223" s="81" t="b">
        <v>0</v>
      </c>
      <c r="AI223" s="81" t="s">
        <v>6478</v>
      </c>
      <c r="AJ223" s="81"/>
      <c r="AK223" s="86" t="s">
        <v>6240</v>
      </c>
      <c r="AL223" s="81" t="b">
        <v>0</v>
      </c>
      <c r="AM223" s="81">
        <v>3</v>
      </c>
      <c r="AN223" s="86" t="s">
        <v>4432</v>
      </c>
      <c r="AO223" s="86" t="s">
        <v>6503</v>
      </c>
      <c r="AP223" s="81" t="b">
        <v>0</v>
      </c>
      <c r="AQ223" s="86" t="s">
        <v>4432</v>
      </c>
      <c r="AR223" s="81" t="s">
        <v>179</v>
      </c>
      <c r="AS223" s="81">
        <v>0</v>
      </c>
      <c r="AT223" s="81">
        <v>0</v>
      </c>
      <c r="AU223" s="81"/>
      <c r="AV223" s="81"/>
      <c r="AW223" s="81"/>
      <c r="AX223" s="81"/>
      <c r="AY223" s="81"/>
      <c r="AZ223" s="81"/>
      <c r="BA223" s="81"/>
      <c r="BB223" s="81"/>
    </row>
    <row r="224" spans="1:54" x14ac:dyDescent="0.35">
      <c r="A224" s="66" t="s">
        <v>399</v>
      </c>
      <c r="B224" s="66" t="s">
        <v>416</v>
      </c>
      <c r="C224" s="67"/>
      <c r="D224" s="68"/>
      <c r="E224" s="69"/>
      <c r="F224" s="70"/>
      <c r="G224" s="67"/>
      <c r="H224" s="71"/>
      <c r="I224" s="72"/>
      <c r="J224" s="72"/>
      <c r="K224" s="36"/>
      <c r="L224" s="79"/>
      <c r="M224" s="79"/>
      <c r="N224" s="74"/>
      <c r="O224" s="81" t="s">
        <v>1532</v>
      </c>
      <c r="P224" s="83">
        <v>44458.312268518515</v>
      </c>
      <c r="Q224" s="81" t="s">
        <v>1639</v>
      </c>
      <c r="R224" s="84" t="str">
        <f>HYPERLINK("https://kerjha.com/pos-indonesia-gandeng-nujek-dan-perkenalkan-o-ranger-mawar/")</f>
        <v>https://kerjha.com/pos-indonesia-gandeng-nujek-dan-perkenalkan-o-ranger-mawar/</v>
      </c>
      <c r="S224" s="81" t="s">
        <v>2586</v>
      </c>
      <c r="T224" s="81"/>
      <c r="U224" s="81"/>
      <c r="V224" s="84" t="str">
        <f>HYPERLINK("https://pbs.twimg.com/profile_images/1438405719968022529/pUZQoUcS_normal.jpg")</f>
        <v>https://pbs.twimg.com/profile_images/1438405719968022529/pUZQoUcS_normal.jpg</v>
      </c>
      <c r="W224" s="83">
        <v>44458.312268518515</v>
      </c>
      <c r="X224" s="89">
        <v>44458</v>
      </c>
      <c r="Y224" s="86" t="s">
        <v>2951</v>
      </c>
      <c r="Z224" s="84" t="str">
        <f>HYPERLINK("https://twitter.com/reshtua/status/1439491868769734658")</f>
        <v>https://twitter.com/reshtua/status/1439491868769734658</v>
      </c>
      <c r="AA224" s="81"/>
      <c r="AB224" s="81"/>
      <c r="AC224" s="86" t="s">
        <v>4411</v>
      </c>
      <c r="AD224" s="81"/>
      <c r="AE224" s="81" t="b">
        <v>0</v>
      </c>
      <c r="AF224" s="81">
        <v>0</v>
      </c>
      <c r="AG224" s="86" t="s">
        <v>6240</v>
      </c>
      <c r="AH224" s="81" t="b">
        <v>0</v>
      </c>
      <c r="AI224" s="81" t="s">
        <v>6478</v>
      </c>
      <c r="AJ224" s="81"/>
      <c r="AK224" s="86" t="s">
        <v>6240</v>
      </c>
      <c r="AL224" s="81" t="b">
        <v>0</v>
      </c>
      <c r="AM224" s="81">
        <v>3</v>
      </c>
      <c r="AN224" s="86" t="s">
        <v>4432</v>
      </c>
      <c r="AO224" s="86" t="s">
        <v>6503</v>
      </c>
      <c r="AP224" s="81" t="b">
        <v>0</v>
      </c>
      <c r="AQ224" s="86" t="s">
        <v>4432</v>
      </c>
      <c r="AR224" s="81" t="s">
        <v>179</v>
      </c>
      <c r="AS224" s="81">
        <v>0</v>
      </c>
      <c r="AT224" s="81">
        <v>0</v>
      </c>
      <c r="AU224" s="81"/>
      <c r="AV224" s="81"/>
      <c r="AW224" s="81"/>
      <c r="AX224" s="81"/>
      <c r="AY224" s="81"/>
      <c r="AZ224" s="81"/>
      <c r="BA224" s="81"/>
      <c r="BB224" s="81"/>
    </row>
    <row r="225" spans="1:54" x14ac:dyDescent="0.35">
      <c r="A225" s="66" t="s">
        <v>399</v>
      </c>
      <c r="B225" s="66" t="s">
        <v>1283</v>
      </c>
      <c r="C225" s="67"/>
      <c r="D225" s="68"/>
      <c r="E225" s="69"/>
      <c r="F225" s="70"/>
      <c r="G225" s="67"/>
      <c r="H225" s="71"/>
      <c r="I225" s="72"/>
      <c r="J225" s="72"/>
      <c r="K225" s="36"/>
      <c r="L225" s="79"/>
      <c r="M225" s="79"/>
      <c r="N225" s="74"/>
      <c r="O225" s="81" t="s">
        <v>1533</v>
      </c>
      <c r="P225" s="83">
        <v>44458.62641203704</v>
      </c>
      <c r="Q225" s="81" t="s">
        <v>1640</v>
      </c>
      <c r="R225" s="84" t="str">
        <f>HYPERLINK("https://kerjha.com/pos-indonesia-gandeng-nujek-dan-perkenalkan-o-ranger-mawar/")</f>
        <v>https://kerjha.com/pos-indonesia-gandeng-nujek-dan-perkenalkan-o-ranger-mawar/</v>
      </c>
      <c r="S225" s="81" t="s">
        <v>2586</v>
      </c>
      <c r="T225" s="81"/>
      <c r="U225" s="81"/>
      <c r="V225" s="84" t="str">
        <f>HYPERLINK("https://pbs.twimg.com/profile_images/1438405719968022529/pUZQoUcS_normal.jpg")</f>
        <v>https://pbs.twimg.com/profile_images/1438405719968022529/pUZQoUcS_normal.jpg</v>
      </c>
      <c r="W225" s="83">
        <v>44458.62641203704</v>
      </c>
      <c r="X225" s="89">
        <v>44458</v>
      </c>
      <c r="Y225" s="86" t="s">
        <v>2952</v>
      </c>
      <c r="Z225" s="84" t="str">
        <f>HYPERLINK("https://twitter.com/reshtua/status/1439605709214085128")</f>
        <v>https://twitter.com/reshtua/status/1439605709214085128</v>
      </c>
      <c r="AA225" s="81"/>
      <c r="AB225" s="81"/>
      <c r="AC225" s="86" t="s">
        <v>4412</v>
      </c>
      <c r="AD225" s="81"/>
      <c r="AE225" s="81" t="b">
        <v>0</v>
      </c>
      <c r="AF225" s="81">
        <v>0</v>
      </c>
      <c r="AG225" s="86" t="s">
        <v>6240</v>
      </c>
      <c r="AH225" s="81" t="b">
        <v>0</v>
      </c>
      <c r="AI225" s="81" t="s">
        <v>6478</v>
      </c>
      <c r="AJ225" s="81"/>
      <c r="AK225" s="86" t="s">
        <v>6240</v>
      </c>
      <c r="AL225" s="81" t="b">
        <v>0</v>
      </c>
      <c r="AM225" s="81">
        <v>3</v>
      </c>
      <c r="AN225" s="86" t="s">
        <v>4434</v>
      </c>
      <c r="AO225" s="86" t="s">
        <v>6503</v>
      </c>
      <c r="AP225" s="81" t="b">
        <v>0</v>
      </c>
      <c r="AQ225" s="86" t="s">
        <v>4434</v>
      </c>
      <c r="AR225" s="81" t="s">
        <v>179</v>
      </c>
      <c r="AS225" s="81">
        <v>0</v>
      </c>
      <c r="AT225" s="81">
        <v>0</v>
      </c>
      <c r="AU225" s="81"/>
      <c r="AV225" s="81"/>
      <c r="AW225" s="81"/>
      <c r="AX225" s="81"/>
      <c r="AY225" s="81"/>
      <c r="AZ225" s="81"/>
      <c r="BA225" s="81"/>
      <c r="BB225" s="81"/>
    </row>
    <row r="226" spans="1:54" x14ac:dyDescent="0.35">
      <c r="A226" s="66" t="s">
        <v>399</v>
      </c>
      <c r="B226" s="66" t="s">
        <v>416</v>
      </c>
      <c r="C226" s="67"/>
      <c r="D226" s="68"/>
      <c r="E226" s="69"/>
      <c r="F226" s="70"/>
      <c r="G226" s="67"/>
      <c r="H226" s="71"/>
      <c r="I226" s="72"/>
      <c r="J226" s="72"/>
      <c r="K226" s="36"/>
      <c r="L226" s="79"/>
      <c r="M226" s="79"/>
      <c r="N226" s="74"/>
      <c r="O226" s="81" t="s">
        <v>1532</v>
      </c>
      <c r="P226" s="83">
        <v>44458.62641203704</v>
      </c>
      <c r="Q226" s="81" t="s">
        <v>1640</v>
      </c>
      <c r="R226" s="84" t="str">
        <f>HYPERLINK("https://kerjha.com/pos-indonesia-gandeng-nujek-dan-perkenalkan-o-ranger-mawar/")</f>
        <v>https://kerjha.com/pos-indonesia-gandeng-nujek-dan-perkenalkan-o-ranger-mawar/</v>
      </c>
      <c r="S226" s="81" t="s">
        <v>2586</v>
      </c>
      <c r="T226" s="81"/>
      <c r="U226" s="81"/>
      <c r="V226" s="84" t="str">
        <f>HYPERLINK("https://pbs.twimg.com/profile_images/1438405719968022529/pUZQoUcS_normal.jpg")</f>
        <v>https://pbs.twimg.com/profile_images/1438405719968022529/pUZQoUcS_normal.jpg</v>
      </c>
      <c r="W226" s="83">
        <v>44458.62641203704</v>
      </c>
      <c r="X226" s="89">
        <v>44458</v>
      </c>
      <c r="Y226" s="86" t="s">
        <v>2952</v>
      </c>
      <c r="Z226" s="84" t="str">
        <f>HYPERLINK("https://twitter.com/reshtua/status/1439605709214085128")</f>
        <v>https://twitter.com/reshtua/status/1439605709214085128</v>
      </c>
      <c r="AA226" s="81"/>
      <c r="AB226" s="81"/>
      <c r="AC226" s="86" t="s">
        <v>4412</v>
      </c>
      <c r="AD226" s="81"/>
      <c r="AE226" s="81" t="b">
        <v>0</v>
      </c>
      <c r="AF226" s="81">
        <v>0</v>
      </c>
      <c r="AG226" s="86" t="s">
        <v>6240</v>
      </c>
      <c r="AH226" s="81" t="b">
        <v>0</v>
      </c>
      <c r="AI226" s="81" t="s">
        <v>6478</v>
      </c>
      <c r="AJ226" s="81"/>
      <c r="AK226" s="86" t="s">
        <v>6240</v>
      </c>
      <c r="AL226" s="81" t="b">
        <v>0</v>
      </c>
      <c r="AM226" s="81">
        <v>3</v>
      </c>
      <c r="AN226" s="86" t="s">
        <v>4434</v>
      </c>
      <c r="AO226" s="86" t="s">
        <v>6503</v>
      </c>
      <c r="AP226" s="81" t="b">
        <v>0</v>
      </c>
      <c r="AQ226" s="86" t="s">
        <v>4434</v>
      </c>
      <c r="AR226" s="81" t="s">
        <v>179</v>
      </c>
      <c r="AS226" s="81">
        <v>0</v>
      </c>
      <c r="AT226" s="81">
        <v>0</v>
      </c>
      <c r="AU226" s="81"/>
      <c r="AV226" s="81"/>
      <c r="AW226" s="81"/>
      <c r="AX226" s="81"/>
      <c r="AY226" s="81"/>
      <c r="AZ226" s="81"/>
      <c r="BA226" s="81"/>
      <c r="BB226" s="81"/>
    </row>
    <row r="227" spans="1:54" x14ac:dyDescent="0.35">
      <c r="A227" s="66" t="s">
        <v>399</v>
      </c>
      <c r="B227" s="66" t="s">
        <v>1283</v>
      </c>
      <c r="C227" s="67"/>
      <c r="D227" s="68"/>
      <c r="E227" s="69"/>
      <c r="F227" s="70"/>
      <c r="G227" s="67"/>
      <c r="H227" s="71"/>
      <c r="I227" s="72"/>
      <c r="J227" s="72"/>
      <c r="K227" s="36"/>
      <c r="L227" s="79"/>
      <c r="M227" s="79"/>
      <c r="N227" s="74"/>
      <c r="O227" s="81" t="s">
        <v>1533</v>
      </c>
      <c r="P227" s="83">
        <v>44459.457627314812</v>
      </c>
      <c r="Q227" s="81" t="s">
        <v>1641</v>
      </c>
      <c r="R227" s="84" t="str">
        <f>HYPERLINK("https://kerjha.com/pos-indonesia-gandeng-nujek-dan-perkenalkan-o-ranger-mawar/")</f>
        <v>https://kerjha.com/pos-indonesia-gandeng-nujek-dan-perkenalkan-o-ranger-mawar/</v>
      </c>
      <c r="S227" s="81" t="s">
        <v>2586</v>
      </c>
      <c r="T227" s="81"/>
      <c r="U227" s="81"/>
      <c r="V227" s="84" t="str">
        <f>HYPERLINK("https://pbs.twimg.com/profile_images/1438405719968022529/pUZQoUcS_normal.jpg")</f>
        <v>https://pbs.twimg.com/profile_images/1438405719968022529/pUZQoUcS_normal.jpg</v>
      </c>
      <c r="W227" s="83">
        <v>44459.457627314812</v>
      </c>
      <c r="X227" s="89">
        <v>44459</v>
      </c>
      <c r="Y227" s="86" t="s">
        <v>2953</v>
      </c>
      <c r="Z227" s="84" t="str">
        <f>HYPERLINK("https://twitter.com/reshtua/status/1439906930613358593")</f>
        <v>https://twitter.com/reshtua/status/1439906930613358593</v>
      </c>
      <c r="AA227" s="81"/>
      <c r="AB227" s="81"/>
      <c r="AC227" s="86" t="s">
        <v>4413</v>
      </c>
      <c r="AD227" s="81"/>
      <c r="AE227" s="81" t="b">
        <v>0</v>
      </c>
      <c r="AF227" s="81">
        <v>0</v>
      </c>
      <c r="AG227" s="86" t="s">
        <v>6240</v>
      </c>
      <c r="AH227" s="81" t="b">
        <v>0</v>
      </c>
      <c r="AI227" s="81" t="s">
        <v>6478</v>
      </c>
      <c r="AJ227" s="81"/>
      <c r="AK227" s="86" t="s">
        <v>6240</v>
      </c>
      <c r="AL227" s="81" t="b">
        <v>0</v>
      </c>
      <c r="AM227" s="81">
        <v>4</v>
      </c>
      <c r="AN227" s="86" t="s">
        <v>4429</v>
      </c>
      <c r="AO227" s="86" t="s">
        <v>6503</v>
      </c>
      <c r="AP227" s="81" t="b">
        <v>0</v>
      </c>
      <c r="AQ227" s="86" t="s">
        <v>4429</v>
      </c>
      <c r="AR227" s="81" t="s">
        <v>179</v>
      </c>
      <c r="AS227" s="81">
        <v>0</v>
      </c>
      <c r="AT227" s="81">
        <v>0</v>
      </c>
      <c r="AU227" s="81"/>
      <c r="AV227" s="81"/>
      <c r="AW227" s="81"/>
      <c r="AX227" s="81"/>
      <c r="AY227" s="81"/>
      <c r="AZ227" s="81"/>
      <c r="BA227" s="81"/>
      <c r="BB227" s="81"/>
    </row>
    <row r="228" spans="1:54" x14ac:dyDescent="0.35">
      <c r="A228" s="66" t="s">
        <v>399</v>
      </c>
      <c r="B228" s="66" t="s">
        <v>415</v>
      </c>
      <c r="C228" s="67"/>
      <c r="D228" s="68"/>
      <c r="E228" s="69"/>
      <c r="F228" s="70"/>
      <c r="G228" s="67"/>
      <c r="H228" s="71"/>
      <c r="I228" s="72"/>
      <c r="J228" s="72"/>
      <c r="K228" s="36"/>
      <c r="L228" s="79"/>
      <c r="M228" s="79"/>
      <c r="N228" s="74"/>
      <c r="O228" s="81" t="s">
        <v>1532</v>
      </c>
      <c r="P228" s="83">
        <v>44459.457627314812</v>
      </c>
      <c r="Q228" s="81" t="s">
        <v>1641</v>
      </c>
      <c r="R228" s="84" t="str">
        <f>HYPERLINK("https://kerjha.com/pos-indonesia-gandeng-nujek-dan-perkenalkan-o-ranger-mawar/")</f>
        <v>https://kerjha.com/pos-indonesia-gandeng-nujek-dan-perkenalkan-o-ranger-mawar/</v>
      </c>
      <c r="S228" s="81" t="s">
        <v>2586</v>
      </c>
      <c r="T228" s="81"/>
      <c r="U228" s="81"/>
      <c r="V228" s="84" t="str">
        <f>HYPERLINK("https://pbs.twimg.com/profile_images/1438405719968022529/pUZQoUcS_normal.jpg")</f>
        <v>https://pbs.twimg.com/profile_images/1438405719968022529/pUZQoUcS_normal.jpg</v>
      </c>
      <c r="W228" s="83">
        <v>44459.457627314812</v>
      </c>
      <c r="X228" s="89">
        <v>44459</v>
      </c>
      <c r="Y228" s="86" t="s">
        <v>2953</v>
      </c>
      <c r="Z228" s="84" t="str">
        <f>HYPERLINK("https://twitter.com/reshtua/status/1439906930613358593")</f>
        <v>https://twitter.com/reshtua/status/1439906930613358593</v>
      </c>
      <c r="AA228" s="81"/>
      <c r="AB228" s="81"/>
      <c r="AC228" s="86" t="s">
        <v>4413</v>
      </c>
      <c r="AD228" s="81"/>
      <c r="AE228" s="81" t="b">
        <v>0</v>
      </c>
      <c r="AF228" s="81">
        <v>0</v>
      </c>
      <c r="AG228" s="86" t="s">
        <v>6240</v>
      </c>
      <c r="AH228" s="81" t="b">
        <v>0</v>
      </c>
      <c r="AI228" s="81" t="s">
        <v>6478</v>
      </c>
      <c r="AJ228" s="81"/>
      <c r="AK228" s="86" t="s">
        <v>6240</v>
      </c>
      <c r="AL228" s="81" t="b">
        <v>0</v>
      </c>
      <c r="AM228" s="81">
        <v>4</v>
      </c>
      <c r="AN228" s="86" t="s">
        <v>4429</v>
      </c>
      <c r="AO228" s="86" t="s">
        <v>6503</v>
      </c>
      <c r="AP228" s="81" t="b">
        <v>0</v>
      </c>
      <c r="AQ228" s="86" t="s">
        <v>4429</v>
      </c>
      <c r="AR228" s="81" t="s">
        <v>179</v>
      </c>
      <c r="AS228" s="81">
        <v>0</v>
      </c>
      <c r="AT228" s="81">
        <v>0</v>
      </c>
      <c r="AU228" s="81"/>
      <c r="AV228" s="81"/>
      <c r="AW228" s="81"/>
      <c r="AX228" s="81"/>
      <c r="AY228" s="81"/>
      <c r="AZ228" s="81"/>
      <c r="BA228" s="81"/>
      <c r="BB228" s="81"/>
    </row>
    <row r="229" spans="1:54" x14ac:dyDescent="0.35">
      <c r="A229" s="66" t="s">
        <v>400</v>
      </c>
      <c r="B229" s="66" t="s">
        <v>400</v>
      </c>
      <c r="C229" s="67"/>
      <c r="D229" s="68"/>
      <c r="E229" s="69"/>
      <c r="F229" s="70"/>
      <c r="G229" s="67"/>
      <c r="H229" s="71"/>
      <c r="I229" s="72"/>
      <c r="J229" s="72"/>
      <c r="K229" s="36"/>
      <c r="L229" s="79"/>
      <c r="M229" s="79"/>
      <c r="N229" s="74"/>
      <c r="O229" s="81" t="s">
        <v>179</v>
      </c>
      <c r="P229" s="83">
        <v>44459.460416666669</v>
      </c>
      <c r="Q229" s="81" t="s">
        <v>1642</v>
      </c>
      <c r="R229" s="84" t="str">
        <f>HYPERLINK("https://www.inews.id/finance/bisnis/mensos-dorong-pos-indonesia-dan-himbara-kalteng-tuntaskan-penyaluran-bansos-sebelum-di-pekan-ketiga-september")</f>
        <v>https://www.inews.id/finance/bisnis/mensos-dorong-pos-indonesia-dan-himbara-kalteng-tuntaskan-penyaluran-bansos-sebelum-di-pekan-ketiga-september</v>
      </c>
      <c r="S229" s="81" t="s">
        <v>2596</v>
      </c>
      <c r="T229" s="81"/>
      <c r="U229" s="81"/>
      <c r="V229" s="84" t="str">
        <f>HYPERLINK("https://pbs.twimg.com/profile_images/1324209183760150529/EwY_4l4s_normal.jpg")</f>
        <v>https://pbs.twimg.com/profile_images/1324209183760150529/EwY_4l4s_normal.jpg</v>
      </c>
      <c r="W229" s="83">
        <v>44459.460416666669</v>
      </c>
      <c r="X229" s="89">
        <v>44459</v>
      </c>
      <c r="Y229" s="86" t="s">
        <v>2954</v>
      </c>
      <c r="Z229" s="84" t="str">
        <f>HYPERLINK("https://twitter.com/inewsdotid/status/1439907942346731529")</f>
        <v>https://twitter.com/inewsdotid/status/1439907942346731529</v>
      </c>
      <c r="AA229" s="81"/>
      <c r="AB229" s="81"/>
      <c r="AC229" s="86" t="s">
        <v>4414</v>
      </c>
      <c r="AD229" s="81"/>
      <c r="AE229" s="81" t="b">
        <v>0</v>
      </c>
      <c r="AF229" s="81">
        <v>1</v>
      </c>
      <c r="AG229" s="86" t="s">
        <v>6240</v>
      </c>
      <c r="AH229" s="81" t="b">
        <v>0</v>
      </c>
      <c r="AI229" s="81" t="s">
        <v>6478</v>
      </c>
      <c r="AJ229" s="81"/>
      <c r="AK229" s="86" t="s">
        <v>6240</v>
      </c>
      <c r="AL229" s="81" t="b">
        <v>0</v>
      </c>
      <c r="AM229" s="81">
        <v>0</v>
      </c>
      <c r="AN229" s="86" t="s">
        <v>6240</v>
      </c>
      <c r="AO229" s="86" t="s">
        <v>6512</v>
      </c>
      <c r="AP229" s="81" t="b">
        <v>0</v>
      </c>
      <c r="AQ229" s="86" t="s">
        <v>4414</v>
      </c>
      <c r="AR229" s="81" t="s">
        <v>179</v>
      </c>
      <c r="AS229" s="81">
        <v>0</v>
      </c>
      <c r="AT229" s="81">
        <v>0</v>
      </c>
      <c r="AU229" s="81"/>
      <c r="AV229" s="81"/>
      <c r="AW229" s="81"/>
      <c r="AX229" s="81"/>
      <c r="AY229" s="81"/>
      <c r="AZ229" s="81"/>
      <c r="BA229" s="81"/>
      <c r="BB229" s="81"/>
    </row>
    <row r="230" spans="1:54" x14ac:dyDescent="0.35">
      <c r="A230" s="66" t="s">
        <v>401</v>
      </c>
      <c r="B230" s="66" t="s">
        <v>335</v>
      </c>
      <c r="C230" s="67"/>
      <c r="D230" s="68"/>
      <c r="E230" s="69"/>
      <c r="F230" s="70"/>
      <c r="G230" s="67"/>
      <c r="H230" s="71"/>
      <c r="I230" s="72"/>
      <c r="J230" s="72"/>
      <c r="K230" s="36"/>
      <c r="L230" s="79"/>
      <c r="M230" s="79"/>
      <c r="N230" s="74"/>
      <c r="O230" s="81" t="s">
        <v>1532</v>
      </c>
      <c r="P230" s="83">
        <v>44459.460844907408</v>
      </c>
      <c r="Q230" s="81" t="s">
        <v>1586</v>
      </c>
      <c r="R230" s="81"/>
      <c r="S230" s="81"/>
      <c r="T230" s="81"/>
      <c r="U230" s="84" t="str">
        <f>HYPERLINK("https://pbs.twimg.com/ext_tw_video_thumb/1439603623520993285/pu/img/4NCBVhjvbYSKxAvX.jpg")</f>
        <v>https://pbs.twimg.com/ext_tw_video_thumb/1439603623520993285/pu/img/4NCBVhjvbYSKxAvX.jpg</v>
      </c>
      <c r="V230" s="84" t="str">
        <f>HYPERLINK("https://pbs.twimg.com/ext_tw_video_thumb/1439603623520993285/pu/img/4NCBVhjvbYSKxAvX.jpg")</f>
        <v>https://pbs.twimg.com/ext_tw_video_thumb/1439603623520993285/pu/img/4NCBVhjvbYSKxAvX.jpg</v>
      </c>
      <c r="W230" s="83">
        <v>44459.460844907408</v>
      </c>
      <c r="X230" s="89">
        <v>44459</v>
      </c>
      <c r="Y230" s="86" t="s">
        <v>2955</v>
      </c>
      <c r="Z230" s="84" t="str">
        <f>HYPERLINK("https://twitter.com/dearmiyra/status/1439908098764787716")</f>
        <v>https://twitter.com/dearmiyra/status/1439908098764787716</v>
      </c>
      <c r="AA230" s="81"/>
      <c r="AB230" s="81"/>
      <c r="AC230" s="86" t="s">
        <v>4415</v>
      </c>
      <c r="AD230" s="81"/>
      <c r="AE230" s="81" t="b">
        <v>0</v>
      </c>
      <c r="AF230" s="81">
        <v>0</v>
      </c>
      <c r="AG230" s="86" t="s">
        <v>6240</v>
      </c>
      <c r="AH230" s="81" t="b">
        <v>0</v>
      </c>
      <c r="AI230" s="81" t="s">
        <v>6478</v>
      </c>
      <c r="AJ230" s="81"/>
      <c r="AK230" s="86" t="s">
        <v>6240</v>
      </c>
      <c r="AL230" s="81" t="b">
        <v>0</v>
      </c>
      <c r="AM230" s="81">
        <v>102</v>
      </c>
      <c r="AN230" s="86" t="s">
        <v>4519</v>
      </c>
      <c r="AO230" s="86" t="s">
        <v>6505</v>
      </c>
      <c r="AP230" s="81" t="b">
        <v>0</v>
      </c>
      <c r="AQ230" s="86" t="s">
        <v>4519</v>
      </c>
      <c r="AR230" s="81" t="s">
        <v>179</v>
      </c>
      <c r="AS230" s="81">
        <v>0</v>
      </c>
      <c r="AT230" s="81">
        <v>0</v>
      </c>
      <c r="AU230" s="81"/>
      <c r="AV230" s="81"/>
      <c r="AW230" s="81"/>
      <c r="AX230" s="81"/>
      <c r="AY230" s="81"/>
      <c r="AZ230" s="81"/>
      <c r="BA230" s="81"/>
      <c r="BB230" s="81"/>
    </row>
    <row r="231" spans="1:54" x14ac:dyDescent="0.35">
      <c r="A231" s="66" t="s">
        <v>402</v>
      </c>
      <c r="B231" s="66" t="s">
        <v>1303</v>
      </c>
      <c r="C231" s="67"/>
      <c r="D231" s="68"/>
      <c r="E231" s="69"/>
      <c r="F231" s="70"/>
      <c r="G231" s="67"/>
      <c r="H231" s="71"/>
      <c r="I231" s="72"/>
      <c r="J231" s="72"/>
      <c r="K231" s="36"/>
      <c r="L231" s="79"/>
      <c r="M231" s="79"/>
      <c r="N231" s="74"/>
      <c r="O231" s="81" t="s">
        <v>1534</v>
      </c>
      <c r="P231" s="83">
        <v>44459.461238425924</v>
      </c>
      <c r="Q231" s="81" t="s">
        <v>1643</v>
      </c>
      <c r="R231" s="81"/>
      <c r="S231" s="81"/>
      <c r="T231" s="81"/>
      <c r="U231" s="81"/>
      <c r="V231" s="84" t="str">
        <f>HYPERLINK("https://pbs.twimg.com/profile_images/1421686849324535810/PnrID7mG_normal.png")</f>
        <v>https://pbs.twimg.com/profile_images/1421686849324535810/PnrID7mG_normal.png</v>
      </c>
      <c r="W231" s="83">
        <v>44459.461238425924</v>
      </c>
      <c r="X231" s="89">
        <v>44459</v>
      </c>
      <c r="Y231" s="86" t="s">
        <v>2956</v>
      </c>
      <c r="Z231" s="84" t="str">
        <f>HYPERLINK("https://twitter.com/aiyudiaa/status/1439908239299153929")</f>
        <v>https://twitter.com/aiyudiaa/status/1439908239299153929</v>
      </c>
      <c r="AA231" s="81"/>
      <c r="AB231" s="81"/>
      <c r="AC231" s="86" t="s">
        <v>4416</v>
      </c>
      <c r="AD231" s="86" t="s">
        <v>6005</v>
      </c>
      <c r="AE231" s="81" t="b">
        <v>0</v>
      </c>
      <c r="AF231" s="81">
        <v>0</v>
      </c>
      <c r="AG231" s="86" t="s">
        <v>6275</v>
      </c>
      <c r="AH231" s="81" t="b">
        <v>0</v>
      </c>
      <c r="AI231" s="81" t="s">
        <v>6478</v>
      </c>
      <c r="AJ231" s="81"/>
      <c r="AK231" s="86" t="s">
        <v>6240</v>
      </c>
      <c r="AL231" s="81" t="b">
        <v>0</v>
      </c>
      <c r="AM231" s="81">
        <v>0</v>
      </c>
      <c r="AN231" s="86" t="s">
        <v>6240</v>
      </c>
      <c r="AO231" s="86" t="s">
        <v>6503</v>
      </c>
      <c r="AP231" s="81" t="b">
        <v>0</v>
      </c>
      <c r="AQ231" s="86" t="s">
        <v>6005</v>
      </c>
      <c r="AR231" s="81" t="s">
        <v>179</v>
      </c>
      <c r="AS231" s="81">
        <v>0</v>
      </c>
      <c r="AT231" s="81">
        <v>0</v>
      </c>
      <c r="AU231" s="81"/>
      <c r="AV231" s="81"/>
      <c r="AW231" s="81"/>
      <c r="AX231" s="81"/>
      <c r="AY231" s="81"/>
      <c r="AZ231" s="81"/>
      <c r="BA231" s="81"/>
      <c r="BB231" s="81"/>
    </row>
    <row r="232" spans="1:54" x14ac:dyDescent="0.35">
      <c r="A232" s="66" t="s">
        <v>403</v>
      </c>
      <c r="B232" s="66" t="s">
        <v>335</v>
      </c>
      <c r="C232" s="67"/>
      <c r="D232" s="68"/>
      <c r="E232" s="69"/>
      <c r="F232" s="70"/>
      <c r="G232" s="67"/>
      <c r="H232" s="71"/>
      <c r="I232" s="72"/>
      <c r="J232" s="72"/>
      <c r="K232" s="36"/>
      <c r="L232" s="79"/>
      <c r="M232" s="79"/>
      <c r="N232" s="74"/>
      <c r="O232" s="81" t="s">
        <v>1532</v>
      </c>
      <c r="P232" s="83">
        <v>44459.462442129632</v>
      </c>
      <c r="Q232" s="81" t="s">
        <v>1586</v>
      </c>
      <c r="R232" s="81"/>
      <c r="S232" s="81"/>
      <c r="T232" s="81"/>
      <c r="U232" s="84" t="str">
        <f>HYPERLINK("https://pbs.twimg.com/ext_tw_video_thumb/1439603623520993285/pu/img/4NCBVhjvbYSKxAvX.jpg")</f>
        <v>https://pbs.twimg.com/ext_tw_video_thumb/1439603623520993285/pu/img/4NCBVhjvbYSKxAvX.jpg</v>
      </c>
      <c r="V232" s="84" t="str">
        <f>HYPERLINK("https://pbs.twimg.com/ext_tw_video_thumb/1439603623520993285/pu/img/4NCBVhjvbYSKxAvX.jpg")</f>
        <v>https://pbs.twimg.com/ext_tw_video_thumb/1439603623520993285/pu/img/4NCBVhjvbYSKxAvX.jpg</v>
      </c>
      <c r="W232" s="83">
        <v>44459.462442129632</v>
      </c>
      <c r="X232" s="89">
        <v>44459</v>
      </c>
      <c r="Y232" s="86" t="s">
        <v>2957</v>
      </c>
      <c r="Z232" s="84" t="str">
        <f>HYPERLINK("https://twitter.com/nrulafiqah17/status/1439908676731486213")</f>
        <v>https://twitter.com/nrulafiqah17/status/1439908676731486213</v>
      </c>
      <c r="AA232" s="81"/>
      <c r="AB232" s="81"/>
      <c r="AC232" s="86" t="s">
        <v>4417</v>
      </c>
      <c r="AD232" s="81"/>
      <c r="AE232" s="81" t="b">
        <v>0</v>
      </c>
      <c r="AF232" s="81">
        <v>0</v>
      </c>
      <c r="AG232" s="86" t="s">
        <v>6240</v>
      </c>
      <c r="AH232" s="81" t="b">
        <v>0</v>
      </c>
      <c r="AI232" s="81" t="s">
        <v>6478</v>
      </c>
      <c r="AJ232" s="81"/>
      <c r="AK232" s="86" t="s">
        <v>6240</v>
      </c>
      <c r="AL232" s="81" t="b">
        <v>0</v>
      </c>
      <c r="AM232" s="81">
        <v>102</v>
      </c>
      <c r="AN232" s="86" t="s">
        <v>4519</v>
      </c>
      <c r="AO232" s="86" t="s">
        <v>6503</v>
      </c>
      <c r="AP232" s="81" t="b">
        <v>0</v>
      </c>
      <c r="AQ232" s="86" t="s">
        <v>4519</v>
      </c>
      <c r="AR232" s="81" t="s">
        <v>179</v>
      </c>
      <c r="AS232" s="81">
        <v>0</v>
      </c>
      <c r="AT232" s="81">
        <v>0</v>
      </c>
      <c r="AU232" s="81"/>
      <c r="AV232" s="81"/>
      <c r="AW232" s="81"/>
      <c r="AX232" s="81"/>
      <c r="AY232" s="81"/>
      <c r="AZ232" s="81"/>
      <c r="BA232" s="81"/>
      <c r="BB232" s="81"/>
    </row>
    <row r="233" spans="1:54" x14ac:dyDescent="0.35">
      <c r="A233" s="66" t="s">
        <v>404</v>
      </c>
      <c r="B233" s="66" t="s">
        <v>335</v>
      </c>
      <c r="C233" s="67"/>
      <c r="D233" s="68"/>
      <c r="E233" s="69"/>
      <c r="F233" s="70"/>
      <c r="G233" s="67"/>
      <c r="H233" s="71"/>
      <c r="I233" s="72"/>
      <c r="J233" s="72"/>
      <c r="K233" s="36"/>
      <c r="L233" s="79"/>
      <c r="M233" s="79"/>
      <c r="N233" s="74"/>
      <c r="O233" s="81" t="s">
        <v>1532</v>
      </c>
      <c r="P233" s="83">
        <v>44459.46733796296</v>
      </c>
      <c r="Q233" s="81" t="s">
        <v>1586</v>
      </c>
      <c r="R233" s="81"/>
      <c r="S233" s="81"/>
      <c r="T233" s="81"/>
      <c r="U233" s="84" t="str">
        <f>HYPERLINK("https://pbs.twimg.com/ext_tw_video_thumb/1439603623520993285/pu/img/4NCBVhjvbYSKxAvX.jpg")</f>
        <v>https://pbs.twimg.com/ext_tw_video_thumb/1439603623520993285/pu/img/4NCBVhjvbYSKxAvX.jpg</v>
      </c>
      <c r="V233" s="84" t="str">
        <f>HYPERLINK("https://pbs.twimg.com/ext_tw_video_thumb/1439603623520993285/pu/img/4NCBVhjvbYSKxAvX.jpg")</f>
        <v>https://pbs.twimg.com/ext_tw_video_thumb/1439603623520993285/pu/img/4NCBVhjvbYSKxAvX.jpg</v>
      </c>
      <c r="W233" s="83">
        <v>44459.46733796296</v>
      </c>
      <c r="X233" s="89">
        <v>44459</v>
      </c>
      <c r="Y233" s="86" t="s">
        <v>2958</v>
      </c>
      <c r="Z233" s="84" t="str">
        <f>HYPERLINK("https://twitter.com/21anishafizah/status/1439910450095820802")</f>
        <v>https://twitter.com/21anishafizah/status/1439910450095820802</v>
      </c>
      <c r="AA233" s="81"/>
      <c r="AB233" s="81"/>
      <c r="AC233" s="86" t="s">
        <v>4418</v>
      </c>
      <c r="AD233" s="81"/>
      <c r="AE233" s="81" t="b">
        <v>0</v>
      </c>
      <c r="AF233" s="81">
        <v>0</v>
      </c>
      <c r="AG233" s="86" t="s">
        <v>6240</v>
      </c>
      <c r="AH233" s="81" t="b">
        <v>0</v>
      </c>
      <c r="AI233" s="81" t="s">
        <v>6478</v>
      </c>
      <c r="AJ233" s="81"/>
      <c r="AK233" s="86" t="s">
        <v>6240</v>
      </c>
      <c r="AL233" s="81" t="b">
        <v>0</v>
      </c>
      <c r="AM233" s="81">
        <v>102</v>
      </c>
      <c r="AN233" s="86" t="s">
        <v>4519</v>
      </c>
      <c r="AO233" s="86" t="s">
        <v>6503</v>
      </c>
      <c r="AP233" s="81" t="b">
        <v>0</v>
      </c>
      <c r="AQ233" s="86" t="s">
        <v>4519</v>
      </c>
      <c r="AR233" s="81" t="s">
        <v>179</v>
      </c>
      <c r="AS233" s="81">
        <v>0</v>
      </c>
      <c r="AT233" s="81">
        <v>0</v>
      </c>
      <c r="AU233" s="81"/>
      <c r="AV233" s="81"/>
      <c r="AW233" s="81"/>
      <c r="AX233" s="81"/>
      <c r="AY233" s="81"/>
      <c r="AZ233" s="81"/>
      <c r="BA233" s="81"/>
      <c r="BB233" s="81"/>
    </row>
    <row r="234" spans="1:54" x14ac:dyDescent="0.35">
      <c r="A234" s="66" t="s">
        <v>405</v>
      </c>
      <c r="B234" s="66" t="s">
        <v>1304</v>
      </c>
      <c r="C234" s="67"/>
      <c r="D234" s="68"/>
      <c r="E234" s="69"/>
      <c r="F234" s="70"/>
      <c r="G234" s="67"/>
      <c r="H234" s="71"/>
      <c r="I234" s="72"/>
      <c r="J234" s="72"/>
      <c r="K234" s="36"/>
      <c r="L234" s="79"/>
      <c r="M234" s="79"/>
      <c r="N234" s="74"/>
      <c r="O234" s="81" t="s">
        <v>1534</v>
      </c>
      <c r="P234" s="83">
        <v>44459.468680555554</v>
      </c>
      <c r="Q234" s="81" t="s">
        <v>1644</v>
      </c>
      <c r="R234" s="81"/>
      <c r="S234" s="81"/>
      <c r="T234" s="81"/>
      <c r="U234" s="81"/>
      <c r="V234" s="84" t="str">
        <f>HYPERLINK("https://pbs.twimg.com/profile_images/1437247717638479875/WC7tixWG_normal.jpg")</f>
        <v>https://pbs.twimg.com/profile_images/1437247717638479875/WC7tixWG_normal.jpg</v>
      </c>
      <c r="W234" s="83">
        <v>44459.468680555554</v>
      </c>
      <c r="X234" s="89">
        <v>44459</v>
      </c>
      <c r="Y234" s="86" t="s">
        <v>2959</v>
      </c>
      <c r="Z234" s="84" t="str">
        <f>HYPERLINK("https://twitter.com/pryoung61/status/1439910936844779526")</f>
        <v>https://twitter.com/pryoung61/status/1439910936844779526</v>
      </c>
      <c r="AA234" s="81"/>
      <c r="AB234" s="81"/>
      <c r="AC234" s="86" t="s">
        <v>4419</v>
      </c>
      <c r="AD234" s="86" t="s">
        <v>6006</v>
      </c>
      <c r="AE234" s="81" t="b">
        <v>0</v>
      </c>
      <c r="AF234" s="81">
        <v>0</v>
      </c>
      <c r="AG234" s="86" t="s">
        <v>6276</v>
      </c>
      <c r="AH234" s="81" t="b">
        <v>0</v>
      </c>
      <c r="AI234" s="81" t="s">
        <v>6478</v>
      </c>
      <c r="AJ234" s="81"/>
      <c r="AK234" s="86" t="s">
        <v>6240</v>
      </c>
      <c r="AL234" s="81" t="b">
        <v>0</v>
      </c>
      <c r="AM234" s="81">
        <v>0</v>
      </c>
      <c r="AN234" s="86" t="s">
        <v>6240</v>
      </c>
      <c r="AO234" s="86" t="s">
        <v>6503</v>
      </c>
      <c r="AP234" s="81" t="b">
        <v>0</v>
      </c>
      <c r="AQ234" s="86" t="s">
        <v>6006</v>
      </c>
      <c r="AR234" s="81" t="s">
        <v>179</v>
      </c>
      <c r="AS234" s="81">
        <v>0</v>
      </c>
      <c r="AT234" s="81">
        <v>0</v>
      </c>
      <c r="AU234" s="81"/>
      <c r="AV234" s="81"/>
      <c r="AW234" s="81"/>
      <c r="AX234" s="81"/>
      <c r="AY234" s="81"/>
      <c r="AZ234" s="81"/>
      <c r="BA234" s="81"/>
      <c r="BB234" s="81"/>
    </row>
    <row r="235" spans="1:54" x14ac:dyDescent="0.35">
      <c r="A235" s="66" t="s">
        <v>406</v>
      </c>
      <c r="B235" s="66" t="s">
        <v>1305</v>
      </c>
      <c r="C235" s="67"/>
      <c r="D235" s="68"/>
      <c r="E235" s="69"/>
      <c r="F235" s="70"/>
      <c r="G235" s="67"/>
      <c r="H235" s="71"/>
      <c r="I235" s="72"/>
      <c r="J235" s="72"/>
      <c r="K235" s="36"/>
      <c r="L235" s="79"/>
      <c r="M235" s="79"/>
      <c r="N235" s="74"/>
      <c r="O235" s="81" t="s">
        <v>1534</v>
      </c>
      <c r="P235" s="83">
        <v>44459.47074074074</v>
      </c>
      <c r="Q235" s="81" t="s">
        <v>1645</v>
      </c>
      <c r="R235" s="81"/>
      <c r="S235" s="81"/>
      <c r="T235" s="81"/>
      <c r="U235" s="81"/>
      <c r="V235" s="84" t="str">
        <f>HYPERLINK("https://pbs.twimg.com/profile_images/1439434867079467014/oUouW4qP_normal.jpg")</f>
        <v>https://pbs.twimg.com/profile_images/1439434867079467014/oUouW4qP_normal.jpg</v>
      </c>
      <c r="W235" s="83">
        <v>44459.47074074074</v>
      </c>
      <c r="X235" s="89">
        <v>44459</v>
      </c>
      <c r="Y235" s="86" t="s">
        <v>2960</v>
      </c>
      <c r="Z235" s="84" t="str">
        <f>HYPERLINK("https://twitter.com/pakdembud/status/1439911684970201091")</f>
        <v>https://twitter.com/pakdembud/status/1439911684970201091</v>
      </c>
      <c r="AA235" s="81"/>
      <c r="AB235" s="81"/>
      <c r="AC235" s="86" t="s">
        <v>4420</v>
      </c>
      <c r="AD235" s="86" t="s">
        <v>6007</v>
      </c>
      <c r="AE235" s="81" t="b">
        <v>0</v>
      </c>
      <c r="AF235" s="81">
        <v>0</v>
      </c>
      <c r="AG235" s="86" t="s">
        <v>6277</v>
      </c>
      <c r="AH235" s="81" t="b">
        <v>0</v>
      </c>
      <c r="AI235" s="81" t="s">
        <v>6478</v>
      </c>
      <c r="AJ235" s="81"/>
      <c r="AK235" s="86" t="s">
        <v>6240</v>
      </c>
      <c r="AL235" s="81" t="b">
        <v>0</v>
      </c>
      <c r="AM235" s="81">
        <v>0</v>
      </c>
      <c r="AN235" s="86" t="s">
        <v>6240</v>
      </c>
      <c r="AO235" s="86" t="s">
        <v>6503</v>
      </c>
      <c r="AP235" s="81" t="b">
        <v>0</v>
      </c>
      <c r="AQ235" s="86" t="s">
        <v>6007</v>
      </c>
      <c r="AR235" s="81" t="s">
        <v>179</v>
      </c>
      <c r="AS235" s="81">
        <v>0</v>
      </c>
      <c r="AT235" s="81">
        <v>0</v>
      </c>
      <c r="AU235" s="81"/>
      <c r="AV235" s="81"/>
      <c r="AW235" s="81"/>
      <c r="AX235" s="81"/>
      <c r="AY235" s="81"/>
      <c r="AZ235" s="81"/>
      <c r="BA235" s="81"/>
      <c r="BB235" s="81"/>
    </row>
    <row r="236" spans="1:54" x14ac:dyDescent="0.35">
      <c r="A236" s="66" t="s">
        <v>407</v>
      </c>
      <c r="B236" s="66" t="s">
        <v>1306</v>
      </c>
      <c r="C236" s="67"/>
      <c r="D236" s="68"/>
      <c r="E236" s="69"/>
      <c r="F236" s="70"/>
      <c r="G236" s="67"/>
      <c r="H236" s="71"/>
      <c r="I236" s="72"/>
      <c r="J236" s="72"/>
      <c r="K236" s="36"/>
      <c r="L236" s="79"/>
      <c r="M236" s="79"/>
      <c r="N236" s="74"/>
      <c r="O236" s="81" t="s">
        <v>1534</v>
      </c>
      <c r="P236" s="83">
        <v>44459.471747685187</v>
      </c>
      <c r="Q236" s="81" t="s">
        <v>1646</v>
      </c>
      <c r="R236" s="81"/>
      <c r="S236" s="81"/>
      <c r="T236" s="81"/>
      <c r="U236" s="81"/>
      <c r="V236" s="84" t="str">
        <f>HYPERLINK("https://pbs.twimg.com/profile_images/1439911813093593091/oH5LOtT4_normal.jpg")</f>
        <v>https://pbs.twimg.com/profile_images/1439911813093593091/oH5LOtT4_normal.jpg</v>
      </c>
      <c r="W236" s="83">
        <v>44459.471747685187</v>
      </c>
      <c r="X236" s="89">
        <v>44459</v>
      </c>
      <c r="Y236" s="86" t="s">
        <v>2961</v>
      </c>
      <c r="Z236" s="84" t="str">
        <f>HYPERLINK("https://twitter.com/r20250207/status/1439912050474455040")</f>
        <v>https://twitter.com/r20250207/status/1439912050474455040</v>
      </c>
      <c r="AA236" s="81"/>
      <c r="AB236" s="81"/>
      <c r="AC236" s="86" t="s">
        <v>4421</v>
      </c>
      <c r="AD236" s="86" t="s">
        <v>6008</v>
      </c>
      <c r="AE236" s="81" t="b">
        <v>0</v>
      </c>
      <c r="AF236" s="81">
        <v>0</v>
      </c>
      <c r="AG236" s="86" t="s">
        <v>6278</v>
      </c>
      <c r="AH236" s="81" t="b">
        <v>0</v>
      </c>
      <c r="AI236" s="81" t="s">
        <v>6478</v>
      </c>
      <c r="AJ236" s="81"/>
      <c r="AK236" s="86" t="s">
        <v>6240</v>
      </c>
      <c r="AL236" s="81" t="b">
        <v>0</v>
      </c>
      <c r="AM236" s="81">
        <v>0</v>
      </c>
      <c r="AN236" s="86" t="s">
        <v>6240</v>
      </c>
      <c r="AO236" s="86" t="s">
        <v>6503</v>
      </c>
      <c r="AP236" s="81" t="b">
        <v>0</v>
      </c>
      <c r="AQ236" s="86" t="s">
        <v>6008</v>
      </c>
      <c r="AR236" s="81" t="s">
        <v>179</v>
      </c>
      <c r="AS236" s="81">
        <v>0</v>
      </c>
      <c r="AT236" s="81">
        <v>0</v>
      </c>
      <c r="AU236" s="81"/>
      <c r="AV236" s="81"/>
      <c r="AW236" s="81"/>
      <c r="AX236" s="81"/>
      <c r="AY236" s="81"/>
      <c r="AZ236" s="81"/>
      <c r="BA236" s="81"/>
      <c r="BB236" s="81"/>
    </row>
    <row r="237" spans="1:54" x14ac:dyDescent="0.35">
      <c r="A237" s="66" t="s">
        <v>408</v>
      </c>
      <c r="B237" s="66" t="s">
        <v>1306</v>
      </c>
      <c r="C237" s="67"/>
      <c r="D237" s="68"/>
      <c r="E237" s="69"/>
      <c r="F237" s="70"/>
      <c r="G237" s="67"/>
      <c r="H237" s="71"/>
      <c r="I237" s="72"/>
      <c r="J237" s="72"/>
      <c r="K237" s="36"/>
      <c r="L237" s="79"/>
      <c r="M237" s="79"/>
      <c r="N237" s="74"/>
      <c r="O237" s="81" t="s">
        <v>1534</v>
      </c>
      <c r="P237" s="83">
        <v>44459.473981481482</v>
      </c>
      <c r="Q237" s="81" t="s">
        <v>1647</v>
      </c>
      <c r="R237" s="81"/>
      <c r="S237" s="81"/>
      <c r="T237" s="81"/>
      <c r="U237" s="81"/>
      <c r="V237" s="84" t="str">
        <f>HYPERLINK("https://pbs.twimg.com/profile_images/1437413269531025408/YC51VN5O_normal.jpg")</f>
        <v>https://pbs.twimg.com/profile_images/1437413269531025408/YC51VN5O_normal.jpg</v>
      </c>
      <c r="W237" s="83">
        <v>44459.473981481482</v>
      </c>
      <c r="X237" s="89">
        <v>44459</v>
      </c>
      <c r="Y237" s="86" t="s">
        <v>2962</v>
      </c>
      <c r="Z237" s="84" t="str">
        <f>HYPERLINK("https://twitter.com/nvamjin/status/1439912858536402946")</f>
        <v>https://twitter.com/nvamjin/status/1439912858536402946</v>
      </c>
      <c r="AA237" s="81"/>
      <c r="AB237" s="81"/>
      <c r="AC237" s="86" t="s">
        <v>4422</v>
      </c>
      <c r="AD237" s="86" t="s">
        <v>6008</v>
      </c>
      <c r="AE237" s="81" t="b">
        <v>0</v>
      </c>
      <c r="AF237" s="81">
        <v>0</v>
      </c>
      <c r="AG237" s="86" t="s">
        <v>6278</v>
      </c>
      <c r="AH237" s="81" t="b">
        <v>0</v>
      </c>
      <c r="AI237" s="81" t="s">
        <v>6478</v>
      </c>
      <c r="AJ237" s="81"/>
      <c r="AK237" s="86" t="s">
        <v>6240</v>
      </c>
      <c r="AL237" s="81" t="b">
        <v>0</v>
      </c>
      <c r="AM237" s="81">
        <v>0</v>
      </c>
      <c r="AN237" s="86" t="s">
        <v>6240</v>
      </c>
      <c r="AO237" s="86" t="s">
        <v>6503</v>
      </c>
      <c r="AP237" s="81" t="b">
        <v>0</v>
      </c>
      <c r="AQ237" s="86" t="s">
        <v>6008</v>
      </c>
      <c r="AR237" s="81" t="s">
        <v>179</v>
      </c>
      <c r="AS237" s="81">
        <v>0</v>
      </c>
      <c r="AT237" s="81">
        <v>0</v>
      </c>
      <c r="AU237" s="81"/>
      <c r="AV237" s="81"/>
      <c r="AW237" s="81"/>
      <c r="AX237" s="81"/>
      <c r="AY237" s="81"/>
      <c r="AZ237" s="81"/>
      <c r="BA237" s="81"/>
      <c r="BB237" s="81"/>
    </row>
    <row r="238" spans="1:54" x14ac:dyDescent="0.35">
      <c r="A238" s="66" t="s">
        <v>409</v>
      </c>
      <c r="B238" s="66" t="s">
        <v>335</v>
      </c>
      <c r="C238" s="67"/>
      <c r="D238" s="68"/>
      <c r="E238" s="69"/>
      <c r="F238" s="70"/>
      <c r="G238" s="67"/>
      <c r="H238" s="71"/>
      <c r="I238" s="72"/>
      <c r="J238" s="72"/>
      <c r="K238" s="36"/>
      <c r="L238" s="79"/>
      <c r="M238" s="79"/>
      <c r="N238" s="74"/>
      <c r="O238" s="81" t="s">
        <v>1532</v>
      </c>
      <c r="P238" s="83">
        <v>44459.473993055559</v>
      </c>
      <c r="Q238" s="81" t="s">
        <v>1586</v>
      </c>
      <c r="R238" s="81"/>
      <c r="S238" s="81"/>
      <c r="T238" s="81"/>
      <c r="U238" s="84" t="str">
        <f>HYPERLINK("https://pbs.twimg.com/ext_tw_video_thumb/1439603623520993285/pu/img/4NCBVhjvbYSKxAvX.jpg")</f>
        <v>https://pbs.twimg.com/ext_tw_video_thumb/1439603623520993285/pu/img/4NCBVhjvbYSKxAvX.jpg</v>
      </c>
      <c r="V238" s="84" t="str">
        <f>HYPERLINK("https://pbs.twimg.com/ext_tw_video_thumb/1439603623520993285/pu/img/4NCBVhjvbYSKxAvX.jpg")</f>
        <v>https://pbs.twimg.com/ext_tw_video_thumb/1439603623520993285/pu/img/4NCBVhjvbYSKxAvX.jpg</v>
      </c>
      <c r="W238" s="83">
        <v>44459.473993055559</v>
      </c>
      <c r="X238" s="89">
        <v>44459</v>
      </c>
      <c r="Y238" s="86" t="s">
        <v>2963</v>
      </c>
      <c r="Z238" s="84" t="str">
        <f>HYPERLINK("https://twitter.com/nblhrsl_/status/1439912862105755649")</f>
        <v>https://twitter.com/nblhrsl_/status/1439912862105755649</v>
      </c>
      <c r="AA238" s="81"/>
      <c r="AB238" s="81"/>
      <c r="AC238" s="86" t="s">
        <v>4423</v>
      </c>
      <c r="AD238" s="81"/>
      <c r="AE238" s="81" t="b">
        <v>0</v>
      </c>
      <c r="AF238" s="81">
        <v>0</v>
      </c>
      <c r="AG238" s="86" t="s">
        <v>6240</v>
      </c>
      <c r="AH238" s="81" t="b">
        <v>0</v>
      </c>
      <c r="AI238" s="81" t="s">
        <v>6478</v>
      </c>
      <c r="AJ238" s="81"/>
      <c r="AK238" s="86" t="s">
        <v>6240</v>
      </c>
      <c r="AL238" s="81" t="b">
        <v>0</v>
      </c>
      <c r="AM238" s="81">
        <v>102</v>
      </c>
      <c r="AN238" s="86" t="s">
        <v>4519</v>
      </c>
      <c r="AO238" s="86" t="s">
        <v>6505</v>
      </c>
      <c r="AP238" s="81" t="b">
        <v>0</v>
      </c>
      <c r="AQ238" s="86" t="s">
        <v>4519</v>
      </c>
      <c r="AR238" s="81" t="s">
        <v>179</v>
      </c>
      <c r="AS238" s="81">
        <v>0</v>
      </c>
      <c r="AT238" s="81">
        <v>0</v>
      </c>
      <c r="AU238" s="81"/>
      <c r="AV238" s="81"/>
      <c r="AW238" s="81"/>
      <c r="AX238" s="81"/>
      <c r="AY238" s="81"/>
      <c r="AZ238" s="81"/>
      <c r="BA238" s="81"/>
      <c r="BB238" s="81"/>
    </row>
    <row r="239" spans="1:54" x14ac:dyDescent="0.35">
      <c r="A239" s="66" t="s">
        <v>410</v>
      </c>
      <c r="B239" s="66" t="s">
        <v>335</v>
      </c>
      <c r="C239" s="67"/>
      <c r="D239" s="68"/>
      <c r="E239" s="69"/>
      <c r="F239" s="70"/>
      <c r="G239" s="67"/>
      <c r="H239" s="71"/>
      <c r="I239" s="72"/>
      <c r="J239" s="72"/>
      <c r="K239" s="36"/>
      <c r="L239" s="79"/>
      <c r="M239" s="79"/>
      <c r="N239" s="74"/>
      <c r="O239" s="81" t="s">
        <v>1532</v>
      </c>
      <c r="P239" s="83">
        <v>44459.475486111114</v>
      </c>
      <c r="Q239" s="81" t="s">
        <v>1586</v>
      </c>
      <c r="R239" s="81"/>
      <c r="S239" s="81"/>
      <c r="T239" s="81"/>
      <c r="U239" s="84" t="str">
        <f>HYPERLINK("https://pbs.twimg.com/ext_tw_video_thumb/1439603623520993285/pu/img/4NCBVhjvbYSKxAvX.jpg")</f>
        <v>https://pbs.twimg.com/ext_tw_video_thumb/1439603623520993285/pu/img/4NCBVhjvbYSKxAvX.jpg</v>
      </c>
      <c r="V239" s="84" t="str">
        <f>HYPERLINK("https://pbs.twimg.com/ext_tw_video_thumb/1439603623520993285/pu/img/4NCBVhjvbYSKxAvX.jpg")</f>
        <v>https://pbs.twimg.com/ext_tw_video_thumb/1439603623520993285/pu/img/4NCBVhjvbYSKxAvX.jpg</v>
      </c>
      <c r="W239" s="83">
        <v>44459.475486111114</v>
      </c>
      <c r="X239" s="89">
        <v>44459</v>
      </c>
      <c r="Y239" s="86" t="s">
        <v>2964</v>
      </c>
      <c r="Z239" s="84" t="str">
        <f>HYPERLINK("https://twitter.com/mhdrejab/status/1439913402978111497")</f>
        <v>https://twitter.com/mhdrejab/status/1439913402978111497</v>
      </c>
      <c r="AA239" s="81"/>
      <c r="AB239" s="81"/>
      <c r="AC239" s="86" t="s">
        <v>4424</v>
      </c>
      <c r="AD239" s="81"/>
      <c r="AE239" s="81" t="b">
        <v>0</v>
      </c>
      <c r="AF239" s="81">
        <v>0</v>
      </c>
      <c r="AG239" s="86" t="s">
        <v>6240</v>
      </c>
      <c r="AH239" s="81" t="b">
        <v>0</v>
      </c>
      <c r="AI239" s="81" t="s">
        <v>6478</v>
      </c>
      <c r="AJ239" s="81"/>
      <c r="AK239" s="86" t="s">
        <v>6240</v>
      </c>
      <c r="AL239" s="81" t="b">
        <v>0</v>
      </c>
      <c r="AM239" s="81">
        <v>102</v>
      </c>
      <c r="AN239" s="86" t="s">
        <v>4519</v>
      </c>
      <c r="AO239" s="86" t="s">
        <v>6505</v>
      </c>
      <c r="AP239" s="81" t="b">
        <v>0</v>
      </c>
      <c r="AQ239" s="86" t="s">
        <v>4519</v>
      </c>
      <c r="AR239" s="81" t="s">
        <v>179</v>
      </c>
      <c r="AS239" s="81">
        <v>0</v>
      </c>
      <c r="AT239" s="81">
        <v>0</v>
      </c>
      <c r="AU239" s="81"/>
      <c r="AV239" s="81"/>
      <c r="AW239" s="81"/>
      <c r="AX239" s="81"/>
      <c r="AY239" s="81"/>
      <c r="AZ239" s="81"/>
      <c r="BA239" s="81"/>
      <c r="BB239" s="81"/>
    </row>
    <row r="240" spans="1:54" x14ac:dyDescent="0.35">
      <c r="A240" s="66" t="s">
        <v>411</v>
      </c>
      <c r="B240" s="66" t="s">
        <v>1298</v>
      </c>
      <c r="C240" s="67"/>
      <c r="D240" s="68"/>
      <c r="E240" s="69"/>
      <c r="F240" s="70"/>
      <c r="G240" s="67"/>
      <c r="H240" s="71"/>
      <c r="I240" s="72"/>
      <c r="J240" s="72"/>
      <c r="K240" s="36"/>
      <c r="L240" s="79"/>
      <c r="M240" s="79"/>
      <c r="N240" s="74"/>
      <c r="O240" s="81" t="s">
        <v>1534</v>
      </c>
      <c r="P240" s="83">
        <v>44459.477187500001</v>
      </c>
      <c r="Q240" s="81" t="s">
        <v>1648</v>
      </c>
      <c r="R240" s="81"/>
      <c r="S240" s="81"/>
      <c r="T240" s="81"/>
      <c r="U240" s="81"/>
      <c r="V240" s="84" t="str">
        <f>HYPERLINK("https://pbs.twimg.com/profile_images/1438173068011008007/KQXj6Wwv_normal.jpg")</f>
        <v>https://pbs.twimg.com/profile_images/1438173068011008007/KQXj6Wwv_normal.jpg</v>
      </c>
      <c r="W240" s="83">
        <v>44459.477187500001</v>
      </c>
      <c r="X240" s="89">
        <v>44459</v>
      </c>
      <c r="Y240" s="86" t="s">
        <v>2965</v>
      </c>
      <c r="Z240" s="84" t="str">
        <f>HYPERLINK("https://twitter.com/shaewillow_/status/1439914019565965313")</f>
        <v>https://twitter.com/shaewillow_/status/1439914019565965313</v>
      </c>
      <c r="AA240" s="81"/>
      <c r="AB240" s="81"/>
      <c r="AC240" s="86" t="s">
        <v>4425</v>
      </c>
      <c r="AD240" s="86" t="s">
        <v>6009</v>
      </c>
      <c r="AE240" s="81" t="b">
        <v>0</v>
      </c>
      <c r="AF240" s="81">
        <v>0</v>
      </c>
      <c r="AG240" s="86" t="s">
        <v>6267</v>
      </c>
      <c r="AH240" s="81" t="b">
        <v>0</v>
      </c>
      <c r="AI240" s="81" t="s">
        <v>6478</v>
      </c>
      <c r="AJ240" s="81"/>
      <c r="AK240" s="86" t="s">
        <v>6240</v>
      </c>
      <c r="AL240" s="81" t="b">
        <v>0</v>
      </c>
      <c r="AM240" s="81">
        <v>0</v>
      </c>
      <c r="AN240" s="86" t="s">
        <v>6240</v>
      </c>
      <c r="AO240" s="86" t="s">
        <v>6503</v>
      </c>
      <c r="AP240" s="81" t="b">
        <v>0</v>
      </c>
      <c r="AQ240" s="86" t="s">
        <v>6009</v>
      </c>
      <c r="AR240" s="81" t="s">
        <v>179</v>
      </c>
      <c r="AS240" s="81">
        <v>0</v>
      </c>
      <c r="AT240" s="81">
        <v>0</v>
      </c>
      <c r="AU240" s="81"/>
      <c r="AV240" s="81"/>
      <c r="AW240" s="81"/>
      <c r="AX240" s="81"/>
      <c r="AY240" s="81"/>
      <c r="AZ240" s="81"/>
      <c r="BA240" s="81"/>
      <c r="BB240" s="81"/>
    </row>
    <row r="241" spans="1:54" x14ac:dyDescent="0.35">
      <c r="A241" s="66" t="s">
        <v>412</v>
      </c>
      <c r="B241" s="66" t="s">
        <v>412</v>
      </c>
      <c r="C241" s="67"/>
      <c r="D241" s="68"/>
      <c r="E241" s="69"/>
      <c r="F241" s="70"/>
      <c r="G241" s="67"/>
      <c r="H241" s="71"/>
      <c r="I241" s="72"/>
      <c r="J241" s="72"/>
      <c r="K241" s="36"/>
      <c r="L241" s="79"/>
      <c r="M241" s="79"/>
      <c r="N241" s="74"/>
      <c r="O241" s="81" t="s">
        <v>179</v>
      </c>
      <c r="P241" s="83">
        <v>44459.477800925924</v>
      </c>
      <c r="Q241" s="81" t="s">
        <v>1649</v>
      </c>
      <c r="R241" s="81"/>
      <c r="S241" s="81"/>
      <c r="T241" s="81"/>
      <c r="U241" s="81"/>
      <c r="V241" s="84" t="str">
        <f>HYPERLINK("https://pbs.twimg.com/profile_images/1411622058199457794/aQ5HXVbt_normal.jpg")</f>
        <v>https://pbs.twimg.com/profile_images/1411622058199457794/aQ5HXVbt_normal.jpg</v>
      </c>
      <c r="W241" s="83">
        <v>44459.477800925924</v>
      </c>
      <c r="X241" s="89">
        <v>44459</v>
      </c>
      <c r="Y241" s="86" t="s">
        <v>2966</v>
      </c>
      <c r="Z241" s="84" t="str">
        <f>HYPERLINK("https://twitter.com/iqo_uwaizzz/status/1439914244565131265")</f>
        <v>https://twitter.com/iqo_uwaizzz/status/1439914244565131265</v>
      </c>
      <c r="AA241" s="81"/>
      <c r="AB241" s="81"/>
      <c r="AC241" s="86" t="s">
        <v>4426</v>
      </c>
      <c r="AD241" s="81"/>
      <c r="AE241" s="81" t="b">
        <v>0</v>
      </c>
      <c r="AF241" s="81">
        <v>1</v>
      </c>
      <c r="AG241" s="86" t="s">
        <v>6240</v>
      </c>
      <c r="AH241" s="81" t="b">
        <v>0</v>
      </c>
      <c r="AI241" s="81" t="s">
        <v>6478</v>
      </c>
      <c r="AJ241" s="81"/>
      <c r="AK241" s="86" t="s">
        <v>6240</v>
      </c>
      <c r="AL241" s="81" t="b">
        <v>0</v>
      </c>
      <c r="AM241" s="81">
        <v>0</v>
      </c>
      <c r="AN241" s="86" t="s">
        <v>6240</v>
      </c>
      <c r="AO241" s="86" t="s">
        <v>6505</v>
      </c>
      <c r="AP241" s="81" t="b">
        <v>0</v>
      </c>
      <c r="AQ241" s="86" t="s">
        <v>4426</v>
      </c>
      <c r="AR241" s="81" t="s">
        <v>179</v>
      </c>
      <c r="AS241" s="81">
        <v>0</v>
      </c>
      <c r="AT241" s="81">
        <v>0</v>
      </c>
      <c r="AU241" s="81"/>
      <c r="AV241" s="81"/>
      <c r="AW241" s="81"/>
      <c r="AX241" s="81"/>
      <c r="AY241" s="81"/>
      <c r="AZ241" s="81"/>
      <c r="BA241" s="81"/>
      <c r="BB241" s="81"/>
    </row>
    <row r="242" spans="1:54" x14ac:dyDescent="0.35">
      <c r="A242" s="66" t="s">
        <v>413</v>
      </c>
      <c r="B242" s="66" t="s">
        <v>335</v>
      </c>
      <c r="C242" s="67"/>
      <c r="D242" s="68"/>
      <c r="E242" s="69"/>
      <c r="F242" s="70"/>
      <c r="G242" s="67"/>
      <c r="H242" s="71"/>
      <c r="I242" s="72"/>
      <c r="J242" s="72"/>
      <c r="K242" s="36"/>
      <c r="L242" s="79"/>
      <c r="M242" s="79"/>
      <c r="N242" s="74"/>
      <c r="O242" s="81" t="s">
        <v>1532</v>
      </c>
      <c r="P242" s="83">
        <v>44459.477951388886</v>
      </c>
      <c r="Q242" s="81" t="s">
        <v>1586</v>
      </c>
      <c r="R242" s="81"/>
      <c r="S242" s="81"/>
      <c r="T242" s="81"/>
      <c r="U242" s="84" t="str">
        <f>HYPERLINK("https://pbs.twimg.com/ext_tw_video_thumb/1439603623520993285/pu/img/4NCBVhjvbYSKxAvX.jpg")</f>
        <v>https://pbs.twimg.com/ext_tw_video_thumb/1439603623520993285/pu/img/4NCBVhjvbYSKxAvX.jpg</v>
      </c>
      <c r="V242" s="84" t="str">
        <f>HYPERLINK("https://pbs.twimg.com/ext_tw_video_thumb/1439603623520993285/pu/img/4NCBVhjvbYSKxAvX.jpg")</f>
        <v>https://pbs.twimg.com/ext_tw_video_thumb/1439603623520993285/pu/img/4NCBVhjvbYSKxAvX.jpg</v>
      </c>
      <c r="W242" s="83">
        <v>44459.477951388886</v>
      </c>
      <c r="X242" s="89">
        <v>44459</v>
      </c>
      <c r="Y242" s="86" t="s">
        <v>2967</v>
      </c>
      <c r="Z242" s="84" t="str">
        <f>HYPERLINK("https://twitter.com/eymaiizeckae_/status/1439914297589522434")</f>
        <v>https://twitter.com/eymaiizeckae_/status/1439914297589522434</v>
      </c>
      <c r="AA242" s="81"/>
      <c r="AB242" s="81"/>
      <c r="AC242" s="86" t="s">
        <v>4427</v>
      </c>
      <c r="AD242" s="81"/>
      <c r="AE242" s="81" t="b">
        <v>0</v>
      </c>
      <c r="AF242" s="81">
        <v>0</v>
      </c>
      <c r="AG242" s="86" t="s">
        <v>6240</v>
      </c>
      <c r="AH242" s="81" t="b">
        <v>0</v>
      </c>
      <c r="AI242" s="81" t="s">
        <v>6478</v>
      </c>
      <c r="AJ242" s="81"/>
      <c r="AK242" s="86" t="s">
        <v>6240</v>
      </c>
      <c r="AL242" s="81" t="b">
        <v>0</v>
      </c>
      <c r="AM242" s="81">
        <v>102</v>
      </c>
      <c r="AN242" s="86" t="s">
        <v>4519</v>
      </c>
      <c r="AO242" s="86" t="s">
        <v>6503</v>
      </c>
      <c r="AP242" s="81" t="b">
        <v>0</v>
      </c>
      <c r="AQ242" s="86" t="s">
        <v>4519</v>
      </c>
      <c r="AR242" s="81" t="s">
        <v>179</v>
      </c>
      <c r="AS242" s="81">
        <v>0</v>
      </c>
      <c r="AT242" s="81">
        <v>0</v>
      </c>
      <c r="AU242" s="81"/>
      <c r="AV242" s="81"/>
      <c r="AW242" s="81"/>
      <c r="AX242" s="81"/>
      <c r="AY242" s="81"/>
      <c r="AZ242" s="81"/>
      <c r="BA242" s="81"/>
      <c r="BB242" s="81"/>
    </row>
    <row r="243" spans="1:54" x14ac:dyDescent="0.35">
      <c r="A243" s="66" t="s">
        <v>414</v>
      </c>
      <c r="B243" s="66" t="s">
        <v>335</v>
      </c>
      <c r="C243" s="67"/>
      <c r="D243" s="68"/>
      <c r="E243" s="69"/>
      <c r="F243" s="70"/>
      <c r="G243" s="67"/>
      <c r="H243" s="71"/>
      <c r="I243" s="72"/>
      <c r="J243" s="72"/>
      <c r="K243" s="36"/>
      <c r="L243" s="79"/>
      <c r="M243" s="79"/>
      <c r="N243" s="74"/>
      <c r="O243" s="81" t="s">
        <v>1532</v>
      </c>
      <c r="P243" s="83">
        <v>44459.478032407409</v>
      </c>
      <c r="Q243" s="81" t="s">
        <v>1586</v>
      </c>
      <c r="R243" s="81"/>
      <c r="S243" s="81"/>
      <c r="T243" s="81"/>
      <c r="U243" s="84" t="str">
        <f>HYPERLINK("https://pbs.twimg.com/ext_tw_video_thumb/1439603623520993285/pu/img/4NCBVhjvbYSKxAvX.jpg")</f>
        <v>https://pbs.twimg.com/ext_tw_video_thumb/1439603623520993285/pu/img/4NCBVhjvbYSKxAvX.jpg</v>
      </c>
      <c r="V243" s="84" t="str">
        <f>HYPERLINK("https://pbs.twimg.com/ext_tw_video_thumb/1439603623520993285/pu/img/4NCBVhjvbYSKxAvX.jpg")</f>
        <v>https://pbs.twimg.com/ext_tw_video_thumb/1439603623520993285/pu/img/4NCBVhjvbYSKxAvX.jpg</v>
      </c>
      <c r="W243" s="83">
        <v>44459.478032407409</v>
      </c>
      <c r="X243" s="89">
        <v>44459</v>
      </c>
      <c r="Y243" s="86" t="s">
        <v>2968</v>
      </c>
      <c r="Z243" s="84" t="str">
        <f>HYPERLINK("https://twitter.com/munirahhh98/status/1439914325087457281")</f>
        <v>https://twitter.com/munirahhh98/status/1439914325087457281</v>
      </c>
      <c r="AA243" s="81"/>
      <c r="AB243" s="81"/>
      <c r="AC243" s="86" t="s">
        <v>4428</v>
      </c>
      <c r="AD243" s="81"/>
      <c r="AE243" s="81" t="b">
        <v>0</v>
      </c>
      <c r="AF243" s="81">
        <v>0</v>
      </c>
      <c r="AG243" s="86" t="s">
        <v>6240</v>
      </c>
      <c r="AH243" s="81" t="b">
        <v>0</v>
      </c>
      <c r="AI243" s="81" t="s">
        <v>6478</v>
      </c>
      <c r="AJ243" s="81"/>
      <c r="AK243" s="86" t="s">
        <v>6240</v>
      </c>
      <c r="AL243" s="81" t="b">
        <v>0</v>
      </c>
      <c r="AM243" s="81">
        <v>102</v>
      </c>
      <c r="AN243" s="86" t="s">
        <v>4519</v>
      </c>
      <c r="AO243" s="86" t="s">
        <v>6503</v>
      </c>
      <c r="AP243" s="81" t="b">
        <v>0</v>
      </c>
      <c r="AQ243" s="86" t="s">
        <v>4519</v>
      </c>
      <c r="AR243" s="81" t="s">
        <v>179</v>
      </c>
      <c r="AS243" s="81">
        <v>0</v>
      </c>
      <c r="AT243" s="81">
        <v>0</v>
      </c>
      <c r="AU243" s="81"/>
      <c r="AV243" s="81"/>
      <c r="AW243" s="81"/>
      <c r="AX243" s="81"/>
      <c r="AY243" s="81"/>
      <c r="AZ243" s="81"/>
      <c r="BA243" s="81"/>
      <c r="BB243" s="81"/>
    </row>
    <row r="244" spans="1:54" x14ac:dyDescent="0.35">
      <c r="A244" s="66" t="s">
        <v>415</v>
      </c>
      <c r="B244" s="66" t="s">
        <v>1283</v>
      </c>
      <c r="C244" s="67"/>
      <c r="D244" s="68"/>
      <c r="E244" s="69"/>
      <c r="F244" s="70"/>
      <c r="G244" s="67"/>
      <c r="H244" s="71"/>
      <c r="I244" s="72"/>
      <c r="J244" s="72"/>
      <c r="K244" s="36"/>
      <c r="L244" s="79"/>
      <c r="M244" s="79"/>
      <c r="N244" s="74"/>
      <c r="O244" s="81" t="s">
        <v>1535</v>
      </c>
      <c r="P244" s="83">
        <v>44459.444282407407</v>
      </c>
      <c r="Q244" s="81" t="s">
        <v>1641</v>
      </c>
      <c r="R244" s="84" t="str">
        <f>HYPERLINK("https://kerjha.com/pos-indonesia-gandeng-nujek-dan-perkenalkan-o-ranger-mawar/")</f>
        <v>https://kerjha.com/pos-indonesia-gandeng-nujek-dan-perkenalkan-o-ranger-mawar/</v>
      </c>
      <c r="S244" s="81" t="s">
        <v>2586</v>
      </c>
      <c r="T244" s="81"/>
      <c r="U244" s="81"/>
      <c r="V244" s="84" t="str">
        <f>HYPERLINK("https://pbs.twimg.com/profile_images/1302732844700106752/dFv7rrg2_normal.jpg")</f>
        <v>https://pbs.twimg.com/profile_images/1302732844700106752/dFv7rrg2_normal.jpg</v>
      </c>
      <c r="W244" s="83">
        <v>44459.444282407407</v>
      </c>
      <c r="X244" s="89">
        <v>44459</v>
      </c>
      <c r="Y244" s="86" t="s">
        <v>2969</v>
      </c>
      <c r="Z244" s="84" t="str">
        <f>HYPERLINK("https://twitter.com/rbonafida/status/1439902095369408514")</f>
        <v>https://twitter.com/rbonafida/status/1439902095369408514</v>
      </c>
      <c r="AA244" s="81"/>
      <c r="AB244" s="81"/>
      <c r="AC244" s="86" t="s">
        <v>4429</v>
      </c>
      <c r="AD244" s="81"/>
      <c r="AE244" s="81" t="b">
        <v>0</v>
      </c>
      <c r="AF244" s="81">
        <v>6</v>
      </c>
      <c r="AG244" s="86" t="s">
        <v>6240</v>
      </c>
      <c r="AH244" s="81" t="b">
        <v>0</v>
      </c>
      <c r="AI244" s="81" t="s">
        <v>6478</v>
      </c>
      <c r="AJ244" s="81"/>
      <c r="AK244" s="86" t="s">
        <v>6240</v>
      </c>
      <c r="AL244" s="81" t="b">
        <v>0</v>
      </c>
      <c r="AM244" s="81">
        <v>4</v>
      </c>
      <c r="AN244" s="86" t="s">
        <v>6240</v>
      </c>
      <c r="AO244" s="86" t="s">
        <v>6503</v>
      </c>
      <c r="AP244" s="81" t="b">
        <v>0</v>
      </c>
      <c r="AQ244" s="86" t="s">
        <v>4429</v>
      </c>
      <c r="AR244" s="81" t="s">
        <v>179</v>
      </c>
      <c r="AS244" s="81">
        <v>0</v>
      </c>
      <c r="AT244" s="81">
        <v>0</v>
      </c>
      <c r="AU244" s="81"/>
      <c r="AV244" s="81"/>
      <c r="AW244" s="81"/>
      <c r="AX244" s="81"/>
      <c r="AY244" s="81"/>
      <c r="AZ244" s="81"/>
      <c r="BA244" s="81"/>
      <c r="BB244" s="81"/>
    </row>
    <row r="245" spans="1:54" x14ac:dyDescent="0.35">
      <c r="A245" s="66" t="s">
        <v>415</v>
      </c>
      <c r="B245" s="66" t="s">
        <v>1283</v>
      </c>
      <c r="C245" s="67"/>
      <c r="D245" s="68"/>
      <c r="E245" s="69"/>
      <c r="F245" s="70"/>
      <c r="G245" s="67"/>
      <c r="H245" s="71"/>
      <c r="I245" s="72"/>
      <c r="J245" s="72"/>
      <c r="K245" s="36"/>
      <c r="L245" s="79"/>
      <c r="M245" s="79"/>
      <c r="N245" s="74"/>
      <c r="O245" s="81" t="s">
        <v>1533</v>
      </c>
      <c r="P245" s="83">
        <v>44459.451990740738</v>
      </c>
      <c r="Q245" s="81" t="s">
        <v>1641</v>
      </c>
      <c r="R245" s="84" t="str">
        <f>HYPERLINK("https://kerjha.com/pos-indonesia-gandeng-nujek-dan-perkenalkan-o-ranger-mawar/")</f>
        <v>https://kerjha.com/pos-indonesia-gandeng-nujek-dan-perkenalkan-o-ranger-mawar/</v>
      </c>
      <c r="S245" s="81" t="s">
        <v>2586</v>
      </c>
      <c r="T245" s="81"/>
      <c r="U245" s="81"/>
      <c r="V245" s="84" t="str">
        <f>HYPERLINK("https://pbs.twimg.com/profile_images/1302732844700106752/dFv7rrg2_normal.jpg")</f>
        <v>https://pbs.twimg.com/profile_images/1302732844700106752/dFv7rrg2_normal.jpg</v>
      </c>
      <c r="W245" s="83">
        <v>44459.451990740738</v>
      </c>
      <c r="X245" s="89">
        <v>44459</v>
      </c>
      <c r="Y245" s="86" t="s">
        <v>2970</v>
      </c>
      <c r="Z245" s="84" t="str">
        <f>HYPERLINK("https://twitter.com/rbonafida/status/1439904891737047041")</f>
        <v>https://twitter.com/rbonafida/status/1439904891737047041</v>
      </c>
      <c r="AA245" s="81"/>
      <c r="AB245" s="81"/>
      <c r="AC245" s="86" t="s">
        <v>4430</v>
      </c>
      <c r="AD245" s="81"/>
      <c r="AE245" s="81" t="b">
        <v>0</v>
      </c>
      <c r="AF245" s="81">
        <v>0</v>
      </c>
      <c r="AG245" s="86" t="s">
        <v>6240</v>
      </c>
      <c r="AH245" s="81" t="b">
        <v>0</v>
      </c>
      <c r="AI245" s="81" t="s">
        <v>6478</v>
      </c>
      <c r="AJ245" s="81"/>
      <c r="AK245" s="86" t="s">
        <v>6240</v>
      </c>
      <c r="AL245" s="81" t="b">
        <v>0</v>
      </c>
      <c r="AM245" s="81">
        <v>4</v>
      </c>
      <c r="AN245" s="86" t="s">
        <v>4429</v>
      </c>
      <c r="AO245" s="86" t="s">
        <v>6503</v>
      </c>
      <c r="AP245" s="81" t="b">
        <v>0</v>
      </c>
      <c r="AQ245" s="86" t="s">
        <v>4429</v>
      </c>
      <c r="AR245" s="81" t="s">
        <v>179</v>
      </c>
      <c r="AS245" s="81">
        <v>0</v>
      </c>
      <c r="AT245" s="81">
        <v>0</v>
      </c>
      <c r="AU245" s="81"/>
      <c r="AV245" s="81"/>
      <c r="AW245" s="81"/>
      <c r="AX245" s="81"/>
      <c r="AY245" s="81"/>
      <c r="AZ245" s="81"/>
      <c r="BA245" s="81"/>
      <c r="BB245" s="81"/>
    </row>
    <row r="246" spans="1:54" x14ac:dyDescent="0.35">
      <c r="A246" s="66" t="s">
        <v>415</v>
      </c>
      <c r="B246" s="66" t="s">
        <v>415</v>
      </c>
      <c r="C246" s="67"/>
      <c r="D246" s="68"/>
      <c r="E246" s="69"/>
      <c r="F246" s="70"/>
      <c r="G246" s="67"/>
      <c r="H246" s="71"/>
      <c r="I246" s="72"/>
      <c r="J246" s="72"/>
      <c r="K246" s="36"/>
      <c r="L246" s="79"/>
      <c r="M246" s="79"/>
      <c r="N246" s="74"/>
      <c r="O246" s="81" t="s">
        <v>1532</v>
      </c>
      <c r="P246" s="83">
        <v>44459.451990740738</v>
      </c>
      <c r="Q246" s="81" t="s">
        <v>1641</v>
      </c>
      <c r="R246" s="84" t="str">
        <f>HYPERLINK("https://kerjha.com/pos-indonesia-gandeng-nujek-dan-perkenalkan-o-ranger-mawar/")</f>
        <v>https://kerjha.com/pos-indonesia-gandeng-nujek-dan-perkenalkan-o-ranger-mawar/</v>
      </c>
      <c r="S246" s="81" t="s">
        <v>2586</v>
      </c>
      <c r="T246" s="81"/>
      <c r="U246" s="81"/>
      <c r="V246" s="84" t="str">
        <f>HYPERLINK("https://pbs.twimg.com/profile_images/1302732844700106752/dFv7rrg2_normal.jpg")</f>
        <v>https://pbs.twimg.com/profile_images/1302732844700106752/dFv7rrg2_normal.jpg</v>
      </c>
      <c r="W246" s="83">
        <v>44459.451990740738</v>
      </c>
      <c r="X246" s="89">
        <v>44459</v>
      </c>
      <c r="Y246" s="86" t="s">
        <v>2970</v>
      </c>
      <c r="Z246" s="84" t="str">
        <f>HYPERLINK("https://twitter.com/rbonafida/status/1439904891737047041")</f>
        <v>https://twitter.com/rbonafida/status/1439904891737047041</v>
      </c>
      <c r="AA246" s="81"/>
      <c r="AB246" s="81"/>
      <c r="AC246" s="86" t="s">
        <v>4430</v>
      </c>
      <c r="AD246" s="81"/>
      <c r="AE246" s="81" t="b">
        <v>0</v>
      </c>
      <c r="AF246" s="81">
        <v>0</v>
      </c>
      <c r="AG246" s="86" t="s">
        <v>6240</v>
      </c>
      <c r="AH246" s="81" t="b">
        <v>0</v>
      </c>
      <c r="AI246" s="81" t="s">
        <v>6478</v>
      </c>
      <c r="AJ246" s="81"/>
      <c r="AK246" s="86" t="s">
        <v>6240</v>
      </c>
      <c r="AL246" s="81" t="b">
        <v>0</v>
      </c>
      <c r="AM246" s="81">
        <v>4</v>
      </c>
      <c r="AN246" s="86" t="s">
        <v>4429</v>
      </c>
      <c r="AO246" s="86" t="s">
        <v>6503</v>
      </c>
      <c r="AP246" s="81" t="b">
        <v>0</v>
      </c>
      <c r="AQ246" s="86" t="s">
        <v>4429</v>
      </c>
      <c r="AR246" s="81" t="s">
        <v>179</v>
      </c>
      <c r="AS246" s="81">
        <v>0</v>
      </c>
      <c r="AT246" s="81">
        <v>0</v>
      </c>
      <c r="AU246" s="81"/>
      <c r="AV246" s="81"/>
      <c r="AW246" s="81"/>
      <c r="AX246" s="81"/>
      <c r="AY246" s="81"/>
      <c r="AZ246" s="81"/>
      <c r="BA246" s="81"/>
      <c r="BB246" s="81"/>
    </row>
    <row r="247" spans="1:54" x14ac:dyDescent="0.35">
      <c r="A247" s="66" t="s">
        <v>416</v>
      </c>
      <c r="B247" s="66" t="s">
        <v>415</v>
      </c>
      <c r="C247" s="67"/>
      <c r="D247" s="68"/>
      <c r="E247" s="69"/>
      <c r="F247" s="70"/>
      <c r="G247" s="67"/>
      <c r="H247" s="71"/>
      <c r="I247" s="72"/>
      <c r="J247" s="72"/>
      <c r="K247" s="36"/>
      <c r="L247" s="79"/>
      <c r="M247" s="79"/>
      <c r="N247" s="74"/>
      <c r="O247" s="81" t="s">
        <v>1532</v>
      </c>
      <c r="P247" s="83">
        <v>44459.478263888886</v>
      </c>
      <c r="Q247" s="81" t="s">
        <v>1641</v>
      </c>
      <c r="R247" s="84" t="str">
        <f>HYPERLINK("https://kerjha.com/pos-indonesia-gandeng-nujek-dan-perkenalkan-o-ranger-mawar/")</f>
        <v>https://kerjha.com/pos-indonesia-gandeng-nujek-dan-perkenalkan-o-ranger-mawar/</v>
      </c>
      <c r="S247" s="81" t="s">
        <v>2586</v>
      </c>
      <c r="T247" s="81"/>
      <c r="U247" s="81"/>
      <c r="V247" s="84" t="str">
        <f>HYPERLINK("https://pbs.twimg.com/profile_images/1438758233254993921/xBdwdurT_normal.jpg")</f>
        <v>https://pbs.twimg.com/profile_images/1438758233254993921/xBdwdurT_normal.jpg</v>
      </c>
      <c r="W247" s="83">
        <v>44459.478263888886</v>
      </c>
      <c r="X247" s="89">
        <v>44459</v>
      </c>
      <c r="Y247" s="86" t="s">
        <v>2971</v>
      </c>
      <c r="Z247" s="84" t="str">
        <f>HYPERLINK("https://twitter.com/_antaresh29/status/1439914410831605769")</f>
        <v>https://twitter.com/_antaresh29/status/1439914410831605769</v>
      </c>
      <c r="AA247" s="81"/>
      <c r="AB247" s="81"/>
      <c r="AC247" s="86" t="s">
        <v>4431</v>
      </c>
      <c r="AD247" s="81"/>
      <c r="AE247" s="81" t="b">
        <v>0</v>
      </c>
      <c r="AF247" s="81">
        <v>0</v>
      </c>
      <c r="AG247" s="86" t="s">
        <v>6240</v>
      </c>
      <c r="AH247" s="81" t="b">
        <v>0</v>
      </c>
      <c r="AI247" s="81" t="s">
        <v>6478</v>
      </c>
      <c r="AJ247" s="81"/>
      <c r="AK247" s="86" t="s">
        <v>6240</v>
      </c>
      <c r="AL247" s="81" t="b">
        <v>0</v>
      </c>
      <c r="AM247" s="81">
        <v>4</v>
      </c>
      <c r="AN247" s="86" t="s">
        <v>4429</v>
      </c>
      <c r="AO247" s="86" t="s">
        <v>6503</v>
      </c>
      <c r="AP247" s="81" t="b">
        <v>0</v>
      </c>
      <c r="AQ247" s="86" t="s">
        <v>4429</v>
      </c>
      <c r="AR247" s="81" t="s">
        <v>179</v>
      </c>
      <c r="AS247" s="81">
        <v>0</v>
      </c>
      <c r="AT247" s="81">
        <v>0</v>
      </c>
      <c r="AU247" s="81"/>
      <c r="AV247" s="81"/>
      <c r="AW247" s="81"/>
      <c r="AX247" s="81"/>
      <c r="AY247" s="81"/>
      <c r="AZ247" s="81"/>
      <c r="BA247" s="81"/>
      <c r="BB247" s="81"/>
    </row>
    <row r="248" spans="1:54" x14ac:dyDescent="0.35">
      <c r="A248" s="66" t="s">
        <v>416</v>
      </c>
      <c r="B248" s="66" t="s">
        <v>1283</v>
      </c>
      <c r="C248" s="67"/>
      <c r="D248" s="68"/>
      <c r="E248" s="69"/>
      <c r="F248" s="70"/>
      <c r="G248" s="67"/>
      <c r="H248" s="71"/>
      <c r="I248" s="72"/>
      <c r="J248" s="72"/>
      <c r="K248" s="36"/>
      <c r="L248" s="79"/>
      <c r="M248" s="79"/>
      <c r="N248" s="74"/>
      <c r="O248" s="81" t="s">
        <v>1535</v>
      </c>
      <c r="P248" s="83">
        <v>44458.306238425925</v>
      </c>
      <c r="Q248" s="81" t="s">
        <v>1639</v>
      </c>
      <c r="R248" s="84" t="str">
        <f>HYPERLINK("https://kerjha.com/pos-indonesia-gandeng-nujek-dan-perkenalkan-o-ranger-mawar/")</f>
        <v>https://kerjha.com/pos-indonesia-gandeng-nujek-dan-perkenalkan-o-ranger-mawar/</v>
      </c>
      <c r="S248" s="81" t="s">
        <v>2586</v>
      </c>
      <c r="T248" s="81"/>
      <c r="U248" s="81"/>
      <c r="V248" s="84" t="str">
        <f>HYPERLINK("https://pbs.twimg.com/profile_images/1438758233254993921/xBdwdurT_normal.jpg")</f>
        <v>https://pbs.twimg.com/profile_images/1438758233254993921/xBdwdurT_normal.jpg</v>
      </c>
      <c r="W248" s="83">
        <v>44458.306238425925</v>
      </c>
      <c r="X248" s="89">
        <v>44458</v>
      </c>
      <c r="Y248" s="86" t="s">
        <v>2972</v>
      </c>
      <c r="Z248" s="84" t="str">
        <f>HYPERLINK("https://twitter.com/_antaresh29/status/1439489683096932359")</f>
        <v>https://twitter.com/_antaresh29/status/1439489683096932359</v>
      </c>
      <c r="AA248" s="81"/>
      <c r="AB248" s="81"/>
      <c r="AC248" s="86" t="s">
        <v>4432</v>
      </c>
      <c r="AD248" s="81"/>
      <c r="AE248" s="81" t="b">
        <v>0</v>
      </c>
      <c r="AF248" s="81">
        <v>6</v>
      </c>
      <c r="AG248" s="86" t="s">
        <v>6240</v>
      </c>
      <c r="AH248" s="81" t="b">
        <v>0</v>
      </c>
      <c r="AI248" s="81" t="s">
        <v>6478</v>
      </c>
      <c r="AJ248" s="81"/>
      <c r="AK248" s="86" t="s">
        <v>6240</v>
      </c>
      <c r="AL248" s="81" t="b">
        <v>0</v>
      </c>
      <c r="AM248" s="81">
        <v>3</v>
      </c>
      <c r="AN248" s="86" t="s">
        <v>6240</v>
      </c>
      <c r="AO248" s="86" t="s">
        <v>6503</v>
      </c>
      <c r="AP248" s="81" t="b">
        <v>0</v>
      </c>
      <c r="AQ248" s="86" t="s">
        <v>4432</v>
      </c>
      <c r="AR248" s="81" t="s">
        <v>179</v>
      </c>
      <c r="AS248" s="81">
        <v>0</v>
      </c>
      <c r="AT248" s="81">
        <v>0</v>
      </c>
      <c r="AU248" s="81"/>
      <c r="AV248" s="81"/>
      <c r="AW248" s="81"/>
      <c r="AX248" s="81"/>
      <c r="AY248" s="81"/>
      <c r="AZ248" s="81"/>
      <c r="BA248" s="81"/>
      <c r="BB248" s="81"/>
    </row>
    <row r="249" spans="1:54" x14ac:dyDescent="0.35">
      <c r="A249" s="66" t="s">
        <v>416</v>
      </c>
      <c r="B249" s="66" t="s">
        <v>1283</v>
      </c>
      <c r="C249" s="67"/>
      <c r="D249" s="68"/>
      <c r="E249" s="69"/>
      <c r="F249" s="70"/>
      <c r="G249" s="67"/>
      <c r="H249" s="71"/>
      <c r="I249" s="72"/>
      <c r="J249" s="72"/>
      <c r="K249" s="36"/>
      <c r="L249" s="79"/>
      <c r="M249" s="79"/>
      <c r="N249" s="74"/>
      <c r="O249" s="81" t="s">
        <v>1533</v>
      </c>
      <c r="P249" s="83">
        <v>44458.310300925928</v>
      </c>
      <c r="Q249" s="81" t="s">
        <v>1639</v>
      </c>
      <c r="R249" s="84" t="str">
        <f>HYPERLINK("https://kerjha.com/pos-indonesia-gandeng-nujek-dan-perkenalkan-o-ranger-mawar/")</f>
        <v>https://kerjha.com/pos-indonesia-gandeng-nujek-dan-perkenalkan-o-ranger-mawar/</v>
      </c>
      <c r="S249" s="81" t="s">
        <v>2586</v>
      </c>
      <c r="T249" s="81"/>
      <c r="U249" s="81"/>
      <c r="V249" s="84" t="str">
        <f>HYPERLINK("https://pbs.twimg.com/profile_images/1438758233254993921/xBdwdurT_normal.jpg")</f>
        <v>https://pbs.twimg.com/profile_images/1438758233254993921/xBdwdurT_normal.jpg</v>
      </c>
      <c r="W249" s="83">
        <v>44458.310300925928</v>
      </c>
      <c r="X249" s="89">
        <v>44458</v>
      </c>
      <c r="Y249" s="86" t="s">
        <v>2973</v>
      </c>
      <c r="Z249" s="84" t="str">
        <f>HYPERLINK("https://twitter.com/_antaresh29/status/1439491153120804865")</f>
        <v>https://twitter.com/_antaresh29/status/1439491153120804865</v>
      </c>
      <c r="AA249" s="81"/>
      <c r="AB249" s="81"/>
      <c r="AC249" s="86" t="s">
        <v>4433</v>
      </c>
      <c r="AD249" s="81"/>
      <c r="AE249" s="81" t="b">
        <v>0</v>
      </c>
      <c r="AF249" s="81">
        <v>0</v>
      </c>
      <c r="AG249" s="86" t="s">
        <v>6240</v>
      </c>
      <c r="AH249" s="81" t="b">
        <v>0</v>
      </c>
      <c r="AI249" s="81" t="s">
        <v>6478</v>
      </c>
      <c r="AJ249" s="81"/>
      <c r="AK249" s="86" t="s">
        <v>6240</v>
      </c>
      <c r="AL249" s="81" t="b">
        <v>0</v>
      </c>
      <c r="AM249" s="81">
        <v>3</v>
      </c>
      <c r="AN249" s="86" t="s">
        <v>4432</v>
      </c>
      <c r="AO249" s="86" t="s">
        <v>6503</v>
      </c>
      <c r="AP249" s="81" t="b">
        <v>0</v>
      </c>
      <c r="AQ249" s="86" t="s">
        <v>4432</v>
      </c>
      <c r="AR249" s="81" t="s">
        <v>179</v>
      </c>
      <c r="AS249" s="81">
        <v>0</v>
      </c>
      <c r="AT249" s="81">
        <v>0</v>
      </c>
      <c r="AU249" s="81"/>
      <c r="AV249" s="81"/>
      <c r="AW249" s="81"/>
      <c r="AX249" s="81"/>
      <c r="AY249" s="81"/>
      <c r="AZ249" s="81"/>
      <c r="BA249" s="81"/>
      <c r="BB249" s="81"/>
    </row>
    <row r="250" spans="1:54" x14ac:dyDescent="0.35">
      <c r="A250" s="66" t="s">
        <v>416</v>
      </c>
      <c r="B250" s="66" t="s">
        <v>416</v>
      </c>
      <c r="C250" s="67"/>
      <c r="D250" s="68"/>
      <c r="E250" s="69"/>
      <c r="F250" s="70"/>
      <c r="G250" s="67"/>
      <c r="H250" s="71"/>
      <c r="I250" s="72"/>
      <c r="J250" s="72"/>
      <c r="K250" s="36"/>
      <c r="L250" s="79"/>
      <c r="M250" s="79"/>
      <c r="N250" s="74"/>
      <c r="O250" s="81" t="s">
        <v>1532</v>
      </c>
      <c r="P250" s="83">
        <v>44458.310300925928</v>
      </c>
      <c r="Q250" s="81" t="s">
        <v>1639</v>
      </c>
      <c r="R250" s="84" t="str">
        <f>HYPERLINK("https://kerjha.com/pos-indonesia-gandeng-nujek-dan-perkenalkan-o-ranger-mawar/")</f>
        <v>https://kerjha.com/pos-indonesia-gandeng-nujek-dan-perkenalkan-o-ranger-mawar/</v>
      </c>
      <c r="S250" s="81" t="s">
        <v>2586</v>
      </c>
      <c r="T250" s="81"/>
      <c r="U250" s="81"/>
      <c r="V250" s="84" t="str">
        <f>HYPERLINK("https://pbs.twimg.com/profile_images/1438758233254993921/xBdwdurT_normal.jpg")</f>
        <v>https://pbs.twimg.com/profile_images/1438758233254993921/xBdwdurT_normal.jpg</v>
      </c>
      <c r="W250" s="83">
        <v>44458.310300925928</v>
      </c>
      <c r="X250" s="89">
        <v>44458</v>
      </c>
      <c r="Y250" s="86" t="s">
        <v>2973</v>
      </c>
      <c r="Z250" s="84" t="str">
        <f>HYPERLINK("https://twitter.com/_antaresh29/status/1439491153120804865")</f>
        <v>https://twitter.com/_antaresh29/status/1439491153120804865</v>
      </c>
      <c r="AA250" s="81"/>
      <c r="AB250" s="81"/>
      <c r="AC250" s="86" t="s">
        <v>4433</v>
      </c>
      <c r="AD250" s="81"/>
      <c r="AE250" s="81" t="b">
        <v>0</v>
      </c>
      <c r="AF250" s="81">
        <v>0</v>
      </c>
      <c r="AG250" s="86" t="s">
        <v>6240</v>
      </c>
      <c r="AH250" s="81" t="b">
        <v>0</v>
      </c>
      <c r="AI250" s="81" t="s">
        <v>6478</v>
      </c>
      <c r="AJ250" s="81"/>
      <c r="AK250" s="86" t="s">
        <v>6240</v>
      </c>
      <c r="AL250" s="81" t="b">
        <v>0</v>
      </c>
      <c r="AM250" s="81">
        <v>3</v>
      </c>
      <c r="AN250" s="86" t="s">
        <v>4432</v>
      </c>
      <c r="AO250" s="86" t="s">
        <v>6503</v>
      </c>
      <c r="AP250" s="81" t="b">
        <v>0</v>
      </c>
      <c r="AQ250" s="86" t="s">
        <v>4432</v>
      </c>
      <c r="AR250" s="81" t="s">
        <v>179</v>
      </c>
      <c r="AS250" s="81">
        <v>0</v>
      </c>
      <c r="AT250" s="81">
        <v>0</v>
      </c>
      <c r="AU250" s="81"/>
      <c r="AV250" s="81"/>
      <c r="AW250" s="81"/>
      <c r="AX250" s="81"/>
      <c r="AY250" s="81"/>
      <c r="AZ250" s="81"/>
      <c r="BA250" s="81"/>
      <c r="BB250" s="81"/>
    </row>
    <row r="251" spans="1:54" x14ac:dyDescent="0.35">
      <c r="A251" s="66" t="s">
        <v>416</v>
      </c>
      <c r="B251" s="66" t="s">
        <v>1283</v>
      </c>
      <c r="C251" s="67"/>
      <c r="D251" s="68"/>
      <c r="E251" s="69"/>
      <c r="F251" s="70"/>
      <c r="G251" s="67"/>
      <c r="H251" s="71"/>
      <c r="I251" s="72"/>
      <c r="J251" s="72"/>
      <c r="K251" s="36"/>
      <c r="L251" s="79"/>
      <c r="M251" s="79"/>
      <c r="N251" s="74"/>
      <c r="O251" s="81" t="s">
        <v>1535</v>
      </c>
      <c r="P251" s="83">
        <v>44458.616909722223</v>
      </c>
      <c r="Q251" s="81" t="s">
        <v>1640</v>
      </c>
      <c r="R251" s="84" t="str">
        <f>HYPERLINK("https://kerjha.com/pos-indonesia-gandeng-nujek-dan-perkenalkan-o-ranger-mawar/")</f>
        <v>https://kerjha.com/pos-indonesia-gandeng-nujek-dan-perkenalkan-o-ranger-mawar/</v>
      </c>
      <c r="S251" s="81" t="s">
        <v>2586</v>
      </c>
      <c r="T251" s="81"/>
      <c r="U251" s="81"/>
      <c r="V251" s="84" t="str">
        <f>HYPERLINK("https://pbs.twimg.com/profile_images/1438758233254993921/xBdwdurT_normal.jpg")</f>
        <v>https://pbs.twimg.com/profile_images/1438758233254993921/xBdwdurT_normal.jpg</v>
      </c>
      <c r="W251" s="83">
        <v>44458.616909722223</v>
      </c>
      <c r="X251" s="89">
        <v>44458</v>
      </c>
      <c r="Y251" s="86" t="s">
        <v>2974</v>
      </c>
      <c r="Z251" s="84" t="str">
        <f>HYPERLINK("https://twitter.com/_antaresh29/status/1439602267045257218")</f>
        <v>https://twitter.com/_antaresh29/status/1439602267045257218</v>
      </c>
      <c r="AA251" s="81"/>
      <c r="AB251" s="81"/>
      <c r="AC251" s="86" t="s">
        <v>4434</v>
      </c>
      <c r="AD251" s="81"/>
      <c r="AE251" s="81" t="b">
        <v>0</v>
      </c>
      <c r="AF251" s="81">
        <v>5</v>
      </c>
      <c r="AG251" s="86" t="s">
        <v>6240</v>
      </c>
      <c r="AH251" s="81" t="b">
        <v>0</v>
      </c>
      <c r="AI251" s="81" t="s">
        <v>6478</v>
      </c>
      <c r="AJ251" s="81"/>
      <c r="AK251" s="86" t="s">
        <v>6240</v>
      </c>
      <c r="AL251" s="81" t="b">
        <v>0</v>
      </c>
      <c r="AM251" s="81">
        <v>3</v>
      </c>
      <c r="AN251" s="86" t="s">
        <v>6240</v>
      </c>
      <c r="AO251" s="86" t="s">
        <v>6503</v>
      </c>
      <c r="AP251" s="81" t="b">
        <v>0</v>
      </c>
      <c r="AQ251" s="86" t="s">
        <v>4434</v>
      </c>
      <c r="AR251" s="81" t="s">
        <v>179</v>
      </c>
      <c r="AS251" s="81">
        <v>0</v>
      </c>
      <c r="AT251" s="81">
        <v>0</v>
      </c>
      <c r="AU251" s="81"/>
      <c r="AV251" s="81"/>
      <c r="AW251" s="81"/>
      <c r="AX251" s="81"/>
      <c r="AY251" s="81"/>
      <c r="AZ251" s="81"/>
      <c r="BA251" s="81"/>
      <c r="BB251" s="81"/>
    </row>
    <row r="252" spans="1:54" x14ac:dyDescent="0.35">
      <c r="A252" s="66" t="s">
        <v>416</v>
      </c>
      <c r="B252" s="66" t="s">
        <v>1283</v>
      </c>
      <c r="C252" s="67"/>
      <c r="D252" s="68"/>
      <c r="E252" s="69"/>
      <c r="F252" s="70"/>
      <c r="G252" s="67"/>
      <c r="H252" s="71"/>
      <c r="I252" s="72"/>
      <c r="J252" s="72"/>
      <c r="K252" s="36"/>
      <c r="L252" s="79"/>
      <c r="M252" s="79"/>
      <c r="N252" s="74"/>
      <c r="O252" s="81" t="s">
        <v>1533</v>
      </c>
      <c r="P252" s="83">
        <v>44458.62537037037</v>
      </c>
      <c r="Q252" s="81" t="s">
        <v>1640</v>
      </c>
      <c r="R252" s="84" t="str">
        <f>HYPERLINK("https://kerjha.com/pos-indonesia-gandeng-nujek-dan-perkenalkan-o-ranger-mawar/")</f>
        <v>https://kerjha.com/pos-indonesia-gandeng-nujek-dan-perkenalkan-o-ranger-mawar/</v>
      </c>
      <c r="S252" s="81" t="s">
        <v>2586</v>
      </c>
      <c r="T252" s="81"/>
      <c r="U252" s="81"/>
      <c r="V252" s="84" t="str">
        <f>HYPERLINK("https://pbs.twimg.com/profile_images/1438758233254993921/xBdwdurT_normal.jpg")</f>
        <v>https://pbs.twimg.com/profile_images/1438758233254993921/xBdwdurT_normal.jpg</v>
      </c>
      <c r="W252" s="83">
        <v>44458.62537037037</v>
      </c>
      <c r="X252" s="89">
        <v>44458</v>
      </c>
      <c r="Y252" s="86" t="s">
        <v>2975</v>
      </c>
      <c r="Z252" s="84" t="str">
        <f>HYPERLINK("https://twitter.com/_antaresh29/status/1439605333488398337")</f>
        <v>https://twitter.com/_antaresh29/status/1439605333488398337</v>
      </c>
      <c r="AA252" s="81"/>
      <c r="AB252" s="81"/>
      <c r="AC252" s="86" t="s">
        <v>4435</v>
      </c>
      <c r="AD252" s="81"/>
      <c r="AE252" s="81" t="b">
        <v>0</v>
      </c>
      <c r="AF252" s="81">
        <v>0</v>
      </c>
      <c r="AG252" s="86" t="s">
        <v>6240</v>
      </c>
      <c r="AH252" s="81" t="b">
        <v>0</v>
      </c>
      <c r="AI252" s="81" t="s">
        <v>6478</v>
      </c>
      <c r="AJ252" s="81"/>
      <c r="AK252" s="86" t="s">
        <v>6240</v>
      </c>
      <c r="AL252" s="81" t="b">
        <v>0</v>
      </c>
      <c r="AM252" s="81">
        <v>3</v>
      </c>
      <c r="AN252" s="86" t="s">
        <v>4434</v>
      </c>
      <c r="AO252" s="86" t="s">
        <v>6503</v>
      </c>
      <c r="AP252" s="81" t="b">
        <v>0</v>
      </c>
      <c r="AQ252" s="86" t="s">
        <v>4434</v>
      </c>
      <c r="AR252" s="81" t="s">
        <v>179</v>
      </c>
      <c r="AS252" s="81">
        <v>0</v>
      </c>
      <c r="AT252" s="81">
        <v>0</v>
      </c>
      <c r="AU252" s="81"/>
      <c r="AV252" s="81"/>
      <c r="AW252" s="81"/>
      <c r="AX252" s="81"/>
      <c r="AY252" s="81"/>
      <c r="AZ252" s="81"/>
      <c r="BA252" s="81"/>
      <c r="BB252" s="81"/>
    </row>
    <row r="253" spans="1:54" x14ac:dyDescent="0.35">
      <c r="A253" s="66" t="s">
        <v>416</v>
      </c>
      <c r="B253" s="66" t="s">
        <v>416</v>
      </c>
      <c r="C253" s="67"/>
      <c r="D253" s="68"/>
      <c r="E253" s="69"/>
      <c r="F253" s="70"/>
      <c r="G253" s="67"/>
      <c r="H253" s="71"/>
      <c r="I253" s="72"/>
      <c r="J253" s="72"/>
      <c r="K253" s="36"/>
      <c r="L253" s="79"/>
      <c r="M253" s="79"/>
      <c r="N253" s="74"/>
      <c r="O253" s="81" t="s">
        <v>1532</v>
      </c>
      <c r="P253" s="83">
        <v>44458.62537037037</v>
      </c>
      <c r="Q253" s="81" t="s">
        <v>1640</v>
      </c>
      <c r="R253" s="84" t="str">
        <f>HYPERLINK("https://kerjha.com/pos-indonesia-gandeng-nujek-dan-perkenalkan-o-ranger-mawar/")</f>
        <v>https://kerjha.com/pos-indonesia-gandeng-nujek-dan-perkenalkan-o-ranger-mawar/</v>
      </c>
      <c r="S253" s="81" t="s">
        <v>2586</v>
      </c>
      <c r="T253" s="81"/>
      <c r="U253" s="81"/>
      <c r="V253" s="84" t="str">
        <f>HYPERLINK("https://pbs.twimg.com/profile_images/1438758233254993921/xBdwdurT_normal.jpg")</f>
        <v>https://pbs.twimg.com/profile_images/1438758233254993921/xBdwdurT_normal.jpg</v>
      </c>
      <c r="W253" s="83">
        <v>44458.62537037037</v>
      </c>
      <c r="X253" s="89">
        <v>44458</v>
      </c>
      <c r="Y253" s="86" t="s">
        <v>2975</v>
      </c>
      <c r="Z253" s="84" t="str">
        <f>HYPERLINK("https://twitter.com/_antaresh29/status/1439605333488398337")</f>
        <v>https://twitter.com/_antaresh29/status/1439605333488398337</v>
      </c>
      <c r="AA253" s="81"/>
      <c r="AB253" s="81"/>
      <c r="AC253" s="86" t="s">
        <v>4435</v>
      </c>
      <c r="AD253" s="81"/>
      <c r="AE253" s="81" t="b">
        <v>0</v>
      </c>
      <c r="AF253" s="81">
        <v>0</v>
      </c>
      <c r="AG253" s="86" t="s">
        <v>6240</v>
      </c>
      <c r="AH253" s="81" t="b">
        <v>0</v>
      </c>
      <c r="AI253" s="81" t="s">
        <v>6478</v>
      </c>
      <c r="AJ253" s="81"/>
      <c r="AK253" s="86" t="s">
        <v>6240</v>
      </c>
      <c r="AL253" s="81" t="b">
        <v>0</v>
      </c>
      <c r="AM253" s="81">
        <v>3</v>
      </c>
      <c r="AN253" s="86" t="s">
        <v>4434</v>
      </c>
      <c r="AO253" s="86" t="s">
        <v>6503</v>
      </c>
      <c r="AP253" s="81" t="b">
        <v>0</v>
      </c>
      <c r="AQ253" s="86" t="s">
        <v>4434</v>
      </c>
      <c r="AR253" s="81" t="s">
        <v>179</v>
      </c>
      <c r="AS253" s="81">
        <v>0</v>
      </c>
      <c r="AT253" s="81">
        <v>0</v>
      </c>
      <c r="AU253" s="81"/>
      <c r="AV253" s="81"/>
      <c r="AW253" s="81"/>
      <c r="AX253" s="81"/>
      <c r="AY253" s="81"/>
      <c r="AZ253" s="81"/>
      <c r="BA253" s="81"/>
      <c r="BB253" s="81"/>
    </row>
    <row r="254" spans="1:54" x14ac:dyDescent="0.35">
      <c r="A254" s="66" t="s">
        <v>416</v>
      </c>
      <c r="B254" s="66" t="s">
        <v>1283</v>
      </c>
      <c r="C254" s="67"/>
      <c r="D254" s="68"/>
      <c r="E254" s="69"/>
      <c r="F254" s="70"/>
      <c r="G254" s="67"/>
      <c r="H254" s="71"/>
      <c r="I254" s="72"/>
      <c r="J254" s="72"/>
      <c r="K254" s="36"/>
      <c r="L254" s="79"/>
      <c r="M254" s="79"/>
      <c r="N254" s="74"/>
      <c r="O254" s="81" t="s">
        <v>1533</v>
      </c>
      <c r="P254" s="83">
        <v>44459.478263888886</v>
      </c>
      <c r="Q254" s="81" t="s">
        <v>1641</v>
      </c>
      <c r="R254" s="84" t="str">
        <f>HYPERLINK("https://kerjha.com/pos-indonesia-gandeng-nujek-dan-perkenalkan-o-ranger-mawar/")</f>
        <v>https://kerjha.com/pos-indonesia-gandeng-nujek-dan-perkenalkan-o-ranger-mawar/</v>
      </c>
      <c r="S254" s="81" t="s">
        <v>2586</v>
      </c>
      <c r="T254" s="81"/>
      <c r="U254" s="81"/>
      <c r="V254" s="84" t="str">
        <f>HYPERLINK("https://pbs.twimg.com/profile_images/1438758233254993921/xBdwdurT_normal.jpg")</f>
        <v>https://pbs.twimg.com/profile_images/1438758233254993921/xBdwdurT_normal.jpg</v>
      </c>
      <c r="W254" s="83">
        <v>44459.478263888886</v>
      </c>
      <c r="X254" s="89">
        <v>44459</v>
      </c>
      <c r="Y254" s="86" t="s">
        <v>2971</v>
      </c>
      <c r="Z254" s="84" t="str">
        <f>HYPERLINK("https://twitter.com/_antaresh29/status/1439914410831605769")</f>
        <v>https://twitter.com/_antaresh29/status/1439914410831605769</v>
      </c>
      <c r="AA254" s="81"/>
      <c r="AB254" s="81"/>
      <c r="AC254" s="86" t="s">
        <v>4431</v>
      </c>
      <c r="AD254" s="81"/>
      <c r="AE254" s="81" t="b">
        <v>0</v>
      </c>
      <c r="AF254" s="81">
        <v>0</v>
      </c>
      <c r="AG254" s="86" t="s">
        <v>6240</v>
      </c>
      <c r="AH254" s="81" t="b">
        <v>0</v>
      </c>
      <c r="AI254" s="81" t="s">
        <v>6478</v>
      </c>
      <c r="AJ254" s="81"/>
      <c r="AK254" s="86" t="s">
        <v>6240</v>
      </c>
      <c r="AL254" s="81" t="b">
        <v>0</v>
      </c>
      <c r="AM254" s="81">
        <v>4</v>
      </c>
      <c r="AN254" s="86" t="s">
        <v>4429</v>
      </c>
      <c r="AO254" s="86" t="s">
        <v>6503</v>
      </c>
      <c r="AP254" s="81" t="b">
        <v>0</v>
      </c>
      <c r="AQ254" s="86" t="s">
        <v>4429</v>
      </c>
      <c r="AR254" s="81" t="s">
        <v>179</v>
      </c>
      <c r="AS254" s="81">
        <v>0</v>
      </c>
      <c r="AT254" s="81">
        <v>0</v>
      </c>
      <c r="AU254" s="81"/>
      <c r="AV254" s="81"/>
      <c r="AW254" s="81"/>
      <c r="AX254" s="81"/>
      <c r="AY254" s="81"/>
      <c r="AZ254" s="81"/>
      <c r="BA254" s="81"/>
      <c r="BB254" s="81"/>
    </row>
    <row r="255" spans="1:54" x14ac:dyDescent="0.35">
      <c r="A255" s="66" t="s">
        <v>417</v>
      </c>
      <c r="B255" s="66" t="s">
        <v>1247</v>
      </c>
      <c r="C255" s="67"/>
      <c r="D255" s="68"/>
      <c r="E255" s="69"/>
      <c r="F255" s="70"/>
      <c r="G255" s="67"/>
      <c r="H255" s="71"/>
      <c r="I255" s="72"/>
      <c r="J255" s="72"/>
      <c r="K255" s="36"/>
      <c r="L255" s="79"/>
      <c r="M255" s="79"/>
      <c r="N255" s="74"/>
      <c r="O255" s="81" t="s">
        <v>1532</v>
      </c>
      <c r="P255" s="83">
        <v>44459.482858796298</v>
      </c>
      <c r="Q255" s="81" t="s">
        <v>1650</v>
      </c>
      <c r="R255" s="81"/>
      <c r="S255" s="81"/>
      <c r="T255" s="86" t="s">
        <v>2667</v>
      </c>
      <c r="U255" s="84" t="str">
        <f>HYPERLINK("https://pbs.twimg.com/media/E_ubZIHUYAESLiB.jpg")</f>
        <v>https://pbs.twimg.com/media/E_ubZIHUYAESLiB.jpg</v>
      </c>
      <c r="V255" s="84" t="str">
        <f>HYPERLINK("https://pbs.twimg.com/media/E_ubZIHUYAESLiB.jpg")</f>
        <v>https://pbs.twimg.com/media/E_ubZIHUYAESLiB.jpg</v>
      </c>
      <c r="W255" s="83">
        <v>44459.482858796298</v>
      </c>
      <c r="X255" s="89">
        <v>44459</v>
      </c>
      <c r="Y255" s="86" t="s">
        <v>2976</v>
      </c>
      <c r="Z255" s="84" t="str">
        <f>HYPERLINK("https://twitter.com/lilstayy/status/1439916077601869831")</f>
        <v>https://twitter.com/lilstayy/status/1439916077601869831</v>
      </c>
      <c r="AA255" s="81"/>
      <c r="AB255" s="81"/>
      <c r="AC255" s="86" t="s">
        <v>4436</v>
      </c>
      <c r="AD255" s="81"/>
      <c r="AE255" s="81" t="b">
        <v>0</v>
      </c>
      <c r="AF255" s="81">
        <v>0</v>
      </c>
      <c r="AG255" s="86" t="s">
        <v>6240</v>
      </c>
      <c r="AH255" s="81" t="b">
        <v>0</v>
      </c>
      <c r="AI255" s="81" t="s">
        <v>6479</v>
      </c>
      <c r="AJ255" s="81"/>
      <c r="AK255" s="86" t="s">
        <v>6240</v>
      </c>
      <c r="AL255" s="81" t="b">
        <v>0</v>
      </c>
      <c r="AM255" s="81">
        <v>27</v>
      </c>
      <c r="AN255" s="86" t="s">
        <v>5503</v>
      </c>
      <c r="AO255" s="86" t="s">
        <v>6505</v>
      </c>
      <c r="AP255" s="81" t="b">
        <v>0</v>
      </c>
      <c r="AQ255" s="86" t="s">
        <v>5503</v>
      </c>
      <c r="AR255" s="81" t="s">
        <v>179</v>
      </c>
      <c r="AS255" s="81">
        <v>0</v>
      </c>
      <c r="AT255" s="81">
        <v>0</v>
      </c>
      <c r="AU255" s="81"/>
      <c r="AV255" s="81"/>
      <c r="AW255" s="81"/>
      <c r="AX255" s="81"/>
      <c r="AY255" s="81"/>
      <c r="AZ255" s="81"/>
      <c r="BA255" s="81"/>
      <c r="BB255" s="81"/>
    </row>
    <row r="256" spans="1:54" x14ac:dyDescent="0.35">
      <c r="A256" s="66" t="s">
        <v>418</v>
      </c>
      <c r="B256" s="66" t="s">
        <v>1247</v>
      </c>
      <c r="C256" s="67"/>
      <c r="D256" s="68"/>
      <c r="E256" s="69"/>
      <c r="F256" s="70"/>
      <c r="G256" s="67"/>
      <c r="H256" s="71"/>
      <c r="I256" s="72"/>
      <c r="J256" s="72"/>
      <c r="K256" s="36"/>
      <c r="L256" s="79"/>
      <c r="M256" s="79"/>
      <c r="N256" s="74"/>
      <c r="O256" s="81" t="s">
        <v>1532</v>
      </c>
      <c r="P256" s="83">
        <v>44459.483194444445</v>
      </c>
      <c r="Q256" s="81" t="s">
        <v>1650</v>
      </c>
      <c r="R256" s="81"/>
      <c r="S256" s="81"/>
      <c r="T256" s="86" t="s">
        <v>2667</v>
      </c>
      <c r="U256" s="84" t="str">
        <f>HYPERLINK("https://pbs.twimg.com/media/E_ubZIHUYAESLiB.jpg")</f>
        <v>https://pbs.twimg.com/media/E_ubZIHUYAESLiB.jpg</v>
      </c>
      <c r="V256" s="84" t="str">
        <f>HYPERLINK("https://pbs.twimg.com/media/E_ubZIHUYAESLiB.jpg")</f>
        <v>https://pbs.twimg.com/media/E_ubZIHUYAESLiB.jpg</v>
      </c>
      <c r="W256" s="83">
        <v>44459.483194444445</v>
      </c>
      <c r="X256" s="89">
        <v>44459</v>
      </c>
      <c r="Y256" s="86" t="s">
        <v>2977</v>
      </c>
      <c r="Z256" s="84" t="str">
        <f>HYPERLINK("https://twitter.com/bubblestarnoona/status/1439916199534465029")</f>
        <v>https://twitter.com/bubblestarnoona/status/1439916199534465029</v>
      </c>
      <c r="AA256" s="81"/>
      <c r="AB256" s="81"/>
      <c r="AC256" s="86" t="s">
        <v>4437</v>
      </c>
      <c r="AD256" s="81"/>
      <c r="AE256" s="81" t="b">
        <v>0</v>
      </c>
      <c r="AF256" s="81">
        <v>0</v>
      </c>
      <c r="AG256" s="86" t="s">
        <v>6240</v>
      </c>
      <c r="AH256" s="81" t="b">
        <v>0</v>
      </c>
      <c r="AI256" s="81" t="s">
        <v>6479</v>
      </c>
      <c r="AJ256" s="81"/>
      <c r="AK256" s="86" t="s">
        <v>6240</v>
      </c>
      <c r="AL256" s="81" t="b">
        <v>0</v>
      </c>
      <c r="AM256" s="81">
        <v>27</v>
      </c>
      <c r="AN256" s="86" t="s">
        <v>5503</v>
      </c>
      <c r="AO256" s="86" t="s">
        <v>6507</v>
      </c>
      <c r="AP256" s="81" t="b">
        <v>0</v>
      </c>
      <c r="AQ256" s="86" t="s">
        <v>5503</v>
      </c>
      <c r="AR256" s="81" t="s">
        <v>179</v>
      </c>
      <c r="AS256" s="81">
        <v>0</v>
      </c>
      <c r="AT256" s="81">
        <v>0</v>
      </c>
      <c r="AU256" s="81"/>
      <c r="AV256" s="81"/>
      <c r="AW256" s="81"/>
      <c r="AX256" s="81"/>
      <c r="AY256" s="81"/>
      <c r="AZ256" s="81"/>
      <c r="BA256" s="81"/>
      <c r="BB256" s="81"/>
    </row>
    <row r="257" spans="1:54" x14ac:dyDescent="0.35">
      <c r="A257" s="66" t="s">
        <v>419</v>
      </c>
      <c r="B257" s="66" t="s">
        <v>1247</v>
      </c>
      <c r="C257" s="67"/>
      <c r="D257" s="68"/>
      <c r="E257" s="69"/>
      <c r="F257" s="70"/>
      <c r="G257" s="67"/>
      <c r="H257" s="71"/>
      <c r="I257" s="72"/>
      <c r="J257" s="72"/>
      <c r="K257" s="36"/>
      <c r="L257" s="79"/>
      <c r="M257" s="79"/>
      <c r="N257" s="74"/>
      <c r="O257" s="81" t="s">
        <v>1532</v>
      </c>
      <c r="P257" s="83">
        <v>44459.483715277776</v>
      </c>
      <c r="Q257" s="81" t="s">
        <v>1650</v>
      </c>
      <c r="R257" s="81"/>
      <c r="S257" s="81"/>
      <c r="T257" s="86" t="s">
        <v>2667</v>
      </c>
      <c r="U257" s="84" t="str">
        <f>HYPERLINK("https://pbs.twimg.com/media/E_ubZIHUYAESLiB.jpg")</f>
        <v>https://pbs.twimg.com/media/E_ubZIHUYAESLiB.jpg</v>
      </c>
      <c r="V257" s="84" t="str">
        <f>HYPERLINK("https://pbs.twimg.com/media/E_ubZIHUYAESLiB.jpg")</f>
        <v>https://pbs.twimg.com/media/E_ubZIHUYAESLiB.jpg</v>
      </c>
      <c r="W257" s="83">
        <v>44459.483715277776</v>
      </c>
      <c r="X257" s="89">
        <v>44459</v>
      </c>
      <c r="Y257" s="86" t="s">
        <v>2978</v>
      </c>
      <c r="Z257" s="84" t="str">
        <f>HYPERLINK("https://twitter.com/inlifeu_/status/1439916387133054981")</f>
        <v>https://twitter.com/inlifeu_/status/1439916387133054981</v>
      </c>
      <c r="AA257" s="81"/>
      <c r="AB257" s="81"/>
      <c r="AC257" s="86" t="s">
        <v>4438</v>
      </c>
      <c r="AD257" s="81"/>
      <c r="AE257" s="81" t="b">
        <v>0</v>
      </c>
      <c r="AF257" s="81">
        <v>0</v>
      </c>
      <c r="AG257" s="86" t="s">
        <v>6240</v>
      </c>
      <c r="AH257" s="81" t="b">
        <v>0</v>
      </c>
      <c r="AI257" s="81" t="s">
        <v>6479</v>
      </c>
      <c r="AJ257" s="81"/>
      <c r="AK257" s="86" t="s">
        <v>6240</v>
      </c>
      <c r="AL257" s="81" t="b">
        <v>0</v>
      </c>
      <c r="AM257" s="81">
        <v>27</v>
      </c>
      <c r="AN257" s="86" t="s">
        <v>5503</v>
      </c>
      <c r="AO257" s="86" t="s">
        <v>6505</v>
      </c>
      <c r="AP257" s="81" t="b">
        <v>0</v>
      </c>
      <c r="AQ257" s="86" t="s">
        <v>5503</v>
      </c>
      <c r="AR257" s="81" t="s">
        <v>179</v>
      </c>
      <c r="AS257" s="81">
        <v>0</v>
      </c>
      <c r="AT257" s="81">
        <v>0</v>
      </c>
      <c r="AU257" s="81"/>
      <c r="AV257" s="81"/>
      <c r="AW257" s="81"/>
      <c r="AX257" s="81"/>
      <c r="AY257" s="81"/>
      <c r="AZ257" s="81"/>
      <c r="BA257" s="81"/>
      <c r="BB257" s="81"/>
    </row>
    <row r="258" spans="1:54" x14ac:dyDescent="0.35">
      <c r="A258" s="66" t="s">
        <v>420</v>
      </c>
      <c r="B258" s="66" t="s">
        <v>335</v>
      </c>
      <c r="C258" s="67"/>
      <c r="D258" s="68"/>
      <c r="E258" s="69"/>
      <c r="F258" s="70"/>
      <c r="G258" s="67"/>
      <c r="H258" s="71"/>
      <c r="I258" s="72"/>
      <c r="J258" s="72"/>
      <c r="K258" s="36"/>
      <c r="L258" s="79"/>
      <c r="M258" s="79"/>
      <c r="N258" s="74"/>
      <c r="O258" s="81" t="s">
        <v>1532</v>
      </c>
      <c r="P258" s="83">
        <v>44459.483831018515</v>
      </c>
      <c r="Q258" s="81" t="s">
        <v>1586</v>
      </c>
      <c r="R258" s="81"/>
      <c r="S258" s="81"/>
      <c r="T258" s="81"/>
      <c r="U258" s="84" t="str">
        <f>HYPERLINK("https://pbs.twimg.com/ext_tw_video_thumb/1439603623520993285/pu/img/4NCBVhjvbYSKxAvX.jpg")</f>
        <v>https://pbs.twimg.com/ext_tw_video_thumb/1439603623520993285/pu/img/4NCBVhjvbYSKxAvX.jpg</v>
      </c>
      <c r="V258" s="84" t="str">
        <f>HYPERLINK("https://pbs.twimg.com/ext_tw_video_thumb/1439603623520993285/pu/img/4NCBVhjvbYSKxAvX.jpg")</f>
        <v>https://pbs.twimg.com/ext_tw_video_thumb/1439603623520993285/pu/img/4NCBVhjvbYSKxAvX.jpg</v>
      </c>
      <c r="W258" s="83">
        <v>44459.483831018515</v>
      </c>
      <c r="X258" s="89">
        <v>44459</v>
      </c>
      <c r="Y258" s="86" t="s">
        <v>2979</v>
      </c>
      <c r="Z258" s="84" t="str">
        <f>HYPERLINK("https://twitter.com/_ainnabilaa/status/1439916428195336199")</f>
        <v>https://twitter.com/_ainnabilaa/status/1439916428195336199</v>
      </c>
      <c r="AA258" s="81"/>
      <c r="AB258" s="81"/>
      <c r="AC258" s="86" t="s">
        <v>4439</v>
      </c>
      <c r="AD258" s="81"/>
      <c r="AE258" s="81" t="b">
        <v>0</v>
      </c>
      <c r="AF258" s="81">
        <v>0</v>
      </c>
      <c r="AG258" s="86" t="s">
        <v>6240</v>
      </c>
      <c r="AH258" s="81" t="b">
        <v>0</v>
      </c>
      <c r="AI258" s="81" t="s">
        <v>6478</v>
      </c>
      <c r="AJ258" s="81"/>
      <c r="AK258" s="86" t="s">
        <v>6240</v>
      </c>
      <c r="AL258" s="81" t="b">
        <v>0</v>
      </c>
      <c r="AM258" s="81">
        <v>102</v>
      </c>
      <c r="AN258" s="86" t="s">
        <v>4519</v>
      </c>
      <c r="AO258" s="86" t="s">
        <v>6508</v>
      </c>
      <c r="AP258" s="81" t="b">
        <v>0</v>
      </c>
      <c r="AQ258" s="86" t="s">
        <v>4519</v>
      </c>
      <c r="AR258" s="81" t="s">
        <v>179</v>
      </c>
      <c r="AS258" s="81">
        <v>0</v>
      </c>
      <c r="AT258" s="81">
        <v>0</v>
      </c>
      <c r="AU258" s="81"/>
      <c r="AV258" s="81"/>
      <c r="AW258" s="81"/>
      <c r="AX258" s="81"/>
      <c r="AY258" s="81"/>
      <c r="AZ258" s="81"/>
      <c r="BA258" s="81"/>
      <c r="BB258" s="81"/>
    </row>
    <row r="259" spans="1:54" x14ac:dyDescent="0.35">
      <c r="A259" s="66" t="s">
        <v>421</v>
      </c>
      <c r="B259" s="66" t="s">
        <v>1247</v>
      </c>
      <c r="C259" s="67"/>
      <c r="D259" s="68"/>
      <c r="E259" s="69"/>
      <c r="F259" s="70"/>
      <c r="G259" s="67"/>
      <c r="H259" s="71"/>
      <c r="I259" s="72"/>
      <c r="J259" s="72"/>
      <c r="K259" s="36"/>
      <c r="L259" s="79"/>
      <c r="M259" s="79"/>
      <c r="N259" s="74"/>
      <c r="O259" s="81" t="s">
        <v>1532</v>
      </c>
      <c r="P259" s="83">
        <v>44459.484050925923</v>
      </c>
      <c r="Q259" s="81" t="s">
        <v>1650</v>
      </c>
      <c r="R259" s="81"/>
      <c r="S259" s="81"/>
      <c r="T259" s="86" t="s">
        <v>2667</v>
      </c>
      <c r="U259" s="84" t="str">
        <f>HYPERLINK("https://pbs.twimg.com/media/E_ubZIHUYAESLiB.jpg")</f>
        <v>https://pbs.twimg.com/media/E_ubZIHUYAESLiB.jpg</v>
      </c>
      <c r="V259" s="84" t="str">
        <f>HYPERLINK("https://pbs.twimg.com/media/E_ubZIHUYAESLiB.jpg")</f>
        <v>https://pbs.twimg.com/media/E_ubZIHUYAESLiB.jpg</v>
      </c>
      <c r="W259" s="83">
        <v>44459.484050925923</v>
      </c>
      <c r="X259" s="89">
        <v>44459</v>
      </c>
      <c r="Y259" s="86" t="s">
        <v>2980</v>
      </c>
      <c r="Z259" s="84" t="str">
        <f>HYPERLINK("https://twitter.com/hanniestar00/status/1439916505869611017")</f>
        <v>https://twitter.com/hanniestar00/status/1439916505869611017</v>
      </c>
      <c r="AA259" s="81"/>
      <c r="AB259" s="81"/>
      <c r="AC259" s="86" t="s">
        <v>4440</v>
      </c>
      <c r="AD259" s="81"/>
      <c r="AE259" s="81" t="b">
        <v>0</v>
      </c>
      <c r="AF259" s="81">
        <v>0</v>
      </c>
      <c r="AG259" s="86" t="s">
        <v>6240</v>
      </c>
      <c r="AH259" s="81" t="b">
        <v>0</v>
      </c>
      <c r="AI259" s="81" t="s">
        <v>6479</v>
      </c>
      <c r="AJ259" s="81"/>
      <c r="AK259" s="86" t="s">
        <v>6240</v>
      </c>
      <c r="AL259" s="81" t="b">
        <v>0</v>
      </c>
      <c r="AM259" s="81">
        <v>27</v>
      </c>
      <c r="AN259" s="86" t="s">
        <v>5503</v>
      </c>
      <c r="AO259" s="86" t="s">
        <v>6505</v>
      </c>
      <c r="AP259" s="81" t="b">
        <v>0</v>
      </c>
      <c r="AQ259" s="86" t="s">
        <v>5503</v>
      </c>
      <c r="AR259" s="81" t="s">
        <v>179</v>
      </c>
      <c r="AS259" s="81">
        <v>0</v>
      </c>
      <c r="AT259" s="81">
        <v>0</v>
      </c>
      <c r="AU259" s="81"/>
      <c r="AV259" s="81"/>
      <c r="AW259" s="81"/>
      <c r="AX259" s="81"/>
      <c r="AY259" s="81"/>
      <c r="AZ259" s="81"/>
      <c r="BA259" s="81"/>
      <c r="BB259" s="81"/>
    </row>
    <row r="260" spans="1:54" x14ac:dyDescent="0.35">
      <c r="A260" s="66" t="s">
        <v>422</v>
      </c>
      <c r="B260" s="66" t="s">
        <v>1247</v>
      </c>
      <c r="C260" s="67"/>
      <c r="D260" s="68"/>
      <c r="E260" s="69"/>
      <c r="F260" s="70"/>
      <c r="G260" s="67"/>
      <c r="H260" s="71"/>
      <c r="I260" s="72"/>
      <c r="J260" s="72"/>
      <c r="K260" s="36"/>
      <c r="L260" s="79"/>
      <c r="M260" s="79"/>
      <c r="N260" s="74"/>
      <c r="O260" s="81" t="s">
        <v>1532</v>
      </c>
      <c r="P260" s="83">
        <v>44459.484050925923</v>
      </c>
      <c r="Q260" s="81" t="s">
        <v>1650</v>
      </c>
      <c r="R260" s="81"/>
      <c r="S260" s="81"/>
      <c r="T260" s="86" t="s">
        <v>2667</v>
      </c>
      <c r="U260" s="84" t="str">
        <f>HYPERLINK("https://pbs.twimg.com/media/E_ubZIHUYAESLiB.jpg")</f>
        <v>https://pbs.twimg.com/media/E_ubZIHUYAESLiB.jpg</v>
      </c>
      <c r="V260" s="84" t="str">
        <f>HYPERLINK("https://pbs.twimg.com/media/E_ubZIHUYAESLiB.jpg")</f>
        <v>https://pbs.twimg.com/media/E_ubZIHUYAESLiB.jpg</v>
      </c>
      <c r="W260" s="83">
        <v>44459.484050925923</v>
      </c>
      <c r="X260" s="89">
        <v>44459</v>
      </c>
      <c r="Y260" s="86" t="s">
        <v>2980</v>
      </c>
      <c r="Z260" s="84" t="str">
        <f>HYPERLINK("https://twitter.com/hanniequokkache/status/1439916509514514432")</f>
        <v>https://twitter.com/hanniequokkache/status/1439916509514514432</v>
      </c>
      <c r="AA260" s="81"/>
      <c r="AB260" s="81"/>
      <c r="AC260" s="86" t="s">
        <v>4441</v>
      </c>
      <c r="AD260" s="81"/>
      <c r="AE260" s="81" t="b">
        <v>0</v>
      </c>
      <c r="AF260" s="81">
        <v>0</v>
      </c>
      <c r="AG260" s="86" t="s">
        <v>6240</v>
      </c>
      <c r="AH260" s="81" t="b">
        <v>0</v>
      </c>
      <c r="AI260" s="81" t="s">
        <v>6479</v>
      </c>
      <c r="AJ260" s="81"/>
      <c r="AK260" s="86" t="s">
        <v>6240</v>
      </c>
      <c r="AL260" s="81" t="b">
        <v>0</v>
      </c>
      <c r="AM260" s="81">
        <v>27</v>
      </c>
      <c r="AN260" s="86" t="s">
        <v>5503</v>
      </c>
      <c r="AO260" s="86" t="s">
        <v>6503</v>
      </c>
      <c r="AP260" s="81" t="b">
        <v>0</v>
      </c>
      <c r="AQ260" s="86" t="s">
        <v>5503</v>
      </c>
      <c r="AR260" s="81" t="s">
        <v>179</v>
      </c>
      <c r="AS260" s="81">
        <v>0</v>
      </c>
      <c r="AT260" s="81">
        <v>0</v>
      </c>
      <c r="AU260" s="81"/>
      <c r="AV260" s="81"/>
      <c r="AW260" s="81"/>
      <c r="AX260" s="81"/>
      <c r="AY260" s="81"/>
      <c r="AZ260" s="81"/>
      <c r="BA260" s="81"/>
      <c r="BB260" s="81"/>
    </row>
    <row r="261" spans="1:54" x14ac:dyDescent="0.35">
      <c r="A261" s="66" t="s">
        <v>423</v>
      </c>
      <c r="B261" s="66" t="s">
        <v>1247</v>
      </c>
      <c r="C261" s="67"/>
      <c r="D261" s="68"/>
      <c r="E261" s="69"/>
      <c r="F261" s="70"/>
      <c r="G261" s="67"/>
      <c r="H261" s="71"/>
      <c r="I261" s="72"/>
      <c r="J261" s="72"/>
      <c r="K261" s="36"/>
      <c r="L261" s="79"/>
      <c r="M261" s="79"/>
      <c r="N261" s="74"/>
      <c r="O261" s="81" t="s">
        <v>1532</v>
      </c>
      <c r="P261" s="83">
        <v>44459.4840625</v>
      </c>
      <c r="Q261" s="81" t="s">
        <v>1650</v>
      </c>
      <c r="R261" s="81"/>
      <c r="S261" s="81"/>
      <c r="T261" s="86" t="s">
        <v>2667</v>
      </c>
      <c r="U261" s="84" t="str">
        <f>HYPERLINK("https://pbs.twimg.com/media/E_ubZIHUYAESLiB.jpg")</f>
        <v>https://pbs.twimg.com/media/E_ubZIHUYAESLiB.jpg</v>
      </c>
      <c r="V261" s="84" t="str">
        <f>HYPERLINK("https://pbs.twimg.com/media/E_ubZIHUYAESLiB.jpg")</f>
        <v>https://pbs.twimg.com/media/E_ubZIHUYAESLiB.jpg</v>
      </c>
      <c r="W261" s="83">
        <v>44459.4840625</v>
      </c>
      <c r="X261" s="89">
        <v>44459</v>
      </c>
      <c r="Y261" s="86" t="s">
        <v>2981</v>
      </c>
      <c r="Z261" s="84" t="str">
        <f>HYPERLINK("https://twitter.com/alyacoups/status/1439916511427129347")</f>
        <v>https://twitter.com/alyacoups/status/1439916511427129347</v>
      </c>
      <c r="AA261" s="81"/>
      <c r="AB261" s="81"/>
      <c r="AC261" s="86" t="s">
        <v>4442</v>
      </c>
      <c r="AD261" s="81"/>
      <c r="AE261" s="81" t="b">
        <v>0</v>
      </c>
      <c r="AF261" s="81">
        <v>0</v>
      </c>
      <c r="AG261" s="86" t="s">
        <v>6240</v>
      </c>
      <c r="AH261" s="81" t="b">
        <v>0</v>
      </c>
      <c r="AI261" s="81" t="s">
        <v>6479</v>
      </c>
      <c r="AJ261" s="81"/>
      <c r="AK261" s="86" t="s">
        <v>6240</v>
      </c>
      <c r="AL261" s="81" t="b">
        <v>0</v>
      </c>
      <c r="AM261" s="81">
        <v>27</v>
      </c>
      <c r="AN261" s="86" t="s">
        <v>5503</v>
      </c>
      <c r="AO261" s="86" t="s">
        <v>6503</v>
      </c>
      <c r="AP261" s="81" t="b">
        <v>0</v>
      </c>
      <c r="AQ261" s="86" t="s">
        <v>5503</v>
      </c>
      <c r="AR261" s="81" t="s">
        <v>179</v>
      </c>
      <c r="AS261" s="81">
        <v>0</v>
      </c>
      <c r="AT261" s="81">
        <v>0</v>
      </c>
      <c r="AU261" s="81"/>
      <c r="AV261" s="81"/>
      <c r="AW261" s="81"/>
      <c r="AX261" s="81"/>
      <c r="AY261" s="81"/>
      <c r="AZ261" s="81"/>
      <c r="BA261" s="81"/>
      <c r="BB261" s="81"/>
    </row>
    <row r="262" spans="1:54" x14ac:dyDescent="0.35">
      <c r="A262" s="66" t="s">
        <v>424</v>
      </c>
      <c r="B262" s="66" t="s">
        <v>1247</v>
      </c>
      <c r="C262" s="67"/>
      <c r="D262" s="68"/>
      <c r="E262" s="69"/>
      <c r="F262" s="70"/>
      <c r="G262" s="67"/>
      <c r="H262" s="71"/>
      <c r="I262" s="72"/>
      <c r="J262" s="72"/>
      <c r="K262" s="36"/>
      <c r="L262" s="79"/>
      <c r="M262" s="79"/>
      <c r="N262" s="74"/>
      <c r="O262" s="81" t="s">
        <v>1532</v>
      </c>
      <c r="P262" s="83">
        <v>44459.484479166669</v>
      </c>
      <c r="Q262" s="81" t="s">
        <v>1650</v>
      </c>
      <c r="R262" s="81"/>
      <c r="S262" s="81"/>
      <c r="T262" s="86" t="s">
        <v>2667</v>
      </c>
      <c r="U262" s="84" t="str">
        <f>HYPERLINK("https://pbs.twimg.com/media/E_ubZIHUYAESLiB.jpg")</f>
        <v>https://pbs.twimg.com/media/E_ubZIHUYAESLiB.jpg</v>
      </c>
      <c r="V262" s="84" t="str">
        <f>HYPERLINK("https://pbs.twimg.com/media/E_ubZIHUYAESLiB.jpg")</f>
        <v>https://pbs.twimg.com/media/E_ubZIHUYAESLiB.jpg</v>
      </c>
      <c r="W262" s="83">
        <v>44459.484479166669</v>
      </c>
      <c r="X262" s="89">
        <v>44459</v>
      </c>
      <c r="Y262" s="86" t="s">
        <v>2982</v>
      </c>
      <c r="Z262" s="84" t="str">
        <f>HYPERLINK("https://twitter.com/zulaikanordin_/status/1439916662443024384")</f>
        <v>https://twitter.com/zulaikanordin_/status/1439916662443024384</v>
      </c>
      <c r="AA262" s="81"/>
      <c r="AB262" s="81"/>
      <c r="AC262" s="86" t="s">
        <v>4443</v>
      </c>
      <c r="AD262" s="81"/>
      <c r="AE262" s="81" t="b">
        <v>0</v>
      </c>
      <c r="AF262" s="81">
        <v>0</v>
      </c>
      <c r="AG262" s="86" t="s">
        <v>6240</v>
      </c>
      <c r="AH262" s="81" t="b">
        <v>0</v>
      </c>
      <c r="AI262" s="81" t="s">
        <v>6479</v>
      </c>
      <c r="AJ262" s="81"/>
      <c r="AK262" s="86" t="s">
        <v>6240</v>
      </c>
      <c r="AL262" s="81" t="b">
        <v>0</v>
      </c>
      <c r="AM262" s="81">
        <v>27</v>
      </c>
      <c r="AN262" s="86" t="s">
        <v>5503</v>
      </c>
      <c r="AO262" s="86" t="s">
        <v>6507</v>
      </c>
      <c r="AP262" s="81" t="b">
        <v>0</v>
      </c>
      <c r="AQ262" s="86" t="s">
        <v>5503</v>
      </c>
      <c r="AR262" s="81" t="s">
        <v>179</v>
      </c>
      <c r="AS262" s="81">
        <v>0</v>
      </c>
      <c r="AT262" s="81">
        <v>0</v>
      </c>
      <c r="AU262" s="81"/>
      <c r="AV262" s="81"/>
      <c r="AW262" s="81"/>
      <c r="AX262" s="81"/>
      <c r="AY262" s="81"/>
      <c r="AZ262" s="81"/>
      <c r="BA262" s="81"/>
      <c r="BB262" s="81"/>
    </row>
    <row r="263" spans="1:54" x14ac:dyDescent="0.35">
      <c r="A263" s="66" t="s">
        <v>425</v>
      </c>
      <c r="B263" s="66" t="s">
        <v>1247</v>
      </c>
      <c r="C263" s="67"/>
      <c r="D263" s="68"/>
      <c r="E263" s="69"/>
      <c r="F263" s="70"/>
      <c r="G263" s="67"/>
      <c r="H263" s="71"/>
      <c r="I263" s="72"/>
      <c r="J263" s="72"/>
      <c r="K263" s="36"/>
      <c r="L263" s="79"/>
      <c r="M263" s="79"/>
      <c r="N263" s="74"/>
      <c r="O263" s="81" t="s">
        <v>1532</v>
      </c>
      <c r="P263" s="83">
        <v>44459.484884259262</v>
      </c>
      <c r="Q263" s="81" t="s">
        <v>1650</v>
      </c>
      <c r="R263" s="81"/>
      <c r="S263" s="81"/>
      <c r="T263" s="86" t="s">
        <v>2667</v>
      </c>
      <c r="U263" s="84" t="str">
        <f>HYPERLINK("https://pbs.twimg.com/media/E_ubZIHUYAESLiB.jpg")</f>
        <v>https://pbs.twimg.com/media/E_ubZIHUYAESLiB.jpg</v>
      </c>
      <c r="V263" s="84" t="str">
        <f>HYPERLINK("https://pbs.twimg.com/media/E_ubZIHUYAESLiB.jpg")</f>
        <v>https://pbs.twimg.com/media/E_ubZIHUYAESLiB.jpg</v>
      </c>
      <c r="W263" s="83">
        <v>44459.484884259262</v>
      </c>
      <c r="X263" s="89">
        <v>44459</v>
      </c>
      <c r="Y263" s="86" t="s">
        <v>2983</v>
      </c>
      <c r="Z263" s="84" t="str">
        <f>HYPERLINK("https://twitter.com/felixismyloveee/status/1439916811844145158")</f>
        <v>https://twitter.com/felixismyloveee/status/1439916811844145158</v>
      </c>
      <c r="AA263" s="81"/>
      <c r="AB263" s="81"/>
      <c r="AC263" s="86" t="s">
        <v>4444</v>
      </c>
      <c r="AD263" s="81"/>
      <c r="AE263" s="81" t="b">
        <v>0</v>
      </c>
      <c r="AF263" s="81">
        <v>0</v>
      </c>
      <c r="AG263" s="86" t="s">
        <v>6240</v>
      </c>
      <c r="AH263" s="81" t="b">
        <v>0</v>
      </c>
      <c r="AI263" s="81" t="s">
        <v>6479</v>
      </c>
      <c r="AJ263" s="81"/>
      <c r="AK263" s="86" t="s">
        <v>6240</v>
      </c>
      <c r="AL263" s="81" t="b">
        <v>0</v>
      </c>
      <c r="AM263" s="81">
        <v>27</v>
      </c>
      <c r="AN263" s="86" t="s">
        <v>5503</v>
      </c>
      <c r="AO263" s="86" t="s">
        <v>6505</v>
      </c>
      <c r="AP263" s="81" t="b">
        <v>0</v>
      </c>
      <c r="AQ263" s="86" t="s">
        <v>5503</v>
      </c>
      <c r="AR263" s="81" t="s">
        <v>179</v>
      </c>
      <c r="AS263" s="81">
        <v>0</v>
      </c>
      <c r="AT263" s="81">
        <v>0</v>
      </c>
      <c r="AU263" s="81"/>
      <c r="AV263" s="81"/>
      <c r="AW263" s="81"/>
      <c r="AX263" s="81"/>
      <c r="AY263" s="81"/>
      <c r="AZ263" s="81"/>
      <c r="BA263" s="81"/>
      <c r="BB263" s="81"/>
    </row>
    <row r="264" spans="1:54" x14ac:dyDescent="0.35">
      <c r="A264" s="66" t="s">
        <v>426</v>
      </c>
      <c r="B264" s="66" t="s">
        <v>1247</v>
      </c>
      <c r="C264" s="67"/>
      <c r="D264" s="68"/>
      <c r="E264" s="69"/>
      <c r="F264" s="70"/>
      <c r="G264" s="67"/>
      <c r="H264" s="71"/>
      <c r="I264" s="72"/>
      <c r="J264" s="72"/>
      <c r="K264" s="36"/>
      <c r="L264" s="79"/>
      <c r="M264" s="79"/>
      <c r="N264" s="74"/>
      <c r="O264" s="81" t="s">
        <v>1532</v>
      </c>
      <c r="P264" s="83">
        <v>44459.486990740741</v>
      </c>
      <c r="Q264" s="81" t="s">
        <v>1650</v>
      </c>
      <c r="R264" s="81"/>
      <c r="S264" s="81"/>
      <c r="T264" s="86" t="s">
        <v>2667</v>
      </c>
      <c r="U264" s="84" t="str">
        <f>HYPERLINK("https://pbs.twimg.com/media/E_ubZIHUYAESLiB.jpg")</f>
        <v>https://pbs.twimg.com/media/E_ubZIHUYAESLiB.jpg</v>
      </c>
      <c r="V264" s="84" t="str">
        <f>HYPERLINK("https://pbs.twimg.com/media/E_ubZIHUYAESLiB.jpg")</f>
        <v>https://pbs.twimg.com/media/E_ubZIHUYAESLiB.jpg</v>
      </c>
      <c r="W264" s="83">
        <v>44459.486990740741</v>
      </c>
      <c r="X264" s="89">
        <v>44459</v>
      </c>
      <c r="Y264" s="86" t="s">
        <v>2984</v>
      </c>
      <c r="Z264" s="84" t="str">
        <f>HYPERLINK("https://twitter.com/janjuink/status/1439917575052271618")</f>
        <v>https://twitter.com/janjuink/status/1439917575052271618</v>
      </c>
      <c r="AA264" s="81"/>
      <c r="AB264" s="81"/>
      <c r="AC264" s="86" t="s">
        <v>4445</v>
      </c>
      <c r="AD264" s="81"/>
      <c r="AE264" s="81" t="b">
        <v>0</v>
      </c>
      <c r="AF264" s="81">
        <v>0</v>
      </c>
      <c r="AG264" s="86" t="s">
        <v>6240</v>
      </c>
      <c r="AH264" s="81" t="b">
        <v>0</v>
      </c>
      <c r="AI264" s="81" t="s">
        <v>6479</v>
      </c>
      <c r="AJ264" s="81"/>
      <c r="AK264" s="86" t="s">
        <v>6240</v>
      </c>
      <c r="AL264" s="81" t="b">
        <v>0</v>
      </c>
      <c r="AM264" s="81">
        <v>27</v>
      </c>
      <c r="AN264" s="86" t="s">
        <v>5503</v>
      </c>
      <c r="AO264" s="86" t="s">
        <v>6505</v>
      </c>
      <c r="AP264" s="81" t="b">
        <v>0</v>
      </c>
      <c r="AQ264" s="86" t="s">
        <v>5503</v>
      </c>
      <c r="AR264" s="81" t="s">
        <v>179</v>
      </c>
      <c r="AS264" s="81">
        <v>0</v>
      </c>
      <c r="AT264" s="81">
        <v>0</v>
      </c>
      <c r="AU264" s="81"/>
      <c r="AV264" s="81"/>
      <c r="AW264" s="81"/>
      <c r="AX264" s="81"/>
      <c r="AY264" s="81"/>
      <c r="AZ264" s="81"/>
      <c r="BA264" s="81"/>
      <c r="BB264" s="81"/>
    </row>
    <row r="265" spans="1:54" x14ac:dyDescent="0.35">
      <c r="A265" s="66" t="s">
        <v>427</v>
      </c>
      <c r="B265" s="66" t="s">
        <v>1307</v>
      </c>
      <c r="C265" s="67"/>
      <c r="D265" s="68"/>
      <c r="E265" s="69"/>
      <c r="F265" s="70"/>
      <c r="G265" s="67"/>
      <c r="H265" s="71"/>
      <c r="I265" s="72"/>
      <c r="J265" s="72"/>
      <c r="K265" s="36"/>
      <c r="L265" s="79"/>
      <c r="M265" s="79"/>
      <c r="N265" s="74"/>
      <c r="O265" s="81" t="s">
        <v>1534</v>
      </c>
      <c r="P265" s="83">
        <v>44459.487175925926</v>
      </c>
      <c r="Q265" s="81" t="s">
        <v>1651</v>
      </c>
      <c r="R265" s="81"/>
      <c r="S265" s="81"/>
      <c r="T265" s="81"/>
      <c r="U265" s="81"/>
      <c r="V265" s="84" t="str">
        <f>HYPERLINK("https://pbs.twimg.com/profile_images/1439250970555285510/mnWDnuqa_normal.jpg")</f>
        <v>https://pbs.twimg.com/profile_images/1439250970555285510/mnWDnuqa_normal.jpg</v>
      </c>
      <c r="W265" s="83">
        <v>44459.487175925926</v>
      </c>
      <c r="X265" s="89">
        <v>44459</v>
      </c>
      <c r="Y265" s="86" t="s">
        <v>2985</v>
      </c>
      <c r="Z265" s="84" t="str">
        <f>HYPERLINK("https://twitter.com/sunforyoo/status/1439917640953188357")</f>
        <v>https://twitter.com/sunforyoo/status/1439917640953188357</v>
      </c>
      <c r="AA265" s="81"/>
      <c r="AB265" s="81"/>
      <c r="AC265" s="86" t="s">
        <v>4446</v>
      </c>
      <c r="AD265" s="86" t="s">
        <v>6010</v>
      </c>
      <c r="AE265" s="81" t="b">
        <v>0</v>
      </c>
      <c r="AF265" s="81">
        <v>0</v>
      </c>
      <c r="AG265" s="86" t="s">
        <v>6279</v>
      </c>
      <c r="AH265" s="81" t="b">
        <v>0</v>
      </c>
      <c r="AI265" s="81" t="s">
        <v>6478</v>
      </c>
      <c r="AJ265" s="81"/>
      <c r="AK265" s="86" t="s">
        <v>6240</v>
      </c>
      <c r="AL265" s="81" t="b">
        <v>0</v>
      </c>
      <c r="AM265" s="81">
        <v>0</v>
      </c>
      <c r="AN265" s="86" t="s">
        <v>6240</v>
      </c>
      <c r="AO265" s="86" t="s">
        <v>6503</v>
      </c>
      <c r="AP265" s="81" t="b">
        <v>0</v>
      </c>
      <c r="AQ265" s="86" t="s">
        <v>6010</v>
      </c>
      <c r="AR265" s="81" t="s">
        <v>179</v>
      </c>
      <c r="AS265" s="81">
        <v>0</v>
      </c>
      <c r="AT265" s="81">
        <v>0</v>
      </c>
      <c r="AU265" s="81"/>
      <c r="AV265" s="81"/>
      <c r="AW265" s="81"/>
      <c r="AX265" s="81"/>
      <c r="AY265" s="81"/>
      <c r="AZ265" s="81"/>
      <c r="BA265" s="81"/>
      <c r="BB265" s="81"/>
    </row>
    <row r="266" spans="1:54" x14ac:dyDescent="0.35">
      <c r="A266" s="66" t="s">
        <v>428</v>
      </c>
      <c r="B266" s="66" t="s">
        <v>1290</v>
      </c>
      <c r="C266" s="67"/>
      <c r="D266" s="68"/>
      <c r="E266" s="69"/>
      <c r="F266" s="70"/>
      <c r="G266" s="67"/>
      <c r="H266" s="71"/>
      <c r="I266" s="72"/>
      <c r="J266" s="72"/>
      <c r="K266" s="36"/>
      <c r="L266" s="79"/>
      <c r="M266" s="79"/>
      <c r="N266" s="74"/>
      <c r="O266" s="81" t="s">
        <v>1534</v>
      </c>
      <c r="P266" s="83">
        <v>44459.490763888891</v>
      </c>
      <c r="Q266" s="81" t="s">
        <v>1652</v>
      </c>
      <c r="R266" s="81"/>
      <c r="S266" s="81"/>
      <c r="T266" s="81"/>
      <c r="U266" s="81"/>
      <c r="V266" s="84" t="str">
        <f>HYPERLINK("https://pbs.twimg.com/profile_images/1424692998810456068/_8mfY-1t_normal.jpg")</f>
        <v>https://pbs.twimg.com/profile_images/1424692998810456068/_8mfY-1t_normal.jpg</v>
      </c>
      <c r="W266" s="83">
        <v>44459.490763888891</v>
      </c>
      <c r="X266" s="89">
        <v>44459</v>
      </c>
      <c r="Y266" s="86" t="s">
        <v>2986</v>
      </c>
      <c r="Z266" s="84" t="str">
        <f>HYPERLINK("https://twitter.com/cutmeng_backup/status/1439918940310806528")</f>
        <v>https://twitter.com/cutmeng_backup/status/1439918940310806528</v>
      </c>
      <c r="AA266" s="81"/>
      <c r="AB266" s="81"/>
      <c r="AC266" s="86" t="s">
        <v>4447</v>
      </c>
      <c r="AD266" s="86" t="s">
        <v>6011</v>
      </c>
      <c r="AE266" s="81" t="b">
        <v>0</v>
      </c>
      <c r="AF266" s="81">
        <v>0</v>
      </c>
      <c r="AG266" s="86" t="s">
        <v>6258</v>
      </c>
      <c r="AH266" s="81" t="b">
        <v>0</v>
      </c>
      <c r="AI266" s="81" t="s">
        <v>6478</v>
      </c>
      <c r="AJ266" s="81"/>
      <c r="AK266" s="86" t="s">
        <v>6240</v>
      </c>
      <c r="AL266" s="81" t="b">
        <v>0</v>
      </c>
      <c r="AM266" s="81">
        <v>0</v>
      </c>
      <c r="AN266" s="86" t="s">
        <v>6240</v>
      </c>
      <c r="AO266" s="86" t="s">
        <v>6505</v>
      </c>
      <c r="AP266" s="81" t="b">
        <v>0</v>
      </c>
      <c r="AQ266" s="86" t="s">
        <v>6011</v>
      </c>
      <c r="AR266" s="81" t="s">
        <v>179</v>
      </c>
      <c r="AS266" s="81">
        <v>0</v>
      </c>
      <c r="AT266" s="81">
        <v>0</v>
      </c>
      <c r="AU266" s="81"/>
      <c r="AV266" s="81"/>
      <c r="AW266" s="81"/>
      <c r="AX266" s="81"/>
      <c r="AY266" s="81"/>
      <c r="AZ266" s="81"/>
      <c r="BA266" s="81"/>
      <c r="BB266" s="81"/>
    </row>
    <row r="267" spans="1:54" x14ac:dyDescent="0.35">
      <c r="A267" s="66" t="s">
        <v>429</v>
      </c>
      <c r="B267" s="66" t="s">
        <v>1247</v>
      </c>
      <c r="C267" s="67"/>
      <c r="D267" s="68"/>
      <c r="E267" s="69"/>
      <c r="F267" s="70"/>
      <c r="G267" s="67"/>
      <c r="H267" s="71"/>
      <c r="I267" s="72"/>
      <c r="J267" s="72"/>
      <c r="K267" s="36"/>
      <c r="L267" s="79"/>
      <c r="M267" s="79"/>
      <c r="N267" s="74"/>
      <c r="O267" s="81" t="s">
        <v>1532</v>
      </c>
      <c r="P267" s="83">
        <v>44459.491793981484</v>
      </c>
      <c r="Q267" s="81" t="s">
        <v>1650</v>
      </c>
      <c r="R267" s="81"/>
      <c r="S267" s="81"/>
      <c r="T267" s="86" t="s">
        <v>2667</v>
      </c>
      <c r="U267" s="84" t="str">
        <f>HYPERLINK("https://pbs.twimg.com/media/E_ubZIHUYAESLiB.jpg")</f>
        <v>https://pbs.twimg.com/media/E_ubZIHUYAESLiB.jpg</v>
      </c>
      <c r="V267" s="84" t="str">
        <f>HYPERLINK("https://pbs.twimg.com/media/E_ubZIHUYAESLiB.jpg")</f>
        <v>https://pbs.twimg.com/media/E_ubZIHUYAESLiB.jpg</v>
      </c>
      <c r="W267" s="83">
        <v>44459.491793981484</v>
      </c>
      <c r="X267" s="89">
        <v>44459</v>
      </c>
      <c r="Y267" s="86" t="s">
        <v>2987</v>
      </c>
      <c r="Z267" s="84" t="str">
        <f>HYPERLINK("https://twitter.com/cikiebokkie/status/1439919312408481792")</f>
        <v>https://twitter.com/cikiebokkie/status/1439919312408481792</v>
      </c>
      <c r="AA267" s="81"/>
      <c r="AB267" s="81"/>
      <c r="AC267" s="86" t="s">
        <v>4448</v>
      </c>
      <c r="AD267" s="81"/>
      <c r="AE267" s="81" t="b">
        <v>0</v>
      </c>
      <c r="AF267" s="81">
        <v>0</v>
      </c>
      <c r="AG267" s="86" t="s">
        <v>6240</v>
      </c>
      <c r="AH267" s="81" t="b">
        <v>0</v>
      </c>
      <c r="AI267" s="81" t="s">
        <v>6479</v>
      </c>
      <c r="AJ267" s="81"/>
      <c r="AK267" s="86" t="s">
        <v>6240</v>
      </c>
      <c r="AL267" s="81" t="b">
        <v>0</v>
      </c>
      <c r="AM267" s="81">
        <v>27</v>
      </c>
      <c r="AN267" s="86" t="s">
        <v>5503</v>
      </c>
      <c r="AO267" s="86" t="s">
        <v>6505</v>
      </c>
      <c r="AP267" s="81" t="b">
        <v>0</v>
      </c>
      <c r="AQ267" s="86" t="s">
        <v>5503</v>
      </c>
      <c r="AR267" s="81" t="s">
        <v>179</v>
      </c>
      <c r="AS267" s="81">
        <v>0</v>
      </c>
      <c r="AT267" s="81">
        <v>0</v>
      </c>
      <c r="AU267" s="81"/>
      <c r="AV267" s="81"/>
      <c r="AW267" s="81"/>
      <c r="AX267" s="81"/>
      <c r="AY267" s="81"/>
      <c r="AZ267" s="81"/>
      <c r="BA267" s="81"/>
      <c r="BB267" s="81"/>
    </row>
    <row r="268" spans="1:54" x14ac:dyDescent="0.35">
      <c r="A268" s="66" t="s">
        <v>430</v>
      </c>
      <c r="B268" s="66" t="s">
        <v>1247</v>
      </c>
      <c r="C268" s="67"/>
      <c r="D268" s="68"/>
      <c r="E268" s="69"/>
      <c r="F268" s="70"/>
      <c r="G268" s="67"/>
      <c r="H268" s="71"/>
      <c r="I268" s="72"/>
      <c r="J268" s="72"/>
      <c r="K268" s="36"/>
      <c r="L268" s="79"/>
      <c r="M268" s="79"/>
      <c r="N268" s="74"/>
      <c r="O268" s="81" t="s">
        <v>1532</v>
      </c>
      <c r="P268" s="83">
        <v>44459.497627314813</v>
      </c>
      <c r="Q268" s="81" t="s">
        <v>1650</v>
      </c>
      <c r="R268" s="81"/>
      <c r="S268" s="81"/>
      <c r="T268" s="86" t="s">
        <v>2667</v>
      </c>
      <c r="U268" s="84" t="str">
        <f>HYPERLINK("https://pbs.twimg.com/media/E_ubZIHUYAESLiB.jpg")</f>
        <v>https://pbs.twimg.com/media/E_ubZIHUYAESLiB.jpg</v>
      </c>
      <c r="V268" s="84" t="str">
        <f>HYPERLINK("https://pbs.twimg.com/media/E_ubZIHUYAESLiB.jpg")</f>
        <v>https://pbs.twimg.com/media/E_ubZIHUYAESLiB.jpg</v>
      </c>
      <c r="W268" s="83">
        <v>44459.497627314813</v>
      </c>
      <c r="X268" s="89">
        <v>44459</v>
      </c>
      <c r="Y268" s="86" t="s">
        <v>2988</v>
      </c>
      <c r="Z268" s="84" t="str">
        <f>HYPERLINK("https://twitter.com/newstayskz/status/1439921427017203717")</f>
        <v>https://twitter.com/newstayskz/status/1439921427017203717</v>
      </c>
      <c r="AA268" s="81"/>
      <c r="AB268" s="81"/>
      <c r="AC268" s="86" t="s">
        <v>4449</v>
      </c>
      <c r="AD268" s="81"/>
      <c r="AE268" s="81" t="b">
        <v>0</v>
      </c>
      <c r="AF268" s="81">
        <v>0</v>
      </c>
      <c r="AG268" s="86" t="s">
        <v>6240</v>
      </c>
      <c r="AH268" s="81" t="b">
        <v>0</v>
      </c>
      <c r="AI268" s="81" t="s">
        <v>6479</v>
      </c>
      <c r="AJ268" s="81"/>
      <c r="AK268" s="86" t="s">
        <v>6240</v>
      </c>
      <c r="AL268" s="81" t="b">
        <v>0</v>
      </c>
      <c r="AM268" s="81">
        <v>27</v>
      </c>
      <c r="AN268" s="86" t="s">
        <v>5503</v>
      </c>
      <c r="AO268" s="86" t="s">
        <v>6503</v>
      </c>
      <c r="AP268" s="81" t="b">
        <v>0</v>
      </c>
      <c r="AQ268" s="86" t="s">
        <v>5503</v>
      </c>
      <c r="AR268" s="81" t="s">
        <v>179</v>
      </c>
      <c r="AS268" s="81">
        <v>0</v>
      </c>
      <c r="AT268" s="81">
        <v>0</v>
      </c>
      <c r="AU268" s="81"/>
      <c r="AV268" s="81"/>
      <c r="AW268" s="81"/>
      <c r="AX268" s="81"/>
      <c r="AY268" s="81"/>
      <c r="AZ268" s="81"/>
      <c r="BA268" s="81"/>
      <c r="BB268" s="81"/>
    </row>
    <row r="269" spans="1:54" x14ac:dyDescent="0.35">
      <c r="A269" s="66" t="s">
        <v>431</v>
      </c>
      <c r="B269" s="66" t="s">
        <v>431</v>
      </c>
      <c r="C269" s="67"/>
      <c r="D269" s="68"/>
      <c r="E269" s="69"/>
      <c r="F269" s="70"/>
      <c r="G269" s="67"/>
      <c r="H269" s="71"/>
      <c r="I269" s="72"/>
      <c r="J269" s="72"/>
      <c r="K269" s="36"/>
      <c r="L269" s="79"/>
      <c r="M269" s="79"/>
      <c r="N269" s="74"/>
      <c r="O269" s="81" t="s">
        <v>179</v>
      </c>
      <c r="P269" s="83">
        <v>44457.643472222226</v>
      </c>
      <c r="Q269" s="81" t="s">
        <v>1546</v>
      </c>
      <c r="R269" s="84" t="str">
        <f>HYPERLINK("https://www.detik.com/edu/edutainment/d-5729670/dear-lulusan-sma-ada-lowongan-kerja-bumn-pos-indonesia-nih?utm_content=detikedu&amp;utm_term=echobox&amp;utm_campaign=detikcomsocmed&amp;utm_medium=oa&amp;utm_source=Twitter#Echobox=1631969527-1")</f>
        <v>https://www.detik.com/edu/edutainment/d-5729670/dear-lulusan-sma-ada-lowongan-kerja-bumn-pos-indonesia-nih?utm_content=detikedu&amp;utm_term=echobox&amp;utm_campaign=detikcomsocmed&amp;utm_medium=oa&amp;utm_source=Twitter#Echobox=1631969527-1</v>
      </c>
      <c r="S269" s="81" t="s">
        <v>2587</v>
      </c>
      <c r="T269" s="81"/>
      <c r="U269" s="81"/>
      <c r="V269" s="84" t="str">
        <f>HYPERLINK("https://pbs.twimg.com/profile_images/1435960723968970760/4cYRs0FC_normal.jpg")</f>
        <v>https://pbs.twimg.com/profile_images/1435960723968970760/4cYRs0FC_normal.jpg</v>
      </c>
      <c r="W269" s="83">
        <v>44457.643472222226</v>
      </c>
      <c r="X269" s="89">
        <v>44457</v>
      </c>
      <c r="Y269" s="86" t="s">
        <v>2989</v>
      </c>
      <c r="Z269" s="84" t="str">
        <f>HYPERLINK("https://twitter.com/detikcom/status/1439249503803133953")</f>
        <v>https://twitter.com/detikcom/status/1439249503803133953</v>
      </c>
      <c r="AA269" s="81"/>
      <c r="AB269" s="81"/>
      <c r="AC269" s="86" t="s">
        <v>4450</v>
      </c>
      <c r="AD269" s="81"/>
      <c r="AE269" s="81" t="b">
        <v>0</v>
      </c>
      <c r="AF269" s="81">
        <v>36</v>
      </c>
      <c r="AG269" s="86" t="s">
        <v>6240</v>
      </c>
      <c r="AH269" s="81" t="b">
        <v>0</v>
      </c>
      <c r="AI269" s="81" t="s">
        <v>6478</v>
      </c>
      <c r="AJ269" s="81"/>
      <c r="AK269" s="86" t="s">
        <v>6240</v>
      </c>
      <c r="AL269" s="81" t="b">
        <v>0</v>
      </c>
      <c r="AM269" s="81">
        <v>10</v>
      </c>
      <c r="AN269" s="86" t="s">
        <v>6240</v>
      </c>
      <c r="AO269" s="86" t="s">
        <v>6513</v>
      </c>
      <c r="AP269" s="81" t="b">
        <v>0</v>
      </c>
      <c r="AQ269" s="86" t="s">
        <v>4450</v>
      </c>
      <c r="AR269" s="81" t="s">
        <v>1532</v>
      </c>
      <c r="AS269" s="81">
        <v>0</v>
      </c>
      <c r="AT269" s="81">
        <v>0</v>
      </c>
      <c r="AU269" s="81"/>
      <c r="AV269" s="81"/>
      <c r="AW269" s="81"/>
      <c r="AX269" s="81"/>
      <c r="AY269" s="81"/>
      <c r="AZ269" s="81"/>
      <c r="BA269" s="81"/>
      <c r="BB269" s="81"/>
    </row>
    <row r="270" spans="1:54" x14ac:dyDescent="0.35">
      <c r="A270" s="66" t="s">
        <v>432</v>
      </c>
      <c r="B270" s="66" t="s">
        <v>431</v>
      </c>
      <c r="C270" s="67"/>
      <c r="D270" s="68"/>
      <c r="E270" s="69"/>
      <c r="F270" s="70"/>
      <c r="G270" s="67"/>
      <c r="H270" s="71"/>
      <c r="I270" s="72"/>
      <c r="J270" s="72"/>
      <c r="K270" s="36"/>
      <c r="L270" s="79"/>
      <c r="M270" s="79"/>
      <c r="N270" s="74"/>
      <c r="O270" s="81" t="s">
        <v>1532</v>
      </c>
      <c r="P270" s="83">
        <v>44459.507824074077</v>
      </c>
      <c r="Q270" s="81" t="s">
        <v>1546</v>
      </c>
      <c r="R270" s="84" t="str">
        <f>HYPERLINK("https://www.detik.com/edu/edutainment/d-5729670/dear-lulusan-sma-ada-lowongan-kerja-bumn-pos-indonesia-nih?utm_content=detikedu&amp;utm_term=echobox&amp;utm_campaign=detikcomsocmed&amp;utm_medium=oa&amp;utm_source=Twitter#Echobox=1631969527-1")</f>
        <v>https://www.detik.com/edu/edutainment/d-5729670/dear-lulusan-sma-ada-lowongan-kerja-bumn-pos-indonesia-nih?utm_content=detikedu&amp;utm_term=echobox&amp;utm_campaign=detikcomsocmed&amp;utm_medium=oa&amp;utm_source=Twitter#Echobox=1631969527-1</v>
      </c>
      <c r="S270" s="81" t="s">
        <v>2587</v>
      </c>
      <c r="T270" s="81"/>
      <c r="U270" s="81"/>
      <c r="V270" s="84" t="str">
        <f>HYPERLINK("https://pbs.twimg.com/profile_images/1431954348595036161/XWrDvpwX_normal.jpg")</f>
        <v>https://pbs.twimg.com/profile_images/1431954348595036161/XWrDvpwX_normal.jpg</v>
      </c>
      <c r="W270" s="83">
        <v>44459.507824074077</v>
      </c>
      <c r="X270" s="89">
        <v>44459</v>
      </c>
      <c r="Y270" s="86" t="s">
        <v>2990</v>
      </c>
      <c r="Z270" s="84" t="str">
        <f>HYPERLINK("https://twitter.com/rhyuwanda/status/1439925122140278784")</f>
        <v>https://twitter.com/rhyuwanda/status/1439925122140278784</v>
      </c>
      <c r="AA270" s="81"/>
      <c r="AB270" s="81"/>
      <c r="AC270" s="86" t="s">
        <v>4451</v>
      </c>
      <c r="AD270" s="81"/>
      <c r="AE270" s="81" t="b">
        <v>0</v>
      </c>
      <c r="AF270" s="81">
        <v>0</v>
      </c>
      <c r="AG270" s="86" t="s">
        <v>6240</v>
      </c>
      <c r="AH270" s="81" t="b">
        <v>0</v>
      </c>
      <c r="AI270" s="81" t="s">
        <v>6478</v>
      </c>
      <c r="AJ270" s="81"/>
      <c r="AK270" s="86" t="s">
        <v>6240</v>
      </c>
      <c r="AL270" s="81" t="b">
        <v>0</v>
      </c>
      <c r="AM270" s="81">
        <v>10</v>
      </c>
      <c r="AN270" s="86" t="s">
        <v>4450</v>
      </c>
      <c r="AO270" s="86" t="s">
        <v>6505</v>
      </c>
      <c r="AP270" s="81" t="b">
        <v>0</v>
      </c>
      <c r="AQ270" s="86" t="s">
        <v>4450</v>
      </c>
      <c r="AR270" s="81" t="s">
        <v>179</v>
      </c>
      <c r="AS270" s="81">
        <v>0</v>
      </c>
      <c r="AT270" s="81">
        <v>0</v>
      </c>
      <c r="AU270" s="81"/>
      <c r="AV270" s="81"/>
      <c r="AW270" s="81"/>
      <c r="AX270" s="81"/>
      <c r="AY270" s="81"/>
      <c r="AZ270" s="81"/>
      <c r="BA270" s="81"/>
      <c r="BB270" s="81"/>
    </row>
    <row r="271" spans="1:54" x14ac:dyDescent="0.35">
      <c r="A271" s="66" t="s">
        <v>433</v>
      </c>
      <c r="B271" s="66" t="s">
        <v>1247</v>
      </c>
      <c r="C271" s="67"/>
      <c r="D271" s="68"/>
      <c r="E271" s="69"/>
      <c r="F271" s="70"/>
      <c r="G271" s="67"/>
      <c r="H271" s="71"/>
      <c r="I271" s="72"/>
      <c r="J271" s="72"/>
      <c r="K271" s="36"/>
      <c r="L271" s="79"/>
      <c r="M271" s="79"/>
      <c r="N271" s="74"/>
      <c r="O271" s="81" t="s">
        <v>1532</v>
      </c>
      <c r="P271" s="83">
        <v>44459.512291666666</v>
      </c>
      <c r="Q271" s="81" t="s">
        <v>1650</v>
      </c>
      <c r="R271" s="81"/>
      <c r="S271" s="81"/>
      <c r="T271" s="86" t="s">
        <v>2667</v>
      </c>
      <c r="U271" s="84" t="str">
        <f>HYPERLINK("https://pbs.twimg.com/media/E_ubZIHUYAESLiB.jpg")</f>
        <v>https://pbs.twimg.com/media/E_ubZIHUYAESLiB.jpg</v>
      </c>
      <c r="V271" s="84" t="str">
        <f>HYPERLINK("https://pbs.twimg.com/media/E_ubZIHUYAESLiB.jpg")</f>
        <v>https://pbs.twimg.com/media/E_ubZIHUYAESLiB.jpg</v>
      </c>
      <c r="W271" s="83">
        <v>44459.512291666666</v>
      </c>
      <c r="X271" s="89">
        <v>44459</v>
      </c>
      <c r="Y271" s="86" t="s">
        <v>2991</v>
      </c>
      <c r="Z271" s="84" t="str">
        <f>HYPERLINK("https://twitter.com/chyuns99/status/1439926742139826183")</f>
        <v>https://twitter.com/chyuns99/status/1439926742139826183</v>
      </c>
      <c r="AA271" s="81"/>
      <c r="AB271" s="81"/>
      <c r="AC271" s="86" t="s">
        <v>4452</v>
      </c>
      <c r="AD271" s="81"/>
      <c r="AE271" s="81" t="b">
        <v>0</v>
      </c>
      <c r="AF271" s="81">
        <v>0</v>
      </c>
      <c r="AG271" s="86" t="s">
        <v>6240</v>
      </c>
      <c r="AH271" s="81" t="b">
        <v>0</v>
      </c>
      <c r="AI271" s="81" t="s">
        <v>6479</v>
      </c>
      <c r="AJ271" s="81"/>
      <c r="AK271" s="86" t="s">
        <v>6240</v>
      </c>
      <c r="AL271" s="81" t="b">
        <v>0</v>
      </c>
      <c r="AM271" s="81">
        <v>27</v>
      </c>
      <c r="AN271" s="86" t="s">
        <v>5503</v>
      </c>
      <c r="AO271" s="86" t="s">
        <v>6505</v>
      </c>
      <c r="AP271" s="81" t="b">
        <v>0</v>
      </c>
      <c r="AQ271" s="86" t="s">
        <v>5503</v>
      </c>
      <c r="AR271" s="81" t="s">
        <v>179</v>
      </c>
      <c r="AS271" s="81">
        <v>0</v>
      </c>
      <c r="AT271" s="81">
        <v>0</v>
      </c>
      <c r="AU271" s="81"/>
      <c r="AV271" s="81"/>
      <c r="AW271" s="81"/>
      <c r="AX271" s="81"/>
      <c r="AY271" s="81"/>
      <c r="AZ271" s="81"/>
      <c r="BA271" s="81"/>
      <c r="BB271" s="81"/>
    </row>
    <row r="272" spans="1:54" x14ac:dyDescent="0.35">
      <c r="A272" s="66" t="s">
        <v>434</v>
      </c>
      <c r="B272" s="66" t="s">
        <v>335</v>
      </c>
      <c r="C272" s="67"/>
      <c r="D272" s="68"/>
      <c r="E272" s="69"/>
      <c r="F272" s="70"/>
      <c r="G272" s="67"/>
      <c r="H272" s="71"/>
      <c r="I272" s="72"/>
      <c r="J272" s="72"/>
      <c r="K272" s="36"/>
      <c r="L272" s="79"/>
      <c r="M272" s="79"/>
      <c r="N272" s="74"/>
      <c r="O272" s="81" t="s">
        <v>1532</v>
      </c>
      <c r="P272" s="83">
        <v>44459.518935185188</v>
      </c>
      <c r="Q272" s="81" t="s">
        <v>1586</v>
      </c>
      <c r="R272" s="81"/>
      <c r="S272" s="81"/>
      <c r="T272" s="81"/>
      <c r="U272" s="84" t="str">
        <f>HYPERLINK("https://pbs.twimg.com/ext_tw_video_thumb/1439603623520993285/pu/img/4NCBVhjvbYSKxAvX.jpg")</f>
        <v>https://pbs.twimg.com/ext_tw_video_thumb/1439603623520993285/pu/img/4NCBVhjvbYSKxAvX.jpg</v>
      </c>
      <c r="V272" s="84" t="str">
        <f>HYPERLINK("https://pbs.twimg.com/ext_tw_video_thumb/1439603623520993285/pu/img/4NCBVhjvbYSKxAvX.jpg")</f>
        <v>https://pbs.twimg.com/ext_tw_video_thumb/1439603623520993285/pu/img/4NCBVhjvbYSKxAvX.jpg</v>
      </c>
      <c r="W272" s="83">
        <v>44459.518935185188</v>
      </c>
      <c r="X272" s="89">
        <v>44459</v>
      </c>
      <c r="Y272" s="86" t="s">
        <v>2992</v>
      </c>
      <c r="Z272" s="84" t="str">
        <f>HYPERLINK("https://twitter.com/fais_mohder/status/1439929148911153153")</f>
        <v>https://twitter.com/fais_mohder/status/1439929148911153153</v>
      </c>
      <c r="AA272" s="81"/>
      <c r="AB272" s="81"/>
      <c r="AC272" s="86" t="s">
        <v>4453</v>
      </c>
      <c r="AD272" s="81"/>
      <c r="AE272" s="81" t="b">
        <v>0</v>
      </c>
      <c r="AF272" s="81">
        <v>0</v>
      </c>
      <c r="AG272" s="86" t="s">
        <v>6240</v>
      </c>
      <c r="AH272" s="81" t="b">
        <v>0</v>
      </c>
      <c r="AI272" s="81" t="s">
        <v>6478</v>
      </c>
      <c r="AJ272" s="81"/>
      <c r="AK272" s="86" t="s">
        <v>6240</v>
      </c>
      <c r="AL272" s="81" t="b">
        <v>0</v>
      </c>
      <c r="AM272" s="81">
        <v>102</v>
      </c>
      <c r="AN272" s="86" t="s">
        <v>4519</v>
      </c>
      <c r="AO272" s="86" t="s">
        <v>6505</v>
      </c>
      <c r="AP272" s="81" t="b">
        <v>0</v>
      </c>
      <c r="AQ272" s="86" t="s">
        <v>4519</v>
      </c>
      <c r="AR272" s="81" t="s">
        <v>179</v>
      </c>
      <c r="AS272" s="81">
        <v>0</v>
      </c>
      <c r="AT272" s="81">
        <v>0</v>
      </c>
      <c r="AU272" s="81"/>
      <c r="AV272" s="81"/>
      <c r="AW272" s="81"/>
      <c r="AX272" s="81"/>
      <c r="AY272" s="81"/>
      <c r="AZ272" s="81"/>
      <c r="BA272" s="81"/>
      <c r="BB272" s="81"/>
    </row>
    <row r="273" spans="1:54" x14ac:dyDescent="0.35">
      <c r="A273" s="66" t="s">
        <v>435</v>
      </c>
      <c r="B273" s="66" t="s">
        <v>1247</v>
      </c>
      <c r="C273" s="67"/>
      <c r="D273" s="68"/>
      <c r="E273" s="69"/>
      <c r="F273" s="70"/>
      <c r="G273" s="67"/>
      <c r="H273" s="71"/>
      <c r="I273" s="72"/>
      <c r="J273" s="72"/>
      <c r="K273" s="36"/>
      <c r="L273" s="79"/>
      <c r="M273" s="79"/>
      <c r="N273" s="74"/>
      <c r="O273" s="81" t="s">
        <v>1532</v>
      </c>
      <c r="P273" s="83">
        <v>44459.522175925929</v>
      </c>
      <c r="Q273" s="81" t="s">
        <v>1650</v>
      </c>
      <c r="R273" s="81"/>
      <c r="S273" s="81"/>
      <c r="T273" s="86" t="s">
        <v>2667</v>
      </c>
      <c r="U273" s="84" t="str">
        <f>HYPERLINK("https://pbs.twimg.com/media/E_ubZIHUYAESLiB.jpg")</f>
        <v>https://pbs.twimg.com/media/E_ubZIHUYAESLiB.jpg</v>
      </c>
      <c r="V273" s="84" t="str">
        <f>HYPERLINK("https://pbs.twimg.com/media/E_ubZIHUYAESLiB.jpg")</f>
        <v>https://pbs.twimg.com/media/E_ubZIHUYAESLiB.jpg</v>
      </c>
      <c r="W273" s="83">
        <v>44459.522175925929</v>
      </c>
      <c r="X273" s="89">
        <v>44459</v>
      </c>
      <c r="Y273" s="86" t="s">
        <v>2993</v>
      </c>
      <c r="Z273" s="84" t="str">
        <f>HYPERLINK("https://twitter.com/yellowlixeu/status/1439930323068805123")</f>
        <v>https://twitter.com/yellowlixeu/status/1439930323068805123</v>
      </c>
      <c r="AA273" s="81"/>
      <c r="AB273" s="81"/>
      <c r="AC273" s="86" t="s">
        <v>4454</v>
      </c>
      <c r="AD273" s="81"/>
      <c r="AE273" s="81" t="b">
        <v>0</v>
      </c>
      <c r="AF273" s="81">
        <v>0</v>
      </c>
      <c r="AG273" s="86" t="s">
        <v>6240</v>
      </c>
      <c r="AH273" s="81" t="b">
        <v>0</v>
      </c>
      <c r="AI273" s="81" t="s">
        <v>6479</v>
      </c>
      <c r="AJ273" s="81"/>
      <c r="AK273" s="86" t="s">
        <v>6240</v>
      </c>
      <c r="AL273" s="81" t="b">
        <v>0</v>
      </c>
      <c r="AM273" s="81">
        <v>27</v>
      </c>
      <c r="AN273" s="86" t="s">
        <v>5503</v>
      </c>
      <c r="AO273" s="86" t="s">
        <v>6503</v>
      </c>
      <c r="AP273" s="81" t="b">
        <v>0</v>
      </c>
      <c r="AQ273" s="86" t="s">
        <v>5503</v>
      </c>
      <c r="AR273" s="81" t="s">
        <v>179</v>
      </c>
      <c r="AS273" s="81">
        <v>0</v>
      </c>
      <c r="AT273" s="81">
        <v>0</v>
      </c>
      <c r="AU273" s="81"/>
      <c r="AV273" s="81"/>
      <c r="AW273" s="81"/>
      <c r="AX273" s="81"/>
      <c r="AY273" s="81"/>
      <c r="AZ273" s="81"/>
      <c r="BA273" s="81"/>
      <c r="BB273" s="81"/>
    </row>
    <row r="274" spans="1:54" x14ac:dyDescent="0.35">
      <c r="A274" s="66" t="s">
        <v>436</v>
      </c>
      <c r="B274" s="66" t="s">
        <v>335</v>
      </c>
      <c r="C274" s="67"/>
      <c r="D274" s="68"/>
      <c r="E274" s="69"/>
      <c r="F274" s="70"/>
      <c r="G274" s="67"/>
      <c r="H274" s="71"/>
      <c r="I274" s="72"/>
      <c r="J274" s="72"/>
      <c r="K274" s="36"/>
      <c r="L274" s="79"/>
      <c r="M274" s="79"/>
      <c r="N274" s="74"/>
      <c r="O274" s="81" t="s">
        <v>1532</v>
      </c>
      <c r="P274" s="83">
        <v>44459.529456018521</v>
      </c>
      <c r="Q274" s="81" t="s">
        <v>1586</v>
      </c>
      <c r="R274" s="81"/>
      <c r="S274" s="81"/>
      <c r="T274" s="81"/>
      <c r="U274" s="84" t="str">
        <f>HYPERLINK("https://pbs.twimg.com/ext_tw_video_thumb/1439603623520993285/pu/img/4NCBVhjvbYSKxAvX.jpg")</f>
        <v>https://pbs.twimg.com/ext_tw_video_thumb/1439603623520993285/pu/img/4NCBVhjvbYSKxAvX.jpg</v>
      </c>
      <c r="V274" s="84" t="str">
        <f>HYPERLINK("https://pbs.twimg.com/ext_tw_video_thumb/1439603623520993285/pu/img/4NCBVhjvbYSKxAvX.jpg")</f>
        <v>https://pbs.twimg.com/ext_tw_video_thumb/1439603623520993285/pu/img/4NCBVhjvbYSKxAvX.jpg</v>
      </c>
      <c r="W274" s="83">
        <v>44459.529456018521</v>
      </c>
      <c r="X274" s="89">
        <v>44459</v>
      </c>
      <c r="Y274" s="86" t="s">
        <v>2994</v>
      </c>
      <c r="Z274" s="84" t="str">
        <f>HYPERLINK("https://twitter.com/nur_alisyaaa/status/1439932963710398489")</f>
        <v>https://twitter.com/nur_alisyaaa/status/1439932963710398489</v>
      </c>
      <c r="AA274" s="81"/>
      <c r="AB274" s="81"/>
      <c r="AC274" s="86" t="s">
        <v>4455</v>
      </c>
      <c r="AD274" s="81"/>
      <c r="AE274" s="81" t="b">
        <v>0</v>
      </c>
      <c r="AF274" s="81">
        <v>0</v>
      </c>
      <c r="AG274" s="86" t="s">
        <v>6240</v>
      </c>
      <c r="AH274" s="81" t="b">
        <v>0</v>
      </c>
      <c r="AI274" s="81" t="s">
        <v>6478</v>
      </c>
      <c r="AJ274" s="81"/>
      <c r="AK274" s="86" t="s">
        <v>6240</v>
      </c>
      <c r="AL274" s="81" t="b">
        <v>0</v>
      </c>
      <c r="AM274" s="81">
        <v>102</v>
      </c>
      <c r="AN274" s="86" t="s">
        <v>4519</v>
      </c>
      <c r="AO274" s="86" t="s">
        <v>6503</v>
      </c>
      <c r="AP274" s="81" t="b">
        <v>0</v>
      </c>
      <c r="AQ274" s="86" t="s">
        <v>4519</v>
      </c>
      <c r="AR274" s="81" t="s">
        <v>179</v>
      </c>
      <c r="AS274" s="81">
        <v>0</v>
      </c>
      <c r="AT274" s="81">
        <v>0</v>
      </c>
      <c r="AU274" s="81"/>
      <c r="AV274" s="81"/>
      <c r="AW274" s="81"/>
      <c r="AX274" s="81"/>
      <c r="AY274" s="81"/>
      <c r="AZ274" s="81"/>
      <c r="BA274" s="81"/>
      <c r="BB274" s="81"/>
    </row>
    <row r="275" spans="1:54" x14ac:dyDescent="0.35">
      <c r="A275" s="66" t="s">
        <v>437</v>
      </c>
      <c r="B275" s="66" t="s">
        <v>1272</v>
      </c>
      <c r="C275" s="67"/>
      <c r="D275" s="68"/>
      <c r="E275" s="69"/>
      <c r="F275" s="70"/>
      <c r="G275" s="67"/>
      <c r="H275" s="71"/>
      <c r="I275" s="72"/>
      <c r="J275" s="72"/>
      <c r="K275" s="36"/>
      <c r="L275" s="79"/>
      <c r="M275" s="79"/>
      <c r="N275" s="74"/>
      <c r="O275" s="81" t="s">
        <v>1533</v>
      </c>
      <c r="P275" s="83">
        <v>44459.538946759261</v>
      </c>
      <c r="Q275" s="81" t="s">
        <v>1536</v>
      </c>
      <c r="R275" s="81"/>
      <c r="S275" s="81"/>
      <c r="T275" s="86" t="s">
        <v>2656</v>
      </c>
      <c r="U275" s="84" t="str">
        <f>HYPERLINK("https://pbs.twimg.com/media/E_X1zlwVIAES6Ks.jpg")</f>
        <v>https://pbs.twimg.com/media/E_X1zlwVIAES6Ks.jpg</v>
      </c>
      <c r="V275" s="84" t="str">
        <f>HYPERLINK("https://pbs.twimg.com/media/E_X1zlwVIAES6Ks.jpg")</f>
        <v>https://pbs.twimg.com/media/E_X1zlwVIAES6Ks.jpg</v>
      </c>
      <c r="W275" s="83">
        <v>44459.538946759261</v>
      </c>
      <c r="X275" s="89">
        <v>44459</v>
      </c>
      <c r="Y275" s="86" t="s">
        <v>2995</v>
      </c>
      <c r="Z275" s="84" t="str">
        <f>HYPERLINK("https://twitter.com/saifull04800784/status/1439936401294995470")</f>
        <v>https://twitter.com/saifull04800784/status/1439936401294995470</v>
      </c>
      <c r="AA275" s="81"/>
      <c r="AB275" s="81"/>
      <c r="AC275" s="86" t="s">
        <v>4456</v>
      </c>
      <c r="AD275" s="81"/>
      <c r="AE275" s="81" t="b">
        <v>0</v>
      </c>
      <c r="AF275" s="81">
        <v>0</v>
      </c>
      <c r="AG275" s="86" t="s">
        <v>6240</v>
      </c>
      <c r="AH275" s="81" t="b">
        <v>0</v>
      </c>
      <c r="AI275" s="81" t="s">
        <v>6478</v>
      </c>
      <c r="AJ275" s="81"/>
      <c r="AK275" s="86" t="s">
        <v>6240</v>
      </c>
      <c r="AL275" s="81" t="b">
        <v>0</v>
      </c>
      <c r="AM275" s="81">
        <v>61</v>
      </c>
      <c r="AN275" s="86" t="s">
        <v>4550</v>
      </c>
      <c r="AO275" s="86" t="s">
        <v>6503</v>
      </c>
      <c r="AP275" s="81" t="b">
        <v>0</v>
      </c>
      <c r="AQ275" s="86" t="s">
        <v>4550</v>
      </c>
      <c r="AR275" s="81" t="s">
        <v>179</v>
      </c>
      <c r="AS275" s="81">
        <v>0</v>
      </c>
      <c r="AT275" s="81">
        <v>0</v>
      </c>
      <c r="AU275" s="81"/>
      <c r="AV275" s="81"/>
      <c r="AW275" s="81"/>
      <c r="AX275" s="81"/>
      <c r="AY275" s="81"/>
      <c r="AZ275" s="81"/>
      <c r="BA275" s="81"/>
      <c r="BB275" s="81"/>
    </row>
    <row r="276" spans="1:54" x14ac:dyDescent="0.35">
      <c r="A276" s="66" t="s">
        <v>437</v>
      </c>
      <c r="B276" s="66" t="s">
        <v>526</v>
      </c>
      <c r="C276" s="67"/>
      <c r="D276" s="68"/>
      <c r="E276" s="69"/>
      <c r="F276" s="70"/>
      <c r="G276" s="67"/>
      <c r="H276" s="71"/>
      <c r="I276" s="72"/>
      <c r="J276" s="72"/>
      <c r="K276" s="36"/>
      <c r="L276" s="79"/>
      <c r="M276" s="79"/>
      <c r="N276" s="74"/>
      <c r="O276" s="81" t="s">
        <v>1532</v>
      </c>
      <c r="P276" s="83">
        <v>44459.538946759261</v>
      </c>
      <c r="Q276" s="81" t="s">
        <v>1536</v>
      </c>
      <c r="R276" s="81"/>
      <c r="S276" s="81"/>
      <c r="T276" s="86" t="s">
        <v>2656</v>
      </c>
      <c r="U276" s="84" t="str">
        <f>HYPERLINK("https://pbs.twimg.com/media/E_X1zlwVIAES6Ks.jpg")</f>
        <v>https://pbs.twimg.com/media/E_X1zlwVIAES6Ks.jpg</v>
      </c>
      <c r="V276" s="84" t="str">
        <f>HYPERLINK("https://pbs.twimg.com/media/E_X1zlwVIAES6Ks.jpg")</f>
        <v>https://pbs.twimg.com/media/E_X1zlwVIAES6Ks.jpg</v>
      </c>
      <c r="W276" s="83">
        <v>44459.538946759261</v>
      </c>
      <c r="X276" s="89">
        <v>44459</v>
      </c>
      <c r="Y276" s="86" t="s">
        <v>2995</v>
      </c>
      <c r="Z276" s="84" t="str">
        <f>HYPERLINK("https://twitter.com/saifull04800784/status/1439936401294995470")</f>
        <v>https://twitter.com/saifull04800784/status/1439936401294995470</v>
      </c>
      <c r="AA276" s="81"/>
      <c r="AB276" s="81"/>
      <c r="AC276" s="86" t="s">
        <v>4456</v>
      </c>
      <c r="AD276" s="81"/>
      <c r="AE276" s="81" t="b">
        <v>0</v>
      </c>
      <c r="AF276" s="81">
        <v>0</v>
      </c>
      <c r="AG276" s="86" t="s">
        <v>6240</v>
      </c>
      <c r="AH276" s="81" t="b">
        <v>0</v>
      </c>
      <c r="AI276" s="81" t="s">
        <v>6478</v>
      </c>
      <c r="AJ276" s="81"/>
      <c r="AK276" s="86" t="s">
        <v>6240</v>
      </c>
      <c r="AL276" s="81" t="b">
        <v>0</v>
      </c>
      <c r="AM276" s="81">
        <v>61</v>
      </c>
      <c r="AN276" s="86" t="s">
        <v>4550</v>
      </c>
      <c r="AO276" s="86" t="s">
        <v>6503</v>
      </c>
      <c r="AP276" s="81" t="b">
        <v>0</v>
      </c>
      <c r="AQ276" s="86" t="s">
        <v>4550</v>
      </c>
      <c r="AR276" s="81" t="s">
        <v>179</v>
      </c>
      <c r="AS276" s="81">
        <v>0</v>
      </c>
      <c r="AT276" s="81">
        <v>0</v>
      </c>
      <c r="AU276" s="81"/>
      <c r="AV276" s="81"/>
      <c r="AW276" s="81"/>
      <c r="AX276" s="81"/>
      <c r="AY276" s="81"/>
      <c r="AZ276" s="81"/>
      <c r="BA276" s="81"/>
      <c r="BB276" s="81"/>
    </row>
    <row r="277" spans="1:54" x14ac:dyDescent="0.35">
      <c r="A277" s="66" t="s">
        <v>438</v>
      </c>
      <c r="B277" s="66" t="s">
        <v>335</v>
      </c>
      <c r="C277" s="67"/>
      <c r="D277" s="68"/>
      <c r="E277" s="69"/>
      <c r="F277" s="70"/>
      <c r="G277" s="67"/>
      <c r="H277" s="71"/>
      <c r="I277" s="72"/>
      <c r="J277" s="72"/>
      <c r="K277" s="36"/>
      <c r="L277" s="79"/>
      <c r="M277" s="79"/>
      <c r="N277" s="74"/>
      <c r="O277" s="81" t="s">
        <v>1532</v>
      </c>
      <c r="P277" s="83">
        <v>44459.540266203701</v>
      </c>
      <c r="Q277" s="81" t="s">
        <v>1586</v>
      </c>
      <c r="R277" s="81"/>
      <c r="S277" s="81"/>
      <c r="T277" s="81"/>
      <c r="U277" s="84" t="str">
        <f>HYPERLINK("https://pbs.twimg.com/ext_tw_video_thumb/1439603623520993285/pu/img/4NCBVhjvbYSKxAvX.jpg")</f>
        <v>https://pbs.twimg.com/ext_tw_video_thumb/1439603623520993285/pu/img/4NCBVhjvbYSKxAvX.jpg</v>
      </c>
      <c r="V277" s="84" t="str">
        <f>HYPERLINK("https://pbs.twimg.com/ext_tw_video_thumb/1439603623520993285/pu/img/4NCBVhjvbYSKxAvX.jpg")</f>
        <v>https://pbs.twimg.com/ext_tw_video_thumb/1439603623520993285/pu/img/4NCBVhjvbYSKxAvX.jpg</v>
      </c>
      <c r="W277" s="83">
        <v>44459.540266203701</v>
      </c>
      <c r="X277" s="89">
        <v>44459</v>
      </c>
      <c r="Y277" s="86" t="s">
        <v>2996</v>
      </c>
      <c r="Z277" s="84" t="str">
        <f>HYPERLINK("https://twitter.com/jierahrsli/status/1439936880775090179")</f>
        <v>https://twitter.com/jierahrsli/status/1439936880775090179</v>
      </c>
      <c r="AA277" s="81"/>
      <c r="AB277" s="81"/>
      <c r="AC277" s="86" t="s">
        <v>4457</v>
      </c>
      <c r="AD277" s="81"/>
      <c r="AE277" s="81" t="b">
        <v>0</v>
      </c>
      <c r="AF277" s="81">
        <v>0</v>
      </c>
      <c r="AG277" s="86" t="s">
        <v>6240</v>
      </c>
      <c r="AH277" s="81" t="b">
        <v>0</v>
      </c>
      <c r="AI277" s="81" t="s">
        <v>6478</v>
      </c>
      <c r="AJ277" s="81"/>
      <c r="AK277" s="86" t="s">
        <v>6240</v>
      </c>
      <c r="AL277" s="81" t="b">
        <v>0</v>
      </c>
      <c r="AM277" s="81">
        <v>102</v>
      </c>
      <c r="AN277" s="86" t="s">
        <v>4519</v>
      </c>
      <c r="AO277" s="86" t="s">
        <v>6503</v>
      </c>
      <c r="AP277" s="81" t="b">
        <v>0</v>
      </c>
      <c r="AQ277" s="86" t="s">
        <v>4519</v>
      </c>
      <c r="AR277" s="81" t="s">
        <v>179</v>
      </c>
      <c r="AS277" s="81">
        <v>0</v>
      </c>
      <c r="AT277" s="81">
        <v>0</v>
      </c>
      <c r="AU277" s="81"/>
      <c r="AV277" s="81"/>
      <c r="AW277" s="81"/>
      <c r="AX277" s="81"/>
      <c r="AY277" s="81"/>
      <c r="AZ277" s="81"/>
      <c r="BA277" s="81"/>
      <c r="BB277" s="81"/>
    </row>
    <row r="278" spans="1:54" x14ac:dyDescent="0.35">
      <c r="A278" s="66" t="s">
        <v>439</v>
      </c>
      <c r="B278" s="66" t="s">
        <v>1247</v>
      </c>
      <c r="C278" s="67"/>
      <c r="D278" s="68"/>
      <c r="E278" s="69"/>
      <c r="F278" s="70"/>
      <c r="G278" s="67"/>
      <c r="H278" s="71"/>
      <c r="I278" s="72"/>
      <c r="J278" s="72"/>
      <c r="K278" s="36"/>
      <c r="L278" s="79"/>
      <c r="M278" s="79"/>
      <c r="N278" s="74"/>
      <c r="O278" s="81" t="s">
        <v>1532</v>
      </c>
      <c r="P278" s="83">
        <v>44459.550381944442</v>
      </c>
      <c r="Q278" s="81" t="s">
        <v>1650</v>
      </c>
      <c r="R278" s="81"/>
      <c r="S278" s="81"/>
      <c r="T278" s="86" t="s">
        <v>2667</v>
      </c>
      <c r="U278" s="84" t="str">
        <f>HYPERLINK("https://pbs.twimg.com/media/E_ubZIHUYAESLiB.jpg")</f>
        <v>https://pbs.twimg.com/media/E_ubZIHUYAESLiB.jpg</v>
      </c>
      <c r="V278" s="84" t="str">
        <f>HYPERLINK("https://pbs.twimg.com/media/E_ubZIHUYAESLiB.jpg")</f>
        <v>https://pbs.twimg.com/media/E_ubZIHUYAESLiB.jpg</v>
      </c>
      <c r="W278" s="83">
        <v>44459.550381944442</v>
      </c>
      <c r="X278" s="89">
        <v>44459</v>
      </c>
      <c r="Y278" s="86" t="s">
        <v>2997</v>
      </c>
      <c r="Z278" s="84" t="str">
        <f>HYPERLINK("https://twitter.com/qwertyahsksk/status/1439940546005327879")</f>
        <v>https://twitter.com/qwertyahsksk/status/1439940546005327879</v>
      </c>
      <c r="AA278" s="81"/>
      <c r="AB278" s="81"/>
      <c r="AC278" s="86" t="s">
        <v>4458</v>
      </c>
      <c r="AD278" s="81"/>
      <c r="AE278" s="81" t="b">
        <v>0</v>
      </c>
      <c r="AF278" s="81">
        <v>0</v>
      </c>
      <c r="AG278" s="86" t="s">
        <v>6240</v>
      </c>
      <c r="AH278" s="81" t="b">
        <v>0</v>
      </c>
      <c r="AI278" s="81" t="s">
        <v>6479</v>
      </c>
      <c r="AJ278" s="81"/>
      <c r="AK278" s="86" t="s">
        <v>6240</v>
      </c>
      <c r="AL278" s="81" t="b">
        <v>0</v>
      </c>
      <c r="AM278" s="81">
        <v>27</v>
      </c>
      <c r="AN278" s="86" t="s">
        <v>5503</v>
      </c>
      <c r="AO278" s="86" t="s">
        <v>6503</v>
      </c>
      <c r="AP278" s="81" t="b">
        <v>0</v>
      </c>
      <c r="AQ278" s="86" t="s">
        <v>5503</v>
      </c>
      <c r="AR278" s="81" t="s">
        <v>179</v>
      </c>
      <c r="AS278" s="81">
        <v>0</v>
      </c>
      <c r="AT278" s="81">
        <v>0</v>
      </c>
      <c r="AU278" s="81"/>
      <c r="AV278" s="81"/>
      <c r="AW278" s="81"/>
      <c r="AX278" s="81"/>
      <c r="AY278" s="81"/>
      <c r="AZ278" s="81"/>
      <c r="BA278" s="81"/>
      <c r="BB278" s="81"/>
    </row>
    <row r="279" spans="1:54" x14ac:dyDescent="0.35">
      <c r="A279" s="66" t="s">
        <v>440</v>
      </c>
      <c r="B279" s="66" t="s">
        <v>1247</v>
      </c>
      <c r="C279" s="67"/>
      <c r="D279" s="68"/>
      <c r="E279" s="69"/>
      <c r="F279" s="70"/>
      <c r="G279" s="67"/>
      <c r="H279" s="71"/>
      <c r="I279" s="72"/>
      <c r="J279" s="72"/>
      <c r="K279" s="36"/>
      <c r="L279" s="79"/>
      <c r="M279" s="79"/>
      <c r="N279" s="74"/>
      <c r="O279" s="81" t="s">
        <v>1532</v>
      </c>
      <c r="P279" s="83">
        <v>44459.554340277777</v>
      </c>
      <c r="Q279" s="81" t="s">
        <v>1650</v>
      </c>
      <c r="R279" s="81"/>
      <c r="S279" s="81"/>
      <c r="T279" s="86" t="s">
        <v>2667</v>
      </c>
      <c r="U279" s="84" t="str">
        <f>HYPERLINK("https://pbs.twimg.com/media/E_ubZIHUYAESLiB.jpg")</f>
        <v>https://pbs.twimg.com/media/E_ubZIHUYAESLiB.jpg</v>
      </c>
      <c r="V279" s="84" t="str">
        <f>HYPERLINK("https://pbs.twimg.com/media/E_ubZIHUYAESLiB.jpg")</f>
        <v>https://pbs.twimg.com/media/E_ubZIHUYAESLiB.jpg</v>
      </c>
      <c r="W279" s="83">
        <v>44459.554340277777</v>
      </c>
      <c r="X279" s="89">
        <v>44459</v>
      </c>
      <c r="Y279" s="86" t="s">
        <v>2998</v>
      </c>
      <c r="Z279" s="84" t="str">
        <f>HYPERLINK("https://twitter.com/sevngjinluvr/status/1439941981879169030")</f>
        <v>https://twitter.com/sevngjinluvr/status/1439941981879169030</v>
      </c>
      <c r="AA279" s="81"/>
      <c r="AB279" s="81"/>
      <c r="AC279" s="86" t="s">
        <v>4459</v>
      </c>
      <c r="AD279" s="81"/>
      <c r="AE279" s="81" t="b">
        <v>0</v>
      </c>
      <c r="AF279" s="81">
        <v>0</v>
      </c>
      <c r="AG279" s="86" t="s">
        <v>6240</v>
      </c>
      <c r="AH279" s="81" t="b">
        <v>0</v>
      </c>
      <c r="AI279" s="81" t="s">
        <v>6479</v>
      </c>
      <c r="AJ279" s="81"/>
      <c r="AK279" s="86" t="s">
        <v>6240</v>
      </c>
      <c r="AL279" s="81" t="b">
        <v>0</v>
      </c>
      <c r="AM279" s="81">
        <v>27</v>
      </c>
      <c r="AN279" s="86" t="s">
        <v>5503</v>
      </c>
      <c r="AO279" s="86" t="s">
        <v>6503</v>
      </c>
      <c r="AP279" s="81" t="b">
        <v>0</v>
      </c>
      <c r="AQ279" s="86" t="s">
        <v>5503</v>
      </c>
      <c r="AR279" s="81" t="s">
        <v>179</v>
      </c>
      <c r="AS279" s="81">
        <v>0</v>
      </c>
      <c r="AT279" s="81">
        <v>0</v>
      </c>
      <c r="AU279" s="81"/>
      <c r="AV279" s="81"/>
      <c r="AW279" s="81"/>
      <c r="AX279" s="81"/>
      <c r="AY279" s="81"/>
      <c r="AZ279" s="81"/>
      <c r="BA279" s="81"/>
      <c r="BB279" s="81"/>
    </row>
    <row r="280" spans="1:54" x14ac:dyDescent="0.35">
      <c r="A280" s="66" t="s">
        <v>441</v>
      </c>
      <c r="B280" s="66" t="s">
        <v>1261</v>
      </c>
      <c r="C280" s="67"/>
      <c r="D280" s="68"/>
      <c r="E280" s="69"/>
      <c r="F280" s="70"/>
      <c r="G280" s="67"/>
      <c r="H280" s="71"/>
      <c r="I280" s="72"/>
      <c r="J280" s="72"/>
      <c r="K280" s="36"/>
      <c r="L280" s="79"/>
      <c r="M280" s="79"/>
      <c r="N280" s="74"/>
      <c r="O280" s="81" t="s">
        <v>1532</v>
      </c>
      <c r="P280" s="83">
        <v>44459.574259259258</v>
      </c>
      <c r="Q280" s="81" t="s">
        <v>1653</v>
      </c>
      <c r="R280" s="84" t="str">
        <f>HYPERLINK("https://api.whatsapp.com/send?phone=6281222353823")</f>
        <v>https://api.whatsapp.com/send?phone=6281222353823</v>
      </c>
      <c r="S280" s="81" t="s">
        <v>2597</v>
      </c>
      <c r="T280" s="81"/>
      <c r="U280" s="84" t="str">
        <f>HYPERLINK("https://pbs.twimg.com/media/E_P_XMQWYAUXeaR.jpg")</f>
        <v>https://pbs.twimg.com/media/E_P_XMQWYAUXeaR.jpg</v>
      </c>
      <c r="V280" s="84" t="str">
        <f>HYPERLINK("https://pbs.twimg.com/media/E_P_XMQWYAUXeaR.jpg")</f>
        <v>https://pbs.twimg.com/media/E_P_XMQWYAUXeaR.jpg</v>
      </c>
      <c r="W280" s="83">
        <v>44459.574259259258</v>
      </c>
      <c r="X280" s="89">
        <v>44459</v>
      </c>
      <c r="Y280" s="86" t="s">
        <v>2999</v>
      </c>
      <c r="Z280" s="84" t="str">
        <f>HYPERLINK("https://twitter.com/gembrit/status/1439949200347779086")</f>
        <v>https://twitter.com/gembrit/status/1439949200347779086</v>
      </c>
      <c r="AA280" s="81"/>
      <c r="AB280" s="81"/>
      <c r="AC280" s="86" t="s">
        <v>4460</v>
      </c>
      <c r="AD280" s="81"/>
      <c r="AE280" s="81" t="b">
        <v>0</v>
      </c>
      <c r="AF280" s="81">
        <v>0</v>
      </c>
      <c r="AG280" s="86" t="s">
        <v>6240</v>
      </c>
      <c r="AH280" s="81" t="b">
        <v>0</v>
      </c>
      <c r="AI280" s="81" t="s">
        <v>6478</v>
      </c>
      <c r="AJ280" s="81"/>
      <c r="AK280" s="86" t="s">
        <v>6240</v>
      </c>
      <c r="AL280" s="81" t="b">
        <v>0</v>
      </c>
      <c r="AM280" s="81">
        <v>49</v>
      </c>
      <c r="AN280" s="86" t="s">
        <v>5526</v>
      </c>
      <c r="AO280" s="86" t="s">
        <v>6503</v>
      </c>
      <c r="AP280" s="81" t="b">
        <v>0</v>
      </c>
      <c r="AQ280" s="86" t="s">
        <v>5526</v>
      </c>
      <c r="AR280" s="81" t="s">
        <v>179</v>
      </c>
      <c r="AS280" s="81">
        <v>0</v>
      </c>
      <c r="AT280" s="81">
        <v>0</v>
      </c>
      <c r="AU280" s="81"/>
      <c r="AV280" s="81"/>
      <c r="AW280" s="81"/>
      <c r="AX280" s="81"/>
      <c r="AY280" s="81"/>
      <c r="AZ280" s="81"/>
      <c r="BA280" s="81"/>
      <c r="BB280" s="81"/>
    </row>
    <row r="281" spans="1:54" x14ac:dyDescent="0.35">
      <c r="A281" s="66" t="s">
        <v>442</v>
      </c>
      <c r="B281" s="66" t="s">
        <v>1261</v>
      </c>
      <c r="C281" s="67"/>
      <c r="D281" s="68"/>
      <c r="E281" s="69"/>
      <c r="F281" s="70"/>
      <c r="G281" s="67"/>
      <c r="H281" s="71"/>
      <c r="I281" s="72"/>
      <c r="J281" s="72"/>
      <c r="K281" s="36"/>
      <c r="L281" s="79"/>
      <c r="M281" s="79"/>
      <c r="N281" s="74"/>
      <c r="O281" s="81" t="s">
        <v>1532</v>
      </c>
      <c r="P281" s="83">
        <v>44459.579074074078</v>
      </c>
      <c r="Q281" s="81" t="s">
        <v>1653</v>
      </c>
      <c r="R281" s="84" t="str">
        <f>HYPERLINK("https://api.whatsapp.com/send?phone=6281222353823")</f>
        <v>https://api.whatsapp.com/send?phone=6281222353823</v>
      </c>
      <c r="S281" s="81" t="s">
        <v>2597</v>
      </c>
      <c r="T281" s="81"/>
      <c r="U281" s="84" t="str">
        <f>HYPERLINK("https://pbs.twimg.com/media/E_P_XMQWYAUXeaR.jpg")</f>
        <v>https://pbs.twimg.com/media/E_P_XMQWYAUXeaR.jpg</v>
      </c>
      <c r="V281" s="84" t="str">
        <f>HYPERLINK("https://pbs.twimg.com/media/E_P_XMQWYAUXeaR.jpg")</f>
        <v>https://pbs.twimg.com/media/E_P_XMQWYAUXeaR.jpg</v>
      </c>
      <c r="W281" s="83">
        <v>44459.579074074078</v>
      </c>
      <c r="X281" s="89">
        <v>44459</v>
      </c>
      <c r="Y281" s="86" t="s">
        <v>3000</v>
      </c>
      <c r="Z281" s="84" t="str">
        <f>HYPERLINK("https://twitter.com/kabigon89/status/1439950942405685251")</f>
        <v>https://twitter.com/kabigon89/status/1439950942405685251</v>
      </c>
      <c r="AA281" s="81"/>
      <c r="AB281" s="81"/>
      <c r="AC281" s="86" t="s">
        <v>4461</v>
      </c>
      <c r="AD281" s="81"/>
      <c r="AE281" s="81" t="b">
        <v>0</v>
      </c>
      <c r="AF281" s="81">
        <v>0</v>
      </c>
      <c r="AG281" s="86" t="s">
        <v>6240</v>
      </c>
      <c r="AH281" s="81" t="b">
        <v>0</v>
      </c>
      <c r="AI281" s="81" t="s">
        <v>6478</v>
      </c>
      <c r="AJ281" s="81"/>
      <c r="AK281" s="86" t="s">
        <v>6240</v>
      </c>
      <c r="AL281" s="81" t="b">
        <v>0</v>
      </c>
      <c r="AM281" s="81">
        <v>49</v>
      </c>
      <c r="AN281" s="86" t="s">
        <v>5526</v>
      </c>
      <c r="AO281" s="86" t="s">
        <v>6507</v>
      </c>
      <c r="AP281" s="81" t="b">
        <v>0</v>
      </c>
      <c r="AQ281" s="86" t="s">
        <v>5526</v>
      </c>
      <c r="AR281" s="81" t="s">
        <v>179</v>
      </c>
      <c r="AS281" s="81">
        <v>0</v>
      </c>
      <c r="AT281" s="81">
        <v>0</v>
      </c>
      <c r="AU281" s="81"/>
      <c r="AV281" s="81"/>
      <c r="AW281" s="81"/>
      <c r="AX281" s="81"/>
      <c r="AY281" s="81"/>
      <c r="AZ281" s="81"/>
      <c r="BA281" s="81"/>
      <c r="BB281" s="81"/>
    </row>
    <row r="282" spans="1:54" x14ac:dyDescent="0.35">
      <c r="A282" s="66" t="s">
        <v>443</v>
      </c>
      <c r="B282" s="66" t="s">
        <v>443</v>
      </c>
      <c r="C282" s="67"/>
      <c r="D282" s="68"/>
      <c r="E282" s="69"/>
      <c r="F282" s="70"/>
      <c r="G282" s="67"/>
      <c r="H282" s="71"/>
      <c r="I282" s="72"/>
      <c r="J282" s="72"/>
      <c r="K282" s="36"/>
      <c r="L282" s="79"/>
      <c r="M282" s="79"/>
      <c r="N282" s="74"/>
      <c r="O282" s="81" t="s">
        <v>179</v>
      </c>
      <c r="P282" s="83">
        <v>44459.579502314817</v>
      </c>
      <c r="Q282" s="81" t="s">
        <v>1654</v>
      </c>
      <c r="R282" s="84" t="str">
        <f>HYPERLINK("https://twitter.com/ComradeBim/status/1439802427524272133")</f>
        <v>https://twitter.com/ComradeBim/status/1439802427524272133</v>
      </c>
      <c r="S282" s="81" t="s">
        <v>2588</v>
      </c>
      <c r="T282" s="81"/>
      <c r="U282" s="81"/>
      <c r="V282" s="84" t="str">
        <f>HYPERLINK("https://pbs.twimg.com/profile_images/1415998395416670209/_ctnT7Vj_normal.jpg")</f>
        <v>https://pbs.twimg.com/profile_images/1415998395416670209/_ctnT7Vj_normal.jpg</v>
      </c>
      <c r="W282" s="83">
        <v>44459.579502314817</v>
      </c>
      <c r="X282" s="89">
        <v>44459</v>
      </c>
      <c r="Y282" s="86" t="s">
        <v>3001</v>
      </c>
      <c r="Z282" s="84" t="str">
        <f>HYPERLINK("https://twitter.com/m_sael/status/1439951098958147597")</f>
        <v>https://twitter.com/m_sael/status/1439951098958147597</v>
      </c>
      <c r="AA282" s="81"/>
      <c r="AB282" s="81"/>
      <c r="AC282" s="86" t="s">
        <v>4462</v>
      </c>
      <c r="AD282" s="81"/>
      <c r="AE282" s="81" t="b">
        <v>0</v>
      </c>
      <c r="AF282" s="81">
        <v>0</v>
      </c>
      <c r="AG282" s="86" t="s">
        <v>6240</v>
      </c>
      <c r="AH282" s="81" t="b">
        <v>1</v>
      </c>
      <c r="AI282" s="81" t="s">
        <v>6478</v>
      </c>
      <c r="AJ282" s="81"/>
      <c r="AK282" s="86" t="s">
        <v>6494</v>
      </c>
      <c r="AL282" s="81" t="b">
        <v>0</v>
      </c>
      <c r="AM282" s="81">
        <v>0</v>
      </c>
      <c r="AN282" s="86" t="s">
        <v>6240</v>
      </c>
      <c r="AO282" s="86" t="s">
        <v>6503</v>
      </c>
      <c r="AP282" s="81" t="b">
        <v>0</v>
      </c>
      <c r="AQ282" s="86" t="s">
        <v>4462</v>
      </c>
      <c r="AR282" s="81" t="s">
        <v>179</v>
      </c>
      <c r="AS282" s="81">
        <v>0</v>
      </c>
      <c r="AT282" s="81">
        <v>0</v>
      </c>
      <c r="AU282" s="81"/>
      <c r="AV282" s="81"/>
      <c r="AW282" s="81"/>
      <c r="AX282" s="81"/>
      <c r="AY282" s="81"/>
      <c r="AZ282" s="81"/>
      <c r="BA282" s="81"/>
      <c r="BB282" s="81"/>
    </row>
    <row r="283" spans="1:54" x14ac:dyDescent="0.35">
      <c r="A283" s="66" t="s">
        <v>444</v>
      </c>
      <c r="B283" s="66" t="s">
        <v>1272</v>
      </c>
      <c r="C283" s="67"/>
      <c r="D283" s="68"/>
      <c r="E283" s="69"/>
      <c r="F283" s="70"/>
      <c r="G283" s="67"/>
      <c r="H283" s="71"/>
      <c r="I283" s="72"/>
      <c r="J283" s="72"/>
      <c r="K283" s="36"/>
      <c r="L283" s="79"/>
      <c r="M283" s="79"/>
      <c r="N283" s="74"/>
      <c r="O283" s="81" t="s">
        <v>1533</v>
      </c>
      <c r="P283" s="83">
        <v>44459.595231481479</v>
      </c>
      <c r="Q283" s="81" t="s">
        <v>1536</v>
      </c>
      <c r="R283" s="81"/>
      <c r="S283" s="81"/>
      <c r="T283" s="86" t="s">
        <v>2656</v>
      </c>
      <c r="U283" s="84" t="str">
        <f>HYPERLINK("https://pbs.twimg.com/media/E_X1zlwVIAES6Ks.jpg")</f>
        <v>https://pbs.twimg.com/media/E_X1zlwVIAES6Ks.jpg</v>
      </c>
      <c r="V283" s="84" t="str">
        <f>HYPERLINK("https://pbs.twimg.com/media/E_X1zlwVIAES6Ks.jpg")</f>
        <v>https://pbs.twimg.com/media/E_X1zlwVIAES6Ks.jpg</v>
      </c>
      <c r="W283" s="83">
        <v>44459.595231481479</v>
      </c>
      <c r="X283" s="89">
        <v>44459</v>
      </c>
      <c r="Y283" s="86" t="s">
        <v>3002</v>
      </c>
      <c r="Z283" s="84" t="str">
        <f>HYPERLINK("https://twitter.com/khan0348700/status/1439956796580446220")</f>
        <v>https://twitter.com/khan0348700/status/1439956796580446220</v>
      </c>
      <c r="AA283" s="81"/>
      <c r="AB283" s="81"/>
      <c r="AC283" s="86" t="s">
        <v>4463</v>
      </c>
      <c r="AD283" s="81"/>
      <c r="AE283" s="81" t="b">
        <v>0</v>
      </c>
      <c r="AF283" s="81">
        <v>0</v>
      </c>
      <c r="AG283" s="86" t="s">
        <v>6240</v>
      </c>
      <c r="AH283" s="81" t="b">
        <v>0</v>
      </c>
      <c r="AI283" s="81" t="s">
        <v>6478</v>
      </c>
      <c r="AJ283" s="81"/>
      <c r="AK283" s="86" t="s">
        <v>6240</v>
      </c>
      <c r="AL283" s="81" t="b">
        <v>0</v>
      </c>
      <c r="AM283" s="81">
        <v>61</v>
      </c>
      <c r="AN283" s="86" t="s">
        <v>4550</v>
      </c>
      <c r="AO283" s="86" t="s">
        <v>6503</v>
      </c>
      <c r="AP283" s="81" t="b">
        <v>0</v>
      </c>
      <c r="AQ283" s="86" t="s">
        <v>4550</v>
      </c>
      <c r="AR283" s="81" t="s">
        <v>179</v>
      </c>
      <c r="AS283" s="81">
        <v>0</v>
      </c>
      <c r="AT283" s="81">
        <v>0</v>
      </c>
      <c r="AU283" s="81"/>
      <c r="AV283" s="81"/>
      <c r="AW283" s="81"/>
      <c r="AX283" s="81"/>
      <c r="AY283" s="81"/>
      <c r="AZ283" s="81"/>
      <c r="BA283" s="81"/>
      <c r="BB283" s="81"/>
    </row>
    <row r="284" spans="1:54" x14ac:dyDescent="0.35">
      <c r="A284" s="66" t="s">
        <v>444</v>
      </c>
      <c r="B284" s="66" t="s">
        <v>526</v>
      </c>
      <c r="C284" s="67"/>
      <c r="D284" s="68"/>
      <c r="E284" s="69"/>
      <c r="F284" s="70"/>
      <c r="G284" s="67"/>
      <c r="H284" s="71"/>
      <c r="I284" s="72"/>
      <c r="J284" s="72"/>
      <c r="K284" s="36"/>
      <c r="L284" s="79"/>
      <c r="M284" s="79"/>
      <c r="N284" s="74"/>
      <c r="O284" s="81" t="s">
        <v>1532</v>
      </c>
      <c r="P284" s="83">
        <v>44459.595231481479</v>
      </c>
      <c r="Q284" s="81" t="s">
        <v>1536</v>
      </c>
      <c r="R284" s="81"/>
      <c r="S284" s="81"/>
      <c r="T284" s="86" t="s">
        <v>2656</v>
      </c>
      <c r="U284" s="84" t="str">
        <f>HYPERLINK("https://pbs.twimg.com/media/E_X1zlwVIAES6Ks.jpg")</f>
        <v>https://pbs.twimg.com/media/E_X1zlwVIAES6Ks.jpg</v>
      </c>
      <c r="V284" s="84" t="str">
        <f>HYPERLINK("https://pbs.twimg.com/media/E_X1zlwVIAES6Ks.jpg")</f>
        <v>https://pbs.twimg.com/media/E_X1zlwVIAES6Ks.jpg</v>
      </c>
      <c r="W284" s="83">
        <v>44459.595231481479</v>
      </c>
      <c r="X284" s="89">
        <v>44459</v>
      </c>
      <c r="Y284" s="86" t="s">
        <v>3002</v>
      </c>
      <c r="Z284" s="84" t="str">
        <f>HYPERLINK("https://twitter.com/khan0348700/status/1439956796580446220")</f>
        <v>https://twitter.com/khan0348700/status/1439956796580446220</v>
      </c>
      <c r="AA284" s="81"/>
      <c r="AB284" s="81"/>
      <c r="AC284" s="86" t="s">
        <v>4463</v>
      </c>
      <c r="AD284" s="81"/>
      <c r="AE284" s="81" t="b">
        <v>0</v>
      </c>
      <c r="AF284" s="81">
        <v>0</v>
      </c>
      <c r="AG284" s="86" t="s">
        <v>6240</v>
      </c>
      <c r="AH284" s="81" t="b">
        <v>0</v>
      </c>
      <c r="AI284" s="81" t="s">
        <v>6478</v>
      </c>
      <c r="AJ284" s="81"/>
      <c r="AK284" s="86" t="s">
        <v>6240</v>
      </c>
      <c r="AL284" s="81" t="b">
        <v>0</v>
      </c>
      <c r="AM284" s="81">
        <v>61</v>
      </c>
      <c r="AN284" s="86" t="s">
        <v>4550</v>
      </c>
      <c r="AO284" s="86" t="s">
        <v>6503</v>
      </c>
      <c r="AP284" s="81" t="b">
        <v>0</v>
      </c>
      <c r="AQ284" s="86" t="s">
        <v>4550</v>
      </c>
      <c r="AR284" s="81" t="s">
        <v>179</v>
      </c>
      <c r="AS284" s="81">
        <v>0</v>
      </c>
      <c r="AT284" s="81">
        <v>0</v>
      </c>
      <c r="AU284" s="81"/>
      <c r="AV284" s="81"/>
      <c r="AW284" s="81"/>
      <c r="AX284" s="81"/>
      <c r="AY284" s="81"/>
      <c r="AZ284" s="81"/>
      <c r="BA284" s="81"/>
      <c r="BB284" s="81"/>
    </row>
    <row r="285" spans="1:54" x14ac:dyDescent="0.35">
      <c r="A285" s="66" t="s">
        <v>445</v>
      </c>
      <c r="B285" s="66" t="s">
        <v>581</v>
      </c>
      <c r="C285" s="67"/>
      <c r="D285" s="68"/>
      <c r="E285" s="69"/>
      <c r="F285" s="70"/>
      <c r="G285" s="67"/>
      <c r="H285" s="71"/>
      <c r="I285" s="72"/>
      <c r="J285" s="72"/>
      <c r="K285" s="36"/>
      <c r="L285" s="79"/>
      <c r="M285" s="79"/>
      <c r="N285" s="74"/>
      <c r="O285" s="81" t="s">
        <v>1532</v>
      </c>
      <c r="P285" s="83">
        <v>44459.604861111111</v>
      </c>
      <c r="Q285" s="81" t="s">
        <v>1655</v>
      </c>
      <c r="R285" s="81"/>
      <c r="S285" s="81"/>
      <c r="T285" s="86" t="s">
        <v>2667</v>
      </c>
      <c r="U285" s="84" t="str">
        <f>HYPERLINK("https://pbs.twimg.com/media/E_vEDNvVIAkAnBd.jpg")</f>
        <v>https://pbs.twimg.com/media/E_vEDNvVIAkAnBd.jpg</v>
      </c>
      <c r="V285" s="84" t="str">
        <f>HYPERLINK("https://pbs.twimg.com/media/E_vEDNvVIAkAnBd.jpg")</f>
        <v>https://pbs.twimg.com/media/E_vEDNvVIAkAnBd.jpg</v>
      </c>
      <c r="W285" s="83">
        <v>44459.604861111111</v>
      </c>
      <c r="X285" s="89">
        <v>44459</v>
      </c>
      <c r="Y285" s="86" t="s">
        <v>3003</v>
      </c>
      <c r="Z285" s="84" t="str">
        <f>HYPERLINK("https://twitter.com/_chrisnini/status/1439960288376201226")</f>
        <v>https://twitter.com/_chrisnini/status/1439960288376201226</v>
      </c>
      <c r="AA285" s="81"/>
      <c r="AB285" s="81"/>
      <c r="AC285" s="86" t="s">
        <v>4464</v>
      </c>
      <c r="AD285" s="81"/>
      <c r="AE285" s="81" t="b">
        <v>0</v>
      </c>
      <c r="AF285" s="81">
        <v>0</v>
      </c>
      <c r="AG285" s="86" t="s">
        <v>6240</v>
      </c>
      <c r="AH285" s="81" t="b">
        <v>0</v>
      </c>
      <c r="AI285" s="81" t="s">
        <v>6479</v>
      </c>
      <c r="AJ285" s="81"/>
      <c r="AK285" s="86" t="s">
        <v>6240</v>
      </c>
      <c r="AL285" s="81" t="b">
        <v>0</v>
      </c>
      <c r="AM285" s="81">
        <v>10</v>
      </c>
      <c r="AN285" s="86" t="s">
        <v>4618</v>
      </c>
      <c r="AO285" s="86" t="s">
        <v>6503</v>
      </c>
      <c r="AP285" s="81" t="b">
        <v>0</v>
      </c>
      <c r="AQ285" s="86" t="s">
        <v>4618</v>
      </c>
      <c r="AR285" s="81" t="s">
        <v>179</v>
      </c>
      <c r="AS285" s="81">
        <v>0</v>
      </c>
      <c r="AT285" s="81">
        <v>0</v>
      </c>
      <c r="AU285" s="81"/>
      <c r="AV285" s="81"/>
      <c r="AW285" s="81"/>
      <c r="AX285" s="81"/>
      <c r="AY285" s="81"/>
      <c r="AZ285" s="81"/>
      <c r="BA285" s="81"/>
      <c r="BB285" s="81"/>
    </row>
    <row r="286" spans="1:54" x14ac:dyDescent="0.35">
      <c r="A286" s="66" t="s">
        <v>446</v>
      </c>
      <c r="B286" s="66" t="s">
        <v>581</v>
      </c>
      <c r="C286" s="67"/>
      <c r="D286" s="68"/>
      <c r="E286" s="69"/>
      <c r="F286" s="70"/>
      <c r="G286" s="67"/>
      <c r="H286" s="71"/>
      <c r="I286" s="72"/>
      <c r="J286" s="72"/>
      <c r="K286" s="36"/>
      <c r="L286" s="79"/>
      <c r="M286" s="79"/>
      <c r="N286" s="74"/>
      <c r="O286" s="81" t="s">
        <v>1532</v>
      </c>
      <c r="P286" s="83">
        <v>44459.606053240743</v>
      </c>
      <c r="Q286" s="81" t="s">
        <v>1655</v>
      </c>
      <c r="R286" s="81"/>
      <c r="S286" s="81"/>
      <c r="T286" s="86" t="s">
        <v>2667</v>
      </c>
      <c r="U286" s="84" t="str">
        <f>HYPERLINK("https://pbs.twimg.com/media/E_vEDNvVIAkAnBd.jpg")</f>
        <v>https://pbs.twimg.com/media/E_vEDNvVIAkAnBd.jpg</v>
      </c>
      <c r="V286" s="84" t="str">
        <f>HYPERLINK("https://pbs.twimg.com/media/E_vEDNvVIAkAnBd.jpg")</f>
        <v>https://pbs.twimg.com/media/E_vEDNvVIAkAnBd.jpg</v>
      </c>
      <c r="W286" s="83">
        <v>44459.606053240743</v>
      </c>
      <c r="X286" s="89">
        <v>44459</v>
      </c>
      <c r="Y286" s="86" t="s">
        <v>3004</v>
      </c>
      <c r="Z286" s="84" t="str">
        <f>HYPERLINK("https://twitter.com/jiniretsmole/status/1439960719982665737")</f>
        <v>https://twitter.com/jiniretsmole/status/1439960719982665737</v>
      </c>
      <c r="AA286" s="81"/>
      <c r="AB286" s="81"/>
      <c r="AC286" s="86" t="s">
        <v>4465</v>
      </c>
      <c r="AD286" s="81"/>
      <c r="AE286" s="81" t="b">
        <v>0</v>
      </c>
      <c r="AF286" s="81">
        <v>0</v>
      </c>
      <c r="AG286" s="86" t="s">
        <v>6240</v>
      </c>
      <c r="AH286" s="81" t="b">
        <v>0</v>
      </c>
      <c r="AI286" s="81" t="s">
        <v>6479</v>
      </c>
      <c r="AJ286" s="81"/>
      <c r="AK286" s="86" t="s">
        <v>6240</v>
      </c>
      <c r="AL286" s="81" t="b">
        <v>0</v>
      </c>
      <c r="AM286" s="81">
        <v>10</v>
      </c>
      <c r="AN286" s="86" t="s">
        <v>4618</v>
      </c>
      <c r="AO286" s="86" t="s">
        <v>6505</v>
      </c>
      <c r="AP286" s="81" t="b">
        <v>0</v>
      </c>
      <c r="AQ286" s="86" t="s">
        <v>4618</v>
      </c>
      <c r="AR286" s="81" t="s">
        <v>179</v>
      </c>
      <c r="AS286" s="81">
        <v>0</v>
      </c>
      <c r="AT286" s="81">
        <v>0</v>
      </c>
      <c r="AU286" s="81"/>
      <c r="AV286" s="81"/>
      <c r="AW286" s="81"/>
      <c r="AX286" s="81"/>
      <c r="AY286" s="81"/>
      <c r="AZ286" s="81"/>
      <c r="BA286" s="81"/>
      <c r="BB286" s="81"/>
    </row>
    <row r="287" spans="1:54" x14ac:dyDescent="0.35">
      <c r="A287" s="66" t="s">
        <v>447</v>
      </c>
      <c r="B287" s="66" t="s">
        <v>581</v>
      </c>
      <c r="C287" s="67"/>
      <c r="D287" s="68"/>
      <c r="E287" s="69"/>
      <c r="F287" s="70"/>
      <c r="G287" s="67"/>
      <c r="H287" s="71"/>
      <c r="I287" s="72"/>
      <c r="J287" s="72"/>
      <c r="K287" s="36"/>
      <c r="L287" s="79"/>
      <c r="M287" s="79"/>
      <c r="N287" s="74"/>
      <c r="O287" s="81" t="s">
        <v>1532</v>
      </c>
      <c r="P287" s="83">
        <v>44459.606921296298</v>
      </c>
      <c r="Q287" s="81" t="s">
        <v>1655</v>
      </c>
      <c r="R287" s="81"/>
      <c r="S287" s="81"/>
      <c r="T287" s="86" t="s">
        <v>2667</v>
      </c>
      <c r="U287" s="84" t="str">
        <f>HYPERLINK("https://pbs.twimg.com/media/E_vEDNvVIAkAnBd.jpg")</f>
        <v>https://pbs.twimg.com/media/E_vEDNvVIAkAnBd.jpg</v>
      </c>
      <c r="V287" s="84" t="str">
        <f>HYPERLINK("https://pbs.twimg.com/media/E_vEDNvVIAkAnBd.jpg")</f>
        <v>https://pbs.twimg.com/media/E_vEDNvVIAkAnBd.jpg</v>
      </c>
      <c r="W287" s="83">
        <v>44459.606921296298</v>
      </c>
      <c r="X287" s="89">
        <v>44459</v>
      </c>
      <c r="Y287" s="86" t="s">
        <v>3005</v>
      </c>
      <c r="Z287" s="84" t="str">
        <f>HYPERLINK("https://twitter.com/_h0wling_/status/1439961033905348612")</f>
        <v>https://twitter.com/_h0wling_/status/1439961033905348612</v>
      </c>
      <c r="AA287" s="81"/>
      <c r="AB287" s="81"/>
      <c r="AC287" s="86" t="s">
        <v>4466</v>
      </c>
      <c r="AD287" s="81"/>
      <c r="AE287" s="81" t="b">
        <v>0</v>
      </c>
      <c r="AF287" s="81">
        <v>0</v>
      </c>
      <c r="AG287" s="86" t="s">
        <v>6240</v>
      </c>
      <c r="AH287" s="81" t="b">
        <v>0</v>
      </c>
      <c r="AI287" s="81" t="s">
        <v>6479</v>
      </c>
      <c r="AJ287" s="81"/>
      <c r="AK287" s="86" t="s">
        <v>6240</v>
      </c>
      <c r="AL287" s="81" t="b">
        <v>0</v>
      </c>
      <c r="AM287" s="81">
        <v>10</v>
      </c>
      <c r="AN287" s="86" t="s">
        <v>4618</v>
      </c>
      <c r="AO287" s="86" t="s">
        <v>6503</v>
      </c>
      <c r="AP287" s="81" t="b">
        <v>0</v>
      </c>
      <c r="AQ287" s="86" t="s">
        <v>4618</v>
      </c>
      <c r="AR287" s="81" t="s">
        <v>179</v>
      </c>
      <c r="AS287" s="81">
        <v>0</v>
      </c>
      <c r="AT287" s="81">
        <v>0</v>
      </c>
      <c r="AU287" s="81"/>
      <c r="AV287" s="81"/>
      <c r="AW287" s="81"/>
      <c r="AX287" s="81"/>
      <c r="AY287" s="81"/>
      <c r="AZ287" s="81"/>
      <c r="BA287" s="81"/>
      <c r="BB287" s="81"/>
    </row>
    <row r="288" spans="1:54" x14ac:dyDescent="0.35">
      <c r="A288" s="66" t="s">
        <v>448</v>
      </c>
      <c r="B288" s="66" t="s">
        <v>1308</v>
      </c>
      <c r="C288" s="67"/>
      <c r="D288" s="68"/>
      <c r="E288" s="69"/>
      <c r="F288" s="70"/>
      <c r="G288" s="67"/>
      <c r="H288" s="71"/>
      <c r="I288" s="72"/>
      <c r="J288" s="72"/>
      <c r="K288" s="36"/>
      <c r="L288" s="79"/>
      <c r="M288" s="79"/>
      <c r="N288" s="74"/>
      <c r="O288" s="81" t="s">
        <v>1534</v>
      </c>
      <c r="P288" s="83">
        <v>44459.608020833337</v>
      </c>
      <c r="Q288" s="81" t="s">
        <v>1656</v>
      </c>
      <c r="R288" s="81"/>
      <c r="S288" s="81"/>
      <c r="T288" s="81"/>
      <c r="U288" s="81"/>
      <c r="V288" s="84" t="str">
        <f>HYPERLINK("https://pbs.twimg.com/profile_images/1440620803310047233/5UPA2qf8_normal.jpg")</f>
        <v>https://pbs.twimg.com/profile_images/1440620803310047233/5UPA2qf8_normal.jpg</v>
      </c>
      <c r="W288" s="83">
        <v>44459.608020833337</v>
      </c>
      <c r="X288" s="89">
        <v>44459</v>
      </c>
      <c r="Y288" s="86" t="s">
        <v>3006</v>
      </c>
      <c r="Z288" s="84" t="str">
        <f>HYPERLINK("https://twitter.com/aimonogatari_/status/1439961434125783044")</f>
        <v>https://twitter.com/aimonogatari_/status/1439961434125783044</v>
      </c>
      <c r="AA288" s="81"/>
      <c r="AB288" s="81"/>
      <c r="AC288" s="86" t="s">
        <v>4467</v>
      </c>
      <c r="AD288" s="86" t="s">
        <v>6012</v>
      </c>
      <c r="AE288" s="81" t="b">
        <v>0</v>
      </c>
      <c r="AF288" s="81">
        <v>0</v>
      </c>
      <c r="AG288" s="86" t="s">
        <v>6280</v>
      </c>
      <c r="AH288" s="81" t="b">
        <v>0</v>
      </c>
      <c r="AI288" s="81" t="s">
        <v>6478</v>
      </c>
      <c r="AJ288" s="81"/>
      <c r="AK288" s="86" t="s">
        <v>6240</v>
      </c>
      <c r="AL288" s="81" t="b">
        <v>0</v>
      </c>
      <c r="AM288" s="81">
        <v>0</v>
      </c>
      <c r="AN288" s="86" t="s">
        <v>6240</v>
      </c>
      <c r="AO288" s="86" t="s">
        <v>6503</v>
      </c>
      <c r="AP288" s="81" t="b">
        <v>0</v>
      </c>
      <c r="AQ288" s="86" t="s">
        <v>6012</v>
      </c>
      <c r="AR288" s="81" t="s">
        <v>179</v>
      </c>
      <c r="AS288" s="81">
        <v>0</v>
      </c>
      <c r="AT288" s="81">
        <v>0</v>
      </c>
      <c r="AU288" s="81"/>
      <c r="AV288" s="81"/>
      <c r="AW288" s="81"/>
      <c r="AX288" s="81"/>
      <c r="AY288" s="81"/>
      <c r="AZ288" s="81"/>
      <c r="BA288" s="81"/>
      <c r="BB288" s="81"/>
    </row>
    <row r="289" spans="1:54" x14ac:dyDescent="0.35">
      <c r="A289" s="66" t="s">
        <v>449</v>
      </c>
      <c r="B289" s="66" t="s">
        <v>1272</v>
      </c>
      <c r="C289" s="67"/>
      <c r="D289" s="68"/>
      <c r="E289" s="69"/>
      <c r="F289" s="70"/>
      <c r="G289" s="67"/>
      <c r="H289" s="71"/>
      <c r="I289" s="72"/>
      <c r="J289" s="72"/>
      <c r="K289" s="36"/>
      <c r="L289" s="79"/>
      <c r="M289" s="79"/>
      <c r="N289" s="74"/>
      <c r="O289" s="81" t="s">
        <v>1533</v>
      </c>
      <c r="P289" s="83">
        <v>44459.60837962963</v>
      </c>
      <c r="Q289" s="81" t="s">
        <v>1536</v>
      </c>
      <c r="R289" s="81"/>
      <c r="S289" s="81"/>
      <c r="T289" s="86" t="s">
        <v>2656</v>
      </c>
      <c r="U289" s="84" t="str">
        <f>HYPERLINK("https://pbs.twimg.com/media/E_X1zlwVIAES6Ks.jpg")</f>
        <v>https://pbs.twimg.com/media/E_X1zlwVIAES6Ks.jpg</v>
      </c>
      <c r="V289" s="84" t="str">
        <f>HYPERLINK("https://pbs.twimg.com/media/E_X1zlwVIAES6Ks.jpg")</f>
        <v>https://pbs.twimg.com/media/E_X1zlwVIAES6Ks.jpg</v>
      </c>
      <c r="W289" s="83">
        <v>44459.60837962963</v>
      </c>
      <c r="X289" s="89">
        <v>44459</v>
      </c>
      <c r="Y289" s="86" t="s">
        <v>3007</v>
      </c>
      <c r="Z289" s="84" t="str">
        <f>HYPERLINK("https://twitter.com/abdulre26789541/status/1439961564107481099")</f>
        <v>https://twitter.com/abdulre26789541/status/1439961564107481099</v>
      </c>
      <c r="AA289" s="81"/>
      <c r="AB289" s="81"/>
      <c r="AC289" s="86" t="s">
        <v>4468</v>
      </c>
      <c r="AD289" s="81"/>
      <c r="AE289" s="81" t="b">
        <v>0</v>
      </c>
      <c r="AF289" s="81">
        <v>0</v>
      </c>
      <c r="AG289" s="86" t="s">
        <v>6240</v>
      </c>
      <c r="AH289" s="81" t="b">
        <v>0</v>
      </c>
      <c r="AI289" s="81" t="s">
        <v>6478</v>
      </c>
      <c r="AJ289" s="81"/>
      <c r="AK289" s="86" t="s">
        <v>6240</v>
      </c>
      <c r="AL289" s="81" t="b">
        <v>0</v>
      </c>
      <c r="AM289" s="81">
        <v>61</v>
      </c>
      <c r="AN289" s="86" t="s">
        <v>4550</v>
      </c>
      <c r="AO289" s="86" t="s">
        <v>6503</v>
      </c>
      <c r="AP289" s="81" t="b">
        <v>0</v>
      </c>
      <c r="AQ289" s="86" t="s">
        <v>4550</v>
      </c>
      <c r="AR289" s="81" t="s">
        <v>179</v>
      </c>
      <c r="AS289" s="81">
        <v>0</v>
      </c>
      <c r="AT289" s="81">
        <v>0</v>
      </c>
      <c r="AU289" s="81"/>
      <c r="AV289" s="81"/>
      <c r="AW289" s="81"/>
      <c r="AX289" s="81"/>
      <c r="AY289" s="81"/>
      <c r="AZ289" s="81"/>
      <c r="BA289" s="81"/>
      <c r="BB289" s="81"/>
    </row>
    <row r="290" spans="1:54" x14ac:dyDescent="0.35">
      <c r="A290" s="66" t="s">
        <v>449</v>
      </c>
      <c r="B290" s="66" t="s">
        <v>526</v>
      </c>
      <c r="C290" s="67"/>
      <c r="D290" s="68"/>
      <c r="E290" s="69"/>
      <c r="F290" s="70"/>
      <c r="G290" s="67"/>
      <c r="H290" s="71"/>
      <c r="I290" s="72"/>
      <c r="J290" s="72"/>
      <c r="K290" s="36"/>
      <c r="L290" s="79"/>
      <c r="M290" s="79"/>
      <c r="N290" s="74"/>
      <c r="O290" s="81" t="s">
        <v>1532</v>
      </c>
      <c r="P290" s="83">
        <v>44459.60837962963</v>
      </c>
      <c r="Q290" s="81" t="s">
        <v>1536</v>
      </c>
      <c r="R290" s="81"/>
      <c r="S290" s="81"/>
      <c r="T290" s="86" t="s">
        <v>2656</v>
      </c>
      <c r="U290" s="84" t="str">
        <f>HYPERLINK("https://pbs.twimg.com/media/E_X1zlwVIAES6Ks.jpg")</f>
        <v>https://pbs.twimg.com/media/E_X1zlwVIAES6Ks.jpg</v>
      </c>
      <c r="V290" s="84" t="str">
        <f>HYPERLINK("https://pbs.twimg.com/media/E_X1zlwVIAES6Ks.jpg")</f>
        <v>https://pbs.twimg.com/media/E_X1zlwVIAES6Ks.jpg</v>
      </c>
      <c r="W290" s="83">
        <v>44459.60837962963</v>
      </c>
      <c r="X290" s="89">
        <v>44459</v>
      </c>
      <c r="Y290" s="86" t="s">
        <v>3007</v>
      </c>
      <c r="Z290" s="84" t="str">
        <f>HYPERLINK("https://twitter.com/abdulre26789541/status/1439961564107481099")</f>
        <v>https://twitter.com/abdulre26789541/status/1439961564107481099</v>
      </c>
      <c r="AA290" s="81"/>
      <c r="AB290" s="81"/>
      <c r="AC290" s="86" t="s">
        <v>4468</v>
      </c>
      <c r="AD290" s="81"/>
      <c r="AE290" s="81" t="b">
        <v>0</v>
      </c>
      <c r="AF290" s="81">
        <v>0</v>
      </c>
      <c r="AG290" s="86" t="s">
        <v>6240</v>
      </c>
      <c r="AH290" s="81" t="b">
        <v>0</v>
      </c>
      <c r="AI290" s="81" t="s">
        <v>6478</v>
      </c>
      <c r="AJ290" s="81"/>
      <c r="AK290" s="86" t="s">
        <v>6240</v>
      </c>
      <c r="AL290" s="81" t="b">
        <v>0</v>
      </c>
      <c r="AM290" s="81">
        <v>61</v>
      </c>
      <c r="AN290" s="86" t="s">
        <v>4550</v>
      </c>
      <c r="AO290" s="86" t="s">
        <v>6503</v>
      </c>
      <c r="AP290" s="81" t="b">
        <v>0</v>
      </c>
      <c r="AQ290" s="86" t="s">
        <v>4550</v>
      </c>
      <c r="AR290" s="81" t="s">
        <v>179</v>
      </c>
      <c r="AS290" s="81">
        <v>0</v>
      </c>
      <c r="AT290" s="81">
        <v>0</v>
      </c>
      <c r="AU290" s="81"/>
      <c r="AV290" s="81"/>
      <c r="AW290" s="81"/>
      <c r="AX290" s="81"/>
      <c r="AY290" s="81"/>
      <c r="AZ290" s="81"/>
      <c r="BA290" s="81"/>
      <c r="BB290" s="81"/>
    </row>
    <row r="291" spans="1:54" x14ac:dyDescent="0.35">
      <c r="A291" s="66" t="s">
        <v>450</v>
      </c>
      <c r="B291" s="66" t="s">
        <v>1272</v>
      </c>
      <c r="C291" s="67"/>
      <c r="D291" s="68"/>
      <c r="E291" s="69"/>
      <c r="F291" s="70"/>
      <c r="G291" s="67"/>
      <c r="H291" s="71"/>
      <c r="I291" s="72"/>
      <c r="J291" s="72"/>
      <c r="K291" s="36"/>
      <c r="L291" s="79"/>
      <c r="M291" s="79"/>
      <c r="N291" s="74"/>
      <c r="O291" s="81" t="s">
        <v>1533</v>
      </c>
      <c r="P291" s="83">
        <v>44459.622233796297</v>
      </c>
      <c r="Q291" s="81" t="s">
        <v>1536</v>
      </c>
      <c r="R291" s="81"/>
      <c r="S291" s="81"/>
      <c r="T291" s="86" t="s">
        <v>2656</v>
      </c>
      <c r="U291" s="84" t="str">
        <f>HYPERLINK("https://pbs.twimg.com/media/E_X1zlwVIAES6Ks.jpg")</f>
        <v>https://pbs.twimg.com/media/E_X1zlwVIAES6Ks.jpg</v>
      </c>
      <c r="V291" s="84" t="str">
        <f>HYPERLINK("https://pbs.twimg.com/media/E_X1zlwVIAES6Ks.jpg")</f>
        <v>https://pbs.twimg.com/media/E_X1zlwVIAES6Ks.jpg</v>
      </c>
      <c r="W291" s="83">
        <v>44459.622233796297</v>
      </c>
      <c r="X291" s="89">
        <v>44459</v>
      </c>
      <c r="Y291" s="86" t="s">
        <v>3008</v>
      </c>
      <c r="Z291" s="84" t="str">
        <f>HYPERLINK("https://twitter.com/parvinabasi/status/1439966583435108352")</f>
        <v>https://twitter.com/parvinabasi/status/1439966583435108352</v>
      </c>
      <c r="AA291" s="81"/>
      <c r="AB291" s="81"/>
      <c r="AC291" s="86" t="s">
        <v>4469</v>
      </c>
      <c r="AD291" s="81"/>
      <c r="AE291" s="81" t="b">
        <v>0</v>
      </c>
      <c r="AF291" s="81">
        <v>0</v>
      </c>
      <c r="AG291" s="86" t="s">
        <v>6240</v>
      </c>
      <c r="AH291" s="81" t="b">
        <v>0</v>
      </c>
      <c r="AI291" s="81" t="s">
        <v>6478</v>
      </c>
      <c r="AJ291" s="81"/>
      <c r="AK291" s="86" t="s">
        <v>6240</v>
      </c>
      <c r="AL291" s="81" t="b">
        <v>0</v>
      </c>
      <c r="AM291" s="81">
        <v>61</v>
      </c>
      <c r="AN291" s="86" t="s">
        <v>4550</v>
      </c>
      <c r="AO291" s="86" t="s">
        <v>6507</v>
      </c>
      <c r="AP291" s="81" t="b">
        <v>0</v>
      </c>
      <c r="AQ291" s="86" t="s">
        <v>4550</v>
      </c>
      <c r="AR291" s="81" t="s">
        <v>179</v>
      </c>
      <c r="AS291" s="81">
        <v>0</v>
      </c>
      <c r="AT291" s="81">
        <v>0</v>
      </c>
      <c r="AU291" s="81"/>
      <c r="AV291" s="81"/>
      <c r="AW291" s="81"/>
      <c r="AX291" s="81"/>
      <c r="AY291" s="81"/>
      <c r="AZ291" s="81"/>
      <c r="BA291" s="81"/>
      <c r="BB291" s="81"/>
    </row>
    <row r="292" spans="1:54" x14ac:dyDescent="0.35">
      <c r="A292" s="66" t="s">
        <v>450</v>
      </c>
      <c r="B292" s="66" t="s">
        <v>526</v>
      </c>
      <c r="C292" s="67"/>
      <c r="D292" s="68"/>
      <c r="E292" s="69"/>
      <c r="F292" s="70"/>
      <c r="G292" s="67"/>
      <c r="H292" s="71"/>
      <c r="I292" s="72"/>
      <c r="J292" s="72"/>
      <c r="K292" s="36"/>
      <c r="L292" s="79"/>
      <c r="M292" s="79"/>
      <c r="N292" s="74"/>
      <c r="O292" s="81" t="s">
        <v>1532</v>
      </c>
      <c r="P292" s="83">
        <v>44459.622233796297</v>
      </c>
      <c r="Q292" s="81" t="s">
        <v>1536</v>
      </c>
      <c r="R292" s="81"/>
      <c r="S292" s="81"/>
      <c r="T292" s="86" t="s">
        <v>2656</v>
      </c>
      <c r="U292" s="84" t="str">
        <f>HYPERLINK("https://pbs.twimg.com/media/E_X1zlwVIAES6Ks.jpg")</f>
        <v>https://pbs.twimg.com/media/E_X1zlwVIAES6Ks.jpg</v>
      </c>
      <c r="V292" s="84" t="str">
        <f>HYPERLINK("https://pbs.twimg.com/media/E_X1zlwVIAES6Ks.jpg")</f>
        <v>https://pbs.twimg.com/media/E_X1zlwVIAES6Ks.jpg</v>
      </c>
      <c r="W292" s="83">
        <v>44459.622233796297</v>
      </c>
      <c r="X292" s="89">
        <v>44459</v>
      </c>
      <c r="Y292" s="86" t="s">
        <v>3008</v>
      </c>
      <c r="Z292" s="84" t="str">
        <f>HYPERLINK("https://twitter.com/parvinabasi/status/1439966583435108352")</f>
        <v>https://twitter.com/parvinabasi/status/1439966583435108352</v>
      </c>
      <c r="AA292" s="81"/>
      <c r="AB292" s="81"/>
      <c r="AC292" s="86" t="s">
        <v>4469</v>
      </c>
      <c r="AD292" s="81"/>
      <c r="AE292" s="81" t="b">
        <v>0</v>
      </c>
      <c r="AF292" s="81">
        <v>0</v>
      </c>
      <c r="AG292" s="86" t="s">
        <v>6240</v>
      </c>
      <c r="AH292" s="81" t="b">
        <v>0</v>
      </c>
      <c r="AI292" s="81" t="s">
        <v>6478</v>
      </c>
      <c r="AJ292" s="81"/>
      <c r="AK292" s="86" t="s">
        <v>6240</v>
      </c>
      <c r="AL292" s="81" t="b">
        <v>0</v>
      </c>
      <c r="AM292" s="81">
        <v>61</v>
      </c>
      <c r="AN292" s="86" t="s">
        <v>4550</v>
      </c>
      <c r="AO292" s="86" t="s">
        <v>6507</v>
      </c>
      <c r="AP292" s="81" t="b">
        <v>0</v>
      </c>
      <c r="AQ292" s="86" t="s">
        <v>4550</v>
      </c>
      <c r="AR292" s="81" t="s">
        <v>179</v>
      </c>
      <c r="AS292" s="81">
        <v>0</v>
      </c>
      <c r="AT292" s="81">
        <v>0</v>
      </c>
      <c r="AU292" s="81"/>
      <c r="AV292" s="81"/>
      <c r="AW292" s="81"/>
      <c r="AX292" s="81"/>
      <c r="AY292" s="81"/>
      <c r="AZ292" s="81"/>
      <c r="BA292" s="81"/>
      <c r="BB292" s="81"/>
    </row>
    <row r="293" spans="1:54" x14ac:dyDescent="0.35">
      <c r="A293" s="66" t="s">
        <v>451</v>
      </c>
      <c r="B293" s="66" t="s">
        <v>451</v>
      </c>
      <c r="C293" s="67"/>
      <c r="D293" s="68"/>
      <c r="E293" s="69"/>
      <c r="F293" s="70"/>
      <c r="G293" s="67"/>
      <c r="H293" s="71"/>
      <c r="I293" s="72"/>
      <c r="J293" s="72"/>
      <c r="K293" s="36"/>
      <c r="L293" s="79"/>
      <c r="M293" s="79"/>
      <c r="N293" s="74"/>
      <c r="O293" s="81" t="s">
        <v>179</v>
      </c>
      <c r="P293" s="83">
        <v>44459.623287037037</v>
      </c>
      <c r="Q293" s="81" t="s">
        <v>1657</v>
      </c>
      <c r="R293" s="81"/>
      <c r="S293" s="81"/>
      <c r="T293" s="81"/>
      <c r="U293" s="81"/>
      <c r="V293" s="84" t="str">
        <f>HYPERLINK("https://pbs.twimg.com/profile_images/1377225506848825348/h1B8yUdP_normal.jpg")</f>
        <v>https://pbs.twimg.com/profile_images/1377225506848825348/h1B8yUdP_normal.jpg</v>
      </c>
      <c r="W293" s="83">
        <v>44459.623287037037</v>
      </c>
      <c r="X293" s="89">
        <v>44459</v>
      </c>
      <c r="Y293" s="86" t="s">
        <v>3009</v>
      </c>
      <c r="Z293" s="84" t="str">
        <f>HYPERLINK("https://twitter.com/cranberiesh/status/1439966963652956161")</f>
        <v>https://twitter.com/cranberiesh/status/1439966963652956161</v>
      </c>
      <c r="AA293" s="81"/>
      <c r="AB293" s="81"/>
      <c r="AC293" s="86" t="s">
        <v>4470</v>
      </c>
      <c r="AD293" s="81"/>
      <c r="AE293" s="81" t="b">
        <v>0</v>
      </c>
      <c r="AF293" s="81">
        <v>0</v>
      </c>
      <c r="AG293" s="86" t="s">
        <v>6240</v>
      </c>
      <c r="AH293" s="81" t="b">
        <v>0</v>
      </c>
      <c r="AI293" s="81" t="s">
        <v>6478</v>
      </c>
      <c r="AJ293" s="81"/>
      <c r="AK293" s="86" t="s">
        <v>6240</v>
      </c>
      <c r="AL293" s="81" t="b">
        <v>0</v>
      </c>
      <c r="AM293" s="81">
        <v>0</v>
      </c>
      <c r="AN293" s="86" t="s">
        <v>6240</v>
      </c>
      <c r="AO293" s="86" t="s">
        <v>6505</v>
      </c>
      <c r="AP293" s="81" t="b">
        <v>0</v>
      </c>
      <c r="AQ293" s="86" t="s">
        <v>4470</v>
      </c>
      <c r="AR293" s="81" t="s">
        <v>179</v>
      </c>
      <c r="AS293" s="81">
        <v>0</v>
      </c>
      <c r="AT293" s="81">
        <v>0</v>
      </c>
      <c r="AU293" s="81"/>
      <c r="AV293" s="81"/>
      <c r="AW293" s="81"/>
      <c r="AX293" s="81"/>
      <c r="AY293" s="81"/>
      <c r="AZ293" s="81"/>
      <c r="BA293" s="81"/>
      <c r="BB293" s="81"/>
    </row>
    <row r="294" spans="1:54" x14ac:dyDescent="0.35">
      <c r="A294" s="66" t="s">
        <v>452</v>
      </c>
      <c r="B294" s="66" t="s">
        <v>581</v>
      </c>
      <c r="C294" s="67"/>
      <c r="D294" s="68"/>
      <c r="E294" s="69"/>
      <c r="F294" s="70"/>
      <c r="G294" s="67"/>
      <c r="H294" s="71"/>
      <c r="I294" s="72"/>
      <c r="J294" s="72"/>
      <c r="K294" s="36"/>
      <c r="L294" s="79"/>
      <c r="M294" s="79"/>
      <c r="N294" s="74"/>
      <c r="O294" s="81" t="s">
        <v>1532</v>
      </c>
      <c r="P294" s="83">
        <v>44459.625763888886</v>
      </c>
      <c r="Q294" s="81" t="s">
        <v>1655</v>
      </c>
      <c r="R294" s="81"/>
      <c r="S294" s="81"/>
      <c r="T294" s="86" t="s">
        <v>2667</v>
      </c>
      <c r="U294" s="84" t="str">
        <f>HYPERLINK("https://pbs.twimg.com/media/E_vEDNvVIAkAnBd.jpg")</f>
        <v>https://pbs.twimg.com/media/E_vEDNvVIAkAnBd.jpg</v>
      </c>
      <c r="V294" s="84" t="str">
        <f>HYPERLINK("https://pbs.twimg.com/media/E_vEDNvVIAkAnBd.jpg")</f>
        <v>https://pbs.twimg.com/media/E_vEDNvVIAkAnBd.jpg</v>
      </c>
      <c r="W294" s="83">
        <v>44459.625763888886</v>
      </c>
      <c r="X294" s="89">
        <v>44459</v>
      </c>
      <c r="Y294" s="86" t="s">
        <v>3010</v>
      </c>
      <c r="Z294" s="84" t="str">
        <f>HYPERLINK("https://twitter.com/leenoninxx/status/1439967863050096648")</f>
        <v>https://twitter.com/leenoninxx/status/1439967863050096648</v>
      </c>
      <c r="AA294" s="81"/>
      <c r="AB294" s="81"/>
      <c r="AC294" s="86" t="s">
        <v>4471</v>
      </c>
      <c r="AD294" s="81"/>
      <c r="AE294" s="81" t="b">
        <v>0</v>
      </c>
      <c r="AF294" s="81">
        <v>0</v>
      </c>
      <c r="AG294" s="86" t="s">
        <v>6240</v>
      </c>
      <c r="AH294" s="81" t="b">
        <v>0</v>
      </c>
      <c r="AI294" s="81" t="s">
        <v>6479</v>
      </c>
      <c r="AJ294" s="81"/>
      <c r="AK294" s="86" t="s">
        <v>6240</v>
      </c>
      <c r="AL294" s="81" t="b">
        <v>0</v>
      </c>
      <c r="AM294" s="81">
        <v>10</v>
      </c>
      <c r="AN294" s="86" t="s">
        <v>4618</v>
      </c>
      <c r="AO294" s="86" t="s">
        <v>6505</v>
      </c>
      <c r="AP294" s="81" t="b">
        <v>0</v>
      </c>
      <c r="AQ294" s="86" t="s">
        <v>4618</v>
      </c>
      <c r="AR294" s="81" t="s">
        <v>179</v>
      </c>
      <c r="AS294" s="81">
        <v>0</v>
      </c>
      <c r="AT294" s="81">
        <v>0</v>
      </c>
      <c r="AU294" s="81"/>
      <c r="AV294" s="81"/>
      <c r="AW294" s="81"/>
      <c r="AX294" s="81"/>
      <c r="AY294" s="81"/>
      <c r="AZ294" s="81"/>
      <c r="BA294" s="81"/>
      <c r="BB294" s="81"/>
    </row>
    <row r="295" spans="1:54" x14ac:dyDescent="0.35">
      <c r="A295" s="66" t="s">
        <v>453</v>
      </c>
      <c r="B295" s="66" t="s">
        <v>581</v>
      </c>
      <c r="C295" s="67"/>
      <c r="D295" s="68"/>
      <c r="E295" s="69"/>
      <c r="F295" s="70"/>
      <c r="G295" s="67"/>
      <c r="H295" s="71"/>
      <c r="I295" s="72"/>
      <c r="J295" s="72"/>
      <c r="K295" s="36"/>
      <c r="L295" s="79"/>
      <c r="M295" s="79"/>
      <c r="N295" s="74"/>
      <c r="O295" s="81" t="s">
        <v>1532</v>
      </c>
      <c r="P295" s="83">
        <v>44459.625787037039</v>
      </c>
      <c r="Q295" s="81" t="s">
        <v>1655</v>
      </c>
      <c r="R295" s="81"/>
      <c r="S295" s="81"/>
      <c r="T295" s="86" t="s">
        <v>2667</v>
      </c>
      <c r="U295" s="84" t="str">
        <f>HYPERLINK("https://pbs.twimg.com/media/E_vEDNvVIAkAnBd.jpg")</f>
        <v>https://pbs.twimg.com/media/E_vEDNvVIAkAnBd.jpg</v>
      </c>
      <c r="V295" s="84" t="str">
        <f>HYPERLINK("https://pbs.twimg.com/media/E_vEDNvVIAkAnBd.jpg")</f>
        <v>https://pbs.twimg.com/media/E_vEDNvVIAkAnBd.jpg</v>
      </c>
      <c r="W295" s="83">
        <v>44459.625787037039</v>
      </c>
      <c r="X295" s="89">
        <v>44459</v>
      </c>
      <c r="Y295" s="86" t="s">
        <v>3011</v>
      </c>
      <c r="Z295" s="84" t="str">
        <f>HYPERLINK("https://twitter.com/stayeri1/status/1439967872265064451")</f>
        <v>https://twitter.com/stayeri1/status/1439967872265064451</v>
      </c>
      <c r="AA295" s="81"/>
      <c r="AB295" s="81"/>
      <c r="AC295" s="86" t="s">
        <v>4472</v>
      </c>
      <c r="AD295" s="81"/>
      <c r="AE295" s="81" t="b">
        <v>0</v>
      </c>
      <c r="AF295" s="81">
        <v>0</v>
      </c>
      <c r="AG295" s="86" t="s">
        <v>6240</v>
      </c>
      <c r="AH295" s="81" t="b">
        <v>0</v>
      </c>
      <c r="AI295" s="81" t="s">
        <v>6479</v>
      </c>
      <c r="AJ295" s="81"/>
      <c r="AK295" s="86" t="s">
        <v>6240</v>
      </c>
      <c r="AL295" s="81" t="b">
        <v>0</v>
      </c>
      <c r="AM295" s="81">
        <v>10</v>
      </c>
      <c r="AN295" s="86" t="s">
        <v>4618</v>
      </c>
      <c r="AO295" s="86" t="s">
        <v>6503</v>
      </c>
      <c r="AP295" s="81" t="b">
        <v>0</v>
      </c>
      <c r="AQ295" s="86" t="s">
        <v>4618</v>
      </c>
      <c r="AR295" s="81" t="s">
        <v>179</v>
      </c>
      <c r="AS295" s="81">
        <v>0</v>
      </c>
      <c r="AT295" s="81">
        <v>0</v>
      </c>
      <c r="AU295" s="81"/>
      <c r="AV295" s="81"/>
      <c r="AW295" s="81"/>
      <c r="AX295" s="81"/>
      <c r="AY295" s="81"/>
      <c r="AZ295" s="81"/>
      <c r="BA295" s="81"/>
      <c r="BB295" s="81"/>
    </row>
    <row r="296" spans="1:54" x14ac:dyDescent="0.35">
      <c r="A296" s="66" t="s">
        <v>454</v>
      </c>
      <c r="B296" s="66" t="s">
        <v>335</v>
      </c>
      <c r="C296" s="67"/>
      <c r="D296" s="68"/>
      <c r="E296" s="69"/>
      <c r="F296" s="70"/>
      <c r="G296" s="67"/>
      <c r="H296" s="71"/>
      <c r="I296" s="72"/>
      <c r="J296" s="72"/>
      <c r="K296" s="36"/>
      <c r="L296" s="79"/>
      <c r="M296" s="79"/>
      <c r="N296" s="74"/>
      <c r="O296" s="81" t="s">
        <v>1532</v>
      </c>
      <c r="P296" s="83">
        <v>44459.627222222225</v>
      </c>
      <c r="Q296" s="81" t="s">
        <v>1586</v>
      </c>
      <c r="R296" s="81"/>
      <c r="S296" s="81"/>
      <c r="T296" s="81"/>
      <c r="U296" s="84" t="str">
        <f>HYPERLINK("https://pbs.twimg.com/ext_tw_video_thumb/1439603623520993285/pu/img/4NCBVhjvbYSKxAvX.jpg")</f>
        <v>https://pbs.twimg.com/ext_tw_video_thumb/1439603623520993285/pu/img/4NCBVhjvbYSKxAvX.jpg</v>
      </c>
      <c r="V296" s="84" t="str">
        <f>HYPERLINK("https://pbs.twimg.com/ext_tw_video_thumb/1439603623520993285/pu/img/4NCBVhjvbYSKxAvX.jpg")</f>
        <v>https://pbs.twimg.com/ext_tw_video_thumb/1439603623520993285/pu/img/4NCBVhjvbYSKxAvX.jpg</v>
      </c>
      <c r="W296" s="83">
        <v>44459.627222222225</v>
      </c>
      <c r="X296" s="89">
        <v>44459</v>
      </c>
      <c r="Y296" s="86" t="s">
        <v>3012</v>
      </c>
      <c r="Z296" s="84" t="str">
        <f>HYPERLINK("https://twitter.com/alikmrdnn/status/1439968390882287619")</f>
        <v>https://twitter.com/alikmrdnn/status/1439968390882287619</v>
      </c>
      <c r="AA296" s="81"/>
      <c r="AB296" s="81"/>
      <c r="AC296" s="86" t="s">
        <v>4473</v>
      </c>
      <c r="AD296" s="81"/>
      <c r="AE296" s="81" t="b">
        <v>0</v>
      </c>
      <c r="AF296" s="81">
        <v>0</v>
      </c>
      <c r="AG296" s="86" t="s">
        <v>6240</v>
      </c>
      <c r="AH296" s="81" t="b">
        <v>0</v>
      </c>
      <c r="AI296" s="81" t="s">
        <v>6478</v>
      </c>
      <c r="AJ296" s="81"/>
      <c r="AK296" s="86" t="s">
        <v>6240</v>
      </c>
      <c r="AL296" s="81" t="b">
        <v>0</v>
      </c>
      <c r="AM296" s="81">
        <v>102</v>
      </c>
      <c r="AN296" s="86" t="s">
        <v>4519</v>
      </c>
      <c r="AO296" s="86" t="s">
        <v>6505</v>
      </c>
      <c r="AP296" s="81" t="b">
        <v>0</v>
      </c>
      <c r="AQ296" s="86" t="s">
        <v>4519</v>
      </c>
      <c r="AR296" s="81" t="s">
        <v>179</v>
      </c>
      <c r="AS296" s="81">
        <v>0</v>
      </c>
      <c r="AT296" s="81">
        <v>0</v>
      </c>
      <c r="AU296" s="81"/>
      <c r="AV296" s="81"/>
      <c r="AW296" s="81"/>
      <c r="AX296" s="81"/>
      <c r="AY296" s="81"/>
      <c r="AZ296" s="81"/>
      <c r="BA296" s="81"/>
      <c r="BB296" s="81"/>
    </row>
    <row r="297" spans="1:54" x14ac:dyDescent="0.35">
      <c r="A297" s="66" t="s">
        <v>455</v>
      </c>
      <c r="B297" s="66" t="s">
        <v>1309</v>
      </c>
      <c r="C297" s="67"/>
      <c r="D297" s="68"/>
      <c r="E297" s="69"/>
      <c r="F297" s="70"/>
      <c r="G297" s="67"/>
      <c r="H297" s="71"/>
      <c r="I297" s="72"/>
      <c r="J297" s="72"/>
      <c r="K297" s="36"/>
      <c r="L297" s="79"/>
      <c r="M297" s="79"/>
      <c r="N297" s="74"/>
      <c r="O297" s="81" t="s">
        <v>1534</v>
      </c>
      <c r="P297" s="83">
        <v>44458.423842592594</v>
      </c>
      <c r="Q297" s="81" t="s">
        <v>1658</v>
      </c>
      <c r="R297" s="81"/>
      <c r="S297" s="81"/>
      <c r="T297" s="81"/>
      <c r="U297" s="81"/>
      <c r="V297" s="84" t="str">
        <f>HYPERLINK("https://pbs.twimg.com/profile_images/780659330676731905/wcQ_XcYe_normal.jpg")</f>
        <v>https://pbs.twimg.com/profile_images/780659330676731905/wcQ_XcYe_normal.jpg</v>
      </c>
      <c r="W297" s="83">
        <v>44458.423842592594</v>
      </c>
      <c r="X297" s="89">
        <v>44458</v>
      </c>
      <c r="Y297" s="86" t="s">
        <v>3013</v>
      </c>
      <c r="Z297" s="84" t="str">
        <f>HYPERLINK("https://twitter.com/pln_123/status/1439532303114399752")</f>
        <v>https://twitter.com/pln_123/status/1439532303114399752</v>
      </c>
      <c r="AA297" s="81"/>
      <c r="AB297" s="81"/>
      <c r="AC297" s="86" t="s">
        <v>4474</v>
      </c>
      <c r="AD297" s="86" t="s">
        <v>6013</v>
      </c>
      <c r="AE297" s="81" t="b">
        <v>0</v>
      </c>
      <c r="AF297" s="81">
        <v>0</v>
      </c>
      <c r="AG297" s="86" t="s">
        <v>6281</v>
      </c>
      <c r="AH297" s="81" t="b">
        <v>0</v>
      </c>
      <c r="AI297" s="81" t="s">
        <v>6478</v>
      </c>
      <c r="AJ297" s="81"/>
      <c r="AK297" s="86" t="s">
        <v>6240</v>
      </c>
      <c r="AL297" s="81" t="b">
        <v>0</v>
      </c>
      <c r="AM297" s="81">
        <v>0</v>
      </c>
      <c r="AN297" s="86" t="s">
        <v>6240</v>
      </c>
      <c r="AO297" s="86" t="s">
        <v>6514</v>
      </c>
      <c r="AP297" s="81" t="b">
        <v>0</v>
      </c>
      <c r="AQ297" s="86" t="s">
        <v>6013</v>
      </c>
      <c r="AR297" s="81" t="s">
        <v>179</v>
      </c>
      <c r="AS297" s="81">
        <v>0</v>
      </c>
      <c r="AT297" s="81">
        <v>0</v>
      </c>
      <c r="AU297" s="81"/>
      <c r="AV297" s="81"/>
      <c r="AW297" s="81"/>
      <c r="AX297" s="81"/>
      <c r="AY297" s="81"/>
      <c r="AZ297" s="81"/>
      <c r="BA297" s="81"/>
      <c r="BB297" s="81"/>
    </row>
    <row r="298" spans="1:54" x14ac:dyDescent="0.35">
      <c r="A298" s="66" t="s">
        <v>455</v>
      </c>
      <c r="B298" s="66" t="s">
        <v>1310</v>
      </c>
      <c r="C298" s="67"/>
      <c r="D298" s="68"/>
      <c r="E298" s="69"/>
      <c r="F298" s="70"/>
      <c r="G298" s="67"/>
      <c r="H298" s="71"/>
      <c r="I298" s="72"/>
      <c r="J298" s="72"/>
      <c r="K298" s="36"/>
      <c r="L298" s="79"/>
      <c r="M298" s="79"/>
      <c r="N298" s="74"/>
      <c r="O298" s="81" t="s">
        <v>1535</v>
      </c>
      <c r="P298" s="83">
        <v>44459.637337962966</v>
      </c>
      <c r="Q298" s="81" t="s">
        <v>1659</v>
      </c>
      <c r="R298" s="81"/>
      <c r="S298" s="81"/>
      <c r="T298" s="81"/>
      <c r="U298" s="81"/>
      <c r="V298" s="84" t="str">
        <f>HYPERLINK("https://pbs.twimg.com/profile_images/780659330676731905/wcQ_XcYe_normal.jpg")</f>
        <v>https://pbs.twimg.com/profile_images/780659330676731905/wcQ_XcYe_normal.jpg</v>
      </c>
      <c r="W298" s="83">
        <v>44459.637337962966</v>
      </c>
      <c r="X298" s="89">
        <v>44459</v>
      </c>
      <c r="Y298" s="86" t="s">
        <v>3014</v>
      </c>
      <c r="Z298" s="84" t="str">
        <f>HYPERLINK("https://twitter.com/pln_123/status/1439972056733392901")</f>
        <v>https://twitter.com/pln_123/status/1439972056733392901</v>
      </c>
      <c r="AA298" s="81"/>
      <c r="AB298" s="81"/>
      <c r="AC298" s="86" t="s">
        <v>4475</v>
      </c>
      <c r="AD298" s="86" t="s">
        <v>6014</v>
      </c>
      <c r="AE298" s="81" t="b">
        <v>0</v>
      </c>
      <c r="AF298" s="81">
        <v>0</v>
      </c>
      <c r="AG298" s="86" t="s">
        <v>6282</v>
      </c>
      <c r="AH298" s="81" t="b">
        <v>0</v>
      </c>
      <c r="AI298" s="81" t="s">
        <v>6478</v>
      </c>
      <c r="AJ298" s="81"/>
      <c r="AK298" s="86" t="s">
        <v>6240</v>
      </c>
      <c r="AL298" s="81" t="b">
        <v>0</v>
      </c>
      <c r="AM298" s="81">
        <v>0</v>
      </c>
      <c r="AN298" s="86" t="s">
        <v>6240</v>
      </c>
      <c r="AO298" s="86" t="s">
        <v>6514</v>
      </c>
      <c r="AP298" s="81" t="b">
        <v>0</v>
      </c>
      <c r="AQ298" s="86" t="s">
        <v>6014</v>
      </c>
      <c r="AR298" s="81" t="s">
        <v>179</v>
      </c>
      <c r="AS298" s="81">
        <v>0</v>
      </c>
      <c r="AT298" s="81">
        <v>0</v>
      </c>
      <c r="AU298" s="81"/>
      <c r="AV298" s="81"/>
      <c r="AW298" s="81"/>
      <c r="AX298" s="81"/>
      <c r="AY298" s="81"/>
      <c r="AZ298" s="81"/>
      <c r="BA298" s="81"/>
      <c r="BB298" s="81"/>
    </row>
    <row r="299" spans="1:54" x14ac:dyDescent="0.35">
      <c r="A299" s="66" t="s">
        <v>455</v>
      </c>
      <c r="B299" s="66" t="s">
        <v>1311</v>
      </c>
      <c r="C299" s="67"/>
      <c r="D299" s="68"/>
      <c r="E299" s="69"/>
      <c r="F299" s="70"/>
      <c r="G299" s="67"/>
      <c r="H299" s="71"/>
      <c r="I299" s="72"/>
      <c r="J299" s="72"/>
      <c r="K299" s="36"/>
      <c r="L299" s="79"/>
      <c r="M299" s="79"/>
      <c r="N299" s="74"/>
      <c r="O299" s="81" t="s">
        <v>1534</v>
      </c>
      <c r="P299" s="83">
        <v>44459.637337962966</v>
      </c>
      <c r="Q299" s="81" t="s">
        <v>1659</v>
      </c>
      <c r="R299" s="81"/>
      <c r="S299" s="81"/>
      <c r="T299" s="81"/>
      <c r="U299" s="81"/>
      <c r="V299" s="84" t="str">
        <f>HYPERLINK("https://pbs.twimg.com/profile_images/780659330676731905/wcQ_XcYe_normal.jpg")</f>
        <v>https://pbs.twimg.com/profile_images/780659330676731905/wcQ_XcYe_normal.jpg</v>
      </c>
      <c r="W299" s="83">
        <v>44459.637337962966</v>
      </c>
      <c r="X299" s="89">
        <v>44459</v>
      </c>
      <c r="Y299" s="86" t="s">
        <v>3014</v>
      </c>
      <c r="Z299" s="84" t="str">
        <f>HYPERLINK("https://twitter.com/pln_123/status/1439972056733392901")</f>
        <v>https://twitter.com/pln_123/status/1439972056733392901</v>
      </c>
      <c r="AA299" s="81"/>
      <c r="AB299" s="81"/>
      <c r="AC299" s="86" t="s">
        <v>4475</v>
      </c>
      <c r="AD299" s="86" t="s">
        <v>6014</v>
      </c>
      <c r="AE299" s="81" t="b">
        <v>0</v>
      </c>
      <c r="AF299" s="81">
        <v>0</v>
      </c>
      <c r="AG299" s="86" t="s">
        <v>6282</v>
      </c>
      <c r="AH299" s="81" t="b">
        <v>0</v>
      </c>
      <c r="AI299" s="81" t="s">
        <v>6478</v>
      </c>
      <c r="AJ299" s="81"/>
      <c r="AK299" s="86" t="s">
        <v>6240</v>
      </c>
      <c r="AL299" s="81" t="b">
        <v>0</v>
      </c>
      <c r="AM299" s="81">
        <v>0</v>
      </c>
      <c r="AN299" s="86" t="s">
        <v>6240</v>
      </c>
      <c r="AO299" s="86" t="s">
        <v>6514</v>
      </c>
      <c r="AP299" s="81" t="b">
        <v>0</v>
      </c>
      <c r="AQ299" s="86" t="s">
        <v>6014</v>
      </c>
      <c r="AR299" s="81" t="s">
        <v>179</v>
      </c>
      <c r="AS299" s="81">
        <v>0</v>
      </c>
      <c r="AT299" s="81">
        <v>0</v>
      </c>
      <c r="AU299" s="81"/>
      <c r="AV299" s="81"/>
      <c r="AW299" s="81"/>
      <c r="AX299" s="81"/>
      <c r="AY299" s="81"/>
      <c r="AZ299" s="81"/>
      <c r="BA299" s="81"/>
      <c r="BB299" s="81"/>
    </row>
    <row r="300" spans="1:54" x14ac:dyDescent="0.35">
      <c r="A300" s="66" t="s">
        <v>456</v>
      </c>
      <c r="B300" s="66" t="s">
        <v>1261</v>
      </c>
      <c r="C300" s="67"/>
      <c r="D300" s="68"/>
      <c r="E300" s="69"/>
      <c r="F300" s="70"/>
      <c r="G300" s="67"/>
      <c r="H300" s="71"/>
      <c r="I300" s="72"/>
      <c r="J300" s="72"/>
      <c r="K300" s="36"/>
      <c r="L300" s="79"/>
      <c r="M300" s="79"/>
      <c r="N300" s="74"/>
      <c r="O300" s="81" t="s">
        <v>1532</v>
      </c>
      <c r="P300" s="83">
        <v>44459.641504629632</v>
      </c>
      <c r="Q300" s="81" t="s">
        <v>1653</v>
      </c>
      <c r="R300" s="84" t="str">
        <f>HYPERLINK("https://api.whatsapp.com/send?phone=6281222353823")</f>
        <v>https://api.whatsapp.com/send?phone=6281222353823</v>
      </c>
      <c r="S300" s="81" t="s">
        <v>2597</v>
      </c>
      <c r="T300" s="81"/>
      <c r="U300" s="84" t="str">
        <f>HYPERLINK("https://pbs.twimg.com/media/E_P_XMQWYAUXeaR.jpg")</f>
        <v>https://pbs.twimg.com/media/E_P_XMQWYAUXeaR.jpg</v>
      </c>
      <c r="V300" s="84" t="str">
        <f>HYPERLINK("https://pbs.twimg.com/media/E_P_XMQWYAUXeaR.jpg")</f>
        <v>https://pbs.twimg.com/media/E_P_XMQWYAUXeaR.jpg</v>
      </c>
      <c r="W300" s="83">
        <v>44459.641504629632</v>
      </c>
      <c r="X300" s="89">
        <v>44459</v>
      </c>
      <c r="Y300" s="86" t="s">
        <v>3015</v>
      </c>
      <c r="Z300" s="84" t="str">
        <f>HYPERLINK("https://twitter.com/ivonnnn/status/1439973567370698753")</f>
        <v>https://twitter.com/ivonnnn/status/1439973567370698753</v>
      </c>
      <c r="AA300" s="81"/>
      <c r="AB300" s="81"/>
      <c r="AC300" s="86" t="s">
        <v>4476</v>
      </c>
      <c r="AD300" s="81"/>
      <c r="AE300" s="81" t="b">
        <v>0</v>
      </c>
      <c r="AF300" s="81">
        <v>0</v>
      </c>
      <c r="AG300" s="86" t="s">
        <v>6240</v>
      </c>
      <c r="AH300" s="81" t="b">
        <v>0</v>
      </c>
      <c r="AI300" s="81" t="s">
        <v>6478</v>
      </c>
      <c r="AJ300" s="81"/>
      <c r="AK300" s="86" t="s">
        <v>6240</v>
      </c>
      <c r="AL300" s="81" t="b">
        <v>0</v>
      </c>
      <c r="AM300" s="81">
        <v>49</v>
      </c>
      <c r="AN300" s="86" t="s">
        <v>5526</v>
      </c>
      <c r="AO300" s="86" t="s">
        <v>6503</v>
      </c>
      <c r="AP300" s="81" t="b">
        <v>0</v>
      </c>
      <c r="AQ300" s="86" t="s">
        <v>5526</v>
      </c>
      <c r="AR300" s="81" t="s">
        <v>179</v>
      </c>
      <c r="AS300" s="81">
        <v>0</v>
      </c>
      <c r="AT300" s="81">
        <v>0</v>
      </c>
      <c r="AU300" s="81"/>
      <c r="AV300" s="81"/>
      <c r="AW300" s="81"/>
      <c r="AX300" s="81"/>
      <c r="AY300" s="81"/>
      <c r="AZ300" s="81"/>
      <c r="BA300" s="81"/>
      <c r="BB300" s="81"/>
    </row>
    <row r="301" spans="1:54" x14ac:dyDescent="0.35">
      <c r="A301" s="66" t="s">
        <v>457</v>
      </c>
      <c r="B301" s="66" t="s">
        <v>1312</v>
      </c>
      <c r="C301" s="67"/>
      <c r="D301" s="68"/>
      <c r="E301" s="69"/>
      <c r="F301" s="70"/>
      <c r="G301" s="67"/>
      <c r="H301" s="71"/>
      <c r="I301" s="72"/>
      <c r="J301" s="72"/>
      <c r="K301" s="36"/>
      <c r="L301" s="79"/>
      <c r="M301" s="79"/>
      <c r="N301" s="74"/>
      <c r="O301" s="81" t="s">
        <v>1535</v>
      </c>
      <c r="P301" s="83">
        <v>44459.641805555555</v>
      </c>
      <c r="Q301" s="81" t="s">
        <v>1660</v>
      </c>
      <c r="R301" s="81"/>
      <c r="S301" s="81"/>
      <c r="T301" s="81"/>
      <c r="U301" s="81"/>
      <c r="V301" s="84" t="str">
        <f>HYPERLINK("https://pbs.twimg.com/profile_images/1441328642362019851/kgCuJREq_normal.jpg")</f>
        <v>https://pbs.twimg.com/profile_images/1441328642362019851/kgCuJREq_normal.jpg</v>
      </c>
      <c r="W301" s="83">
        <v>44459.641805555555</v>
      </c>
      <c r="X301" s="89">
        <v>44459</v>
      </c>
      <c r="Y301" s="86" t="s">
        <v>3016</v>
      </c>
      <c r="Z301" s="84" t="str">
        <f>HYPERLINK("https://twitter.com/4v0cado1/status/1439973678049988613")</f>
        <v>https://twitter.com/4v0cado1/status/1439973678049988613</v>
      </c>
      <c r="AA301" s="81"/>
      <c r="AB301" s="81"/>
      <c r="AC301" s="86" t="s">
        <v>4477</v>
      </c>
      <c r="AD301" s="86" t="s">
        <v>6015</v>
      </c>
      <c r="AE301" s="81" t="b">
        <v>0</v>
      </c>
      <c r="AF301" s="81">
        <v>0</v>
      </c>
      <c r="AG301" s="86" t="s">
        <v>6283</v>
      </c>
      <c r="AH301" s="81" t="b">
        <v>0</v>
      </c>
      <c r="AI301" s="81" t="s">
        <v>6478</v>
      </c>
      <c r="AJ301" s="81"/>
      <c r="AK301" s="86" t="s">
        <v>6240</v>
      </c>
      <c r="AL301" s="81" t="b">
        <v>0</v>
      </c>
      <c r="AM301" s="81">
        <v>0</v>
      </c>
      <c r="AN301" s="86" t="s">
        <v>6240</v>
      </c>
      <c r="AO301" s="86" t="s">
        <v>6503</v>
      </c>
      <c r="AP301" s="81" t="b">
        <v>0</v>
      </c>
      <c r="AQ301" s="86" t="s">
        <v>6015</v>
      </c>
      <c r="AR301" s="81" t="s">
        <v>179</v>
      </c>
      <c r="AS301" s="81">
        <v>0</v>
      </c>
      <c r="AT301" s="81">
        <v>0</v>
      </c>
      <c r="AU301" s="81"/>
      <c r="AV301" s="81"/>
      <c r="AW301" s="81"/>
      <c r="AX301" s="81"/>
      <c r="AY301" s="81"/>
      <c r="AZ301" s="81"/>
      <c r="BA301" s="81"/>
      <c r="BB301" s="81"/>
    </row>
    <row r="302" spans="1:54" x14ac:dyDescent="0.35">
      <c r="A302" s="66" t="s">
        <v>457</v>
      </c>
      <c r="B302" s="66" t="s">
        <v>1313</v>
      </c>
      <c r="C302" s="67"/>
      <c r="D302" s="68"/>
      <c r="E302" s="69"/>
      <c r="F302" s="70"/>
      <c r="G302" s="67"/>
      <c r="H302" s="71"/>
      <c r="I302" s="72"/>
      <c r="J302" s="72"/>
      <c r="K302" s="36"/>
      <c r="L302" s="79"/>
      <c r="M302" s="79"/>
      <c r="N302" s="74"/>
      <c r="O302" s="81" t="s">
        <v>1535</v>
      </c>
      <c r="P302" s="83">
        <v>44459.641805555555</v>
      </c>
      <c r="Q302" s="81" t="s">
        <v>1660</v>
      </c>
      <c r="R302" s="81"/>
      <c r="S302" s="81"/>
      <c r="T302" s="81"/>
      <c r="U302" s="81"/>
      <c r="V302" s="84" t="str">
        <f>HYPERLINK("https://pbs.twimg.com/profile_images/1441328642362019851/kgCuJREq_normal.jpg")</f>
        <v>https://pbs.twimg.com/profile_images/1441328642362019851/kgCuJREq_normal.jpg</v>
      </c>
      <c r="W302" s="83">
        <v>44459.641805555555</v>
      </c>
      <c r="X302" s="89">
        <v>44459</v>
      </c>
      <c r="Y302" s="86" t="s">
        <v>3016</v>
      </c>
      <c r="Z302" s="84" t="str">
        <f>HYPERLINK("https://twitter.com/4v0cado1/status/1439973678049988613")</f>
        <v>https://twitter.com/4v0cado1/status/1439973678049988613</v>
      </c>
      <c r="AA302" s="81"/>
      <c r="AB302" s="81"/>
      <c r="AC302" s="86" t="s">
        <v>4477</v>
      </c>
      <c r="AD302" s="86" t="s">
        <v>6015</v>
      </c>
      <c r="AE302" s="81" t="b">
        <v>0</v>
      </c>
      <c r="AF302" s="81">
        <v>0</v>
      </c>
      <c r="AG302" s="86" t="s">
        <v>6283</v>
      </c>
      <c r="AH302" s="81" t="b">
        <v>0</v>
      </c>
      <c r="AI302" s="81" t="s">
        <v>6478</v>
      </c>
      <c r="AJ302" s="81"/>
      <c r="AK302" s="86" t="s">
        <v>6240</v>
      </c>
      <c r="AL302" s="81" t="b">
        <v>0</v>
      </c>
      <c r="AM302" s="81">
        <v>0</v>
      </c>
      <c r="AN302" s="86" t="s">
        <v>6240</v>
      </c>
      <c r="AO302" s="86" t="s">
        <v>6503</v>
      </c>
      <c r="AP302" s="81" t="b">
        <v>0</v>
      </c>
      <c r="AQ302" s="86" t="s">
        <v>6015</v>
      </c>
      <c r="AR302" s="81" t="s">
        <v>179</v>
      </c>
      <c r="AS302" s="81">
        <v>0</v>
      </c>
      <c r="AT302" s="81">
        <v>0</v>
      </c>
      <c r="AU302" s="81"/>
      <c r="AV302" s="81"/>
      <c r="AW302" s="81"/>
      <c r="AX302" s="81"/>
      <c r="AY302" s="81"/>
      <c r="AZ302" s="81"/>
      <c r="BA302" s="81"/>
      <c r="BB302" s="81"/>
    </row>
    <row r="303" spans="1:54" x14ac:dyDescent="0.35">
      <c r="A303" s="66" t="s">
        <v>457</v>
      </c>
      <c r="B303" s="66" t="s">
        <v>1314</v>
      </c>
      <c r="C303" s="67"/>
      <c r="D303" s="68"/>
      <c r="E303" s="69"/>
      <c r="F303" s="70"/>
      <c r="G303" s="67"/>
      <c r="H303" s="71"/>
      <c r="I303" s="72"/>
      <c r="J303" s="72"/>
      <c r="K303" s="36"/>
      <c r="L303" s="79"/>
      <c r="M303" s="79"/>
      <c r="N303" s="74"/>
      <c r="O303" s="81" t="s">
        <v>1534</v>
      </c>
      <c r="P303" s="83">
        <v>44459.641805555555</v>
      </c>
      <c r="Q303" s="81" t="s">
        <v>1660</v>
      </c>
      <c r="R303" s="81"/>
      <c r="S303" s="81"/>
      <c r="T303" s="81"/>
      <c r="U303" s="81"/>
      <c r="V303" s="84" t="str">
        <f>HYPERLINK("https://pbs.twimg.com/profile_images/1441328642362019851/kgCuJREq_normal.jpg")</f>
        <v>https://pbs.twimg.com/profile_images/1441328642362019851/kgCuJREq_normal.jpg</v>
      </c>
      <c r="W303" s="83">
        <v>44459.641805555555</v>
      </c>
      <c r="X303" s="89">
        <v>44459</v>
      </c>
      <c r="Y303" s="86" t="s">
        <v>3016</v>
      </c>
      <c r="Z303" s="84" t="str">
        <f>HYPERLINK("https://twitter.com/4v0cado1/status/1439973678049988613")</f>
        <v>https://twitter.com/4v0cado1/status/1439973678049988613</v>
      </c>
      <c r="AA303" s="81"/>
      <c r="AB303" s="81"/>
      <c r="AC303" s="86" t="s">
        <v>4477</v>
      </c>
      <c r="AD303" s="86" t="s">
        <v>6015</v>
      </c>
      <c r="AE303" s="81" t="b">
        <v>0</v>
      </c>
      <c r="AF303" s="81">
        <v>0</v>
      </c>
      <c r="AG303" s="86" t="s">
        <v>6283</v>
      </c>
      <c r="AH303" s="81" t="b">
        <v>0</v>
      </c>
      <c r="AI303" s="81" t="s">
        <v>6478</v>
      </c>
      <c r="AJ303" s="81"/>
      <c r="AK303" s="86" t="s">
        <v>6240</v>
      </c>
      <c r="AL303" s="81" t="b">
        <v>0</v>
      </c>
      <c r="AM303" s="81">
        <v>0</v>
      </c>
      <c r="AN303" s="86" t="s">
        <v>6240</v>
      </c>
      <c r="AO303" s="86" t="s">
        <v>6503</v>
      </c>
      <c r="AP303" s="81" t="b">
        <v>0</v>
      </c>
      <c r="AQ303" s="86" t="s">
        <v>6015</v>
      </c>
      <c r="AR303" s="81" t="s">
        <v>179</v>
      </c>
      <c r="AS303" s="81">
        <v>0</v>
      </c>
      <c r="AT303" s="81">
        <v>0</v>
      </c>
      <c r="AU303" s="81"/>
      <c r="AV303" s="81"/>
      <c r="AW303" s="81"/>
      <c r="AX303" s="81"/>
      <c r="AY303" s="81"/>
      <c r="AZ303" s="81"/>
      <c r="BA303" s="81"/>
      <c r="BB303" s="81"/>
    </row>
    <row r="304" spans="1:54" x14ac:dyDescent="0.35">
      <c r="A304" s="66" t="s">
        <v>458</v>
      </c>
      <c r="B304" s="66" t="s">
        <v>458</v>
      </c>
      <c r="C304" s="67"/>
      <c r="D304" s="68"/>
      <c r="E304" s="69"/>
      <c r="F304" s="70"/>
      <c r="G304" s="67"/>
      <c r="H304" s="71"/>
      <c r="I304" s="72"/>
      <c r="J304" s="72"/>
      <c r="K304" s="36"/>
      <c r="L304" s="79"/>
      <c r="M304" s="79"/>
      <c r="N304" s="74"/>
      <c r="O304" s="81" t="s">
        <v>179</v>
      </c>
      <c r="P304" s="83">
        <v>44459.645497685182</v>
      </c>
      <c r="Q304" s="81" t="s">
        <v>1661</v>
      </c>
      <c r="R304" s="84" t="str">
        <f>HYPERLINK("https://www.jobsid.co/index.php/lowongan-bumn/8/13254-lowongan-pos-indonesia-25-september-21?utm_source=dlvr.it&amp;utm_medium=twitter")</f>
        <v>https://www.jobsid.co/index.php/lowongan-bumn/8/13254-lowongan-pos-indonesia-25-september-21?utm_source=dlvr.it&amp;utm_medium=twitter</v>
      </c>
      <c r="S304" s="81" t="s">
        <v>2598</v>
      </c>
      <c r="T304" s="81"/>
      <c r="U304" s="81"/>
      <c r="V304" s="84" t="str">
        <f>HYPERLINK("https://pbs.twimg.com/profile_images/531043339680751617/xf-KpceA_normal.png")</f>
        <v>https://pbs.twimg.com/profile_images/531043339680751617/xf-KpceA_normal.png</v>
      </c>
      <c r="W304" s="83">
        <v>44459.645497685182</v>
      </c>
      <c r="X304" s="89">
        <v>44459</v>
      </c>
      <c r="Y304" s="86" t="s">
        <v>3017</v>
      </c>
      <c r="Z304" s="84" t="str">
        <f>HYPERLINK("https://twitter.com/bknsquare/status/1439975016288845827")</f>
        <v>https://twitter.com/bknsquare/status/1439975016288845827</v>
      </c>
      <c r="AA304" s="81"/>
      <c r="AB304" s="81"/>
      <c r="AC304" s="86" t="s">
        <v>4478</v>
      </c>
      <c r="AD304" s="81"/>
      <c r="AE304" s="81" t="b">
        <v>0</v>
      </c>
      <c r="AF304" s="81">
        <v>0</v>
      </c>
      <c r="AG304" s="86" t="s">
        <v>6240</v>
      </c>
      <c r="AH304" s="81" t="b">
        <v>0</v>
      </c>
      <c r="AI304" s="81" t="s">
        <v>6478</v>
      </c>
      <c r="AJ304" s="81"/>
      <c r="AK304" s="86" t="s">
        <v>6240</v>
      </c>
      <c r="AL304" s="81" t="b">
        <v>0</v>
      </c>
      <c r="AM304" s="81">
        <v>0</v>
      </c>
      <c r="AN304" s="86" t="s">
        <v>6240</v>
      </c>
      <c r="AO304" s="86" t="s">
        <v>6515</v>
      </c>
      <c r="AP304" s="81" t="b">
        <v>0</v>
      </c>
      <c r="AQ304" s="86" t="s">
        <v>4478</v>
      </c>
      <c r="AR304" s="81" t="s">
        <v>179</v>
      </c>
      <c r="AS304" s="81">
        <v>0</v>
      </c>
      <c r="AT304" s="81">
        <v>0</v>
      </c>
      <c r="AU304" s="81"/>
      <c r="AV304" s="81"/>
      <c r="AW304" s="81"/>
      <c r="AX304" s="81"/>
      <c r="AY304" s="81"/>
      <c r="AZ304" s="81"/>
      <c r="BA304" s="81"/>
      <c r="BB304" s="81"/>
    </row>
    <row r="305" spans="1:54" x14ac:dyDescent="0.35">
      <c r="A305" s="66" t="s">
        <v>459</v>
      </c>
      <c r="B305" s="66" t="s">
        <v>1272</v>
      </c>
      <c r="C305" s="67"/>
      <c r="D305" s="68"/>
      <c r="E305" s="69"/>
      <c r="F305" s="70"/>
      <c r="G305" s="67"/>
      <c r="H305" s="71"/>
      <c r="I305" s="72"/>
      <c r="J305" s="72"/>
      <c r="K305" s="36"/>
      <c r="L305" s="79"/>
      <c r="M305" s="79"/>
      <c r="N305" s="74"/>
      <c r="O305" s="81" t="s">
        <v>1533</v>
      </c>
      <c r="P305" s="83">
        <v>44459.665266203701</v>
      </c>
      <c r="Q305" s="81" t="s">
        <v>1536</v>
      </c>
      <c r="R305" s="81"/>
      <c r="S305" s="81"/>
      <c r="T305" s="86" t="s">
        <v>2656</v>
      </c>
      <c r="U305" s="84" t="str">
        <f>HYPERLINK("https://pbs.twimg.com/media/E_X1zlwVIAES6Ks.jpg")</f>
        <v>https://pbs.twimg.com/media/E_X1zlwVIAES6Ks.jpg</v>
      </c>
      <c r="V305" s="84" t="str">
        <f>HYPERLINK("https://pbs.twimg.com/media/E_X1zlwVIAES6Ks.jpg")</f>
        <v>https://pbs.twimg.com/media/E_X1zlwVIAES6Ks.jpg</v>
      </c>
      <c r="W305" s="83">
        <v>44459.665266203701</v>
      </c>
      <c r="X305" s="89">
        <v>44459</v>
      </c>
      <c r="Y305" s="86" t="s">
        <v>3018</v>
      </c>
      <c r="Z305" s="84" t="str">
        <f>HYPERLINK("https://twitter.com/oyehero4200/status/1439982180164378631")</f>
        <v>https://twitter.com/oyehero4200/status/1439982180164378631</v>
      </c>
      <c r="AA305" s="81"/>
      <c r="AB305" s="81"/>
      <c r="AC305" s="86" t="s">
        <v>4479</v>
      </c>
      <c r="AD305" s="81"/>
      <c r="AE305" s="81" t="b">
        <v>0</v>
      </c>
      <c r="AF305" s="81">
        <v>0</v>
      </c>
      <c r="AG305" s="86" t="s">
        <v>6240</v>
      </c>
      <c r="AH305" s="81" t="b">
        <v>0</v>
      </c>
      <c r="AI305" s="81" t="s">
        <v>6478</v>
      </c>
      <c r="AJ305" s="81"/>
      <c r="AK305" s="86" t="s">
        <v>6240</v>
      </c>
      <c r="AL305" s="81" t="b">
        <v>0</v>
      </c>
      <c r="AM305" s="81">
        <v>61</v>
      </c>
      <c r="AN305" s="86" t="s">
        <v>4550</v>
      </c>
      <c r="AO305" s="86" t="s">
        <v>6505</v>
      </c>
      <c r="AP305" s="81" t="b">
        <v>0</v>
      </c>
      <c r="AQ305" s="86" t="s">
        <v>4550</v>
      </c>
      <c r="AR305" s="81" t="s">
        <v>179</v>
      </c>
      <c r="AS305" s="81">
        <v>0</v>
      </c>
      <c r="AT305" s="81">
        <v>0</v>
      </c>
      <c r="AU305" s="81"/>
      <c r="AV305" s="81"/>
      <c r="AW305" s="81"/>
      <c r="AX305" s="81"/>
      <c r="AY305" s="81"/>
      <c r="AZ305" s="81"/>
      <c r="BA305" s="81"/>
      <c r="BB305" s="81"/>
    </row>
    <row r="306" spans="1:54" x14ac:dyDescent="0.35">
      <c r="A306" s="66" t="s">
        <v>459</v>
      </c>
      <c r="B306" s="66" t="s">
        <v>526</v>
      </c>
      <c r="C306" s="67"/>
      <c r="D306" s="68"/>
      <c r="E306" s="69"/>
      <c r="F306" s="70"/>
      <c r="G306" s="67"/>
      <c r="H306" s="71"/>
      <c r="I306" s="72"/>
      <c r="J306" s="72"/>
      <c r="K306" s="36"/>
      <c r="L306" s="79"/>
      <c r="M306" s="79"/>
      <c r="N306" s="74"/>
      <c r="O306" s="81" t="s">
        <v>1532</v>
      </c>
      <c r="P306" s="83">
        <v>44459.665266203701</v>
      </c>
      <c r="Q306" s="81" t="s">
        <v>1536</v>
      </c>
      <c r="R306" s="81"/>
      <c r="S306" s="81"/>
      <c r="T306" s="86" t="s">
        <v>2656</v>
      </c>
      <c r="U306" s="84" t="str">
        <f>HYPERLINK("https://pbs.twimg.com/media/E_X1zlwVIAES6Ks.jpg")</f>
        <v>https://pbs.twimg.com/media/E_X1zlwVIAES6Ks.jpg</v>
      </c>
      <c r="V306" s="84" t="str">
        <f>HYPERLINK("https://pbs.twimg.com/media/E_X1zlwVIAES6Ks.jpg")</f>
        <v>https://pbs.twimg.com/media/E_X1zlwVIAES6Ks.jpg</v>
      </c>
      <c r="W306" s="83">
        <v>44459.665266203701</v>
      </c>
      <c r="X306" s="89">
        <v>44459</v>
      </c>
      <c r="Y306" s="86" t="s">
        <v>3018</v>
      </c>
      <c r="Z306" s="84" t="str">
        <f>HYPERLINK("https://twitter.com/oyehero4200/status/1439982180164378631")</f>
        <v>https://twitter.com/oyehero4200/status/1439982180164378631</v>
      </c>
      <c r="AA306" s="81"/>
      <c r="AB306" s="81"/>
      <c r="AC306" s="86" t="s">
        <v>4479</v>
      </c>
      <c r="AD306" s="81"/>
      <c r="AE306" s="81" t="b">
        <v>0</v>
      </c>
      <c r="AF306" s="81">
        <v>0</v>
      </c>
      <c r="AG306" s="86" t="s">
        <v>6240</v>
      </c>
      <c r="AH306" s="81" t="b">
        <v>0</v>
      </c>
      <c r="AI306" s="81" t="s">
        <v>6478</v>
      </c>
      <c r="AJ306" s="81"/>
      <c r="AK306" s="86" t="s">
        <v>6240</v>
      </c>
      <c r="AL306" s="81" t="b">
        <v>0</v>
      </c>
      <c r="AM306" s="81">
        <v>61</v>
      </c>
      <c r="AN306" s="86" t="s">
        <v>4550</v>
      </c>
      <c r="AO306" s="86" t="s">
        <v>6505</v>
      </c>
      <c r="AP306" s="81" t="b">
        <v>0</v>
      </c>
      <c r="AQ306" s="86" t="s">
        <v>4550</v>
      </c>
      <c r="AR306" s="81" t="s">
        <v>179</v>
      </c>
      <c r="AS306" s="81">
        <v>0</v>
      </c>
      <c r="AT306" s="81">
        <v>0</v>
      </c>
      <c r="AU306" s="81"/>
      <c r="AV306" s="81"/>
      <c r="AW306" s="81"/>
      <c r="AX306" s="81"/>
      <c r="AY306" s="81"/>
      <c r="AZ306" s="81"/>
      <c r="BA306" s="81"/>
      <c r="BB306" s="81"/>
    </row>
    <row r="307" spans="1:54" x14ac:dyDescent="0.35">
      <c r="A307" s="66" t="s">
        <v>460</v>
      </c>
      <c r="B307" s="66" t="s">
        <v>1272</v>
      </c>
      <c r="C307" s="67"/>
      <c r="D307" s="68"/>
      <c r="E307" s="69"/>
      <c r="F307" s="70"/>
      <c r="G307" s="67"/>
      <c r="H307" s="71"/>
      <c r="I307" s="72"/>
      <c r="J307" s="72"/>
      <c r="K307" s="36"/>
      <c r="L307" s="79"/>
      <c r="M307" s="79"/>
      <c r="N307" s="74"/>
      <c r="O307" s="81" t="s">
        <v>1533</v>
      </c>
      <c r="P307" s="83">
        <v>44459.670416666668</v>
      </c>
      <c r="Q307" s="81" t="s">
        <v>1536</v>
      </c>
      <c r="R307" s="81"/>
      <c r="S307" s="81"/>
      <c r="T307" s="86" t="s">
        <v>2656</v>
      </c>
      <c r="U307" s="84" t="str">
        <f>HYPERLINK("https://pbs.twimg.com/media/E_X1zlwVIAES6Ks.jpg")</f>
        <v>https://pbs.twimg.com/media/E_X1zlwVIAES6Ks.jpg</v>
      </c>
      <c r="V307" s="84" t="str">
        <f>HYPERLINK("https://pbs.twimg.com/media/E_X1zlwVIAES6Ks.jpg")</f>
        <v>https://pbs.twimg.com/media/E_X1zlwVIAES6Ks.jpg</v>
      </c>
      <c r="W307" s="83">
        <v>44459.670416666668</v>
      </c>
      <c r="X307" s="89">
        <v>44459</v>
      </c>
      <c r="Y307" s="86" t="s">
        <v>3019</v>
      </c>
      <c r="Z307" s="84" t="str">
        <f>HYPERLINK("https://twitter.com/malangdorn1/status/1439984042561134598")</f>
        <v>https://twitter.com/malangdorn1/status/1439984042561134598</v>
      </c>
      <c r="AA307" s="81"/>
      <c r="AB307" s="81"/>
      <c r="AC307" s="86" t="s">
        <v>4480</v>
      </c>
      <c r="AD307" s="81"/>
      <c r="AE307" s="81" t="b">
        <v>0</v>
      </c>
      <c r="AF307" s="81">
        <v>0</v>
      </c>
      <c r="AG307" s="86" t="s">
        <v>6240</v>
      </c>
      <c r="AH307" s="81" t="b">
        <v>0</v>
      </c>
      <c r="AI307" s="81" t="s">
        <v>6478</v>
      </c>
      <c r="AJ307" s="81"/>
      <c r="AK307" s="86" t="s">
        <v>6240</v>
      </c>
      <c r="AL307" s="81" t="b">
        <v>0</v>
      </c>
      <c r="AM307" s="81">
        <v>61</v>
      </c>
      <c r="AN307" s="86" t="s">
        <v>4550</v>
      </c>
      <c r="AO307" s="86" t="s">
        <v>6503</v>
      </c>
      <c r="AP307" s="81" t="b">
        <v>0</v>
      </c>
      <c r="AQ307" s="86" t="s">
        <v>4550</v>
      </c>
      <c r="AR307" s="81" t="s">
        <v>179</v>
      </c>
      <c r="AS307" s="81">
        <v>0</v>
      </c>
      <c r="AT307" s="81">
        <v>0</v>
      </c>
      <c r="AU307" s="81"/>
      <c r="AV307" s="81"/>
      <c r="AW307" s="81"/>
      <c r="AX307" s="81"/>
      <c r="AY307" s="81"/>
      <c r="AZ307" s="81"/>
      <c r="BA307" s="81"/>
      <c r="BB307" s="81"/>
    </row>
    <row r="308" spans="1:54" x14ac:dyDescent="0.35">
      <c r="A308" s="66" t="s">
        <v>460</v>
      </c>
      <c r="B308" s="66" t="s">
        <v>526</v>
      </c>
      <c r="C308" s="67"/>
      <c r="D308" s="68"/>
      <c r="E308" s="69"/>
      <c r="F308" s="70"/>
      <c r="G308" s="67"/>
      <c r="H308" s="71"/>
      <c r="I308" s="72"/>
      <c r="J308" s="72"/>
      <c r="K308" s="36"/>
      <c r="L308" s="79"/>
      <c r="M308" s="79"/>
      <c r="N308" s="74"/>
      <c r="O308" s="81" t="s">
        <v>1532</v>
      </c>
      <c r="P308" s="83">
        <v>44459.670416666668</v>
      </c>
      <c r="Q308" s="81" t="s">
        <v>1536</v>
      </c>
      <c r="R308" s="81"/>
      <c r="S308" s="81"/>
      <c r="T308" s="86" t="s">
        <v>2656</v>
      </c>
      <c r="U308" s="84" t="str">
        <f>HYPERLINK("https://pbs.twimg.com/media/E_X1zlwVIAES6Ks.jpg")</f>
        <v>https://pbs.twimg.com/media/E_X1zlwVIAES6Ks.jpg</v>
      </c>
      <c r="V308" s="84" t="str">
        <f>HYPERLINK("https://pbs.twimg.com/media/E_X1zlwVIAES6Ks.jpg")</f>
        <v>https://pbs.twimg.com/media/E_X1zlwVIAES6Ks.jpg</v>
      </c>
      <c r="W308" s="83">
        <v>44459.670416666668</v>
      </c>
      <c r="X308" s="89">
        <v>44459</v>
      </c>
      <c r="Y308" s="86" t="s">
        <v>3019</v>
      </c>
      <c r="Z308" s="84" t="str">
        <f>HYPERLINK("https://twitter.com/malangdorn1/status/1439984042561134598")</f>
        <v>https://twitter.com/malangdorn1/status/1439984042561134598</v>
      </c>
      <c r="AA308" s="81"/>
      <c r="AB308" s="81"/>
      <c r="AC308" s="86" t="s">
        <v>4480</v>
      </c>
      <c r="AD308" s="81"/>
      <c r="AE308" s="81" t="b">
        <v>0</v>
      </c>
      <c r="AF308" s="81">
        <v>0</v>
      </c>
      <c r="AG308" s="86" t="s">
        <v>6240</v>
      </c>
      <c r="AH308" s="81" t="b">
        <v>0</v>
      </c>
      <c r="AI308" s="81" t="s">
        <v>6478</v>
      </c>
      <c r="AJ308" s="81"/>
      <c r="AK308" s="86" t="s">
        <v>6240</v>
      </c>
      <c r="AL308" s="81" t="b">
        <v>0</v>
      </c>
      <c r="AM308" s="81">
        <v>61</v>
      </c>
      <c r="AN308" s="86" t="s">
        <v>4550</v>
      </c>
      <c r="AO308" s="86" t="s">
        <v>6503</v>
      </c>
      <c r="AP308" s="81" t="b">
        <v>0</v>
      </c>
      <c r="AQ308" s="86" t="s">
        <v>4550</v>
      </c>
      <c r="AR308" s="81" t="s">
        <v>179</v>
      </c>
      <c r="AS308" s="81">
        <v>0</v>
      </c>
      <c r="AT308" s="81">
        <v>0</v>
      </c>
      <c r="AU308" s="81"/>
      <c r="AV308" s="81"/>
      <c r="AW308" s="81"/>
      <c r="AX308" s="81"/>
      <c r="AY308" s="81"/>
      <c r="AZ308" s="81"/>
      <c r="BA308" s="81"/>
      <c r="BB308" s="81"/>
    </row>
    <row r="309" spans="1:54" x14ac:dyDescent="0.35">
      <c r="A309" s="66" t="s">
        <v>461</v>
      </c>
      <c r="B309" s="66" t="s">
        <v>1272</v>
      </c>
      <c r="C309" s="67"/>
      <c r="D309" s="68"/>
      <c r="E309" s="69"/>
      <c r="F309" s="70"/>
      <c r="G309" s="67"/>
      <c r="H309" s="71"/>
      <c r="I309" s="72"/>
      <c r="J309" s="72"/>
      <c r="K309" s="36"/>
      <c r="L309" s="79"/>
      <c r="M309" s="79"/>
      <c r="N309" s="74"/>
      <c r="O309" s="81" t="s">
        <v>1533</v>
      </c>
      <c r="P309" s="83">
        <v>44459.676793981482</v>
      </c>
      <c r="Q309" s="81" t="s">
        <v>1536</v>
      </c>
      <c r="R309" s="81"/>
      <c r="S309" s="81"/>
      <c r="T309" s="86" t="s">
        <v>2656</v>
      </c>
      <c r="U309" s="84" t="str">
        <f>HYPERLINK("https://pbs.twimg.com/media/E_X1zlwVIAES6Ks.jpg")</f>
        <v>https://pbs.twimg.com/media/E_X1zlwVIAES6Ks.jpg</v>
      </c>
      <c r="V309" s="84" t="str">
        <f>HYPERLINK("https://pbs.twimg.com/media/E_X1zlwVIAES6Ks.jpg")</f>
        <v>https://pbs.twimg.com/media/E_X1zlwVIAES6Ks.jpg</v>
      </c>
      <c r="W309" s="83">
        <v>44459.676793981482</v>
      </c>
      <c r="X309" s="89">
        <v>44459</v>
      </c>
      <c r="Y309" s="86" t="s">
        <v>3020</v>
      </c>
      <c r="Z309" s="84" t="str">
        <f>HYPERLINK("https://twitter.com/fatemeh50692110/status/1439986354545324038")</f>
        <v>https://twitter.com/fatemeh50692110/status/1439986354545324038</v>
      </c>
      <c r="AA309" s="81"/>
      <c r="AB309" s="81"/>
      <c r="AC309" s="86" t="s">
        <v>4481</v>
      </c>
      <c r="AD309" s="81"/>
      <c r="AE309" s="81" t="b">
        <v>0</v>
      </c>
      <c r="AF309" s="81">
        <v>0</v>
      </c>
      <c r="AG309" s="86" t="s">
        <v>6240</v>
      </c>
      <c r="AH309" s="81" t="b">
        <v>0</v>
      </c>
      <c r="AI309" s="81" t="s">
        <v>6478</v>
      </c>
      <c r="AJ309" s="81"/>
      <c r="AK309" s="86" t="s">
        <v>6240</v>
      </c>
      <c r="AL309" s="81" t="b">
        <v>0</v>
      </c>
      <c r="AM309" s="81">
        <v>61</v>
      </c>
      <c r="AN309" s="86" t="s">
        <v>4550</v>
      </c>
      <c r="AO309" s="86" t="s">
        <v>6507</v>
      </c>
      <c r="AP309" s="81" t="b">
        <v>0</v>
      </c>
      <c r="AQ309" s="86" t="s">
        <v>4550</v>
      </c>
      <c r="AR309" s="81" t="s">
        <v>179</v>
      </c>
      <c r="AS309" s="81">
        <v>0</v>
      </c>
      <c r="AT309" s="81">
        <v>0</v>
      </c>
      <c r="AU309" s="81"/>
      <c r="AV309" s="81"/>
      <c r="AW309" s="81"/>
      <c r="AX309" s="81"/>
      <c r="AY309" s="81"/>
      <c r="AZ309" s="81"/>
      <c r="BA309" s="81"/>
      <c r="BB309" s="81"/>
    </row>
    <row r="310" spans="1:54" x14ac:dyDescent="0.35">
      <c r="A310" s="66" t="s">
        <v>461</v>
      </c>
      <c r="B310" s="66" t="s">
        <v>526</v>
      </c>
      <c r="C310" s="67"/>
      <c r="D310" s="68"/>
      <c r="E310" s="69"/>
      <c r="F310" s="70"/>
      <c r="G310" s="67"/>
      <c r="H310" s="71"/>
      <c r="I310" s="72"/>
      <c r="J310" s="72"/>
      <c r="K310" s="36"/>
      <c r="L310" s="79"/>
      <c r="M310" s="79"/>
      <c r="N310" s="74"/>
      <c r="O310" s="81" t="s">
        <v>1532</v>
      </c>
      <c r="P310" s="83">
        <v>44459.676793981482</v>
      </c>
      <c r="Q310" s="81" t="s">
        <v>1536</v>
      </c>
      <c r="R310" s="81"/>
      <c r="S310" s="81"/>
      <c r="T310" s="86" t="s">
        <v>2656</v>
      </c>
      <c r="U310" s="84" t="str">
        <f>HYPERLINK("https://pbs.twimg.com/media/E_X1zlwVIAES6Ks.jpg")</f>
        <v>https://pbs.twimg.com/media/E_X1zlwVIAES6Ks.jpg</v>
      </c>
      <c r="V310" s="84" t="str">
        <f>HYPERLINK("https://pbs.twimg.com/media/E_X1zlwVIAES6Ks.jpg")</f>
        <v>https://pbs.twimg.com/media/E_X1zlwVIAES6Ks.jpg</v>
      </c>
      <c r="W310" s="83">
        <v>44459.676793981482</v>
      </c>
      <c r="X310" s="89">
        <v>44459</v>
      </c>
      <c r="Y310" s="86" t="s">
        <v>3020</v>
      </c>
      <c r="Z310" s="84" t="str">
        <f>HYPERLINK("https://twitter.com/fatemeh50692110/status/1439986354545324038")</f>
        <v>https://twitter.com/fatemeh50692110/status/1439986354545324038</v>
      </c>
      <c r="AA310" s="81"/>
      <c r="AB310" s="81"/>
      <c r="AC310" s="86" t="s">
        <v>4481</v>
      </c>
      <c r="AD310" s="81"/>
      <c r="AE310" s="81" t="b">
        <v>0</v>
      </c>
      <c r="AF310" s="81">
        <v>0</v>
      </c>
      <c r="AG310" s="86" t="s">
        <v>6240</v>
      </c>
      <c r="AH310" s="81" t="b">
        <v>0</v>
      </c>
      <c r="AI310" s="81" t="s">
        <v>6478</v>
      </c>
      <c r="AJ310" s="81"/>
      <c r="AK310" s="86" t="s">
        <v>6240</v>
      </c>
      <c r="AL310" s="81" t="b">
        <v>0</v>
      </c>
      <c r="AM310" s="81">
        <v>61</v>
      </c>
      <c r="AN310" s="86" t="s">
        <v>4550</v>
      </c>
      <c r="AO310" s="86" t="s">
        <v>6507</v>
      </c>
      <c r="AP310" s="81" t="b">
        <v>0</v>
      </c>
      <c r="AQ310" s="86" t="s">
        <v>4550</v>
      </c>
      <c r="AR310" s="81" t="s">
        <v>179</v>
      </c>
      <c r="AS310" s="81">
        <v>0</v>
      </c>
      <c r="AT310" s="81">
        <v>0</v>
      </c>
      <c r="AU310" s="81"/>
      <c r="AV310" s="81"/>
      <c r="AW310" s="81"/>
      <c r="AX310" s="81"/>
      <c r="AY310" s="81"/>
      <c r="AZ310" s="81"/>
      <c r="BA310" s="81"/>
      <c r="BB310" s="81"/>
    </row>
    <row r="311" spans="1:54" x14ac:dyDescent="0.35">
      <c r="A311" s="66" t="s">
        <v>462</v>
      </c>
      <c r="B311" s="66" t="s">
        <v>581</v>
      </c>
      <c r="C311" s="67"/>
      <c r="D311" s="68"/>
      <c r="E311" s="69"/>
      <c r="F311" s="70"/>
      <c r="G311" s="67"/>
      <c r="H311" s="71"/>
      <c r="I311" s="72"/>
      <c r="J311" s="72"/>
      <c r="K311" s="36"/>
      <c r="L311" s="79"/>
      <c r="M311" s="79"/>
      <c r="N311" s="74"/>
      <c r="O311" s="81" t="s">
        <v>1532</v>
      </c>
      <c r="P311" s="83">
        <v>44459.685555555552</v>
      </c>
      <c r="Q311" s="81" t="s">
        <v>1655</v>
      </c>
      <c r="R311" s="81"/>
      <c r="S311" s="81"/>
      <c r="T311" s="86" t="s">
        <v>2667</v>
      </c>
      <c r="U311" s="84" t="str">
        <f>HYPERLINK("https://pbs.twimg.com/media/E_vEDNvVIAkAnBd.jpg")</f>
        <v>https://pbs.twimg.com/media/E_vEDNvVIAkAnBd.jpg</v>
      </c>
      <c r="V311" s="84" t="str">
        <f>HYPERLINK("https://pbs.twimg.com/media/E_vEDNvVIAkAnBd.jpg")</f>
        <v>https://pbs.twimg.com/media/E_vEDNvVIAkAnBd.jpg</v>
      </c>
      <c r="W311" s="83">
        <v>44459.685555555552</v>
      </c>
      <c r="X311" s="89">
        <v>44459</v>
      </c>
      <c r="Y311" s="86" t="s">
        <v>3021</v>
      </c>
      <c r="Z311" s="84" t="str">
        <f>HYPERLINK("https://twitter.com/bangqiha/status/1439989530816233477")</f>
        <v>https://twitter.com/bangqiha/status/1439989530816233477</v>
      </c>
      <c r="AA311" s="81"/>
      <c r="AB311" s="81"/>
      <c r="AC311" s="86" t="s">
        <v>4482</v>
      </c>
      <c r="AD311" s="81"/>
      <c r="AE311" s="81" t="b">
        <v>0</v>
      </c>
      <c r="AF311" s="81">
        <v>0</v>
      </c>
      <c r="AG311" s="86" t="s">
        <v>6240</v>
      </c>
      <c r="AH311" s="81" t="b">
        <v>0</v>
      </c>
      <c r="AI311" s="81" t="s">
        <v>6479</v>
      </c>
      <c r="AJ311" s="81"/>
      <c r="AK311" s="86" t="s">
        <v>6240</v>
      </c>
      <c r="AL311" s="81" t="b">
        <v>0</v>
      </c>
      <c r="AM311" s="81">
        <v>10</v>
      </c>
      <c r="AN311" s="86" t="s">
        <v>4618</v>
      </c>
      <c r="AO311" s="86" t="s">
        <v>6503</v>
      </c>
      <c r="AP311" s="81" t="b">
        <v>0</v>
      </c>
      <c r="AQ311" s="86" t="s">
        <v>4618</v>
      </c>
      <c r="AR311" s="81" t="s">
        <v>179</v>
      </c>
      <c r="AS311" s="81">
        <v>0</v>
      </c>
      <c r="AT311" s="81">
        <v>0</v>
      </c>
      <c r="AU311" s="81"/>
      <c r="AV311" s="81"/>
      <c r="AW311" s="81"/>
      <c r="AX311" s="81"/>
      <c r="AY311" s="81"/>
      <c r="AZ311" s="81"/>
      <c r="BA311" s="81"/>
      <c r="BB311" s="81"/>
    </row>
    <row r="312" spans="1:54" x14ac:dyDescent="0.35">
      <c r="A312" s="66" t="s">
        <v>463</v>
      </c>
      <c r="B312" s="66" t="s">
        <v>581</v>
      </c>
      <c r="C312" s="67"/>
      <c r="D312" s="68"/>
      <c r="E312" s="69"/>
      <c r="F312" s="70"/>
      <c r="G312" s="67"/>
      <c r="H312" s="71"/>
      <c r="I312" s="72"/>
      <c r="J312" s="72"/>
      <c r="K312" s="36"/>
      <c r="L312" s="79"/>
      <c r="M312" s="79"/>
      <c r="N312" s="74"/>
      <c r="O312" s="81" t="s">
        <v>1532</v>
      </c>
      <c r="P312" s="83">
        <v>44459.68922453704</v>
      </c>
      <c r="Q312" s="81" t="s">
        <v>1655</v>
      </c>
      <c r="R312" s="81"/>
      <c r="S312" s="81"/>
      <c r="T312" s="86" t="s">
        <v>2667</v>
      </c>
      <c r="U312" s="84" t="str">
        <f>HYPERLINK("https://pbs.twimg.com/media/E_vEDNvVIAkAnBd.jpg")</f>
        <v>https://pbs.twimg.com/media/E_vEDNvVIAkAnBd.jpg</v>
      </c>
      <c r="V312" s="84" t="str">
        <f>HYPERLINK("https://pbs.twimg.com/media/E_vEDNvVIAkAnBd.jpg")</f>
        <v>https://pbs.twimg.com/media/E_vEDNvVIAkAnBd.jpg</v>
      </c>
      <c r="W312" s="83">
        <v>44459.68922453704</v>
      </c>
      <c r="X312" s="89">
        <v>44459</v>
      </c>
      <c r="Y312" s="86" t="s">
        <v>3022</v>
      </c>
      <c r="Z312" s="84" t="str">
        <f>HYPERLINK("https://twitter.com/skzanddstay/status/1439990862260277250")</f>
        <v>https://twitter.com/skzanddstay/status/1439990862260277250</v>
      </c>
      <c r="AA312" s="81"/>
      <c r="AB312" s="81"/>
      <c r="AC312" s="86" t="s">
        <v>4483</v>
      </c>
      <c r="AD312" s="81"/>
      <c r="AE312" s="81" t="b">
        <v>0</v>
      </c>
      <c r="AF312" s="81">
        <v>0</v>
      </c>
      <c r="AG312" s="86" t="s">
        <v>6240</v>
      </c>
      <c r="AH312" s="81" t="b">
        <v>0</v>
      </c>
      <c r="AI312" s="81" t="s">
        <v>6479</v>
      </c>
      <c r="AJ312" s="81"/>
      <c r="AK312" s="86" t="s">
        <v>6240</v>
      </c>
      <c r="AL312" s="81" t="b">
        <v>0</v>
      </c>
      <c r="AM312" s="81">
        <v>10</v>
      </c>
      <c r="AN312" s="86" t="s">
        <v>4618</v>
      </c>
      <c r="AO312" s="86" t="s">
        <v>6503</v>
      </c>
      <c r="AP312" s="81" t="b">
        <v>0</v>
      </c>
      <c r="AQ312" s="86" t="s">
        <v>4618</v>
      </c>
      <c r="AR312" s="81" t="s">
        <v>179</v>
      </c>
      <c r="AS312" s="81">
        <v>0</v>
      </c>
      <c r="AT312" s="81">
        <v>0</v>
      </c>
      <c r="AU312" s="81"/>
      <c r="AV312" s="81"/>
      <c r="AW312" s="81"/>
      <c r="AX312" s="81"/>
      <c r="AY312" s="81"/>
      <c r="AZ312" s="81"/>
      <c r="BA312" s="81"/>
      <c r="BB312" s="81"/>
    </row>
    <row r="313" spans="1:54" x14ac:dyDescent="0.35">
      <c r="A313" s="66" t="s">
        <v>464</v>
      </c>
      <c r="B313" s="66" t="s">
        <v>1261</v>
      </c>
      <c r="C313" s="67"/>
      <c r="D313" s="68"/>
      <c r="E313" s="69"/>
      <c r="F313" s="70"/>
      <c r="G313" s="67"/>
      <c r="H313" s="71"/>
      <c r="I313" s="72"/>
      <c r="J313" s="72"/>
      <c r="K313" s="36"/>
      <c r="L313" s="79"/>
      <c r="M313" s="79"/>
      <c r="N313" s="74"/>
      <c r="O313" s="81" t="s">
        <v>1532</v>
      </c>
      <c r="P313" s="83">
        <v>44459.697800925926</v>
      </c>
      <c r="Q313" s="81" t="s">
        <v>1653</v>
      </c>
      <c r="R313" s="84" t="str">
        <f>HYPERLINK("https://api.whatsapp.com/send?phone=6281222353823")</f>
        <v>https://api.whatsapp.com/send?phone=6281222353823</v>
      </c>
      <c r="S313" s="81" t="s">
        <v>2597</v>
      </c>
      <c r="T313" s="81"/>
      <c r="U313" s="84" t="str">
        <f>HYPERLINK("https://pbs.twimg.com/media/E_P_XMQWYAUXeaR.jpg")</f>
        <v>https://pbs.twimg.com/media/E_P_XMQWYAUXeaR.jpg</v>
      </c>
      <c r="V313" s="84" t="str">
        <f>HYPERLINK("https://pbs.twimg.com/media/E_P_XMQWYAUXeaR.jpg")</f>
        <v>https://pbs.twimg.com/media/E_P_XMQWYAUXeaR.jpg</v>
      </c>
      <c r="W313" s="83">
        <v>44459.697800925926</v>
      </c>
      <c r="X313" s="89">
        <v>44459</v>
      </c>
      <c r="Y313" s="86" t="s">
        <v>3023</v>
      </c>
      <c r="Z313" s="84" t="str">
        <f>HYPERLINK("https://twitter.com/ponilempar/status/1439993966724726785")</f>
        <v>https://twitter.com/ponilempar/status/1439993966724726785</v>
      </c>
      <c r="AA313" s="81"/>
      <c r="AB313" s="81"/>
      <c r="AC313" s="86" t="s">
        <v>4484</v>
      </c>
      <c r="AD313" s="81"/>
      <c r="AE313" s="81" t="b">
        <v>0</v>
      </c>
      <c r="AF313" s="81">
        <v>0</v>
      </c>
      <c r="AG313" s="86" t="s">
        <v>6240</v>
      </c>
      <c r="AH313" s="81" t="b">
        <v>0</v>
      </c>
      <c r="AI313" s="81" t="s">
        <v>6478</v>
      </c>
      <c r="AJ313" s="81"/>
      <c r="AK313" s="86" t="s">
        <v>6240</v>
      </c>
      <c r="AL313" s="81" t="b">
        <v>0</v>
      </c>
      <c r="AM313" s="81">
        <v>49</v>
      </c>
      <c r="AN313" s="86" t="s">
        <v>5526</v>
      </c>
      <c r="AO313" s="86" t="s">
        <v>6503</v>
      </c>
      <c r="AP313" s="81" t="b">
        <v>0</v>
      </c>
      <c r="AQ313" s="86" t="s">
        <v>5526</v>
      </c>
      <c r="AR313" s="81" t="s">
        <v>179</v>
      </c>
      <c r="AS313" s="81">
        <v>0</v>
      </c>
      <c r="AT313" s="81">
        <v>0</v>
      </c>
      <c r="AU313" s="81"/>
      <c r="AV313" s="81"/>
      <c r="AW313" s="81"/>
      <c r="AX313" s="81"/>
      <c r="AY313" s="81"/>
      <c r="AZ313" s="81"/>
      <c r="BA313" s="81"/>
      <c r="BB313" s="81"/>
    </row>
    <row r="314" spans="1:54" x14ac:dyDescent="0.35">
      <c r="A314" s="66" t="s">
        <v>465</v>
      </c>
      <c r="B314" s="66" t="s">
        <v>335</v>
      </c>
      <c r="C314" s="67"/>
      <c r="D314" s="68"/>
      <c r="E314" s="69"/>
      <c r="F314" s="70"/>
      <c r="G314" s="67"/>
      <c r="H314" s="71"/>
      <c r="I314" s="72"/>
      <c r="J314" s="72"/>
      <c r="K314" s="36"/>
      <c r="L314" s="79"/>
      <c r="M314" s="79"/>
      <c r="N314" s="74"/>
      <c r="O314" s="81" t="s">
        <v>1532</v>
      </c>
      <c r="P314" s="83">
        <v>44459.707499999997</v>
      </c>
      <c r="Q314" s="81" t="s">
        <v>1586</v>
      </c>
      <c r="R314" s="81"/>
      <c r="S314" s="81"/>
      <c r="T314" s="81"/>
      <c r="U314" s="84" t="str">
        <f>HYPERLINK("https://pbs.twimg.com/ext_tw_video_thumb/1439603623520993285/pu/img/4NCBVhjvbYSKxAvX.jpg")</f>
        <v>https://pbs.twimg.com/ext_tw_video_thumb/1439603623520993285/pu/img/4NCBVhjvbYSKxAvX.jpg</v>
      </c>
      <c r="V314" s="84" t="str">
        <f>HYPERLINK("https://pbs.twimg.com/ext_tw_video_thumb/1439603623520993285/pu/img/4NCBVhjvbYSKxAvX.jpg")</f>
        <v>https://pbs.twimg.com/ext_tw_video_thumb/1439603623520993285/pu/img/4NCBVhjvbYSKxAvX.jpg</v>
      </c>
      <c r="W314" s="83">
        <v>44459.707499999997</v>
      </c>
      <c r="X314" s="89">
        <v>44459</v>
      </c>
      <c r="Y314" s="86" t="s">
        <v>3024</v>
      </c>
      <c r="Z314" s="84" t="str">
        <f>HYPERLINK("https://twitter.com/theblsss/status/1439997485175369729")</f>
        <v>https://twitter.com/theblsss/status/1439997485175369729</v>
      </c>
      <c r="AA314" s="81"/>
      <c r="AB314" s="81"/>
      <c r="AC314" s="86" t="s">
        <v>4485</v>
      </c>
      <c r="AD314" s="81"/>
      <c r="AE314" s="81" t="b">
        <v>0</v>
      </c>
      <c r="AF314" s="81">
        <v>0</v>
      </c>
      <c r="AG314" s="86" t="s">
        <v>6240</v>
      </c>
      <c r="AH314" s="81" t="b">
        <v>0</v>
      </c>
      <c r="AI314" s="81" t="s">
        <v>6478</v>
      </c>
      <c r="AJ314" s="81"/>
      <c r="AK314" s="86" t="s">
        <v>6240</v>
      </c>
      <c r="AL314" s="81" t="b">
        <v>0</v>
      </c>
      <c r="AM314" s="81">
        <v>102</v>
      </c>
      <c r="AN314" s="86" t="s">
        <v>4519</v>
      </c>
      <c r="AO314" s="86" t="s">
        <v>6505</v>
      </c>
      <c r="AP314" s="81" t="b">
        <v>0</v>
      </c>
      <c r="AQ314" s="86" t="s">
        <v>4519</v>
      </c>
      <c r="AR314" s="81" t="s">
        <v>179</v>
      </c>
      <c r="AS314" s="81">
        <v>0</v>
      </c>
      <c r="AT314" s="81">
        <v>0</v>
      </c>
      <c r="AU314" s="81"/>
      <c r="AV314" s="81"/>
      <c r="AW314" s="81"/>
      <c r="AX314" s="81"/>
      <c r="AY314" s="81"/>
      <c r="AZ314" s="81"/>
      <c r="BA314" s="81"/>
      <c r="BB314" s="81"/>
    </row>
    <row r="315" spans="1:54" x14ac:dyDescent="0.35">
      <c r="A315" s="66" t="s">
        <v>466</v>
      </c>
      <c r="B315" s="66" t="s">
        <v>466</v>
      </c>
      <c r="C315" s="67"/>
      <c r="D315" s="68"/>
      <c r="E315" s="69"/>
      <c r="F315" s="70"/>
      <c r="G315" s="67"/>
      <c r="H315" s="71"/>
      <c r="I315" s="72"/>
      <c r="J315" s="72"/>
      <c r="K315" s="36"/>
      <c r="L315" s="79"/>
      <c r="M315" s="79"/>
      <c r="N315" s="74"/>
      <c r="O315" s="81" t="s">
        <v>179</v>
      </c>
      <c r="P315" s="83">
        <v>44459.707662037035</v>
      </c>
      <c r="Q315" s="81" t="s">
        <v>1662</v>
      </c>
      <c r="R315" s="81"/>
      <c r="S315" s="81"/>
      <c r="T315" s="81"/>
      <c r="U315" s="81"/>
      <c r="V315" s="84" t="str">
        <f>HYPERLINK("https://pbs.twimg.com/profile_images/1435410777934991363/gz3NdzNE_normal.jpg")</f>
        <v>https://pbs.twimg.com/profile_images/1435410777934991363/gz3NdzNE_normal.jpg</v>
      </c>
      <c r="W315" s="83">
        <v>44459.707662037035</v>
      </c>
      <c r="X315" s="89">
        <v>44459</v>
      </c>
      <c r="Y315" s="86" t="s">
        <v>3025</v>
      </c>
      <c r="Z315" s="84" t="str">
        <f>HYPERLINK("https://twitter.com/siskaaudhina/status/1439997541634826240")</f>
        <v>https://twitter.com/siskaaudhina/status/1439997541634826240</v>
      </c>
      <c r="AA315" s="81"/>
      <c r="AB315" s="81"/>
      <c r="AC315" s="86" t="s">
        <v>4486</v>
      </c>
      <c r="AD315" s="81"/>
      <c r="AE315" s="81" t="b">
        <v>0</v>
      </c>
      <c r="AF315" s="81">
        <v>1</v>
      </c>
      <c r="AG315" s="86" t="s">
        <v>6240</v>
      </c>
      <c r="AH315" s="81" t="b">
        <v>0</v>
      </c>
      <c r="AI315" s="81" t="s">
        <v>6478</v>
      </c>
      <c r="AJ315" s="81"/>
      <c r="AK315" s="86" t="s">
        <v>6240</v>
      </c>
      <c r="AL315" s="81" t="b">
        <v>0</v>
      </c>
      <c r="AM315" s="81">
        <v>0</v>
      </c>
      <c r="AN315" s="86" t="s">
        <v>6240</v>
      </c>
      <c r="AO315" s="86" t="s">
        <v>6505</v>
      </c>
      <c r="AP315" s="81" t="b">
        <v>0</v>
      </c>
      <c r="AQ315" s="86" t="s">
        <v>4486</v>
      </c>
      <c r="AR315" s="81" t="s">
        <v>179</v>
      </c>
      <c r="AS315" s="81">
        <v>0</v>
      </c>
      <c r="AT315" s="81">
        <v>0</v>
      </c>
      <c r="AU315" s="81"/>
      <c r="AV315" s="81"/>
      <c r="AW315" s="81"/>
      <c r="AX315" s="81"/>
      <c r="AY315" s="81"/>
      <c r="AZ315" s="81"/>
      <c r="BA315" s="81"/>
      <c r="BB315" s="81"/>
    </row>
    <row r="316" spans="1:54" x14ac:dyDescent="0.35">
      <c r="A316" s="66" t="s">
        <v>467</v>
      </c>
      <c r="B316" s="66" t="s">
        <v>1247</v>
      </c>
      <c r="C316" s="67"/>
      <c r="D316" s="68"/>
      <c r="E316" s="69"/>
      <c r="F316" s="70"/>
      <c r="G316" s="67"/>
      <c r="H316" s="71"/>
      <c r="I316" s="72"/>
      <c r="J316" s="72"/>
      <c r="K316" s="36"/>
      <c r="L316" s="79"/>
      <c r="M316" s="79"/>
      <c r="N316" s="74"/>
      <c r="O316" s="81" t="s">
        <v>1532</v>
      </c>
      <c r="P316" s="83">
        <v>44459.734907407408</v>
      </c>
      <c r="Q316" s="81" t="s">
        <v>1650</v>
      </c>
      <c r="R316" s="81"/>
      <c r="S316" s="81"/>
      <c r="T316" s="86" t="s">
        <v>2667</v>
      </c>
      <c r="U316" s="84" t="str">
        <f>HYPERLINK("https://pbs.twimg.com/media/E_ubZIHUYAESLiB.jpg")</f>
        <v>https://pbs.twimg.com/media/E_ubZIHUYAESLiB.jpg</v>
      </c>
      <c r="V316" s="84" t="str">
        <f>HYPERLINK("https://pbs.twimg.com/media/E_ubZIHUYAESLiB.jpg")</f>
        <v>https://pbs.twimg.com/media/E_ubZIHUYAESLiB.jpg</v>
      </c>
      <c r="W316" s="83">
        <v>44459.734907407408</v>
      </c>
      <c r="X316" s="89">
        <v>44459</v>
      </c>
      <c r="Y316" s="86" t="s">
        <v>3026</v>
      </c>
      <c r="Z316" s="84" t="str">
        <f>HYPERLINK("https://twitter.com/wolfzenluv/status/1440007414221185024")</f>
        <v>https://twitter.com/wolfzenluv/status/1440007414221185024</v>
      </c>
      <c r="AA316" s="81"/>
      <c r="AB316" s="81"/>
      <c r="AC316" s="86" t="s">
        <v>4487</v>
      </c>
      <c r="AD316" s="81"/>
      <c r="AE316" s="81" t="b">
        <v>0</v>
      </c>
      <c r="AF316" s="81">
        <v>0</v>
      </c>
      <c r="AG316" s="86" t="s">
        <v>6240</v>
      </c>
      <c r="AH316" s="81" t="b">
        <v>0</v>
      </c>
      <c r="AI316" s="81" t="s">
        <v>6479</v>
      </c>
      <c r="AJ316" s="81"/>
      <c r="AK316" s="86" t="s">
        <v>6240</v>
      </c>
      <c r="AL316" s="81" t="b">
        <v>0</v>
      </c>
      <c r="AM316" s="81">
        <v>27</v>
      </c>
      <c r="AN316" s="86" t="s">
        <v>5503</v>
      </c>
      <c r="AO316" s="86" t="s">
        <v>6505</v>
      </c>
      <c r="AP316" s="81" t="b">
        <v>0</v>
      </c>
      <c r="AQ316" s="86" t="s">
        <v>5503</v>
      </c>
      <c r="AR316" s="81" t="s">
        <v>179</v>
      </c>
      <c r="AS316" s="81">
        <v>0</v>
      </c>
      <c r="AT316" s="81">
        <v>0</v>
      </c>
      <c r="AU316" s="81"/>
      <c r="AV316" s="81"/>
      <c r="AW316" s="81"/>
      <c r="AX316" s="81"/>
      <c r="AY316" s="81"/>
      <c r="AZ316" s="81"/>
      <c r="BA316" s="81"/>
      <c r="BB316" s="81"/>
    </row>
    <row r="317" spans="1:54" x14ac:dyDescent="0.35">
      <c r="A317" s="66" t="s">
        <v>468</v>
      </c>
      <c r="B317" s="66" t="s">
        <v>468</v>
      </c>
      <c r="C317" s="67"/>
      <c r="D317" s="68"/>
      <c r="E317" s="69"/>
      <c r="F317" s="70"/>
      <c r="G317" s="67"/>
      <c r="H317" s="71"/>
      <c r="I317" s="72"/>
      <c r="J317" s="72"/>
      <c r="K317" s="36"/>
      <c r="L317" s="79"/>
      <c r="M317" s="79"/>
      <c r="N317" s="74"/>
      <c r="O317" s="81" t="s">
        <v>179</v>
      </c>
      <c r="P317" s="83">
        <v>44459.748472222222</v>
      </c>
      <c r="Q317" s="81" t="s">
        <v>1663</v>
      </c>
      <c r="R317" s="84" t="str">
        <f>HYPERLINK("https://smi-news.com/forum-ikm-jatim-wilayah-magetan-dan-pt-pos-indonesia-cabang-magetan-bersama-sama-menjemput-cahaya-terang/")</f>
        <v>https://smi-news.com/forum-ikm-jatim-wilayah-magetan-dan-pt-pos-indonesia-cabang-magetan-bersama-sama-menjemput-cahaya-terang/</v>
      </c>
      <c r="S317" s="81" t="s">
        <v>2599</v>
      </c>
      <c r="T317" s="86" t="s">
        <v>2668</v>
      </c>
      <c r="U317" s="81"/>
      <c r="V317" s="84" t="str">
        <f>HYPERLINK("https://pbs.twimg.com/profile_images/1348978369648447488/J6mwhzU6_normal.jpg")</f>
        <v>https://pbs.twimg.com/profile_images/1348978369648447488/J6mwhzU6_normal.jpg</v>
      </c>
      <c r="W317" s="83">
        <v>44459.748472222222</v>
      </c>
      <c r="X317" s="89">
        <v>44459</v>
      </c>
      <c r="Y317" s="86" t="s">
        <v>3027</v>
      </c>
      <c r="Z317" s="84" t="str">
        <f>HYPERLINK("https://twitter.com/kotamagetan_/status/1440012330507505666")</f>
        <v>https://twitter.com/kotamagetan_/status/1440012330507505666</v>
      </c>
      <c r="AA317" s="81"/>
      <c r="AB317" s="81"/>
      <c r="AC317" s="86" t="s">
        <v>4488</v>
      </c>
      <c r="AD317" s="81"/>
      <c r="AE317" s="81" t="b">
        <v>0</v>
      </c>
      <c r="AF317" s="81">
        <v>0</v>
      </c>
      <c r="AG317" s="86" t="s">
        <v>6240</v>
      </c>
      <c r="AH317" s="81" t="b">
        <v>0</v>
      </c>
      <c r="AI317" s="81" t="s">
        <v>6478</v>
      </c>
      <c r="AJ317" s="81"/>
      <c r="AK317" s="86" t="s">
        <v>6240</v>
      </c>
      <c r="AL317" s="81" t="b">
        <v>0</v>
      </c>
      <c r="AM317" s="81">
        <v>0</v>
      </c>
      <c r="AN317" s="86" t="s">
        <v>6240</v>
      </c>
      <c r="AO317" s="86" t="s">
        <v>6507</v>
      </c>
      <c r="AP317" s="81" t="b">
        <v>0</v>
      </c>
      <c r="AQ317" s="86" t="s">
        <v>4488</v>
      </c>
      <c r="AR317" s="81" t="s">
        <v>179</v>
      </c>
      <c r="AS317" s="81">
        <v>0</v>
      </c>
      <c r="AT317" s="81">
        <v>0</v>
      </c>
      <c r="AU317" s="81"/>
      <c r="AV317" s="81"/>
      <c r="AW317" s="81"/>
      <c r="AX317" s="81"/>
      <c r="AY317" s="81"/>
      <c r="AZ317" s="81"/>
      <c r="BA317" s="81"/>
      <c r="BB317" s="81"/>
    </row>
    <row r="318" spans="1:54" x14ac:dyDescent="0.35">
      <c r="A318" s="66" t="s">
        <v>469</v>
      </c>
      <c r="B318" s="66" t="s">
        <v>1272</v>
      </c>
      <c r="C318" s="67"/>
      <c r="D318" s="68"/>
      <c r="E318" s="69"/>
      <c r="F318" s="70"/>
      <c r="G318" s="67"/>
      <c r="H318" s="71"/>
      <c r="I318" s="72"/>
      <c r="J318" s="72"/>
      <c r="K318" s="36"/>
      <c r="L318" s="79"/>
      <c r="M318" s="79"/>
      <c r="N318" s="74"/>
      <c r="O318" s="81" t="s">
        <v>1533</v>
      </c>
      <c r="P318" s="83">
        <v>44459.752002314817</v>
      </c>
      <c r="Q318" s="81" t="s">
        <v>1536</v>
      </c>
      <c r="R318" s="81"/>
      <c r="S318" s="81"/>
      <c r="T318" s="86" t="s">
        <v>2656</v>
      </c>
      <c r="U318" s="84" t="str">
        <f>HYPERLINK("https://pbs.twimg.com/media/E_X1zlwVIAES6Ks.jpg")</f>
        <v>https://pbs.twimg.com/media/E_X1zlwVIAES6Ks.jpg</v>
      </c>
      <c r="V318" s="84" t="str">
        <f>HYPERLINK("https://pbs.twimg.com/media/E_X1zlwVIAES6Ks.jpg")</f>
        <v>https://pbs.twimg.com/media/E_X1zlwVIAES6Ks.jpg</v>
      </c>
      <c r="W318" s="83">
        <v>44459.752002314817</v>
      </c>
      <c r="X318" s="89">
        <v>44459</v>
      </c>
      <c r="Y318" s="86" t="s">
        <v>3028</v>
      </c>
      <c r="Z318" s="84" t="str">
        <f>HYPERLINK("https://twitter.com/mahdibagheli1/status/1440013608738562051")</f>
        <v>https://twitter.com/mahdibagheli1/status/1440013608738562051</v>
      </c>
      <c r="AA318" s="81"/>
      <c r="AB318" s="81"/>
      <c r="AC318" s="86" t="s">
        <v>4489</v>
      </c>
      <c r="AD318" s="81"/>
      <c r="AE318" s="81" t="b">
        <v>0</v>
      </c>
      <c r="AF318" s="81">
        <v>0</v>
      </c>
      <c r="AG318" s="86" t="s">
        <v>6240</v>
      </c>
      <c r="AH318" s="81" t="b">
        <v>0</v>
      </c>
      <c r="AI318" s="81" t="s">
        <v>6478</v>
      </c>
      <c r="AJ318" s="81"/>
      <c r="AK318" s="86" t="s">
        <v>6240</v>
      </c>
      <c r="AL318" s="81" t="b">
        <v>0</v>
      </c>
      <c r="AM318" s="81">
        <v>61</v>
      </c>
      <c r="AN318" s="86" t="s">
        <v>4550</v>
      </c>
      <c r="AO318" s="86" t="s">
        <v>6507</v>
      </c>
      <c r="AP318" s="81" t="b">
        <v>0</v>
      </c>
      <c r="AQ318" s="86" t="s">
        <v>4550</v>
      </c>
      <c r="AR318" s="81" t="s">
        <v>179</v>
      </c>
      <c r="AS318" s="81">
        <v>0</v>
      </c>
      <c r="AT318" s="81">
        <v>0</v>
      </c>
      <c r="AU318" s="81"/>
      <c r="AV318" s="81"/>
      <c r="AW318" s="81"/>
      <c r="AX318" s="81"/>
      <c r="AY318" s="81"/>
      <c r="AZ318" s="81"/>
      <c r="BA318" s="81"/>
      <c r="BB318" s="81"/>
    </row>
    <row r="319" spans="1:54" x14ac:dyDescent="0.35">
      <c r="A319" s="66" t="s">
        <v>469</v>
      </c>
      <c r="B319" s="66" t="s">
        <v>526</v>
      </c>
      <c r="C319" s="67"/>
      <c r="D319" s="68"/>
      <c r="E319" s="69"/>
      <c r="F319" s="70"/>
      <c r="G319" s="67"/>
      <c r="H319" s="71"/>
      <c r="I319" s="72"/>
      <c r="J319" s="72"/>
      <c r="K319" s="36"/>
      <c r="L319" s="79"/>
      <c r="M319" s="79"/>
      <c r="N319" s="74"/>
      <c r="O319" s="81" t="s">
        <v>1532</v>
      </c>
      <c r="P319" s="83">
        <v>44459.752002314817</v>
      </c>
      <c r="Q319" s="81" t="s">
        <v>1536</v>
      </c>
      <c r="R319" s="81"/>
      <c r="S319" s="81"/>
      <c r="T319" s="86" t="s">
        <v>2656</v>
      </c>
      <c r="U319" s="84" t="str">
        <f>HYPERLINK("https://pbs.twimg.com/media/E_X1zlwVIAES6Ks.jpg")</f>
        <v>https://pbs.twimg.com/media/E_X1zlwVIAES6Ks.jpg</v>
      </c>
      <c r="V319" s="84" t="str">
        <f>HYPERLINK("https://pbs.twimg.com/media/E_X1zlwVIAES6Ks.jpg")</f>
        <v>https://pbs.twimg.com/media/E_X1zlwVIAES6Ks.jpg</v>
      </c>
      <c r="W319" s="83">
        <v>44459.752002314817</v>
      </c>
      <c r="X319" s="89">
        <v>44459</v>
      </c>
      <c r="Y319" s="86" t="s">
        <v>3028</v>
      </c>
      <c r="Z319" s="84" t="str">
        <f>HYPERLINK("https://twitter.com/mahdibagheli1/status/1440013608738562051")</f>
        <v>https://twitter.com/mahdibagheli1/status/1440013608738562051</v>
      </c>
      <c r="AA319" s="81"/>
      <c r="AB319" s="81"/>
      <c r="AC319" s="86" t="s">
        <v>4489</v>
      </c>
      <c r="AD319" s="81"/>
      <c r="AE319" s="81" t="b">
        <v>0</v>
      </c>
      <c r="AF319" s="81">
        <v>0</v>
      </c>
      <c r="AG319" s="86" t="s">
        <v>6240</v>
      </c>
      <c r="AH319" s="81" t="b">
        <v>0</v>
      </c>
      <c r="AI319" s="81" t="s">
        <v>6478</v>
      </c>
      <c r="AJ319" s="81"/>
      <c r="AK319" s="86" t="s">
        <v>6240</v>
      </c>
      <c r="AL319" s="81" t="b">
        <v>0</v>
      </c>
      <c r="AM319" s="81">
        <v>61</v>
      </c>
      <c r="AN319" s="86" t="s">
        <v>4550</v>
      </c>
      <c r="AO319" s="86" t="s">
        <v>6507</v>
      </c>
      <c r="AP319" s="81" t="b">
        <v>0</v>
      </c>
      <c r="AQ319" s="86" t="s">
        <v>4550</v>
      </c>
      <c r="AR319" s="81" t="s">
        <v>179</v>
      </c>
      <c r="AS319" s="81">
        <v>0</v>
      </c>
      <c r="AT319" s="81">
        <v>0</v>
      </c>
      <c r="AU319" s="81"/>
      <c r="AV319" s="81"/>
      <c r="AW319" s="81"/>
      <c r="AX319" s="81"/>
      <c r="AY319" s="81"/>
      <c r="AZ319" s="81"/>
      <c r="BA319" s="81"/>
      <c r="BB319" s="81"/>
    </row>
    <row r="320" spans="1:54" x14ac:dyDescent="0.35">
      <c r="A320" s="66" t="s">
        <v>470</v>
      </c>
      <c r="B320" s="66" t="s">
        <v>1315</v>
      </c>
      <c r="C320" s="67"/>
      <c r="D320" s="68"/>
      <c r="E320" s="69"/>
      <c r="F320" s="70"/>
      <c r="G320" s="67"/>
      <c r="H320" s="71"/>
      <c r="I320" s="72"/>
      <c r="J320" s="72"/>
      <c r="K320" s="36"/>
      <c r="L320" s="79"/>
      <c r="M320" s="79"/>
      <c r="N320" s="74"/>
      <c r="O320" s="81" t="s">
        <v>1533</v>
      </c>
      <c r="P320" s="83">
        <v>44459.797060185185</v>
      </c>
      <c r="Q320" s="81" t="s">
        <v>1664</v>
      </c>
      <c r="R320" s="81"/>
      <c r="S320" s="81"/>
      <c r="T320" s="86" t="s">
        <v>2669</v>
      </c>
      <c r="U320" s="84" t="str">
        <f>HYPERLINK("https://pbs.twimg.com/media/E-0Lw78VIAMB9z2.jpg")</f>
        <v>https://pbs.twimg.com/media/E-0Lw78VIAMB9z2.jpg</v>
      </c>
      <c r="V320" s="84" t="str">
        <f>HYPERLINK("https://pbs.twimg.com/media/E-0Lw78VIAMB9z2.jpg")</f>
        <v>https://pbs.twimg.com/media/E-0Lw78VIAMB9z2.jpg</v>
      </c>
      <c r="W320" s="83">
        <v>44459.797060185185</v>
      </c>
      <c r="X320" s="89">
        <v>44459</v>
      </c>
      <c r="Y320" s="86" t="s">
        <v>3029</v>
      </c>
      <c r="Z320" s="84" t="str">
        <f>HYPERLINK("https://twitter.com/yanup77/status/1440029940640931847")</f>
        <v>https://twitter.com/yanup77/status/1440029940640931847</v>
      </c>
      <c r="AA320" s="81"/>
      <c r="AB320" s="81"/>
      <c r="AC320" s="86" t="s">
        <v>4490</v>
      </c>
      <c r="AD320" s="81"/>
      <c r="AE320" s="81" t="b">
        <v>0</v>
      </c>
      <c r="AF320" s="81">
        <v>0</v>
      </c>
      <c r="AG320" s="86" t="s">
        <v>6240</v>
      </c>
      <c r="AH320" s="81" t="b">
        <v>0</v>
      </c>
      <c r="AI320" s="81" t="s">
        <v>6478</v>
      </c>
      <c r="AJ320" s="81"/>
      <c r="AK320" s="86" t="s">
        <v>6240</v>
      </c>
      <c r="AL320" s="81" t="b">
        <v>0</v>
      </c>
      <c r="AM320" s="81">
        <v>44</v>
      </c>
      <c r="AN320" s="86" t="s">
        <v>5334</v>
      </c>
      <c r="AO320" s="86" t="s">
        <v>6507</v>
      </c>
      <c r="AP320" s="81" t="b">
        <v>0</v>
      </c>
      <c r="AQ320" s="86" t="s">
        <v>5334</v>
      </c>
      <c r="AR320" s="81" t="s">
        <v>179</v>
      </c>
      <c r="AS320" s="81">
        <v>0</v>
      </c>
      <c r="AT320" s="81">
        <v>0</v>
      </c>
      <c r="AU320" s="81"/>
      <c r="AV320" s="81"/>
      <c r="AW320" s="81"/>
      <c r="AX320" s="81"/>
      <c r="AY320" s="81"/>
      <c r="AZ320" s="81"/>
      <c r="BA320" s="81"/>
      <c r="BB320" s="81"/>
    </row>
    <row r="321" spans="1:54" x14ac:dyDescent="0.35">
      <c r="A321" s="66" t="s">
        <v>470</v>
      </c>
      <c r="B321" s="66" t="s">
        <v>1146</v>
      </c>
      <c r="C321" s="67"/>
      <c r="D321" s="68"/>
      <c r="E321" s="69"/>
      <c r="F321" s="70"/>
      <c r="G321" s="67"/>
      <c r="H321" s="71"/>
      <c r="I321" s="72"/>
      <c r="J321" s="72"/>
      <c r="K321" s="36"/>
      <c r="L321" s="79"/>
      <c r="M321" s="79"/>
      <c r="N321" s="74"/>
      <c r="O321" s="81" t="s">
        <v>1532</v>
      </c>
      <c r="P321" s="83">
        <v>44459.797060185185</v>
      </c>
      <c r="Q321" s="81" t="s">
        <v>1664</v>
      </c>
      <c r="R321" s="81"/>
      <c r="S321" s="81"/>
      <c r="T321" s="86" t="s">
        <v>2669</v>
      </c>
      <c r="U321" s="84" t="str">
        <f>HYPERLINK("https://pbs.twimg.com/media/E-0Lw78VIAMB9z2.jpg")</f>
        <v>https://pbs.twimg.com/media/E-0Lw78VIAMB9z2.jpg</v>
      </c>
      <c r="V321" s="84" t="str">
        <f>HYPERLINK("https://pbs.twimg.com/media/E-0Lw78VIAMB9z2.jpg")</f>
        <v>https://pbs.twimg.com/media/E-0Lw78VIAMB9z2.jpg</v>
      </c>
      <c r="W321" s="83">
        <v>44459.797060185185</v>
      </c>
      <c r="X321" s="89">
        <v>44459</v>
      </c>
      <c r="Y321" s="86" t="s">
        <v>3029</v>
      </c>
      <c r="Z321" s="84" t="str">
        <f>HYPERLINK("https://twitter.com/yanup77/status/1440029940640931847")</f>
        <v>https://twitter.com/yanup77/status/1440029940640931847</v>
      </c>
      <c r="AA321" s="81"/>
      <c r="AB321" s="81"/>
      <c r="AC321" s="86" t="s">
        <v>4490</v>
      </c>
      <c r="AD321" s="81"/>
      <c r="AE321" s="81" t="b">
        <v>0</v>
      </c>
      <c r="AF321" s="81">
        <v>0</v>
      </c>
      <c r="AG321" s="86" t="s">
        <v>6240</v>
      </c>
      <c r="AH321" s="81" t="b">
        <v>0</v>
      </c>
      <c r="AI321" s="81" t="s">
        <v>6478</v>
      </c>
      <c r="AJ321" s="81"/>
      <c r="AK321" s="86" t="s">
        <v>6240</v>
      </c>
      <c r="AL321" s="81" t="b">
        <v>0</v>
      </c>
      <c r="AM321" s="81">
        <v>44</v>
      </c>
      <c r="AN321" s="86" t="s">
        <v>5334</v>
      </c>
      <c r="AO321" s="86" t="s">
        <v>6507</v>
      </c>
      <c r="AP321" s="81" t="b">
        <v>0</v>
      </c>
      <c r="AQ321" s="86" t="s">
        <v>5334</v>
      </c>
      <c r="AR321" s="81" t="s">
        <v>179</v>
      </c>
      <c r="AS321" s="81">
        <v>0</v>
      </c>
      <c r="AT321" s="81">
        <v>0</v>
      </c>
      <c r="AU321" s="81"/>
      <c r="AV321" s="81"/>
      <c r="AW321" s="81"/>
      <c r="AX321" s="81"/>
      <c r="AY321" s="81"/>
      <c r="AZ321" s="81"/>
      <c r="BA321" s="81"/>
      <c r="BB321" s="81"/>
    </row>
    <row r="322" spans="1:54" x14ac:dyDescent="0.35">
      <c r="A322" s="66" t="s">
        <v>471</v>
      </c>
      <c r="B322" s="66" t="s">
        <v>471</v>
      </c>
      <c r="C322" s="67"/>
      <c r="D322" s="68"/>
      <c r="E322" s="69"/>
      <c r="F322" s="70"/>
      <c r="G322" s="67"/>
      <c r="H322" s="71"/>
      <c r="I322" s="72"/>
      <c r="J322" s="72"/>
      <c r="K322" s="36"/>
      <c r="L322" s="79"/>
      <c r="M322" s="79"/>
      <c r="N322" s="74"/>
      <c r="O322" s="81" t="s">
        <v>179</v>
      </c>
      <c r="P322" s="83">
        <v>44459.917812500003</v>
      </c>
      <c r="Q322" s="81" t="s">
        <v>1665</v>
      </c>
      <c r="R322" s="81"/>
      <c r="S322" s="81"/>
      <c r="T322" s="81"/>
      <c r="U322" s="81"/>
      <c r="V322" s="84" t="str">
        <f>HYPERLINK("https://pbs.twimg.com/profile_images/1431753342015971332/X4kOck84_normal.jpg")</f>
        <v>https://pbs.twimg.com/profile_images/1431753342015971332/X4kOck84_normal.jpg</v>
      </c>
      <c r="W322" s="83">
        <v>44459.917812500003</v>
      </c>
      <c r="X322" s="89">
        <v>44459</v>
      </c>
      <c r="Y322" s="86" t="s">
        <v>3030</v>
      </c>
      <c r="Z322" s="84" t="str">
        <f>HYPERLINK("https://twitter.com/gustavog22/status/1440073698858258432")</f>
        <v>https://twitter.com/gustavog22/status/1440073698858258432</v>
      </c>
      <c r="AA322" s="81"/>
      <c r="AB322" s="81"/>
      <c r="AC322" s="86" t="s">
        <v>4491</v>
      </c>
      <c r="AD322" s="81"/>
      <c r="AE322" s="81" t="b">
        <v>0</v>
      </c>
      <c r="AF322" s="81">
        <v>0</v>
      </c>
      <c r="AG322" s="86" t="s">
        <v>6240</v>
      </c>
      <c r="AH322" s="81" t="b">
        <v>0</v>
      </c>
      <c r="AI322" s="81" t="s">
        <v>6483</v>
      </c>
      <c r="AJ322" s="81"/>
      <c r="AK322" s="86" t="s">
        <v>6240</v>
      </c>
      <c r="AL322" s="81" t="b">
        <v>0</v>
      </c>
      <c r="AM322" s="81">
        <v>0</v>
      </c>
      <c r="AN322" s="86" t="s">
        <v>6240</v>
      </c>
      <c r="AO322" s="86" t="s">
        <v>6505</v>
      </c>
      <c r="AP322" s="81" t="b">
        <v>0</v>
      </c>
      <c r="AQ322" s="86" t="s">
        <v>4491</v>
      </c>
      <c r="AR322" s="81" t="s">
        <v>179</v>
      </c>
      <c r="AS322" s="81">
        <v>0</v>
      </c>
      <c r="AT322" s="81">
        <v>0</v>
      </c>
      <c r="AU322" s="81"/>
      <c r="AV322" s="81"/>
      <c r="AW322" s="81"/>
      <c r="AX322" s="81"/>
      <c r="AY322" s="81"/>
      <c r="AZ322" s="81"/>
      <c r="BA322" s="81"/>
      <c r="BB322" s="81"/>
    </row>
    <row r="323" spans="1:54" x14ac:dyDescent="0.35">
      <c r="A323" s="66" t="s">
        <v>472</v>
      </c>
      <c r="B323" s="66" t="s">
        <v>472</v>
      </c>
      <c r="C323" s="67"/>
      <c r="D323" s="68"/>
      <c r="E323" s="69"/>
      <c r="F323" s="70"/>
      <c r="G323" s="67"/>
      <c r="H323" s="71"/>
      <c r="I323" s="72"/>
      <c r="J323" s="72"/>
      <c r="K323" s="36"/>
      <c r="L323" s="79"/>
      <c r="M323" s="79"/>
      <c r="N323" s="74"/>
      <c r="O323" s="81" t="s">
        <v>179</v>
      </c>
      <c r="P323" s="83">
        <v>44459.930625000001</v>
      </c>
      <c r="Q323" s="81" t="s">
        <v>1666</v>
      </c>
      <c r="R323" s="81"/>
      <c r="S323" s="81"/>
      <c r="T323" s="81"/>
      <c r="U323" s="81"/>
      <c r="V323" s="84" t="str">
        <f>HYPERLINK("https://pbs.twimg.com/profile_images/1439299804182556672/Z0uDMxyp_normal.jpg")</f>
        <v>https://pbs.twimg.com/profile_images/1439299804182556672/Z0uDMxyp_normal.jpg</v>
      </c>
      <c r="W323" s="83">
        <v>44459.930625000001</v>
      </c>
      <c r="X323" s="89">
        <v>44459</v>
      </c>
      <c r="Y323" s="86" t="s">
        <v>3031</v>
      </c>
      <c r="Z323" s="84" t="str">
        <f>HYPERLINK("https://twitter.com/ikertxu_cero8/status/1440078340963004416")</f>
        <v>https://twitter.com/ikertxu_cero8/status/1440078340963004416</v>
      </c>
      <c r="AA323" s="81"/>
      <c r="AB323" s="81"/>
      <c r="AC323" s="86" t="s">
        <v>4492</v>
      </c>
      <c r="AD323" s="81"/>
      <c r="AE323" s="81" t="b">
        <v>0</v>
      </c>
      <c r="AF323" s="81">
        <v>1</v>
      </c>
      <c r="AG323" s="86" t="s">
        <v>6240</v>
      </c>
      <c r="AH323" s="81" t="b">
        <v>0</v>
      </c>
      <c r="AI323" s="81" t="s">
        <v>6484</v>
      </c>
      <c r="AJ323" s="81"/>
      <c r="AK323" s="86" t="s">
        <v>6240</v>
      </c>
      <c r="AL323" s="81" t="b">
        <v>0</v>
      </c>
      <c r="AM323" s="81">
        <v>0</v>
      </c>
      <c r="AN323" s="86" t="s">
        <v>6240</v>
      </c>
      <c r="AO323" s="86" t="s">
        <v>6503</v>
      </c>
      <c r="AP323" s="81" t="b">
        <v>0</v>
      </c>
      <c r="AQ323" s="86" t="s">
        <v>4492</v>
      </c>
      <c r="AR323" s="81" t="s">
        <v>179</v>
      </c>
      <c r="AS323" s="81">
        <v>0</v>
      </c>
      <c r="AT323" s="81">
        <v>0</v>
      </c>
      <c r="AU323" s="81"/>
      <c r="AV323" s="81"/>
      <c r="AW323" s="81"/>
      <c r="AX323" s="81"/>
      <c r="AY323" s="81"/>
      <c r="AZ323" s="81"/>
      <c r="BA323" s="81"/>
      <c r="BB323" s="81"/>
    </row>
    <row r="324" spans="1:54" x14ac:dyDescent="0.35">
      <c r="A324" s="66" t="s">
        <v>473</v>
      </c>
      <c r="B324" s="66" t="s">
        <v>335</v>
      </c>
      <c r="C324" s="67"/>
      <c r="D324" s="68"/>
      <c r="E324" s="69"/>
      <c r="F324" s="70"/>
      <c r="G324" s="67"/>
      <c r="H324" s="71"/>
      <c r="I324" s="72"/>
      <c r="J324" s="72"/>
      <c r="K324" s="36"/>
      <c r="L324" s="79"/>
      <c r="M324" s="79"/>
      <c r="N324" s="74"/>
      <c r="O324" s="81" t="s">
        <v>1532</v>
      </c>
      <c r="P324" s="83">
        <v>44459.965601851851</v>
      </c>
      <c r="Q324" s="81" t="s">
        <v>1586</v>
      </c>
      <c r="R324" s="81"/>
      <c r="S324" s="81"/>
      <c r="T324" s="81"/>
      <c r="U324" s="84" t="str">
        <f>HYPERLINK("https://pbs.twimg.com/ext_tw_video_thumb/1439603623520993285/pu/img/4NCBVhjvbYSKxAvX.jpg")</f>
        <v>https://pbs.twimg.com/ext_tw_video_thumb/1439603623520993285/pu/img/4NCBVhjvbYSKxAvX.jpg</v>
      </c>
      <c r="V324" s="84" t="str">
        <f>HYPERLINK("https://pbs.twimg.com/ext_tw_video_thumb/1439603623520993285/pu/img/4NCBVhjvbYSKxAvX.jpg")</f>
        <v>https://pbs.twimg.com/ext_tw_video_thumb/1439603623520993285/pu/img/4NCBVhjvbYSKxAvX.jpg</v>
      </c>
      <c r="W324" s="83">
        <v>44459.965601851851</v>
      </c>
      <c r="X324" s="89">
        <v>44459</v>
      </c>
      <c r="Y324" s="86" t="s">
        <v>3032</v>
      </c>
      <c r="Z324" s="84" t="str">
        <f>HYPERLINK("https://twitter.com/alifmuamin/status/1440091015952494600")</f>
        <v>https://twitter.com/alifmuamin/status/1440091015952494600</v>
      </c>
      <c r="AA324" s="81"/>
      <c r="AB324" s="81"/>
      <c r="AC324" s="86" t="s">
        <v>4493</v>
      </c>
      <c r="AD324" s="81"/>
      <c r="AE324" s="81" t="b">
        <v>0</v>
      </c>
      <c r="AF324" s="81">
        <v>0</v>
      </c>
      <c r="AG324" s="86" t="s">
        <v>6240</v>
      </c>
      <c r="AH324" s="81" t="b">
        <v>0</v>
      </c>
      <c r="AI324" s="81" t="s">
        <v>6478</v>
      </c>
      <c r="AJ324" s="81"/>
      <c r="AK324" s="86" t="s">
        <v>6240</v>
      </c>
      <c r="AL324" s="81" t="b">
        <v>0</v>
      </c>
      <c r="AM324" s="81">
        <v>102</v>
      </c>
      <c r="AN324" s="86" t="s">
        <v>4519</v>
      </c>
      <c r="AO324" s="86" t="s">
        <v>6503</v>
      </c>
      <c r="AP324" s="81" t="b">
        <v>0</v>
      </c>
      <c r="AQ324" s="86" t="s">
        <v>4519</v>
      </c>
      <c r="AR324" s="81" t="s">
        <v>179</v>
      </c>
      <c r="AS324" s="81">
        <v>0</v>
      </c>
      <c r="AT324" s="81">
        <v>0</v>
      </c>
      <c r="AU324" s="81"/>
      <c r="AV324" s="81"/>
      <c r="AW324" s="81"/>
      <c r="AX324" s="81"/>
      <c r="AY324" s="81"/>
      <c r="AZ324" s="81"/>
      <c r="BA324" s="81"/>
      <c r="BB324" s="81"/>
    </row>
    <row r="325" spans="1:54" x14ac:dyDescent="0.35">
      <c r="A325" s="66" t="s">
        <v>474</v>
      </c>
      <c r="B325" s="66" t="s">
        <v>1261</v>
      </c>
      <c r="C325" s="67"/>
      <c r="D325" s="68"/>
      <c r="E325" s="69"/>
      <c r="F325" s="70"/>
      <c r="G325" s="67"/>
      <c r="H325" s="71"/>
      <c r="I325" s="72"/>
      <c r="J325" s="72"/>
      <c r="K325" s="36"/>
      <c r="L325" s="79"/>
      <c r="M325" s="79"/>
      <c r="N325" s="74"/>
      <c r="O325" s="81" t="s">
        <v>1532</v>
      </c>
      <c r="P325" s="83">
        <v>44460.000428240739</v>
      </c>
      <c r="Q325" s="81" t="s">
        <v>1653</v>
      </c>
      <c r="R325" s="84" t="str">
        <f>HYPERLINK("https://api.whatsapp.com/send?phone=6281222353823")</f>
        <v>https://api.whatsapp.com/send?phone=6281222353823</v>
      </c>
      <c r="S325" s="81" t="s">
        <v>2597</v>
      </c>
      <c r="T325" s="81"/>
      <c r="U325" s="84" t="str">
        <f>HYPERLINK("https://pbs.twimg.com/media/E_P_XMQWYAUXeaR.jpg")</f>
        <v>https://pbs.twimg.com/media/E_P_XMQWYAUXeaR.jpg</v>
      </c>
      <c r="V325" s="84" t="str">
        <f>HYPERLINK("https://pbs.twimg.com/media/E_P_XMQWYAUXeaR.jpg")</f>
        <v>https://pbs.twimg.com/media/E_P_XMQWYAUXeaR.jpg</v>
      </c>
      <c r="W325" s="83">
        <v>44460.000428240739</v>
      </c>
      <c r="X325" s="89">
        <v>44460</v>
      </c>
      <c r="Y325" s="86" t="s">
        <v>3033</v>
      </c>
      <c r="Z325" s="84" t="str">
        <f>HYPERLINK("https://twitter.com/alyssaaudy/status/1440103635321450499")</f>
        <v>https://twitter.com/alyssaaudy/status/1440103635321450499</v>
      </c>
      <c r="AA325" s="81"/>
      <c r="AB325" s="81"/>
      <c r="AC325" s="86" t="s">
        <v>4494</v>
      </c>
      <c r="AD325" s="81"/>
      <c r="AE325" s="81" t="b">
        <v>0</v>
      </c>
      <c r="AF325" s="81">
        <v>0</v>
      </c>
      <c r="AG325" s="86" t="s">
        <v>6240</v>
      </c>
      <c r="AH325" s="81" t="b">
        <v>0</v>
      </c>
      <c r="AI325" s="81" t="s">
        <v>6478</v>
      </c>
      <c r="AJ325" s="81"/>
      <c r="AK325" s="86" t="s">
        <v>6240</v>
      </c>
      <c r="AL325" s="81" t="b">
        <v>0</v>
      </c>
      <c r="AM325" s="81">
        <v>49</v>
      </c>
      <c r="AN325" s="86" t="s">
        <v>5526</v>
      </c>
      <c r="AO325" s="86" t="s">
        <v>6505</v>
      </c>
      <c r="AP325" s="81" t="b">
        <v>0</v>
      </c>
      <c r="AQ325" s="86" t="s">
        <v>5526</v>
      </c>
      <c r="AR325" s="81" t="s">
        <v>179</v>
      </c>
      <c r="AS325" s="81">
        <v>0</v>
      </c>
      <c r="AT325" s="81">
        <v>0</v>
      </c>
      <c r="AU325" s="81"/>
      <c r="AV325" s="81"/>
      <c r="AW325" s="81"/>
      <c r="AX325" s="81"/>
      <c r="AY325" s="81"/>
      <c r="AZ325" s="81"/>
      <c r="BA325" s="81"/>
      <c r="BB325" s="81"/>
    </row>
    <row r="326" spans="1:54" x14ac:dyDescent="0.35">
      <c r="A326" s="66" t="s">
        <v>475</v>
      </c>
      <c r="B326" s="66" t="s">
        <v>335</v>
      </c>
      <c r="C326" s="67"/>
      <c r="D326" s="68"/>
      <c r="E326" s="69"/>
      <c r="F326" s="70"/>
      <c r="G326" s="67"/>
      <c r="H326" s="71"/>
      <c r="I326" s="72"/>
      <c r="J326" s="72"/>
      <c r="K326" s="36"/>
      <c r="L326" s="79"/>
      <c r="M326" s="79"/>
      <c r="N326" s="74"/>
      <c r="O326" s="81" t="s">
        <v>1532</v>
      </c>
      <c r="P326" s="83">
        <v>44460.018611111111</v>
      </c>
      <c r="Q326" s="81" t="s">
        <v>1586</v>
      </c>
      <c r="R326" s="81"/>
      <c r="S326" s="81"/>
      <c r="T326" s="81"/>
      <c r="U326" s="84" t="str">
        <f>HYPERLINK("https://pbs.twimg.com/ext_tw_video_thumb/1439603623520993285/pu/img/4NCBVhjvbYSKxAvX.jpg")</f>
        <v>https://pbs.twimg.com/ext_tw_video_thumb/1439603623520993285/pu/img/4NCBVhjvbYSKxAvX.jpg</v>
      </c>
      <c r="V326" s="84" t="str">
        <f>HYPERLINK("https://pbs.twimg.com/ext_tw_video_thumb/1439603623520993285/pu/img/4NCBVhjvbYSKxAvX.jpg")</f>
        <v>https://pbs.twimg.com/ext_tw_video_thumb/1439603623520993285/pu/img/4NCBVhjvbYSKxAvX.jpg</v>
      </c>
      <c r="W326" s="83">
        <v>44460.018611111111</v>
      </c>
      <c r="X326" s="89">
        <v>44460</v>
      </c>
      <c r="Y326" s="86" t="s">
        <v>3034</v>
      </c>
      <c r="Z326" s="84" t="str">
        <f>HYPERLINK("https://twitter.com/cheesychoc/status/1440110226141704195")</f>
        <v>https://twitter.com/cheesychoc/status/1440110226141704195</v>
      </c>
      <c r="AA326" s="81"/>
      <c r="AB326" s="81"/>
      <c r="AC326" s="86" t="s">
        <v>4495</v>
      </c>
      <c r="AD326" s="81"/>
      <c r="AE326" s="81" t="b">
        <v>0</v>
      </c>
      <c r="AF326" s="81">
        <v>0</v>
      </c>
      <c r="AG326" s="86" t="s">
        <v>6240</v>
      </c>
      <c r="AH326" s="81" t="b">
        <v>0</v>
      </c>
      <c r="AI326" s="81" t="s">
        <v>6478</v>
      </c>
      <c r="AJ326" s="81"/>
      <c r="AK326" s="86" t="s">
        <v>6240</v>
      </c>
      <c r="AL326" s="81" t="b">
        <v>0</v>
      </c>
      <c r="AM326" s="81">
        <v>102</v>
      </c>
      <c r="AN326" s="86" t="s">
        <v>4519</v>
      </c>
      <c r="AO326" s="86" t="s">
        <v>6505</v>
      </c>
      <c r="AP326" s="81" t="b">
        <v>0</v>
      </c>
      <c r="AQ326" s="86" t="s">
        <v>4519</v>
      </c>
      <c r="AR326" s="81" t="s">
        <v>179</v>
      </c>
      <c r="AS326" s="81">
        <v>0</v>
      </c>
      <c r="AT326" s="81">
        <v>0</v>
      </c>
      <c r="AU326" s="81"/>
      <c r="AV326" s="81"/>
      <c r="AW326" s="81"/>
      <c r="AX326" s="81"/>
      <c r="AY326" s="81"/>
      <c r="AZ326" s="81"/>
      <c r="BA326" s="81"/>
      <c r="BB326" s="81"/>
    </row>
    <row r="327" spans="1:54" x14ac:dyDescent="0.35">
      <c r="A327" s="66" t="s">
        <v>476</v>
      </c>
      <c r="B327" s="66" t="s">
        <v>476</v>
      </c>
      <c r="C327" s="67"/>
      <c r="D327" s="68"/>
      <c r="E327" s="69"/>
      <c r="F327" s="70"/>
      <c r="G327" s="67"/>
      <c r="H327" s="71"/>
      <c r="I327" s="72"/>
      <c r="J327" s="72"/>
      <c r="K327" s="36"/>
      <c r="L327" s="79"/>
      <c r="M327" s="79"/>
      <c r="N327" s="74"/>
      <c r="O327" s="81" t="s">
        <v>179</v>
      </c>
      <c r="P327" s="83">
        <v>44460.037673611114</v>
      </c>
      <c r="Q327" s="81" t="s">
        <v>1667</v>
      </c>
      <c r="R327" s="81"/>
      <c r="S327" s="81"/>
      <c r="T327" s="81"/>
      <c r="U327" s="81"/>
      <c r="V327" s="84" t="str">
        <f>HYPERLINK("https://pbs.twimg.com/profile_images/1152387842267471872/ZD4BHcke_normal.jpg")</f>
        <v>https://pbs.twimg.com/profile_images/1152387842267471872/ZD4BHcke_normal.jpg</v>
      </c>
      <c r="W327" s="83">
        <v>44460.037673611114</v>
      </c>
      <c r="X327" s="89">
        <v>44460</v>
      </c>
      <c r="Y327" s="86" t="s">
        <v>3035</v>
      </c>
      <c r="Z327" s="84" t="str">
        <f>HYPERLINK("https://twitter.com/ko2w/status/1440117132356845570")</f>
        <v>https://twitter.com/ko2w/status/1440117132356845570</v>
      </c>
      <c r="AA327" s="81"/>
      <c r="AB327" s="81"/>
      <c r="AC327" s="86" t="s">
        <v>4496</v>
      </c>
      <c r="AD327" s="81"/>
      <c r="AE327" s="81" t="b">
        <v>0</v>
      </c>
      <c r="AF327" s="81">
        <v>2</v>
      </c>
      <c r="AG327" s="86" t="s">
        <v>6240</v>
      </c>
      <c r="AH327" s="81" t="b">
        <v>0</v>
      </c>
      <c r="AI327" s="81" t="s">
        <v>6478</v>
      </c>
      <c r="AJ327" s="81"/>
      <c r="AK327" s="86" t="s">
        <v>6240</v>
      </c>
      <c r="AL327" s="81" t="b">
        <v>0</v>
      </c>
      <c r="AM327" s="81">
        <v>0</v>
      </c>
      <c r="AN327" s="86" t="s">
        <v>6240</v>
      </c>
      <c r="AO327" s="86" t="s">
        <v>6507</v>
      </c>
      <c r="AP327" s="81" t="b">
        <v>0</v>
      </c>
      <c r="AQ327" s="86" t="s">
        <v>4496</v>
      </c>
      <c r="AR327" s="81" t="s">
        <v>179</v>
      </c>
      <c r="AS327" s="81">
        <v>0</v>
      </c>
      <c r="AT327" s="81">
        <v>0</v>
      </c>
      <c r="AU327" s="81"/>
      <c r="AV327" s="81"/>
      <c r="AW327" s="81"/>
      <c r="AX327" s="81"/>
      <c r="AY327" s="81"/>
      <c r="AZ327" s="81"/>
      <c r="BA327" s="81"/>
      <c r="BB327" s="81"/>
    </row>
    <row r="328" spans="1:54" x14ac:dyDescent="0.35">
      <c r="A328" s="66" t="s">
        <v>477</v>
      </c>
      <c r="B328" s="66" t="s">
        <v>477</v>
      </c>
      <c r="C328" s="67"/>
      <c r="D328" s="68"/>
      <c r="E328" s="69"/>
      <c r="F328" s="70"/>
      <c r="G328" s="67"/>
      <c r="H328" s="71"/>
      <c r="I328" s="72"/>
      <c r="J328" s="72"/>
      <c r="K328" s="36"/>
      <c r="L328" s="79"/>
      <c r="M328" s="79"/>
      <c r="N328" s="74"/>
      <c r="O328" s="81" t="s">
        <v>179</v>
      </c>
      <c r="P328" s="83">
        <v>44460.049444444441</v>
      </c>
      <c r="Q328" s="81" t="s">
        <v>1668</v>
      </c>
      <c r="R328" s="81"/>
      <c r="S328" s="81"/>
      <c r="T328" s="86" t="s">
        <v>2670</v>
      </c>
      <c r="U328" s="84" t="str">
        <f>HYPERLINK("https://pbs.twimg.com/media/E_xWxdVUUAIRsIf.jpg")</f>
        <v>https://pbs.twimg.com/media/E_xWxdVUUAIRsIf.jpg</v>
      </c>
      <c r="V328" s="84" t="str">
        <f>HYPERLINK("https://pbs.twimg.com/media/E_xWxdVUUAIRsIf.jpg")</f>
        <v>https://pbs.twimg.com/media/E_xWxdVUUAIRsIf.jpg</v>
      </c>
      <c r="W328" s="83">
        <v>44460.049444444441</v>
      </c>
      <c r="X328" s="89">
        <v>44460</v>
      </c>
      <c r="Y328" s="86" t="s">
        <v>3036</v>
      </c>
      <c r="Z328" s="84" t="str">
        <f>HYPERLINK("https://twitter.com/eljohnfmpku/status/1440121398827966470")</f>
        <v>https://twitter.com/eljohnfmpku/status/1440121398827966470</v>
      </c>
      <c r="AA328" s="81"/>
      <c r="AB328" s="81"/>
      <c r="AC328" s="86" t="s">
        <v>4497</v>
      </c>
      <c r="AD328" s="81"/>
      <c r="AE328" s="81" t="b">
        <v>0</v>
      </c>
      <c r="AF328" s="81">
        <v>0</v>
      </c>
      <c r="AG328" s="86" t="s">
        <v>6240</v>
      </c>
      <c r="AH328" s="81" t="b">
        <v>0</v>
      </c>
      <c r="AI328" s="81" t="s">
        <v>6478</v>
      </c>
      <c r="AJ328" s="81"/>
      <c r="AK328" s="86" t="s">
        <v>6240</v>
      </c>
      <c r="AL328" s="81" t="b">
        <v>0</v>
      </c>
      <c r="AM328" s="81">
        <v>0</v>
      </c>
      <c r="AN328" s="86" t="s">
        <v>6240</v>
      </c>
      <c r="AO328" s="86" t="s">
        <v>6505</v>
      </c>
      <c r="AP328" s="81" t="b">
        <v>0</v>
      </c>
      <c r="AQ328" s="86" t="s">
        <v>4497</v>
      </c>
      <c r="AR328" s="81" t="s">
        <v>179</v>
      </c>
      <c r="AS328" s="81">
        <v>0</v>
      </c>
      <c r="AT328" s="81">
        <v>0</v>
      </c>
      <c r="AU328" s="81"/>
      <c r="AV328" s="81"/>
      <c r="AW328" s="81"/>
      <c r="AX328" s="81"/>
      <c r="AY328" s="81"/>
      <c r="AZ328" s="81"/>
      <c r="BA328" s="81"/>
      <c r="BB328" s="81"/>
    </row>
    <row r="329" spans="1:54" x14ac:dyDescent="0.35">
      <c r="A329" s="66" t="s">
        <v>478</v>
      </c>
      <c r="B329" s="66" t="s">
        <v>478</v>
      </c>
      <c r="C329" s="67"/>
      <c r="D329" s="68"/>
      <c r="E329" s="69"/>
      <c r="F329" s="70"/>
      <c r="G329" s="67"/>
      <c r="H329" s="71"/>
      <c r="I329" s="72"/>
      <c r="J329" s="72"/>
      <c r="K329" s="36"/>
      <c r="L329" s="79"/>
      <c r="M329" s="79"/>
      <c r="N329" s="74"/>
      <c r="O329" s="81" t="s">
        <v>179</v>
      </c>
      <c r="P329" s="83">
        <v>44460.09207175926</v>
      </c>
      <c r="Q329" s="81" t="s">
        <v>1669</v>
      </c>
      <c r="R329" s="81"/>
      <c r="S329" s="81"/>
      <c r="T329" s="86" t="s">
        <v>599</v>
      </c>
      <c r="U329" s="81"/>
      <c r="V329" s="84" t="str">
        <f>HYPERLINK("https://pbs.twimg.com/profile_images/1442709714844860419/BKrZk35-_normal.jpg")</f>
        <v>https://pbs.twimg.com/profile_images/1442709714844860419/BKrZk35-_normal.jpg</v>
      </c>
      <c r="W329" s="83">
        <v>44460.09207175926</v>
      </c>
      <c r="X329" s="89">
        <v>44460</v>
      </c>
      <c r="Y329" s="86" t="s">
        <v>3037</v>
      </c>
      <c r="Z329" s="84" t="str">
        <f>HYPERLINK("https://twitter.com/mcrkluv/status/1440136845619187714")</f>
        <v>https://twitter.com/mcrkluv/status/1440136845619187714</v>
      </c>
      <c r="AA329" s="81"/>
      <c r="AB329" s="81"/>
      <c r="AC329" s="86" t="s">
        <v>4498</v>
      </c>
      <c r="AD329" s="81"/>
      <c r="AE329" s="81" t="b">
        <v>0</v>
      </c>
      <c r="AF329" s="81">
        <v>1</v>
      </c>
      <c r="AG329" s="86" t="s">
        <v>6240</v>
      </c>
      <c r="AH329" s="81" t="b">
        <v>0</v>
      </c>
      <c r="AI329" s="81" t="s">
        <v>6479</v>
      </c>
      <c r="AJ329" s="81"/>
      <c r="AK329" s="86" t="s">
        <v>6240</v>
      </c>
      <c r="AL329" s="81" t="b">
        <v>0</v>
      </c>
      <c r="AM329" s="81">
        <v>2</v>
      </c>
      <c r="AN329" s="86" t="s">
        <v>6240</v>
      </c>
      <c r="AO329" s="86" t="s">
        <v>6505</v>
      </c>
      <c r="AP329" s="81" t="b">
        <v>0</v>
      </c>
      <c r="AQ329" s="86" t="s">
        <v>4498</v>
      </c>
      <c r="AR329" s="81" t="s">
        <v>179</v>
      </c>
      <c r="AS329" s="81">
        <v>0</v>
      </c>
      <c r="AT329" s="81">
        <v>0</v>
      </c>
      <c r="AU329" s="81"/>
      <c r="AV329" s="81"/>
      <c r="AW329" s="81"/>
      <c r="AX329" s="81"/>
      <c r="AY329" s="81"/>
      <c r="AZ329" s="81"/>
      <c r="BA329" s="81"/>
      <c r="BB329" s="81"/>
    </row>
    <row r="330" spans="1:54" x14ac:dyDescent="0.35">
      <c r="A330" s="66" t="s">
        <v>479</v>
      </c>
      <c r="B330" s="66" t="s">
        <v>478</v>
      </c>
      <c r="C330" s="67"/>
      <c r="D330" s="68"/>
      <c r="E330" s="69"/>
      <c r="F330" s="70"/>
      <c r="G330" s="67"/>
      <c r="H330" s="71"/>
      <c r="I330" s="72"/>
      <c r="J330" s="72"/>
      <c r="K330" s="36"/>
      <c r="L330" s="79"/>
      <c r="M330" s="79"/>
      <c r="N330" s="74"/>
      <c r="O330" s="81" t="s">
        <v>1532</v>
      </c>
      <c r="P330" s="83">
        <v>44460.093402777777</v>
      </c>
      <c r="Q330" s="81" t="s">
        <v>1669</v>
      </c>
      <c r="R330" s="81"/>
      <c r="S330" s="81"/>
      <c r="T330" s="86" t="s">
        <v>599</v>
      </c>
      <c r="U330" s="81"/>
      <c r="V330" s="84" t="str">
        <f>HYPERLINK("https://pbs.twimg.com/profile_images/1437053919201398784/WYwXVqCA_normal.png")</f>
        <v>https://pbs.twimg.com/profile_images/1437053919201398784/WYwXVqCA_normal.png</v>
      </c>
      <c r="W330" s="83">
        <v>44460.093402777777</v>
      </c>
      <c r="X330" s="89">
        <v>44460</v>
      </c>
      <c r="Y330" s="86" t="s">
        <v>3038</v>
      </c>
      <c r="Z330" s="84" t="str">
        <f>HYPERLINK("https://twitter.com/hazirahbodo/status/1440137330807902221")</f>
        <v>https://twitter.com/hazirahbodo/status/1440137330807902221</v>
      </c>
      <c r="AA330" s="81"/>
      <c r="AB330" s="81"/>
      <c r="AC330" s="86" t="s">
        <v>4499</v>
      </c>
      <c r="AD330" s="81"/>
      <c r="AE330" s="81" t="b">
        <v>0</v>
      </c>
      <c r="AF330" s="81">
        <v>0</v>
      </c>
      <c r="AG330" s="86" t="s">
        <v>6240</v>
      </c>
      <c r="AH330" s="81" t="b">
        <v>0</v>
      </c>
      <c r="AI330" s="81" t="s">
        <v>6479</v>
      </c>
      <c r="AJ330" s="81"/>
      <c r="AK330" s="86" t="s">
        <v>6240</v>
      </c>
      <c r="AL330" s="81" t="b">
        <v>0</v>
      </c>
      <c r="AM330" s="81">
        <v>2</v>
      </c>
      <c r="AN330" s="86" t="s">
        <v>4498</v>
      </c>
      <c r="AO330" s="86" t="s">
        <v>6503</v>
      </c>
      <c r="AP330" s="81" t="b">
        <v>0</v>
      </c>
      <c r="AQ330" s="86" t="s">
        <v>4498</v>
      </c>
      <c r="AR330" s="81" t="s">
        <v>179</v>
      </c>
      <c r="AS330" s="81">
        <v>0</v>
      </c>
      <c r="AT330" s="81">
        <v>0</v>
      </c>
      <c r="AU330" s="81"/>
      <c r="AV330" s="81"/>
      <c r="AW330" s="81"/>
      <c r="AX330" s="81"/>
      <c r="AY330" s="81"/>
      <c r="AZ330" s="81"/>
      <c r="BA330" s="81"/>
      <c r="BB330" s="81"/>
    </row>
    <row r="331" spans="1:54" x14ac:dyDescent="0.35">
      <c r="A331" s="66" t="s">
        <v>480</v>
      </c>
      <c r="B331" s="66" t="s">
        <v>480</v>
      </c>
      <c r="C331" s="67"/>
      <c r="D331" s="68"/>
      <c r="E331" s="69"/>
      <c r="F331" s="70"/>
      <c r="G331" s="67"/>
      <c r="H331" s="71"/>
      <c r="I331" s="72"/>
      <c r="J331" s="72"/>
      <c r="K331" s="36"/>
      <c r="L331" s="79"/>
      <c r="M331" s="79"/>
      <c r="N331" s="74"/>
      <c r="O331" s="81" t="s">
        <v>179</v>
      </c>
      <c r="P331" s="83">
        <v>44460.100787037038</v>
      </c>
      <c r="Q331" s="81" t="s">
        <v>1670</v>
      </c>
      <c r="R331" s="84" t="str">
        <f>HYPERLINK("https://twitter.com/junghn19/status/1439929396693909506")</f>
        <v>https://twitter.com/junghn19/status/1439929396693909506</v>
      </c>
      <c r="S331" s="81" t="s">
        <v>2588</v>
      </c>
      <c r="T331" s="81"/>
      <c r="U331" s="81"/>
      <c r="V331" s="84" t="str">
        <f>HYPERLINK("https://pbs.twimg.com/profile_images/1440969946138177536/rC0CLkUF_normal.jpg")</f>
        <v>https://pbs.twimg.com/profile_images/1440969946138177536/rC0CLkUF_normal.jpg</v>
      </c>
      <c r="W331" s="83">
        <v>44460.100787037038</v>
      </c>
      <c r="X331" s="89">
        <v>44460</v>
      </c>
      <c r="Y331" s="86" t="s">
        <v>3039</v>
      </c>
      <c r="Z331" s="84" t="str">
        <f>HYPERLINK("https://twitter.com/fiyybby_/status/1440140006585106444")</f>
        <v>https://twitter.com/fiyybby_/status/1440140006585106444</v>
      </c>
      <c r="AA331" s="81"/>
      <c r="AB331" s="81"/>
      <c r="AC331" s="86" t="s">
        <v>4500</v>
      </c>
      <c r="AD331" s="81"/>
      <c r="AE331" s="81" t="b">
        <v>0</v>
      </c>
      <c r="AF331" s="81">
        <v>0</v>
      </c>
      <c r="AG331" s="86" t="s">
        <v>6240</v>
      </c>
      <c r="AH331" s="81" t="b">
        <v>1</v>
      </c>
      <c r="AI331" s="81" t="s">
        <v>6478</v>
      </c>
      <c r="AJ331" s="81"/>
      <c r="AK331" s="86" t="s">
        <v>6495</v>
      </c>
      <c r="AL331" s="81" t="b">
        <v>0</v>
      </c>
      <c r="AM331" s="81">
        <v>0</v>
      </c>
      <c r="AN331" s="86" t="s">
        <v>6240</v>
      </c>
      <c r="AO331" s="86" t="s">
        <v>6503</v>
      </c>
      <c r="AP331" s="81" t="b">
        <v>0</v>
      </c>
      <c r="AQ331" s="86" t="s">
        <v>4500</v>
      </c>
      <c r="AR331" s="81" t="s">
        <v>179</v>
      </c>
      <c r="AS331" s="81">
        <v>0</v>
      </c>
      <c r="AT331" s="81">
        <v>0</v>
      </c>
      <c r="AU331" s="81"/>
      <c r="AV331" s="81"/>
      <c r="AW331" s="81"/>
      <c r="AX331" s="81"/>
      <c r="AY331" s="81"/>
      <c r="AZ331" s="81"/>
      <c r="BA331" s="81"/>
      <c r="BB331" s="81"/>
    </row>
    <row r="332" spans="1:54" x14ac:dyDescent="0.35">
      <c r="A332" s="66" t="s">
        <v>481</v>
      </c>
      <c r="B332" s="66" t="s">
        <v>480</v>
      </c>
      <c r="C332" s="67"/>
      <c r="D332" s="68"/>
      <c r="E332" s="69"/>
      <c r="F332" s="70"/>
      <c r="G332" s="67"/>
      <c r="H332" s="71"/>
      <c r="I332" s="72"/>
      <c r="J332" s="72"/>
      <c r="K332" s="36"/>
      <c r="L332" s="79"/>
      <c r="M332" s="79"/>
      <c r="N332" s="74"/>
      <c r="O332" s="81" t="s">
        <v>1534</v>
      </c>
      <c r="P332" s="83">
        <v>44460.106608796297</v>
      </c>
      <c r="Q332" s="81" t="s">
        <v>1671</v>
      </c>
      <c r="R332" s="81"/>
      <c r="S332" s="81"/>
      <c r="T332" s="81"/>
      <c r="U332" s="81"/>
      <c r="V332" s="84" t="str">
        <f>HYPERLINK("https://pbs.twimg.com/profile_images/1439254596103249922/AK3p_8hH_normal.jpg")</f>
        <v>https://pbs.twimg.com/profile_images/1439254596103249922/AK3p_8hH_normal.jpg</v>
      </c>
      <c r="W332" s="83">
        <v>44460.106608796297</v>
      </c>
      <c r="X332" s="89">
        <v>44460</v>
      </c>
      <c r="Y332" s="86" t="s">
        <v>3040</v>
      </c>
      <c r="Z332" s="84" t="str">
        <f>HYPERLINK("https://twitter.com/gorugodore/status/1440142115082674186")</f>
        <v>https://twitter.com/gorugodore/status/1440142115082674186</v>
      </c>
      <c r="AA332" s="81"/>
      <c r="AB332" s="81"/>
      <c r="AC332" s="86" t="s">
        <v>4501</v>
      </c>
      <c r="AD332" s="86" t="s">
        <v>4500</v>
      </c>
      <c r="AE332" s="81" t="b">
        <v>0</v>
      </c>
      <c r="AF332" s="81">
        <v>0</v>
      </c>
      <c r="AG332" s="86" t="s">
        <v>6284</v>
      </c>
      <c r="AH332" s="81" t="b">
        <v>0</v>
      </c>
      <c r="AI332" s="81" t="s">
        <v>6478</v>
      </c>
      <c r="AJ332" s="81"/>
      <c r="AK332" s="86" t="s">
        <v>6240</v>
      </c>
      <c r="AL332" s="81" t="b">
        <v>0</v>
      </c>
      <c r="AM332" s="81">
        <v>0</v>
      </c>
      <c r="AN332" s="86" t="s">
        <v>6240</v>
      </c>
      <c r="AO332" s="86" t="s">
        <v>6507</v>
      </c>
      <c r="AP332" s="81" t="b">
        <v>0</v>
      </c>
      <c r="AQ332" s="86" t="s">
        <v>4500</v>
      </c>
      <c r="AR332" s="81" t="s">
        <v>179</v>
      </c>
      <c r="AS332" s="81">
        <v>0</v>
      </c>
      <c r="AT332" s="81">
        <v>0</v>
      </c>
      <c r="AU332" s="81"/>
      <c r="AV332" s="81"/>
      <c r="AW332" s="81"/>
      <c r="AX332" s="81"/>
      <c r="AY332" s="81"/>
      <c r="AZ332" s="81"/>
      <c r="BA332" s="81"/>
      <c r="BB332" s="81"/>
    </row>
    <row r="333" spans="1:54" x14ac:dyDescent="0.35">
      <c r="A333" s="66" t="s">
        <v>482</v>
      </c>
      <c r="B333" s="66" t="s">
        <v>1268</v>
      </c>
      <c r="C333" s="67"/>
      <c r="D333" s="68"/>
      <c r="E333" s="69"/>
      <c r="F333" s="70"/>
      <c r="G333" s="67"/>
      <c r="H333" s="71"/>
      <c r="I333" s="72"/>
      <c r="J333" s="72"/>
      <c r="K333" s="36"/>
      <c r="L333" s="79"/>
      <c r="M333" s="79"/>
      <c r="N333" s="74"/>
      <c r="O333" s="81" t="s">
        <v>1534</v>
      </c>
      <c r="P333" s="83">
        <v>44460.108807870369</v>
      </c>
      <c r="Q333" s="81" t="s">
        <v>1672</v>
      </c>
      <c r="R333" s="81"/>
      <c r="S333" s="81"/>
      <c r="T333" s="81"/>
      <c r="U333" s="81"/>
      <c r="V333" s="84" t="str">
        <f>HYPERLINK("https://pbs.twimg.com/profile_images/1376528013844615174/p-Fzz3gm_normal.jpg")</f>
        <v>https://pbs.twimg.com/profile_images/1376528013844615174/p-Fzz3gm_normal.jpg</v>
      </c>
      <c r="W333" s="83">
        <v>44460.108807870369</v>
      </c>
      <c r="X333" s="89">
        <v>44460</v>
      </c>
      <c r="Y333" s="86" t="s">
        <v>3041</v>
      </c>
      <c r="Z333" s="84" t="str">
        <f>HYPERLINK("https://twitter.com/yuniyunayy/status/1440142913174847489")</f>
        <v>https://twitter.com/yuniyunayy/status/1440142913174847489</v>
      </c>
      <c r="AA333" s="81"/>
      <c r="AB333" s="81"/>
      <c r="AC333" s="86" t="s">
        <v>4502</v>
      </c>
      <c r="AD333" s="86" t="s">
        <v>6016</v>
      </c>
      <c r="AE333" s="81" t="b">
        <v>0</v>
      </c>
      <c r="AF333" s="81">
        <v>0</v>
      </c>
      <c r="AG333" s="86" t="s">
        <v>6285</v>
      </c>
      <c r="AH333" s="81" t="b">
        <v>0</v>
      </c>
      <c r="AI333" s="81" t="s">
        <v>6478</v>
      </c>
      <c r="AJ333" s="81"/>
      <c r="AK333" s="86" t="s">
        <v>6240</v>
      </c>
      <c r="AL333" s="81" t="b">
        <v>0</v>
      </c>
      <c r="AM333" s="81">
        <v>0</v>
      </c>
      <c r="AN333" s="86" t="s">
        <v>6240</v>
      </c>
      <c r="AO333" s="86" t="s">
        <v>6503</v>
      </c>
      <c r="AP333" s="81" t="b">
        <v>0</v>
      </c>
      <c r="AQ333" s="86" t="s">
        <v>6016</v>
      </c>
      <c r="AR333" s="81" t="s">
        <v>179</v>
      </c>
      <c r="AS333" s="81">
        <v>0</v>
      </c>
      <c r="AT333" s="81">
        <v>0</v>
      </c>
      <c r="AU333" s="81"/>
      <c r="AV333" s="81"/>
      <c r="AW333" s="81"/>
      <c r="AX333" s="81"/>
      <c r="AY333" s="81"/>
      <c r="AZ333" s="81"/>
      <c r="BA333" s="81"/>
      <c r="BB333" s="81"/>
    </row>
    <row r="334" spans="1:54" x14ac:dyDescent="0.35">
      <c r="A334" s="66" t="s">
        <v>483</v>
      </c>
      <c r="B334" s="66" t="s">
        <v>483</v>
      </c>
      <c r="C334" s="67"/>
      <c r="D334" s="68"/>
      <c r="E334" s="69"/>
      <c r="F334" s="70"/>
      <c r="G334" s="67"/>
      <c r="H334" s="71"/>
      <c r="I334" s="72"/>
      <c r="J334" s="72"/>
      <c r="K334" s="36"/>
      <c r="L334" s="79"/>
      <c r="M334" s="79"/>
      <c r="N334" s="74"/>
      <c r="O334" s="81" t="s">
        <v>179</v>
      </c>
      <c r="P334" s="83">
        <v>44460.119768518518</v>
      </c>
      <c r="Q334" s="81" t="s">
        <v>1673</v>
      </c>
      <c r="R334" s="81"/>
      <c r="S334" s="81"/>
      <c r="T334" s="81"/>
      <c r="U334" s="81"/>
      <c r="V334" s="84" t="str">
        <f>HYPERLINK("https://pbs.twimg.com/profile_images/1441310242529107970/jEwteGi9_normal.jpg")</f>
        <v>https://pbs.twimg.com/profile_images/1441310242529107970/jEwteGi9_normal.jpg</v>
      </c>
      <c r="W334" s="83">
        <v>44460.119768518518</v>
      </c>
      <c r="X334" s="89">
        <v>44460</v>
      </c>
      <c r="Y334" s="86" t="s">
        <v>3042</v>
      </c>
      <c r="Z334" s="84" t="str">
        <f>HYPERLINK("https://twitter.com/_daisybea17/status/1440146883591114754")</f>
        <v>https://twitter.com/_daisybea17/status/1440146883591114754</v>
      </c>
      <c r="AA334" s="81"/>
      <c r="AB334" s="81"/>
      <c r="AC334" s="86" t="s">
        <v>4503</v>
      </c>
      <c r="AD334" s="81"/>
      <c r="AE334" s="81" t="b">
        <v>0</v>
      </c>
      <c r="AF334" s="81">
        <v>0</v>
      </c>
      <c r="AG334" s="86" t="s">
        <v>6240</v>
      </c>
      <c r="AH334" s="81" t="b">
        <v>0</v>
      </c>
      <c r="AI334" s="81" t="s">
        <v>6478</v>
      </c>
      <c r="AJ334" s="81"/>
      <c r="AK334" s="86" t="s">
        <v>6240</v>
      </c>
      <c r="AL334" s="81" t="b">
        <v>0</v>
      </c>
      <c r="AM334" s="81">
        <v>0</v>
      </c>
      <c r="AN334" s="86" t="s">
        <v>6240</v>
      </c>
      <c r="AO334" s="86" t="s">
        <v>6503</v>
      </c>
      <c r="AP334" s="81" t="b">
        <v>0</v>
      </c>
      <c r="AQ334" s="86" t="s">
        <v>4503</v>
      </c>
      <c r="AR334" s="81" t="s">
        <v>179</v>
      </c>
      <c r="AS334" s="81">
        <v>0</v>
      </c>
      <c r="AT334" s="81">
        <v>0</v>
      </c>
      <c r="AU334" s="81"/>
      <c r="AV334" s="81"/>
      <c r="AW334" s="81"/>
      <c r="AX334" s="81"/>
      <c r="AY334" s="81"/>
      <c r="AZ334" s="81"/>
      <c r="BA334" s="81"/>
      <c r="BB334" s="81"/>
    </row>
    <row r="335" spans="1:54" x14ac:dyDescent="0.35">
      <c r="A335" s="66" t="s">
        <v>484</v>
      </c>
      <c r="B335" s="66" t="s">
        <v>1316</v>
      </c>
      <c r="C335" s="67"/>
      <c r="D335" s="68"/>
      <c r="E335" s="69"/>
      <c r="F335" s="70"/>
      <c r="G335" s="67"/>
      <c r="H335" s="71"/>
      <c r="I335" s="72"/>
      <c r="J335" s="72"/>
      <c r="K335" s="36"/>
      <c r="L335" s="79"/>
      <c r="M335" s="79"/>
      <c r="N335" s="74"/>
      <c r="O335" s="81" t="s">
        <v>1533</v>
      </c>
      <c r="P335" s="83">
        <v>44460.126134259262</v>
      </c>
      <c r="Q335" s="81" t="s">
        <v>1674</v>
      </c>
      <c r="R335" s="81"/>
      <c r="S335" s="81"/>
      <c r="T335" s="86" t="s">
        <v>2671</v>
      </c>
      <c r="U335" s="84" t="str">
        <f>HYPERLINK("https://pbs.twimg.com/media/E_xv_zuVkAUKwdt.jpg")</f>
        <v>https://pbs.twimg.com/media/E_xv_zuVkAUKwdt.jpg</v>
      </c>
      <c r="V335" s="84" t="str">
        <f>HYPERLINK("https://pbs.twimg.com/media/E_xv_zuVkAUKwdt.jpg")</f>
        <v>https://pbs.twimg.com/media/E_xv_zuVkAUKwdt.jpg</v>
      </c>
      <c r="W335" s="83">
        <v>44460.126134259262</v>
      </c>
      <c r="X335" s="89">
        <v>44460</v>
      </c>
      <c r="Y335" s="86" t="s">
        <v>3043</v>
      </c>
      <c r="Z335" s="84" t="str">
        <f>HYPERLINK("https://twitter.com/ainulyakin1003/status/1440149189447483394")</f>
        <v>https://twitter.com/ainulyakin1003/status/1440149189447483394</v>
      </c>
      <c r="AA335" s="81"/>
      <c r="AB335" s="81"/>
      <c r="AC335" s="86" t="s">
        <v>4504</v>
      </c>
      <c r="AD335" s="81"/>
      <c r="AE335" s="81" t="b">
        <v>0</v>
      </c>
      <c r="AF335" s="81">
        <v>0</v>
      </c>
      <c r="AG335" s="86" t="s">
        <v>6240</v>
      </c>
      <c r="AH335" s="81" t="b">
        <v>0</v>
      </c>
      <c r="AI335" s="81" t="s">
        <v>6478</v>
      </c>
      <c r="AJ335" s="81"/>
      <c r="AK335" s="86" t="s">
        <v>6240</v>
      </c>
      <c r="AL335" s="81" t="b">
        <v>0</v>
      </c>
      <c r="AM335" s="81">
        <v>14</v>
      </c>
      <c r="AN335" s="86" t="s">
        <v>4528</v>
      </c>
      <c r="AO335" s="86" t="s">
        <v>6507</v>
      </c>
      <c r="AP335" s="81" t="b">
        <v>0</v>
      </c>
      <c r="AQ335" s="86" t="s">
        <v>4528</v>
      </c>
      <c r="AR335" s="81" t="s">
        <v>179</v>
      </c>
      <c r="AS335" s="81">
        <v>0</v>
      </c>
      <c r="AT335" s="81">
        <v>0</v>
      </c>
      <c r="AU335" s="81"/>
      <c r="AV335" s="81"/>
      <c r="AW335" s="81"/>
      <c r="AX335" s="81"/>
      <c r="AY335" s="81"/>
      <c r="AZ335" s="81"/>
      <c r="BA335" s="81"/>
      <c r="BB335" s="81"/>
    </row>
    <row r="336" spans="1:54" x14ac:dyDescent="0.35">
      <c r="A336" s="66" t="s">
        <v>484</v>
      </c>
      <c r="B336" s="66" t="s">
        <v>1317</v>
      </c>
      <c r="C336" s="67"/>
      <c r="D336" s="68"/>
      <c r="E336" s="69"/>
      <c r="F336" s="70"/>
      <c r="G336" s="67"/>
      <c r="H336" s="71"/>
      <c r="I336" s="72"/>
      <c r="J336" s="72"/>
      <c r="K336" s="36"/>
      <c r="L336" s="79"/>
      <c r="M336" s="79"/>
      <c r="N336" s="74"/>
      <c r="O336" s="81" t="s">
        <v>1533</v>
      </c>
      <c r="P336" s="83">
        <v>44460.126134259262</v>
      </c>
      <c r="Q336" s="81" t="s">
        <v>1674</v>
      </c>
      <c r="R336" s="81"/>
      <c r="S336" s="81"/>
      <c r="T336" s="86" t="s">
        <v>2671</v>
      </c>
      <c r="U336" s="84" t="str">
        <f>HYPERLINK("https://pbs.twimg.com/media/E_xv_zuVkAUKwdt.jpg")</f>
        <v>https://pbs.twimg.com/media/E_xv_zuVkAUKwdt.jpg</v>
      </c>
      <c r="V336" s="84" t="str">
        <f>HYPERLINK("https://pbs.twimg.com/media/E_xv_zuVkAUKwdt.jpg")</f>
        <v>https://pbs.twimg.com/media/E_xv_zuVkAUKwdt.jpg</v>
      </c>
      <c r="W336" s="83">
        <v>44460.126134259262</v>
      </c>
      <c r="X336" s="89">
        <v>44460</v>
      </c>
      <c r="Y336" s="86" t="s">
        <v>3043</v>
      </c>
      <c r="Z336" s="84" t="str">
        <f>HYPERLINK("https://twitter.com/ainulyakin1003/status/1440149189447483394")</f>
        <v>https://twitter.com/ainulyakin1003/status/1440149189447483394</v>
      </c>
      <c r="AA336" s="81"/>
      <c r="AB336" s="81"/>
      <c r="AC336" s="86" t="s">
        <v>4504</v>
      </c>
      <c r="AD336" s="81"/>
      <c r="AE336" s="81" t="b">
        <v>0</v>
      </c>
      <c r="AF336" s="81">
        <v>0</v>
      </c>
      <c r="AG336" s="86" t="s">
        <v>6240</v>
      </c>
      <c r="AH336" s="81" t="b">
        <v>0</v>
      </c>
      <c r="AI336" s="81" t="s">
        <v>6478</v>
      </c>
      <c r="AJ336" s="81"/>
      <c r="AK336" s="86" t="s">
        <v>6240</v>
      </c>
      <c r="AL336" s="81" t="b">
        <v>0</v>
      </c>
      <c r="AM336" s="81">
        <v>14</v>
      </c>
      <c r="AN336" s="86" t="s">
        <v>4528</v>
      </c>
      <c r="AO336" s="86" t="s">
        <v>6507</v>
      </c>
      <c r="AP336" s="81" t="b">
        <v>0</v>
      </c>
      <c r="AQ336" s="86" t="s">
        <v>4528</v>
      </c>
      <c r="AR336" s="81" t="s">
        <v>179</v>
      </c>
      <c r="AS336" s="81">
        <v>0</v>
      </c>
      <c r="AT336" s="81">
        <v>0</v>
      </c>
      <c r="AU336" s="81"/>
      <c r="AV336" s="81"/>
      <c r="AW336" s="81"/>
      <c r="AX336" s="81"/>
      <c r="AY336" s="81"/>
      <c r="AZ336" s="81"/>
      <c r="BA336" s="81"/>
      <c r="BB336" s="81"/>
    </row>
    <row r="337" spans="1:54" x14ac:dyDescent="0.35">
      <c r="A337" s="66" t="s">
        <v>484</v>
      </c>
      <c r="B337" s="66" t="s">
        <v>1318</v>
      </c>
      <c r="C337" s="67"/>
      <c r="D337" s="68"/>
      <c r="E337" s="69"/>
      <c r="F337" s="70"/>
      <c r="G337" s="67"/>
      <c r="H337" s="71"/>
      <c r="I337" s="72"/>
      <c r="J337" s="72"/>
      <c r="K337" s="36"/>
      <c r="L337" s="79"/>
      <c r="M337" s="79"/>
      <c r="N337" s="74"/>
      <c r="O337" s="81" t="s">
        <v>1533</v>
      </c>
      <c r="P337" s="83">
        <v>44460.126134259262</v>
      </c>
      <c r="Q337" s="81" t="s">
        <v>1674</v>
      </c>
      <c r="R337" s="81"/>
      <c r="S337" s="81"/>
      <c r="T337" s="86" t="s">
        <v>2671</v>
      </c>
      <c r="U337" s="84" t="str">
        <f>HYPERLINK("https://pbs.twimg.com/media/E_xv_zuVkAUKwdt.jpg")</f>
        <v>https://pbs.twimg.com/media/E_xv_zuVkAUKwdt.jpg</v>
      </c>
      <c r="V337" s="84" t="str">
        <f>HYPERLINK("https://pbs.twimg.com/media/E_xv_zuVkAUKwdt.jpg")</f>
        <v>https://pbs.twimg.com/media/E_xv_zuVkAUKwdt.jpg</v>
      </c>
      <c r="W337" s="83">
        <v>44460.126134259262</v>
      </c>
      <c r="X337" s="89">
        <v>44460</v>
      </c>
      <c r="Y337" s="86" t="s">
        <v>3043</v>
      </c>
      <c r="Z337" s="84" t="str">
        <f>HYPERLINK("https://twitter.com/ainulyakin1003/status/1440149189447483394")</f>
        <v>https://twitter.com/ainulyakin1003/status/1440149189447483394</v>
      </c>
      <c r="AA337" s="81"/>
      <c r="AB337" s="81"/>
      <c r="AC337" s="86" t="s">
        <v>4504</v>
      </c>
      <c r="AD337" s="81"/>
      <c r="AE337" s="81" t="b">
        <v>0</v>
      </c>
      <c r="AF337" s="81">
        <v>0</v>
      </c>
      <c r="AG337" s="86" t="s">
        <v>6240</v>
      </c>
      <c r="AH337" s="81" t="b">
        <v>0</v>
      </c>
      <c r="AI337" s="81" t="s">
        <v>6478</v>
      </c>
      <c r="AJ337" s="81"/>
      <c r="AK337" s="86" t="s">
        <v>6240</v>
      </c>
      <c r="AL337" s="81" t="b">
        <v>0</v>
      </c>
      <c r="AM337" s="81">
        <v>14</v>
      </c>
      <c r="AN337" s="86" t="s">
        <v>4528</v>
      </c>
      <c r="AO337" s="86" t="s">
        <v>6507</v>
      </c>
      <c r="AP337" s="81" t="b">
        <v>0</v>
      </c>
      <c r="AQ337" s="86" t="s">
        <v>4528</v>
      </c>
      <c r="AR337" s="81" t="s">
        <v>179</v>
      </c>
      <c r="AS337" s="81">
        <v>0</v>
      </c>
      <c r="AT337" s="81">
        <v>0</v>
      </c>
      <c r="AU337" s="81"/>
      <c r="AV337" s="81"/>
      <c r="AW337" s="81"/>
      <c r="AX337" s="81"/>
      <c r="AY337" s="81"/>
      <c r="AZ337" s="81"/>
      <c r="BA337" s="81"/>
      <c r="BB337" s="81"/>
    </row>
    <row r="338" spans="1:54" x14ac:dyDescent="0.35">
      <c r="A338" s="66" t="s">
        <v>484</v>
      </c>
      <c r="B338" s="66" t="s">
        <v>1319</v>
      </c>
      <c r="C338" s="67"/>
      <c r="D338" s="68"/>
      <c r="E338" s="69"/>
      <c r="F338" s="70"/>
      <c r="G338" s="67"/>
      <c r="H338" s="71"/>
      <c r="I338" s="72"/>
      <c r="J338" s="72"/>
      <c r="K338" s="36"/>
      <c r="L338" s="79"/>
      <c r="M338" s="79"/>
      <c r="N338" s="74"/>
      <c r="O338" s="81" t="s">
        <v>1533</v>
      </c>
      <c r="P338" s="83">
        <v>44460.126134259262</v>
      </c>
      <c r="Q338" s="81" t="s">
        <v>1674</v>
      </c>
      <c r="R338" s="81"/>
      <c r="S338" s="81"/>
      <c r="T338" s="86" t="s">
        <v>2671</v>
      </c>
      <c r="U338" s="84" t="str">
        <f>HYPERLINK("https://pbs.twimg.com/media/E_xv_zuVkAUKwdt.jpg")</f>
        <v>https://pbs.twimg.com/media/E_xv_zuVkAUKwdt.jpg</v>
      </c>
      <c r="V338" s="84" t="str">
        <f>HYPERLINK("https://pbs.twimg.com/media/E_xv_zuVkAUKwdt.jpg")</f>
        <v>https://pbs.twimg.com/media/E_xv_zuVkAUKwdt.jpg</v>
      </c>
      <c r="W338" s="83">
        <v>44460.126134259262</v>
      </c>
      <c r="X338" s="89">
        <v>44460</v>
      </c>
      <c r="Y338" s="86" t="s">
        <v>3043</v>
      </c>
      <c r="Z338" s="84" t="str">
        <f>HYPERLINK("https://twitter.com/ainulyakin1003/status/1440149189447483394")</f>
        <v>https://twitter.com/ainulyakin1003/status/1440149189447483394</v>
      </c>
      <c r="AA338" s="81"/>
      <c r="AB338" s="81"/>
      <c r="AC338" s="86" t="s">
        <v>4504</v>
      </c>
      <c r="AD338" s="81"/>
      <c r="AE338" s="81" t="b">
        <v>0</v>
      </c>
      <c r="AF338" s="81">
        <v>0</v>
      </c>
      <c r="AG338" s="86" t="s">
        <v>6240</v>
      </c>
      <c r="AH338" s="81" t="b">
        <v>0</v>
      </c>
      <c r="AI338" s="81" t="s">
        <v>6478</v>
      </c>
      <c r="AJ338" s="81"/>
      <c r="AK338" s="86" t="s">
        <v>6240</v>
      </c>
      <c r="AL338" s="81" t="b">
        <v>0</v>
      </c>
      <c r="AM338" s="81">
        <v>14</v>
      </c>
      <c r="AN338" s="86" t="s">
        <v>4528</v>
      </c>
      <c r="AO338" s="86" t="s">
        <v>6507</v>
      </c>
      <c r="AP338" s="81" t="b">
        <v>0</v>
      </c>
      <c r="AQ338" s="86" t="s">
        <v>4528</v>
      </c>
      <c r="AR338" s="81" t="s">
        <v>179</v>
      </c>
      <c r="AS338" s="81">
        <v>0</v>
      </c>
      <c r="AT338" s="81">
        <v>0</v>
      </c>
      <c r="AU338" s="81"/>
      <c r="AV338" s="81"/>
      <c r="AW338" s="81"/>
      <c r="AX338" s="81"/>
      <c r="AY338" s="81"/>
      <c r="AZ338" s="81"/>
      <c r="BA338" s="81"/>
      <c r="BB338" s="81"/>
    </row>
    <row r="339" spans="1:54" x14ac:dyDescent="0.35">
      <c r="A339" s="66" t="s">
        <v>484</v>
      </c>
      <c r="B339" s="66" t="s">
        <v>1320</v>
      </c>
      <c r="C339" s="67"/>
      <c r="D339" s="68"/>
      <c r="E339" s="69"/>
      <c r="F339" s="70"/>
      <c r="G339" s="67"/>
      <c r="H339" s="71"/>
      <c r="I339" s="72"/>
      <c r="J339" s="72"/>
      <c r="K339" s="36"/>
      <c r="L339" s="79"/>
      <c r="M339" s="79"/>
      <c r="N339" s="74"/>
      <c r="O339" s="81" t="s">
        <v>1533</v>
      </c>
      <c r="P339" s="83">
        <v>44460.126134259262</v>
      </c>
      <c r="Q339" s="81" t="s">
        <v>1674</v>
      </c>
      <c r="R339" s="81"/>
      <c r="S339" s="81"/>
      <c r="T339" s="86" t="s">
        <v>2671</v>
      </c>
      <c r="U339" s="84" t="str">
        <f>HYPERLINK("https://pbs.twimg.com/media/E_xv_zuVkAUKwdt.jpg")</f>
        <v>https://pbs.twimg.com/media/E_xv_zuVkAUKwdt.jpg</v>
      </c>
      <c r="V339" s="84" t="str">
        <f>HYPERLINK("https://pbs.twimg.com/media/E_xv_zuVkAUKwdt.jpg")</f>
        <v>https://pbs.twimg.com/media/E_xv_zuVkAUKwdt.jpg</v>
      </c>
      <c r="W339" s="83">
        <v>44460.126134259262</v>
      </c>
      <c r="X339" s="89">
        <v>44460</v>
      </c>
      <c r="Y339" s="86" t="s">
        <v>3043</v>
      </c>
      <c r="Z339" s="84" t="str">
        <f>HYPERLINK("https://twitter.com/ainulyakin1003/status/1440149189447483394")</f>
        <v>https://twitter.com/ainulyakin1003/status/1440149189447483394</v>
      </c>
      <c r="AA339" s="81"/>
      <c r="AB339" s="81"/>
      <c r="AC339" s="86" t="s">
        <v>4504</v>
      </c>
      <c r="AD339" s="81"/>
      <c r="AE339" s="81" t="b">
        <v>0</v>
      </c>
      <c r="AF339" s="81">
        <v>0</v>
      </c>
      <c r="AG339" s="86" t="s">
        <v>6240</v>
      </c>
      <c r="AH339" s="81" t="b">
        <v>0</v>
      </c>
      <c r="AI339" s="81" t="s">
        <v>6478</v>
      </c>
      <c r="AJ339" s="81"/>
      <c r="AK339" s="86" t="s">
        <v>6240</v>
      </c>
      <c r="AL339" s="81" t="b">
        <v>0</v>
      </c>
      <c r="AM339" s="81">
        <v>14</v>
      </c>
      <c r="AN339" s="86" t="s">
        <v>4528</v>
      </c>
      <c r="AO339" s="86" t="s">
        <v>6507</v>
      </c>
      <c r="AP339" s="81" t="b">
        <v>0</v>
      </c>
      <c r="AQ339" s="86" t="s">
        <v>4528</v>
      </c>
      <c r="AR339" s="81" t="s">
        <v>179</v>
      </c>
      <c r="AS339" s="81">
        <v>0</v>
      </c>
      <c r="AT339" s="81">
        <v>0</v>
      </c>
      <c r="AU339" s="81"/>
      <c r="AV339" s="81"/>
      <c r="AW339" s="81"/>
      <c r="AX339" s="81"/>
      <c r="AY339" s="81"/>
      <c r="AZ339" s="81"/>
      <c r="BA339" s="81"/>
      <c r="BB339" s="81"/>
    </row>
    <row r="340" spans="1:54" x14ac:dyDescent="0.35">
      <c r="A340" s="66" t="s">
        <v>484</v>
      </c>
      <c r="B340" s="66" t="s">
        <v>504</v>
      </c>
      <c r="C340" s="67"/>
      <c r="D340" s="68"/>
      <c r="E340" s="69"/>
      <c r="F340" s="70"/>
      <c r="G340" s="67"/>
      <c r="H340" s="71"/>
      <c r="I340" s="72"/>
      <c r="J340" s="72"/>
      <c r="K340" s="36"/>
      <c r="L340" s="79"/>
      <c r="M340" s="79"/>
      <c r="N340" s="74"/>
      <c r="O340" s="81" t="s">
        <v>1532</v>
      </c>
      <c r="P340" s="83">
        <v>44460.126134259262</v>
      </c>
      <c r="Q340" s="81" t="s">
        <v>1674</v>
      </c>
      <c r="R340" s="81"/>
      <c r="S340" s="81"/>
      <c r="T340" s="86" t="s">
        <v>2671</v>
      </c>
      <c r="U340" s="84" t="str">
        <f>HYPERLINK("https://pbs.twimg.com/media/E_xv_zuVkAUKwdt.jpg")</f>
        <v>https://pbs.twimg.com/media/E_xv_zuVkAUKwdt.jpg</v>
      </c>
      <c r="V340" s="84" t="str">
        <f>HYPERLINK("https://pbs.twimg.com/media/E_xv_zuVkAUKwdt.jpg")</f>
        <v>https://pbs.twimg.com/media/E_xv_zuVkAUKwdt.jpg</v>
      </c>
      <c r="W340" s="83">
        <v>44460.126134259262</v>
      </c>
      <c r="X340" s="89">
        <v>44460</v>
      </c>
      <c r="Y340" s="86" t="s">
        <v>3043</v>
      </c>
      <c r="Z340" s="84" t="str">
        <f>HYPERLINK("https://twitter.com/ainulyakin1003/status/1440149189447483394")</f>
        <v>https://twitter.com/ainulyakin1003/status/1440149189447483394</v>
      </c>
      <c r="AA340" s="81"/>
      <c r="AB340" s="81"/>
      <c r="AC340" s="86" t="s">
        <v>4504</v>
      </c>
      <c r="AD340" s="81"/>
      <c r="AE340" s="81" t="b">
        <v>0</v>
      </c>
      <c r="AF340" s="81">
        <v>0</v>
      </c>
      <c r="AG340" s="86" t="s">
        <v>6240</v>
      </c>
      <c r="AH340" s="81" t="b">
        <v>0</v>
      </c>
      <c r="AI340" s="81" t="s">
        <v>6478</v>
      </c>
      <c r="AJ340" s="81"/>
      <c r="AK340" s="86" t="s">
        <v>6240</v>
      </c>
      <c r="AL340" s="81" t="b">
        <v>0</v>
      </c>
      <c r="AM340" s="81">
        <v>14</v>
      </c>
      <c r="AN340" s="86" t="s">
        <v>4528</v>
      </c>
      <c r="AO340" s="86" t="s">
        <v>6507</v>
      </c>
      <c r="AP340" s="81" t="b">
        <v>0</v>
      </c>
      <c r="AQ340" s="86" t="s">
        <v>4528</v>
      </c>
      <c r="AR340" s="81" t="s">
        <v>179</v>
      </c>
      <c r="AS340" s="81">
        <v>0</v>
      </c>
      <c r="AT340" s="81">
        <v>0</v>
      </c>
      <c r="AU340" s="81"/>
      <c r="AV340" s="81"/>
      <c r="AW340" s="81"/>
      <c r="AX340" s="81"/>
      <c r="AY340" s="81"/>
      <c r="AZ340" s="81"/>
      <c r="BA340" s="81"/>
      <c r="BB340" s="81"/>
    </row>
    <row r="341" spans="1:54" x14ac:dyDescent="0.35">
      <c r="A341" s="66" t="s">
        <v>485</v>
      </c>
      <c r="B341" s="66" t="s">
        <v>1316</v>
      </c>
      <c r="C341" s="67"/>
      <c r="D341" s="68"/>
      <c r="E341" s="69"/>
      <c r="F341" s="70"/>
      <c r="G341" s="67"/>
      <c r="H341" s="71"/>
      <c r="I341" s="72"/>
      <c r="J341" s="72"/>
      <c r="K341" s="36"/>
      <c r="L341" s="79"/>
      <c r="M341" s="79"/>
      <c r="N341" s="74"/>
      <c r="O341" s="81" t="s">
        <v>1533</v>
      </c>
      <c r="P341" s="83">
        <v>44460.12672453704</v>
      </c>
      <c r="Q341" s="81" t="s">
        <v>1674</v>
      </c>
      <c r="R341" s="81"/>
      <c r="S341" s="81"/>
      <c r="T341" s="86" t="s">
        <v>2671</v>
      </c>
      <c r="U341" s="84" t="str">
        <f>HYPERLINK("https://pbs.twimg.com/media/E_xv_zuVkAUKwdt.jpg")</f>
        <v>https://pbs.twimg.com/media/E_xv_zuVkAUKwdt.jpg</v>
      </c>
      <c r="V341" s="84" t="str">
        <f>HYPERLINK("https://pbs.twimg.com/media/E_xv_zuVkAUKwdt.jpg")</f>
        <v>https://pbs.twimg.com/media/E_xv_zuVkAUKwdt.jpg</v>
      </c>
      <c r="W341" s="83">
        <v>44460.12672453704</v>
      </c>
      <c r="X341" s="89">
        <v>44460</v>
      </c>
      <c r="Y341" s="86" t="s">
        <v>3044</v>
      </c>
      <c r="Z341" s="84" t="str">
        <f>HYPERLINK("https://twitter.com/banserblitar/status/1440149405500203014")</f>
        <v>https://twitter.com/banserblitar/status/1440149405500203014</v>
      </c>
      <c r="AA341" s="81"/>
      <c r="AB341" s="81"/>
      <c r="AC341" s="86" t="s">
        <v>4505</v>
      </c>
      <c r="AD341" s="81"/>
      <c r="AE341" s="81" t="b">
        <v>0</v>
      </c>
      <c r="AF341" s="81">
        <v>0</v>
      </c>
      <c r="AG341" s="86" t="s">
        <v>6240</v>
      </c>
      <c r="AH341" s="81" t="b">
        <v>0</v>
      </c>
      <c r="AI341" s="81" t="s">
        <v>6478</v>
      </c>
      <c r="AJ341" s="81"/>
      <c r="AK341" s="86" t="s">
        <v>6240</v>
      </c>
      <c r="AL341" s="81" t="b">
        <v>0</v>
      </c>
      <c r="AM341" s="81">
        <v>14</v>
      </c>
      <c r="AN341" s="86" t="s">
        <v>4528</v>
      </c>
      <c r="AO341" s="86" t="s">
        <v>6503</v>
      </c>
      <c r="AP341" s="81" t="b">
        <v>0</v>
      </c>
      <c r="AQ341" s="86" t="s">
        <v>4528</v>
      </c>
      <c r="AR341" s="81" t="s">
        <v>179</v>
      </c>
      <c r="AS341" s="81">
        <v>0</v>
      </c>
      <c r="AT341" s="81">
        <v>0</v>
      </c>
      <c r="AU341" s="81"/>
      <c r="AV341" s="81"/>
      <c r="AW341" s="81"/>
      <c r="AX341" s="81"/>
      <c r="AY341" s="81"/>
      <c r="AZ341" s="81"/>
      <c r="BA341" s="81"/>
      <c r="BB341" s="81"/>
    </row>
    <row r="342" spans="1:54" x14ac:dyDescent="0.35">
      <c r="A342" s="66" t="s">
        <v>485</v>
      </c>
      <c r="B342" s="66" t="s">
        <v>1317</v>
      </c>
      <c r="C342" s="67"/>
      <c r="D342" s="68"/>
      <c r="E342" s="69"/>
      <c r="F342" s="70"/>
      <c r="G342" s="67"/>
      <c r="H342" s="71"/>
      <c r="I342" s="72"/>
      <c r="J342" s="72"/>
      <c r="K342" s="36"/>
      <c r="L342" s="79"/>
      <c r="M342" s="79"/>
      <c r="N342" s="74"/>
      <c r="O342" s="81" t="s">
        <v>1533</v>
      </c>
      <c r="P342" s="83">
        <v>44460.12672453704</v>
      </c>
      <c r="Q342" s="81" t="s">
        <v>1674</v>
      </c>
      <c r="R342" s="81"/>
      <c r="S342" s="81"/>
      <c r="T342" s="86" t="s">
        <v>2671</v>
      </c>
      <c r="U342" s="84" t="str">
        <f>HYPERLINK("https://pbs.twimg.com/media/E_xv_zuVkAUKwdt.jpg")</f>
        <v>https://pbs.twimg.com/media/E_xv_zuVkAUKwdt.jpg</v>
      </c>
      <c r="V342" s="84" t="str">
        <f>HYPERLINK("https://pbs.twimg.com/media/E_xv_zuVkAUKwdt.jpg")</f>
        <v>https://pbs.twimg.com/media/E_xv_zuVkAUKwdt.jpg</v>
      </c>
      <c r="W342" s="83">
        <v>44460.12672453704</v>
      </c>
      <c r="X342" s="89">
        <v>44460</v>
      </c>
      <c r="Y342" s="86" t="s">
        <v>3044</v>
      </c>
      <c r="Z342" s="84" t="str">
        <f>HYPERLINK("https://twitter.com/banserblitar/status/1440149405500203014")</f>
        <v>https://twitter.com/banserblitar/status/1440149405500203014</v>
      </c>
      <c r="AA342" s="81"/>
      <c r="AB342" s="81"/>
      <c r="AC342" s="86" t="s">
        <v>4505</v>
      </c>
      <c r="AD342" s="81"/>
      <c r="AE342" s="81" t="b">
        <v>0</v>
      </c>
      <c r="AF342" s="81">
        <v>0</v>
      </c>
      <c r="AG342" s="86" t="s">
        <v>6240</v>
      </c>
      <c r="AH342" s="81" t="b">
        <v>0</v>
      </c>
      <c r="AI342" s="81" t="s">
        <v>6478</v>
      </c>
      <c r="AJ342" s="81"/>
      <c r="AK342" s="86" t="s">
        <v>6240</v>
      </c>
      <c r="AL342" s="81" t="b">
        <v>0</v>
      </c>
      <c r="AM342" s="81">
        <v>14</v>
      </c>
      <c r="AN342" s="86" t="s">
        <v>4528</v>
      </c>
      <c r="AO342" s="86" t="s">
        <v>6503</v>
      </c>
      <c r="AP342" s="81" t="b">
        <v>0</v>
      </c>
      <c r="AQ342" s="86" t="s">
        <v>4528</v>
      </c>
      <c r="AR342" s="81" t="s">
        <v>179</v>
      </c>
      <c r="AS342" s="81">
        <v>0</v>
      </c>
      <c r="AT342" s="81">
        <v>0</v>
      </c>
      <c r="AU342" s="81"/>
      <c r="AV342" s="81"/>
      <c r="AW342" s="81"/>
      <c r="AX342" s="81"/>
      <c r="AY342" s="81"/>
      <c r="AZ342" s="81"/>
      <c r="BA342" s="81"/>
      <c r="BB342" s="81"/>
    </row>
    <row r="343" spans="1:54" x14ac:dyDescent="0.35">
      <c r="A343" s="66" t="s">
        <v>485</v>
      </c>
      <c r="B343" s="66" t="s">
        <v>1318</v>
      </c>
      <c r="C343" s="67"/>
      <c r="D343" s="68"/>
      <c r="E343" s="69"/>
      <c r="F343" s="70"/>
      <c r="G343" s="67"/>
      <c r="H343" s="71"/>
      <c r="I343" s="72"/>
      <c r="J343" s="72"/>
      <c r="K343" s="36"/>
      <c r="L343" s="79"/>
      <c r="M343" s="79"/>
      <c r="N343" s="74"/>
      <c r="O343" s="81" t="s">
        <v>1533</v>
      </c>
      <c r="P343" s="83">
        <v>44460.12672453704</v>
      </c>
      <c r="Q343" s="81" t="s">
        <v>1674</v>
      </c>
      <c r="R343" s="81"/>
      <c r="S343" s="81"/>
      <c r="T343" s="86" t="s">
        <v>2671</v>
      </c>
      <c r="U343" s="84" t="str">
        <f>HYPERLINK("https://pbs.twimg.com/media/E_xv_zuVkAUKwdt.jpg")</f>
        <v>https://pbs.twimg.com/media/E_xv_zuVkAUKwdt.jpg</v>
      </c>
      <c r="V343" s="84" t="str">
        <f>HYPERLINK("https://pbs.twimg.com/media/E_xv_zuVkAUKwdt.jpg")</f>
        <v>https://pbs.twimg.com/media/E_xv_zuVkAUKwdt.jpg</v>
      </c>
      <c r="W343" s="83">
        <v>44460.12672453704</v>
      </c>
      <c r="X343" s="89">
        <v>44460</v>
      </c>
      <c r="Y343" s="86" t="s">
        <v>3044</v>
      </c>
      <c r="Z343" s="84" t="str">
        <f>HYPERLINK("https://twitter.com/banserblitar/status/1440149405500203014")</f>
        <v>https://twitter.com/banserblitar/status/1440149405500203014</v>
      </c>
      <c r="AA343" s="81"/>
      <c r="AB343" s="81"/>
      <c r="AC343" s="86" t="s">
        <v>4505</v>
      </c>
      <c r="AD343" s="81"/>
      <c r="AE343" s="81" t="b">
        <v>0</v>
      </c>
      <c r="AF343" s="81">
        <v>0</v>
      </c>
      <c r="AG343" s="86" t="s">
        <v>6240</v>
      </c>
      <c r="AH343" s="81" t="b">
        <v>0</v>
      </c>
      <c r="AI343" s="81" t="s">
        <v>6478</v>
      </c>
      <c r="AJ343" s="81"/>
      <c r="AK343" s="86" t="s">
        <v>6240</v>
      </c>
      <c r="AL343" s="81" t="b">
        <v>0</v>
      </c>
      <c r="AM343" s="81">
        <v>14</v>
      </c>
      <c r="AN343" s="86" t="s">
        <v>4528</v>
      </c>
      <c r="AO343" s="86" t="s">
        <v>6503</v>
      </c>
      <c r="AP343" s="81" t="b">
        <v>0</v>
      </c>
      <c r="AQ343" s="86" t="s">
        <v>4528</v>
      </c>
      <c r="AR343" s="81" t="s">
        <v>179</v>
      </c>
      <c r="AS343" s="81">
        <v>0</v>
      </c>
      <c r="AT343" s="81">
        <v>0</v>
      </c>
      <c r="AU343" s="81"/>
      <c r="AV343" s="81"/>
      <c r="AW343" s="81"/>
      <c r="AX343" s="81"/>
      <c r="AY343" s="81"/>
      <c r="AZ343" s="81"/>
      <c r="BA343" s="81"/>
      <c r="BB343" s="81"/>
    </row>
    <row r="344" spans="1:54" x14ac:dyDescent="0.35">
      <c r="A344" s="66" t="s">
        <v>485</v>
      </c>
      <c r="B344" s="66" t="s">
        <v>1319</v>
      </c>
      <c r="C344" s="67"/>
      <c r="D344" s="68"/>
      <c r="E344" s="69"/>
      <c r="F344" s="70"/>
      <c r="G344" s="67"/>
      <c r="H344" s="71"/>
      <c r="I344" s="72"/>
      <c r="J344" s="72"/>
      <c r="K344" s="36"/>
      <c r="L344" s="79"/>
      <c r="M344" s="79"/>
      <c r="N344" s="74"/>
      <c r="O344" s="81" t="s">
        <v>1533</v>
      </c>
      <c r="P344" s="83">
        <v>44460.12672453704</v>
      </c>
      <c r="Q344" s="81" t="s">
        <v>1674</v>
      </c>
      <c r="R344" s="81"/>
      <c r="S344" s="81"/>
      <c r="T344" s="86" t="s">
        <v>2671</v>
      </c>
      <c r="U344" s="84" t="str">
        <f>HYPERLINK("https://pbs.twimg.com/media/E_xv_zuVkAUKwdt.jpg")</f>
        <v>https://pbs.twimg.com/media/E_xv_zuVkAUKwdt.jpg</v>
      </c>
      <c r="V344" s="84" t="str">
        <f>HYPERLINK("https://pbs.twimg.com/media/E_xv_zuVkAUKwdt.jpg")</f>
        <v>https://pbs.twimg.com/media/E_xv_zuVkAUKwdt.jpg</v>
      </c>
      <c r="W344" s="83">
        <v>44460.12672453704</v>
      </c>
      <c r="X344" s="89">
        <v>44460</v>
      </c>
      <c r="Y344" s="86" t="s">
        <v>3044</v>
      </c>
      <c r="Z344" s="84" t="str">
        <f>HYPERLINK("https://twitter.com/banserblitar/status/1440149405500203014")</f>
        <v>https://twitter.com/banserblitar/status/1440149405500203014</v>
      </c>
      <c r="AA344" s="81"/>
      <c r="AB344" s="81"/>
      <c r="AC344" s="86" t="s">
        <v>4505</v>
      </c>
      <c r="AD344" s="81"/>
      <c r="AE344" s="81" t="b">
        <v>0</v>
      </c>
      <c r="AF344" s="81">
        <v>0</v>
      </c>
      <c r="AG344" s="86" t="s">
        <v>6240</v>
      </c>
      <c r="AH344" s="81" t="b">
        <v>0</v>
      </c>
      <c r="AI344" s="81" t="s">
        <v>6478</v>
      </c>
      <c r="AJ344" s="81"/>
      <c r="AK344" s="86" t="s">
        <v>6240</v>
      </c>
      <c r="AL344" s="81" t="b">
        <v>0</v>
      </c>
      <c r="AM344" s="81">
        <v>14</v>
      </c>
      <c r="AN344" s="86" t="s">
        <v>4528</v>
      </c>
      <c r="AO344" s="86" t="s">
        <v>6503</v>
      </c>
      <c r="AP344" s="81" t="b">
        <v>0</v>
      </c>
      <c r="AQ344" s="86" t="s">
        <v>4528</v>
      </c>
      <c r="AR344" s="81" t="s">
        <v>179</v>
      </c>
      <c r="AS344" s="81">
        <v>0</v>
      </c>
      <c r="AT344" s="81">
        <v>0</v>
      </c>
      <c r="AU344" s="81"/>
      <c r="AV344" s="81"/>
      <c r="AW344" s="81"/>
      <c r="AX344" s="81"/>
      <c r="AY344" s="81"/>
      <c r="AZ344" s="81"/>
      <c r="BA344" s="81"/>
      <c r="BB344" s="81"/>
    </row>
    <row r="345" spans="1:54" x14ac:dyDescent="0.35">
      <c r="A345" s="66" t="s">
        <v>485</v>
      </c>
      <c r="B345" s="66" t="s">
        <v>1320</v>
      </c>
      <c r="C345" s="67"/>
      <c r="D345" s="68"/>
      <c r="E345" s="69"/>
      <c r="F345" s="70"/>
      <c r="G345" s="67"/>
      <c r="H345" s="71"/>
      <c r="I345" s="72"/>
      <c r="J345" s="72"/>
      <c r="K345" s="36"/>
      <c r="L345" s="79"/>
      <c r="M345" s="79"/>
      <c r="N345" s="74"/>
      <c r="O345" s="81" t="s">
        <v>1533</v>
      </c>
      <c r="P345" s="83">
        <v>44460.12672453704</v>
      </c>
      <c r="Q345" s="81" t="s">
        <v>1674</v>
      </c>
      <c r="R345" s="81"/>
      <c r="S345" s="81"/>
      <c r="T345" s="86" t="s">
        <v>2671</v>
      </c>
      <c r="U345" s="84" t="str">
        <f>HYPERLINK("https://pbs.twimg.com/media/E_xv_zuVkAUKwdt.jpg")</f>
        <v>https://pbs.twimg.com/media/E_xv_zuVkAUKwdt.jpg</v>
      </c>
      <c r="V345" s="84" t="str">
        <f>HYPERLINK("https://pbs.twimg.com/media/E_xv_zuVkAUKwdt.jpg")</f>
        <v>https://pbs.twimg.com/media/E_xv_zuVkAUKwdt.jpg</v>
      </c>
      <c r="W345" s="83">
        <v>44460.12672453704</v>
      </c>
      <c r="X345" s="89">
        <v>44460</v>
      </c>
      <c r="Y345" s="86" t="s">
        <v>3044</v>
      </c>
      <c r="Z345" s="84" t="str">
        <f>HYPERLINK("https://twitter.com/banserblitar/status/1440149405500203014")</f>
        <v>https://twitter.com/banserblitar/status/1440149405500203014</v>
      </c>
      <c r="AA345" s="81"/>
      <c r="AB345" s="81"/>
      <c r="AC345" s="86" t="s">
        <v>4505</v>
      </c>
      <c r="AD345" s="81"/>
      <c r="AE345" s="81" t="b">
        <v>0</v>
      </c>
      <c r="AF345" s="81">
        <v>0</v>
      </c>
      <c r="AG345" s="86" t="s">
        <v>6240</v>
      </c>
      <c r="AH345" s="81" t="b">
        <v>0</v>
      </c>
      <c r="AI345" s="81" t="s">
        <v>6478</v>
      </c>
      <c r="AJ345" s="81"/>
      <c r="AK345" s="86" t="s">
        <v>6240</v>
      </c>
      <c r="AL345" s="81" t="b">
        <v>0</v>
      </c>
      <c r="AM345" s="81">
        <v>14</v>
      </c>
      <c r="AN345" s="86" t="s">
        <v>4528</v>
      </c>
      <c r="AO345" s="86" t="s">
        <v>6503</v>
      </c>
      <c r="AP345" s="81" t="b">
        <v>0</v>
      </c>
      <c r="AQ345" s="86" t="s">
        <v>4528</v>
      </c>
      <c r="AR345" s="81" t="s">
        <v>179</v>
      </c>
      <c r="AS345" s="81">
        <v>0</v>
      </c>
      <c r="AT345" s="81">
        <v>0</v>
      </c>
      <c r="AU345" s="81"/>
      <c r="AV345" s="81"/>
      <c r="AW345" s="81"/>
      <c r="AX345" s="81"/>
      <c r="AY345" s="81"/>
      <c r="AZ345" s="81"/>
      <c r="BA345" s="81"/>
      <c r="BB345" s="81"/>
    </row>
    <row r="346" spans="1:54" x14ac:dyDescent="0.35">
      <c r="A346" s="66" t="s">
        <v>485</v>
      </c>
      <c r="B346" s="66" t="s">
        <v>504</v>
      </c>
      <c r="C346" s="67"/>
      <c r="D346" s="68"/>
      <c r="E346" s="69"/>
      <c r="F346" s="70"/>
      <c r="G346" s="67"/>
      <c r="H346" s="71"/>
      <c r="I346" s="72"/>
      <c r="J346" s="72"/>
      <c r="K346" s="36"/>
      <c r="L346" s="79"/>
      <c r="M346" s="79"/>
      <c r="N346" s="74"/>
      <c r="O346" s="81" t="s">
        <v>1532</v>
      </c>
      <c r="P346" s="83">
        <v>44460.12672453704</v>
      </c>
      <c r="Q346" s="81" t="s">
        <v>1674</v>
      </c>
      <c r="R346" s="81"/>
      <c r="S346" s="81"/>
      <c r="T346" s="86" t="s">
        <v>2671</v>
      </c>
      <c r="U346" s="84" t="str">
        <f>HYPERLINK("https://pbs.twimg.com/media/E_xv_zuVkAUKwdt.jpg")</f>
        <v>https://pbs.twimg.com/media/E_xv_zuVkAUKwdt.jpg</v>
      </c>
      <c r="V346" s="84" t="str">
        <f>HYPERLINK("https://pbs.twimg.com/media/E_xv_zuVkAUKwdt.jpg")</f>
        <v>https://pbs.twimg.com/media/E_xv_zuVkAUKwdt.jpg</v>
      </c>
      <c r="W346" s="83">
        <v>44460.12672453704</v>
      </c>
      <c r="X346" s="89">
        <v>44460</v>
      </c>
      <c r="Y346" s="86" t="s">
        <v>3044</v>
      </c>
      <c r="Z346" s="84" t="str">
        <f>HYPERLINK("https://twitter.com/banserblitar/status/1440149405500203014")</f>
        <v>https://twitter.com/banserblitar/status/1440149405500203014</v>
      </c>
      <c r="AA346" s="81"/>
      <c r="AB346" s="81"/>
      <c r="AC346" s="86" t="s">
        <v>4505</v>
      </c>
      <c r="AD346" s="81"/>
      <c r="AE346" s="81" t="b">
        <v>0</v>
      </c>
      <c r="AF346" s="81">
        <v>0</v>
      </c>
      <c r="AG346" s="86" t="s">
        <v>6240</v>
      </c>
      <c r="AH346" s="81" t="b">
        <v>0</v>
      </c>
      <c r="AI346" s="81" t="s">
        <v>6478</v>
      </c>
      <c r="AJ346" s="81"/>
      <c r="AK346" s="86" t="s">
        <v>6240</v>
      </c>
      <c r="AL346" s="81" t="b">
        <v>0</v>
      </c>
      <c r="AM346" s="81">
        <v>14</v>
      </c>
      <c r="AN346" s="86" t="s">
        <v>4528</v>
      </c>
      <c r="AO346" s="86" t="s">
        <v>6503</v>
      </c>
      <c r="AP346" s="81" t="b">
        <v>0</v>
      </c>
      <c r="AQ346" s="86" t="s">
        <v>4528</v>
      </c>
      <c r="AR346" s="81" t="s">
        <v>179</v>
      </c>
      <c r="AS346" s="81">
        <v>0</v>
      </c>
      <c r="AT346" s="81">
        <v>0</v>
      </c>
      <c r="AU346" s="81"/>
      <c r="AV346" s="81"/>
      <c r="AW346" s="81"/>
      <c r="AX346" s="81"/>
      <c r="AY346" s="81"/>
      <c r="AZ346" s="81"/>
      <c r="BA346" s="81"/>
      <c r="BB346" s="81"/>
    </row>
    <row r="347" spans="1:54" x14ac:dyDescent="0.35">
      <c r="A347" s="66" t="s">
        <v>486</v>
      </c>
      <c r="B347" s="66" t="s">
        <v>1316</v>
      </c>
      <c r="C347" s="67"/>
      <c r="D347" s="68"/>
      <c r="E347" s="69"/>
      <c r="F347" s="70"/>
      <c r="G347" s="67"/>
      <c r="H347" s="71"/>
      <c r="I347" s="72"/>
      <c r="J347" s="72"/>
      <c r="K347" s="36"/>
      <c r="L347" s="79"/>
      <c r="M347" s="79"/>
      <c r="N347" s="74"/>
      <c r="O347" s="81" t="s">
        <v>1533</v>
      </c>
      <c r="P347" s="83">
        <v>44460.126747685186</v>
      </c>
      <c r="Q347" s="81" t="s">
        <v>1674</v>
      </c>
      <c r="R347" s="81"/>
      <c r="S347" s="81"/>
      <c r="T347" s="86" t="s">
        <v>2671</v>
      </c>
      <c r="U347" s="84" t="str">
        <f>HYPERLINK("https://pbs.twimg.com/media/E_xv_zuVkAUKwdt.jpg")</f>
        <v>https://pbs.twimg.com/media/E_xv_zuVkAUKwdt.jpg</v>
      </c>
      <c r="V347" s="84" t="str">
        <f>HYPERLINK("https://pbs.twimg.com/media/E_xv_zuVkAUKwdt.jpg")</f>
        <v>https://pbs.twimg.com/media/E_xv_zuVkAUKwdt.jpg</v>
      </c>
      <c r="W347" s="83">
        <v>44460.126747685186</v>
      </c>
      <c r="X347" s="89">
        <v>44460</v>
      </c>
      <c r="Y347" s="86" t="s">
        <v>3045</v>
      </c>
      <c r="Z347" s="84" t="str">
        <f>HYPERLINK("https://twitter.com/harir16191604/status/1440149412177534982")</f>
        <v>https://twitter.com/harir16191604/status/1440149412177534982</v>
      </c>
      <c r="AA347" s="81"/>
      <c r="AB347" s="81"/>
      <c r="AC347" s="86" t="s">
        <v>4506</v>
      </c>
      <c r="AD347" s="81"/>
      <c r="AE347" s="81" t="b">
        <v>0</v>
      </c>
      <c r="AF347" s="81">
        <v>0</v>
      </c>
      <c r="AG347" s="86" t="s">
        <v>6240</v>
      </c>
      <c r="AH347" s="81" t="b">
        <v>0</v>
      </c>
      <c r="AI347" s="81" t="s">
        <v>6478</v>
      </c>
      <c r="AJ347" s="81"/>
      <c r="AK347" s="86" t="s">
        <v>6240</v>
      </c>
      <c r="AL347" s="81" t="b">
        <v>0</v>
      </c>
      <c r="AM347" s="81">
        <v>14</v>
      </c>
      <c r="AN347" s="86" t="s">
        <v>4528</v>
      </c>
      <c r="AO347" s="86" t="s">
        <v>6503</v>
      </c>
      <c r="AP347" s="81" t="b">
        <v>0</v>
      </c>
      <c r="AQ347" s="86" t="s">
        <v>4528</v>
      </c>
      <c r="AR347" s="81" t="s">
        <v>179</v>
      </c>
      <c r="AS347" s="81">
        <v>0</v>
      </c>
      <c r="AT347" s="81">
        <v>0</v>
      </c>
      <c r="AU347" s="81"/>
      <c r="AV347" s="81"/>
      <c r="AW347" s="81"/>
      <c r="AX347" s="81"/>
      <c r="AY347" s="81"/>
      <c r="AZ347" s="81"/>
      <c r="BA347" s="81"/>
      <c r="BB347" s="81"/>
    </row>
    <row r="348" spans="1:54" x14ac:dyDescent="0.35">
      <c r="A348" s="66" t="s">
        <v>486</v>
      </c>
      <c r="B348" s="66" t="s">
        <v>1317</v>
      </c>
      <c r="C348" s="67"/>
      <c r="D348" s="68"/>
      <c r="E348" s="69"/>
      <c r="F348" s="70"/>
      <c r="G348" s="67"/>
      <c r="H348" s="71"/>
      <c r="I348" s="72"/>
      <c r="J348" s="72"/>
      <c r="K348" s="36"/>
      <c r="L348" s="79"/>
      <c r="M348" s="79"/>
      <c r="N348" s="74"/>
      <c r="O348" s="81" t="s">
        <v>1533</v>
      </c>
      <c r="P348" s="83">
        <v>44460.126747685186</v>
      </c>
      <c r="Q348" s="81" t="s">
        <v>1674</v>
      </c>
      <c r="R348" s="81"/>
      <c r="S348" s="81"/>
      <c r="T348" s="86" t="s">
        <v>2671</v>
      </c>
      <c r="U348" s="84" t="str">
        <f>HYPERLINK("https://pbs.twimg.com/media/E_xv_zuVkAUKwdt.jpg")</f>
        <v>https://pbs.twimg.com/media/E_xv_zuVkAUKwdt.jpg</v>
      </c>
      <c r="V348" s="84" t="str">
        <f>HYPERLINK("https://pbs.twimg.com/media/E_xv_zuVkAUKwdt.jpg")</f>
        <v>https://pbs.twimg.com/media/E_xv_zuVkAUKwdt.jpg</v>
      </c>
      <c r="W348" s="83">
        <v>44460.126747685186</v>
      </c>
      <c r="X348" s="89">
        <v>44460</v>
      </c>
      <c r="Y348" s="86" t="s">
        <v>3045</v>
      </c>
      <c r="Z348" s="84" t="str">
        <f>HYPERLINK("https://twitter.com/harir16191604/status/1440149412177534982")</f>
        <v>https://twitter.com/harir16191604/status/1440149412177534982</v>
      </c>
      <c r="AA348" s="81"/>
      <c r="AB348" s="81"/>
      <c r="AC348" s="86" t="s">
        <v>4506</v>
      </c>
      <c r="AD348" s="81"/>
      <c r="AE348" s="81" t="b">
        <v>0</v>
      </c>
      <c r="AF348" s="81">
        <v>0</v>
      </c>
      <c r="AG348" s="86" t="s">
        <v>6240</v>
      </c>
      <c r="AH348" s="81" t="b">
        <v>0</v>
      </c>
      <c r="AI348" s="81" t="s">
        <v>6478</v>
      </c>
      <c r="AJ348" s="81"/>
      <c r="AK348" s="86" t="s">
        <v>6240</v>
      </c>
      <c r="AL348" s="81" t="b">
        <v>0</v>
      </c>
      <c r="AM348" s="81">
        <v>14</v>
      </c>
      <c r="AN348" s="86" t="s">
        <v>4528</v>
      </c>
      <c r="AO348" s="86" t="s">
        <v>6503</v>
      </c>
      <c r="AP348" s="81" t="b">
        <v>0</v>
      </c>
      <c r="AQ348" s="86" t="s">
        <v>4528</v>
      </c>
      <c r="AR348" s="81" t="s">
        <v>179</v>
      </c>
      <c r="AS348" s="81">
        <v>0</v>
      </c>
      <c r="AT348" s="81">
        <v>0</v>
      </c>
      <c r="AU348" s="81"/>
      <c r="AV348" s="81"/>
      <c r="AW348" s="81"/>
      <c r="AX348" s="81"/>
      <c r="AY348" s="81"/>
      <c r="AZ348" s="81"/>
      <c r="BA348" s="81"/>
      <c r="BB348" s="81"/>
    </row>
    <row r="349" spans="1:54" x14ac:dyDescent="0.35">
      <c r="A349" s="66" t="s">
        <v>486</v>
      </c>
      <c r="B349" s="66" t="s">
        <v>1318</v>
      </c>
      <c r="C349" s="67"/>
      <c r="D349" s="68"/>
      <c r="E349" s="69"/>
      <c r="F349" s="70"/>
      <c r="G349" s="67"/>
      <c r="H349" s="71"/>
      <c r="I349" s="72"/>
      <c r="J349" s="72"/>
      <c r="K349" s="36"/>
      <c r="L349" s="79"/>
      <c r="M349" s="79"/>
      <c r="N349" s="74"/>
      <c r="O349" s="81" t="s">
        <v>1533</v>
      </c>
      <c r="P349" s="83">
        <v>44460.126747685186</v>
      </c>
      <c r="Q349" s="81" t="s">
        <v>1674</v>
      </c>
      <c r="R349" s="81"/>
      <c r="S349" s="81"/>
      <c r="T349" s="86" t="s">
        <v>2671</v>
      </c>
      <c r="U349" s="84" t="str">
        <f>HYPERLINK("https://pbs.twimg.com/media/E_xv_zuVkAUKwdt.jpg")</f>
        <v>https://pbs.twimg.com/media/E_xv_zuVkAUKwdt.jpg</v>
      </c>
      <c r="V349" s="84" t="str">
        <f>HYPERLINK("https://pbs.twimg.com/media/E_xv_zuVkAUKwdt.jpg")</f>
        <v>https://pbs.twimg.com/media/E_xv_zuVkAUKwdt.jpg</v>
      </c>
      <c r="W349" s="83">
        <v>44460.126747685186</v>
      </c>
      <c r="X349" s="89">
        <v>44460</v>
      </c>
      <c r="Y349" s="86" t="s">
        <v>3045</v>
      </c>
      <c r="Z349" s="84" t="str">
        <f>HYPERLINK("https://twitter.com/harir16191604/status/1440149412177534982")</f>
        <v>https://twitter.com/harir16191604/status/1440149412177534982</v>
      </c>
      <c r="AA349" s="81"/>
      <c r="AB349" s="81"/>
      <c r="AC349" s="86" t="s">
        <v>4506</v>
      </c>
      <c r="AD349" s="81"/>
      <c r="AE349" s="81" t="b">
        <v>0</v>
      </c>
      <c r="AF349" s="81">
        <v>0</v>
      </c>
      <c r="AG349" s="86" t="s">
        <v>6240</v>
      </c>
      <c r="AH349" s="81" t="b">
        <v>0</v>
      </c>
      <c r="AI349" s="81" t="s">
        <v>6478</v>
      </c>
      <c r="AJ349" s="81"/>
      <c r="AK349" s="86" t="s">
        <v>6240</v>
      </c>
      <c r="AL349" s="81" t="b">
        <v>0</v>
      </c>
      <c r="AM349" s="81">
        <v>14</v>
      </c>
      <c r="AN349" s="86" t="s">
        <v>4528</v>
      </c>
      <c r="AO349" s="86" t="s">
        <v>6503</v>
      </c>
      <c r="AP349" s="81" t="b">
        <v>0</v>
      </c>
      <c r="AQ349" s="86" t="s">
        <v>4528</v>
      </c>
      <c r="AR349" s="81" t="s">
        <v>179</v>
      </c>
      <c r="AS349" s="81">
        <v>0</v>
      </c>
      <c r="AT349" s="81">
        <v>0</v>
      </c>
      <c r="AU349" s="81"/>
      <c r="AV349" s="81"/>
      <c r="AW349" s="81"/>
      <c r="AX349" s="81"/>
      <c r="AY349" s="81"/>
      <c r="AZ349" s="81"/>
      <c r="BA349" s="81"/>
      <c r="BB349" s="81"/>
    </row>
    <row r="350" spans="1:54" x14ac:dyDescent="0.35">
      <c r="A350" s="66" t="s">
        <v>486</v>
      </c>
      <c r="B350" s="66" t="s">
        <v>1319</v>
      </c>
      <c r="C350" s="67"/>
      <c r="D350" s="68"/>
      <c r="E350" s="69"/>
      <c r="F350" s="70"/>
      <c r="G350" s="67"/>
      <c r="H350" s="71"/>
      <c r="I350" s="72"/>
      <c r="J350" s="72"/>
      <c r="K350" s="36"/>
      <c r="L350" s="79"/>
      <c r="M350" s="79"/>
      <c r="N350" s="74"/>
      <c r="O350" s="81" t="s">
        <v>1533</v>
      </c>
      <c r="P350" s="83">
        <v>44460.126747685186</v>
      </c>
      <c r="Q350" s="81" t="s">
        <v>1674</v>
      </c>
      <c r="R350" s="81"/>
      <c r="S350" s="81"/>
      <c r="T350" s="86" t="s">
        <v>2671</v>
      </c>
      <c r="U350" s="84" t="str">
        <f>HYPERLINK("https://pbs.twimg.com/media/E_xv_zuVkAUKwdt.jpg")</f>
        <v>https://pbs.twimg.com/media/E_xv_zuVkAUKwdt.jpg</v>
      </c>
      <c r="V350" s="84" t="str">
        <f>HYPERLINK("https://pbs.twimg.com/media/E_xv_zuVkAUKwdt.jpg")</f>
        <v>https://pbs.twimg.com/media/E_xv_zuVkAUKwdt.jpg</v>
      </c>
      <c r="W350" s="83">
        <v>44460.126747685186</v>
      </c>
      <c r="X350" s="89">
        <v>44460</v>
      </c>
      <c r="Y350" s="86" t="s">
        <v>3045</v>
      </c>
      <c r="Z350" s="84" t="str">
        <f>HYPERLINK("https://twitter.com/harir16191604/status/1440149412177534982")</f>
        <v>https://twitter.com/harir16191604/status/1440149412177534982</v>
      </c>
      <c r="AA350" s="81"/>
      <c r="AB350" s="81"/>
      <c r="AC350" s="86" t="s">
        <v>4506</v>
      </c>
      <c r="AD350" s="81"/>
      <c r="AE350" s="81" t="b">
        <v>0</v>
      </c>
      <c r="AF350" s="81">
        <v>0</v>
      </c>
      <c r="AG350" s="86" t="s">
        <v>6240</v>
      </c>
      <c r="AH350" s="81" t="b">
        <v>0</v>
      </c>
      <c r="AI350" s="81" t="s">
        <v>6478</v>
      </c>
      <c r="AJ350" s="81"/>
      <c r="AK350" s="86" t="s">
        <v>6240</v>
      </c>
      <c r="AL350" s="81" t="b">
        <v>0</v>
      </c>
      <c r="AM350" s="81">
        <v>14</v>
      </c>
      <c r="AN350" s="86" t="s">
        <v>4528</v>
      </c>
      <c r="AO350" s="86" t="s">
        <v>6503</v>
      </c>
      <c r="AP350" s="81" t="b">
        <v>0</v>
      </c>
      <c r="AQ350" s="86" t="s">
        <v>4528</v>
      </c>
      <c r="AR350" s="81" t="s">
        <v>179</v>
      </c>
      <c r="AS350" s="81">
        <v>0</v>
      </c>
      <c r="AT350" s="81">
        <v>0</v>
      </c>
      <c r="AU350" s="81"/>
      <c r="AV350" s="81"/>
      <c r="AW350" s="81"/>
      <c r="AX350" s="81"/>
      <c r="AY350" s="81"/>
      <c r="AZ350" s="81"/>
      <c r="BA350" s="81"/>
      <c r="BB350" s="81"/>
    </row>
    <row r="351" spans="1:54" x14ac:dyDescent="0.35">
      <c r="A351" s="66" t="s">
        <v>486</v>
      </c>
      <c r="B351" s="66" t="s">
        <v>1320</v>
      </c>
      <c r="C351" s="67"/>
      <c r="D351" s="68"/>
      <c r="E351" s="69"/>
      <c r="F351" s="70"/>
      <c r="G351" s="67"/>
      <c r="H351" s="71"/>
      <c r="I351" s="72"/>
      <c r="J351" s="72"/>
      <c r="K351" s="36"/>
      <c r="L351" s="79"/>
      <c r="M351" s="79"/>
      <c r="N351" s="74"/>
      <c r="O351" s="81" t="s">
        <v>1533</v>
      </c>
      <c r="P351" s="83">
        <v>44460.126747685186</v>
      </c>
      <c r="Q351" s="81" t="s">
        <v>1674</v>
      </c>
      <c r="R351" s="81"/>
      <c r="S351" s="81"/>
      <c r="T351" s="86" t="s">
        <v>2671</v>
      </c>
      <c r="U351" s="84" t="str">
        <f>HYPERLINK("https://pbs.twimg.com/media/E_xv_zuVkAUKwdt.jpg")</f>
        <v>https://pbs.twimg.com/media/E_xv_zuVkAUKwdt.jpg</v>
      </c>
      <c r="V351" s="84" t="str">
        <f>HYPERLINK("https://pbs.twimg.com/media/E_xv_zuVkAUKwdt.jpg")</f>
        <v>https://pbs.twimg.com/media/E_xv_zuVkAUKwdt.jpg</v>
      </c>
      <c r="W351" s="83">
        <v>44460.126747685186</v>
      </c>
      <c r="X351" s="89">
        <v>44460</v>
      </c>
      <c r="Y351" s="86" t="s">
        <v>3045</v>
      </c>
      <c r="Z351" s="84" t="str">
        <f>HYPERLINK("https://twitter.com/harir16191604/status/1440149412177534982")</f>
        <v>https://twitter.com/harir16191604/status/1440149412177534982</v>
      </c>
      <c r="AA351" s="81"/>
      <c r="AB351" s="81"/>
      <c r="AC351" s="86" t="s">
        <v>4506</v>
      </c>
      <c r="AD351" s="81"/>
      <c r="AE351" s="81" t="b">
        <v>0</v>
      </c>
      <c r="AF351" s="81">
        <v>0</v>
      </c>
      <c r="AG351" s="86" t="s">
        <v>6240</v>
      </c>
      <c r="AH351" s="81" t="b">
        <v>0</v>
      </c>
      <c r="AI351" s="81" t="s">
        <v>6478</v>
      </c>
      <c r="AJ351" s="81"/>
      <c r="AK351" s="86" t="s">
        <v>6240</v>
      </c>
      <c r="AL351" s="81" t="b">
        <v>0</v>
      </c>
      <c r="AM351" s="81">
        <v>14</v>
      </c>
      <c r="AN351" s="86" t="s">
        <v>4528</v>
      </c>
      <c r="AO351" s="86" t="s">
        <v>6503</v>
      </c>
      <c r="AP351" s="81" t="b">
        <v>0</v>
      </c>
      <c r="AQ351" s="86" t="s">
        <v>4528</v>
      </c>
      <c r="AR351" s="81" t="s">
        <v>179</v>
      </c>
      <c r="AS351" s="81">
        <v>0</v>
      </c>
      <c r="AT351" s="81">
        <v>0</v>
      </c>
      <c r="AU351" s="81"/>
      <c r="AV351" s="81"/>
      <c r="AW351" s="81"/>
      <c r="AX351" s="81"/>
      <c r="AY351" s="81"/>
      <c r="AZ351" s="81"/>
      <c r="BA351" s="81"/>
      <c r="BB351" s="81"/>
    </row>
    <row r="352" spans="1:54" x14ac:dyDescent="0.35">
      <c r="A352" s="66" t="s">
        <v>486</v>
      </c>
      <c r="B352" s="66" t="s">
        <v>504</v>
      </c>
      <c r="C352" s="67"/>
      <c r="D352" s="68"/>
      <c r="E352" s="69"/>
      <c r="F352" s="70"/>
      <c r="G352" s="67"/>
      <c r="H352" s="71"/>
      <c r="I352" s="72"/>
      <c r="J352" s="72"/>
      <c r="K352" s="36"/>
      <c r="L352" s="79"/>
      <c r="M352" s="79"/>
      <c r="N352" s="74"/>
      <c r="O352" s="81" t="s">
        <v>1532</v>
      </c>
      <c r="P352" s="83">
        <v>44460.126747685186</v>
      </c>
      <c r="Q352" s="81" t="s">
        <v>1674</v>
      </c>
      <c r="R352" s="81"/>
      <c r="S352" s="81"/>
      <c r="T352" s="86" t="s">
        <v>2671</v>
      </c>
      <c r="U352" s="84" t="str">
        <f>HYPERLINK("https://pbs.twimg.com/media/E_xv_zuVkAUKwdt.jpg")</f>
        <v>https://pbs.twimg.com/media/E_xv_zuVkAUKwdt.jpg</v>
      </c>
      <c r="V352" s="84" t="str">
        <f>HYPERLINK("https://pbs.twimg.com/media/E_xv_zuVkAUKwdt.jpg")</f>
        <v>https://pbs.twimg.com/media/E_xv_zuVkAUKwdt.jpg</v>
      </c>
      <c r="W352" s="83">
        <v>44460.126747685186</v>
      </c>
      <c r="X352" s="89">
        <v>44460</v>
      </c>
      <c r="Y352" s="86" t="s">
        <v>3045</v>
      </c>
      <c r="Z352" s="84" t="str">
        <f>HYPERLINK("https://twitter.com/harir16191604/status/1440149412177534982")</f>
        <v>https://twitter.com/harir16191604/status/1440149412177534982</v>
      </c>
      <c r="AA352" s="81"/>
      <c r="AB352" s="81"/>
      <c r="AC352" s="86" t="s">
        <v>4506</v>
      </c>
      <c r="AD352" s="81"/>
      <c r="AE352" s="81" t="b">
        <v>0</v>
      </c>
      <c r="AF352" s="81">
        <v>0</v>
      </c>
      <c r="AG352" s="86" t="s">
        <v>6240</v>
      </c>
      <c r="AH352" s="81" t="b">
        <v>0</v>
      </c>
      <c r="AI352" s="81" t="s">
        <v>6478</v>
      </c>
      <c r="AJ352" s="81"/>
      <c r="AK352" s="86" t="s">
        <v>6240</v>
      </c>
      <c r="AL352" s="81" t="b">
        <v>0</v>
      </c>
      <c r="AM352" s="81">
        <v>14</v>
      </c>
      <c r="AN352" s="86" t="s">
        <v>4528</v>
      </c>
      <c r="AO352" s="86" t="s">
        <v>6503</v>
      </c>
      <c r="AP352" s="81" t="b">
        <v>0</v>
      </c>
      <c r="AQ352" s="86" t="s">
        <v>4528</v>
      </c>
      <c r="AR352" s="81" t="s">
        <v>179</v>
      </c>
      <c r="AS352" s="81">
        <v>0</v>
      </c>
      <c r="AT352" s="81">
        <v>0</v>
      </c>
      <c r="AU352" s="81"/>
      <c r="AV352" s="81"/>
      <c r="AW352" s="81"/>
      <c r="AX352" s="81"/>
      <c r="AY352" s="81"/>
      <c r="AZ352" s="81"/>
      <c r="BA352" s="81"/>
      <c r="BB352" s="81"/>
    </row>
    <row r="353" spans="1:54" x14ac:dyDescent="0.35">
      <c r="A353" s="66" t="s">
        <v>487</v>
      </c>
      <c r="B353" s="66" t="s">
        <v>1316</v>
      </c>
      <c r="C353" s="67"/>
      <c r="D353" s="68"/>
      <c r="E353" s="69"/>
      <c r="F353" s="70"/>
      <c r="G353" s="67"/>
      <c r="H353" s="71"/>
      <c r="I353" s="72"/>
      <c r="J353" s="72"/>
      <c r="K353" s="36"/>
      <c r="L353" s="79"/>
      <c r="M353" s="79"/>
      <c r="N353" s="74"/>
      <c r="O353" s="81" t="s">
        <v>1533</v>
      </c>
      <c r="P353" s="83">
        <v>44460.12703703704</v>
      </c>
      <c r="Q353" s="81" t="s">
        <v>1674</v>
      </c>
      <c r="R353" s="81"/>
      <c r="S353" s="81"/>
      <c r="T353" s="86" t="s">
        <v>2671</v>
      </c>
      <c r="U353" s="84" t="str">
        <f>HYPERLINK("https://pbs.twimg.com/media/E_xv_zuVkAUKwdt.jpg")</f>
        <v>https://pbs.twimg.com/media/E_xv_zuVkAUKwdt.jpg</v>
      </c>
      <c r="V353" s="84" t="str">
        <f>HYPERLINK("https://pbs.twimg.com/media/E_xv_zuVkAUKwdt.jpg")</f>
        <v>https://pbs.twimg.com/media/E_xv_zuVkAUKwdt.jpg</v>
      </c>
      <c r="W353" s="83">
        <v>44460.12703703704</v>
      </c>
      <c r="X353" s="89">
        <v>44460</v>
      </c>
      <c r="Y353" s="86" t="s">
        <v>3046</v>
      </c>
      <c r="Z353" s="84" t="str">
        <f>HYPERLINK("https://twitter.com/kariadi_tv/status/1440149518234701828")</f>
        <v>https://twitter.com/kariadi_tv/status/1440149518234701828</v>
      </c>
      <c r="AA353" s="81"/>
      <c r="AB353" s="81"/>
      <c r="AC353" s="86" t="s">
        <v>4507</v>
      </c>
      <c r="AD353" s="81"/>
      <c r="AE353" s="81" t="b">
        <v>0</v>
      </c>
      <c r="AF353" s="81">
        <v>0</v>
      </c>
      <c r="AG353" s="86" t="s">
        <v>6240</v>
      </c>
      <c r="AH353" s="81" t="b">
        <v>0</v>
      </c>
      <c r="AI353" s="81" t="s">
        <v>6478</v>
      </c>
      <c r="AJ353" s="81"/>
      <c r="AK353" s="86" t="s">
        <v>6240</v>
      </c>
      <c r="AL353" s="81" t="b">
        <v>0</v>
      </c>
      <c r="AM353" s="81">
        <v>14</v>
      </c>
      <c r="AN353" s="86" t="s">
        <v>4528</v>
      </c>
      <c r="AO353" s="86" t="s">
        <v>6503</v>
      </c>
      <c r="AP353" s="81" t="b">
        <v>0</v>
      </c>
      <c r="AQ353" s="86" t="s">
        <v>4528</v>
      </c>
      <c r="AR353" s="81" t="s">
        <v>179</v>
      </c>
      <c r="AS353" s="81">
        <v>0</v>
      </c>
      <c r="AT353" s="81">
        <v>0</v>
      </c>
      <c r="AU353" s="81"/>
      <c r="AV353" s="81"/>
      <c r="AW353" s="81"/>
      <c r="AX353" s="81"/>
      <c r="AY353" s="81"/>
      <c r="AZ353" s="81"/>
      <c r="BA353" s="81"/>
      <c r="BB353" s="81"/>
    </row>
    <row r="354" spans="1:54" x14ac:dyDescent="0.35">
      <c r="A354" s="66" t="s">
        <v>487</v>
      </c>
      <c r="B354" s="66" t="s">
        <v>1317</v>
      </c>
      <c r="C354" s="67"/>
      <c r="D354" s="68"/>
      <c r="E354" s="69"/>
      <c r="F354" s="70"/>
      <c r="G354" s="67"/>
      <c r="H354" s="71"/>
      <c r="I354" s="72"/>
      <c r="J354" s="72"/>
      <c r="K354" s="36"/>
      <c r="L354" s="79"/>
      <c r="M354" s="79"/>
      <c r="N354" s="74"/>
      <c r="O354" s="81" t="s">
        <v>1533</v>
      </c>
      <c r="P354" s="83">
        <v>44460.12703703704</v>
      </c>
      <c r="Q354" s="81" t="s">
        <v>1674</v>
      </c>
      <c r="R354" s="81"/>
      <c r="S354" s="81"/>
      <c r="T354" s="86" t="s">
        <v>2671</v>
      </c>
      <c r="U354" s="84" t="str">
        <f>HYPERLINK("https://pbs.twimg.com/media/E_xv_zuVkAUKwdt.jpg")</f>
        <v>https://pbs.twimg.com/media/E_xv_zuVkAUKwdt.jpg</v>
      </c>
      <c r="V354" s="84" t="str">
        <f>HYPERLINK("https://pbs.twimg.com/media/E_xv_zuVkAUKwdt.jpg")</f>
        <v>https://pbs.twimg.com/media/E_xv_zuVkAUKwdt.jpg</v>
      </c>
      <c r="W354" s="83">
        <v>44460.12703703704</v>
      </c>
      <c r="X354" s="89">
        <v>44460</v>
      </c>
      <c r="Y354" s="86" t="s">
        <v>3046</v>
      </c>
      <c r="Z354" s="84" t="str">
        <f>HYPERLINK("https://twitter.com/kariadi_tv/status/1440149518234701828")</f>
        <v>https://twitter.com/kariadi_tv/status/1440149518234701828</v>
      </c>
      <c r="AA354" s="81"/>
      <c r="AB354" s="81"/>
      <c r="AC354" s="86" t="s">
        <v>4507</v>
      </c>
      <c r="AD354" s="81"/>
      <c r="AE354" s="81" t="b">
        <v>0</v>
      </c>
      <c r="AF354" s="81">
        <v>0</v>
      </c>
      <c r="AG354" s="86" t="s">
        <v>6240</v>
      </c>
      <c r="AH354" s="81" t="b">
        <v>0</v>
      </c>
      <c r="AI354" s="81" t="s">
        <v>6478</v>
      </c>
      <c r="AJ354" s="81"/>
      <c r="AK354" s="86" t="s">
        <v>6240</v>
      </c>
      <c r="AL354" s="81" t="b">
        <v>0</v>
      </c>
      <c r="AM354" s="81">
        <v>14</v>
      </c>
      <c r="AN354" s="86" t="s">
        <v>4528</v>
      </c>
      <c r="AO354" s="86" t="s">
        <v>6503</v>
      </c>
      <c r="AP354" s="81" t="b">
        <v>0</v>
      </c>
      <c r="AQ354" s="86" t="s">
        <v>4528</v>
      </c>
      <c r="AR354" s="81" t="s">
        <v>179</v>
      </c>
      <c r="AS354" s="81">
        <v>0</v>
      </c>
      <c r="AT354" s="81">
        <v>0</v>
      </c>
      <c r="AU354" s="81"/>
      <c r="AV354" s="81"/>
      <c r="AW354" s="81"/>
      <c r="AX354" s="81"/>
      <c r="AY354" s="81"/>
      <c r="AZ354" s="81"/>
      <c r="BA354" s="81"/>
      <c r="BB354" s="81"/>
    </row>
    <row r="355" spans="1:54" x14ac:dyDescent="0.35">
      <c r="A355" s="66" t="s">
        <v>487</v>
      </c>
      <c r="B355" s="66" t="s">
        <v>1318</v>
      </c>
      <c r="C355" s="67"/>
      <c r="D355" s="68"/>
      <c r="E355" s="69"/>
      <c r="F355" s="70"/>
      <c r="G355" s="67"/>
      <c r="H355" s="71"/>
      <c r="I355" s="72"/>
      <c r="J355" s="72"/>
      <c r="K355" s="36"/>
      <c r="L355" s="79"/>
      <c r="M355" s="79"/>
      <c r="N355" s="74"/>
      <c r="O355" s="81" t="s">
        <v>1533</v>
      </c>
      <c r="P355" s="83">
        <v>44460.12703703704</v>
      </c>
      <c r="Q355" s="81" t="s">
        <v>1674</v>
      </c>
      <c r="R355" s="81"/>
      <c r="S355" s="81"/>
      <c r="T355" s="86" t="s">
        <v>2671</v>
      </c>
      <c r="U355" s="84" t="str">
        <f>HYPERLINK("https://pbs.twimg.com/media/E_xv_zuVkAUKwdt.jpg")</f>
        <v>https://pbs.twimg.com/media/E_xv_zuVkAUKwdt.jpg</v>
      </c>
      <c r="V355" s="84" t="str">
        <f>HYPERLINK("https://pbs.twimg.com/media/E_xv_zuVkAUKwdt.jpg")</f>
        <v>https://pbs.twimg.com/media/E_xv_zuVkAUKwdt.jpg</v>
      </c>
      <c r="W355" s="83">
        <v>44460.12703703704</v>
      </c>
      <c r="X355" s="89">
        <v>44460</v>
      </c>
      <c r="Y355" s="86" t="s">
        <v>3046</v>
      </c>
      <c r="Z355" s="84" t="str">
        <f>HYPERLINK("https://twitter.com/kariadi_tv/status/1440149518234701828")</f>
        <v>https://twitter.com/kariadi_tv/status/1440149518234701828</v>
      </c>
      <c r="AA355" s="81"/>
      <c r="AB355" s="81"/>
      <c r="AC355" s="86" t="s">
        <v>4507</v>
      </c>
      <c r="AD355" s="81"/>
      <c r="AE355" s="81" t="b">
        <v>0</v>
      </c>
      <c r="AF355" s="81">
        <v>0</v>
      </c>
      <c r="AG355" s="86" t="s">
        <v>6240</v>
      </c>
      <c r="AH355" s="81" t="b">
        <v>0</v>
      </c>
      <c r="AI355" s="81" t="s">
        <v>6478</v>
      </c>
      <c r="AJ355" s="81"/>
      <c r="AK355" s="86" t="s">
        <v>6240</v>
      </c>
      <c r="AL355" s="81" t="b">
        <v>0</v>
      </c>
      <c r="AM355" s="81">
        <v>14</v>
      </c>
      <c r="AN355" s="86" t="s">
        <v>4528</v>
      </c>
      <c r="AO355" s="86" t="s">
        <v>6503</v>
      </c>
      <c r="AP355" s="81" t="b">
        <v>0</v>
      </c>
      <c r="AQ355" s="86" t="s">
        <v>4528</v>
      </c>
      <c r="AR355" s="81" t="s">
        <v>179</v>
      </c>
      <c r="AS355" s="81">
        <v>0</v>
      </c>
      <c r="AT355" s="81">
        <v>0</v>
      </c>
      <c r="AU355" s="81"/>
      <c r="AV355" s="81"/>
      <c r="AW355" s="81"/>
      <c r="AX355" s="81"/>
      <c r="AY355" s="81"/>
      <c r="AZ355" s="81"/>
      <c r="BA355" s="81"/>
      <c r="BB355" s="81"/>
    </row>
    <row r="356" spans="1:54" x14ac:dyDescent="0.35">
      <c r="A356" s="66" t="s">
        <v>487</v>
      </c>
      <c r="B356" s="66" t="s">
        <v>1319</v>
      </c>
      <c r="C356" s="67"/>
      <c r="D356" s="68"/>
      <c r="E356" s="69"/>
      <c r="F356" s="70"/>
      <c r="G356" s="67"/>
      <c r="H356" s="71"/>
      <c r="I356" s="72"/>
      <c r="J356" s="72"/>
      <c r="K356" s="36"/>
      <c r="L356" s="79"/>
      <c r="M356" s="79"/>
      <c r="N356" s="74"/>
      <c r="O356" s="81" t="s">
        <v>1533</v>
      </c>
      <c r="P356" s="83">
        <v>44460.12703703704</v>
      </c>
      <c r="Q356" s="81" t="s">
        <v>1674</v>
      </c>
      <c r="R356" s="81"/>
      <c r="S356" s="81"/>
      <c r="T356" s="86" t="s">
        <v>2671</v>
      </c>
      <c r="U356" s="84" t="str">
        <f>HYPERLINK("https://pbs.twimg.com/media/E_xv_zuVkAUKwdt.jpg")</f>
        <v>https://pbs.twimg.com/media/E_xv_zuVkAUKwdt.jpg</v>
      </c>
      <c r="V356" s="84" t="str">
        <f>HYPERLINK("https://pbs.twimg.com/media/E_xv_zuVkAUKwdt.jpg")</f>
        <v>https://pbs.twimg.com/media/E_xv_zuVkAUKwdt.jpg</v>
      </c>
      <c r="W356" s="83">
        <v>44460.12703703704</v>
      </c>
      <c r="X356" s="89">
        <v>44460</v>
      </c>
      <c r="Y356" s="86" t="s">
        <v>3046</v>
      </c>
      <c r="Z356" s="84" t="str">
        <f>HYPERLINK("https://twitter.com/kariadi_tv/status/1440149518234701828")</f>
        <v>https://twitter.com/kariadi_tv/status/1440149518234701828</v>
      </c>
      <c r="AA356" s="81"/>
      <c r="AB356" s="81"/>
      <c r="AC356" s="86" t="s">
        <v>4507</v>
      </c>
      <c r="AD356" s="81"/>
      <c r="AE356" s="81" t="b">
        <v>0</v>
      </c>
      <c r="AF356" s="81">
        <v>0</v>
      </c>
      <c r="AG356" s="86" t="s">
        <v>6240</v>
      </c>
      <c r="AH356" s="81" t="b">
        <v>0</v>
      </c>
      <c r="AI356" s="81" t="s">
        <v>6478</v>
      </c>
      <c r="AJ356" s="81"/>
      <c r="AK356" s="86" t="s">
        <v>6240</v>
      </c>
      <c r="AL356" s="81" t="b">
        <v>0</v>
      </c>
      <c r="AM356" s="81">
        <v>14</v>
      </c>
      <c r="AN356" s="86" t="s">
        <v>4528</v>
      </c>
      <c r="AO356" s="86" t="s">
        <v>6503</v>
      </c>
      <c r="AP356" s="81" t="b">
        <v>0</v>
      </c>
      <c r="AQ356" s="86" t="s">
        <v>4528</v>
      </c>
      <c r="AR356" s="81" t="s">
        <v>179</v>
      </c>
      <c r="AS356" s="81">
        <v>0</v>
      </c>
      <c r="AT356" s="81">
        <v>0</v>
      </c>
      <c r="AU356" s="81"/>
      <c r="AV356" s="81"/>
      <c r="AW356" s="81"/>
      <c r="AX356" s="81"/>
      <c r="AY356" s="81"/>
      <c r="AZ356" s="81"/>
      <c r="BA356" s="81"/>
      <c r="BB356" s="81"/>
    </row>
    <row r="357" spans="1:54" x14ac:dyDescent="0.35">
      <c r="A357" s="66" t="s">
        <v>487</v>
      </c>
      <c r="B357" s="66" t="s">
        <v>1320</v>
      </c>
      <c r="C357" s="67"/>
      <c r="D357" s="68"/>
      <c r="E357" s="69"/>
      <c r="F357" s="70"/>
      <c r="G357" s="67"/>
      <c r="H357" s="71"/>
      <c r="I357" s="72"/>
      <c r="J357" s="72"/>
      <c r="K357" s="36"/>
      <c r="L357" s="79"/>
      <c r="M357" s="79"/>
      <c r="N357" s="74"/>
      <c r="O357" s="81" t="s">
        <v>1533</v>
      </c>
      <c r="P357" s="83">
        <v>44460.12703703704</v>
      </c>
      <c r="Q357" s="81" t="s">
        <v>1674</v>
      </c>
      <c r="R357" s="81"/>
      <c r="S357" s="81"/>
      <c r="T357" s="86" t="s">
        <v>2671</v>
      </c>
      <c r="U357" s="84" t="str">
        <f>HYPERLINK("https://pbs.twimg.com/media/E_xv_zuVkAUKwdt.jpg")</f>
        <v>https://pbs.twimg.com/media/E_xv_zuVkAUKwdt.jpg</v>
      </c>
      <c r="V357" s="84" t="str">
        <f>HYPERLINK("https://pbs.twimg.com/media/E_xv_zuVkAUKwdt.jpg")</f>
        <v>https://pbs.twimg.com/media/E_xv_zuVkAUKwdt.jpg</v>
      </c>
      <c r="W357" s="83">
        <v>44460.12703703704</v>
      </c>
      <c r="X357" s="89">
        <v>44460</v>
      </c>
      <c r="Y357" s="86" t="s">
        <v>3046</v>
      </c>
      <c r="Z357" s="84" t="str">
        <f>HYPERLINK("https://twitter.com/kariadi_tv/status/1440149518234701828")</f>
        <v>https://twitter.com/kariadi_tv/status/1440149518234701828</v>
      </c>
      <c r="AA357" s="81"/>
      <c r="AB357" s="81"/>
      <c r="AC357" s="86" t="s">
        <v>4507</v>
      </c>
      <c r="AD357" s="81"/>
      <c r="AE357" s="81" t="b">
        <v>0</v>
      </c>
      <c r="AF357" s="81">
        <v>0</v>
      </c>
      <c r="AG357" s="86" t="s">
        <v>6240</v>
      </c>
      <c r="AH357" s="81" t="b">
        <v>0</v>
      </c>
      <c r="AI357" s="81" t="s">
        <v>6478</v>
      </c>
      <c r="AJ357" s="81"/>
      <c r="AK357" s="86" t="s">
        <v>6240</v>
      </c>
      <c r="AL357" s="81" t="b">
        <v>0</v>
      </c>
      <c r="AM357" s="81">
        <v>14</v>
      </c>
      <c r="AN357" s="86" t="s">
        <v>4528</v>
      </c>
      <c r="AO357" s="86" t="s">
        <v>6503</v>
      </c>
      <c r="AP357" s="81" t="b">
        <v>0</v>
      </c>
      <c r="AQ357" s="86" t="s">
        <v>4528</v>
      </c>
      <c r="AR357" s="81" t="s">
        <v>179</v>
      </c>
      <c r="AS357" s="81">
        <v>0</v>
      </c>
      <c r="AT357" s="81">
        <v>0</v>
      </c>
      <c r="AU357" s="81"/>
      <c r="AV357" s="81"/>
      <c r="AW357" s="81"/>
      <c r="AX357" s="81"/>
      <c r="AY357" s="81"/>
      <c r="AZ357" s="81"/>
      <c r="BA357" s="81"/>
      <c r="BB357" s="81"/>
    </row>
    <row r="358" spans="1:54" x14ac:dyDescent="0.35">
      <c r="A358" s="66" t="s">
        <v>487</v>
      </c>
      <c r="B358" s="66" t="s">
        <v>504</v>
      </c>
      <c r="C358" s="67"/>
      <c r="D358" s="68"/>
      <c r="E358" s="69"/>
      <c r="F358" s="70"/>
      <c r="G358" s="67"/>
      <c r="H358" s="71"/>
      <c r="I358" s="72"/>
      <c r="J358" s="72"/>
      <c r="K358" s="36"/>
      <c r="L358" s="79"/>
      <c r="M358" s="79"/>
      <c r="N358" s="74"/>
      <c r="O358" s="81" t="s">
        <v>1532</v>
      </c>
      <c r="P358" s="83">
        <v>44460.12703703704</v>
      </c>
      <c r="Q358" s="81" t="s">
        <v>1674</v>
      </c>
      <c r="R358" s="81"/>
      <c r="S358" s="81"/>
      <c r="T358" s="86" t="s">
        <v>2671</v>
      </c>
      <c r="U358" s="84" t="str">
        <f>HYPERLINK("https://pbs.twimg.com/media/E_xv_zuVkAUKwdt.jpg")</f>
        <v>https://pbs.twimg.com/media/E_xv_zuVkAUKwdt.jpg</v>
      </c>
      <c r="V358" s="84" t="str">
        <f>HYPERLINK("https://pbs.twimg.com/media/E_xv_zuVkAUKwdt.jpg")</f>
        <v>https://pbs.twimg.com/media/E_xv_zuVkAUKwdt.jpg</v>
      </c>
      <c r="W358" s="83">
        <v>44460.12703703704</v>
      </c>
      <c r="X358" s="89">
        <v>44460</v>
      </c>
      <c r="Y358" s="86" t="s">
        <v>3046</v>
      </c>
      <c r="Z358" s="84" t="str">
        <f>HYPERLINK("https://twitter.com/kariadi_tv/status/1440149518234701828")</f>
        <v>https://twitter.com/kariadi_tv/status/1440149518234701828</v>
      </c>
      <c r="AA358" s="81"/>
      <c r="AB358" s="81"/>
      <c r="AC358" s="86" t="s">
        <v>4507</v>
      </c>
      <c r="AD358" s="81"/>
      <c r="AE358" s="81" t="b">
        <v>0</v>
      </c>
      <c r="AF358" s="81">
        <v>0</v>
      </c>
      <c r="AG358" s="86" t="s">
        <v>6240</v>
      </c>
      <c r="AH358" s="81" t="b">
        <v>0</v>
      </c>
      <c r="AI358" s="81" t="s">
        <v>6478</v>
      </c>
      <c r="AJ358" s="81"/>
      <c r="AK358" s="86" t="s">
        <v>6240</v>
      </c>
      <c r="AL358" s="81" t="b">
        <v>0</v>
      </c>
      <c r="AM358" s="81">
        <v>14</v>
      </c>
      <c r="AN358" s="86" t="s">
        <v>4528</v>
      </c>
      <c r="AO358" s="86" t="s">
        <v>6503</v>
      </c>
      <c r="AP358" s="81" t="b">
        <v>0</v>
      </c>
      <c r="AQ358" s="86" t="s">
        <v>4528</v>
      </c>
      <c r="AR358" s="81" t="s">
        <v>179</v>
      </c>
      <c r="AS358" s="81">
        <v>0</v>
      </c>
      <c r="AT358" s="81">
        <v>0</v>
      </c>
      <c r="AU358" s="81"/>
      <c r="AV358" s="81"/>
      <c r="AW358" s="81"/>
      <c r="AX358" s="81"/>
      <c r="AY358" s="81"/>
      <c r="AZ358" s="81"/>
      <c r="BA358" s="81"/>
      <c r="BB358" s="81"/>
    </row>
    <row r="359" spans="1:54" x14ac:dyDescent="0.35">
      <c r="A359" s="66" t="s">
        <v>488</v>
      </c>
      <c r="B359" s="66" t="s">
        <v>1316</v>
      </c>
      <c r="C359" s="67"/>
      <c r="D359" s="68"/>
      <c r="E359" s="69"/>
      <c r="F359" s="70"/>
      <c r="G359" s="67"/>
      <c r="H359" s="71"/>
      <c r="I359" s="72"/>
      <c r="J359" s="72"/>
      <c r="K359" s="36"/>
      <c r="L359" s="79"/>
      <c r="M359" s="79"/>
      <c r="N359" s="74"/>
      <c r="O359" s="81" t="s">
        <v>1533</v>
      </c>
      <c r="P359" s="83">
        <v>44460.127650462964</v>
      </c>
      <c r="Q359" s="81" t="s">
        <v>1674</v>
      </c>
      <c r="R359" s="81"/>
      <c r="S359" s="81"/>
      <c r="T359" s="86" t="s">
        <v>2671</v>
      </c>
      <c r="U359" s="84" t="str">
        <f>HYPERLINK("https://pbs.twimg.com/media/E_xv_zuVkAUKwdt.jpg")</f>
        <v>https://pbs.twimg.com/media/E_xv_zuVkAUKwdt.jpg</v>
      </c>
      <c r="V359" s="84" t="str">
        <f>HYPERLINK("https://pbs.twimg.com/media/E_xv_zuVkAUKwdt.jpg")</f>
        <v>https://pbs.twimg.com/media/E_xv_zuVkAUKwdt.jpg</v>
      </c>
      <c r="W359" s="83">
        <v>44460.127650462964</v>
      </c>
      <c r="X359" s="89">
        <v>44460</v>
      </c>
      <c r="Y359" s="86" t="s">
        <v>3047</v>
      </c>
      <c r="Z359" s="84" t="str">
        <f>HYPERLINK("https://twitter.com/novisherliana/status/1440149740880990209")</f>
        <v>https://twitter.com/novisherliana/status/1440149740880990209</v>
      </c>
      <c r="AA359" s="81"/>
      <c r="AB359" s="81"/>
      <c r="AC359" s="86" t="s">
        <v>4508</v>
      </c>
      <c r="AD359" s="81"/>
      <c r="AE359" s="81" t="b">
        <v>0</v>
      </c>
      <c r="AF359" s="81">
        <v>0</v>
      </c>
      <c r="AG359" s="86" t="s">
        <v>6240</v>
      </c>
      <c r="AH359" s="81" t="b">
        <v>0</v>
      </c>
      <c r="AI359" s="81" t="s">
        <v>6478</v>
      </c>
      <c r="AJ359" s="81"/>
      <c r="AK359" s="86" t="s">
        <v>6240</v>
      </c>
      <c r="AL359" s="81" t="b">
        <v>0</v>
      </c>
      <c r="AM359" s="81">
        <v>14</v>
      </c>
      <c r="AN359" s="86" t="s">
        <v>4528</v>
      </c>
      <c r="AO359" s="86" t="s">
        <v>6503</v>
      </c>
      <c r="AP359" s="81" t="b">
        <v>0</v>
      </c>
      <c r="AQ359" s="86" t="s">
        <v>4528</v>
      </c>
      <c r="AR359" s="81" t="s">
        <v>179</v>
      </c>
      <c r="AS359" s="81">
        <v>0</v>
      </c>
      <c r="AT359" s="81">
        <v>0</v>
      </c>
      <c r="AU359" s="81"/>
      <c r="AV359" s="81"/>
      <c r="AW359" s="81"/>
      <c r="AX359" s="81"/>
      <c r="AY359" s="81"/>
      <c r="AZ359" s="81"/>
      <c r="BA359" s="81"/>
      <c r="BB359" s="81"/>
    </row>
    <row r="360" spans="1:54" x14ac:dyDescent="0.35">
      <c r="A360" s="66" t="s">
        <v>488</v>
      </c>
      <c r="B360" s="66" t="s">
        <v>1317</v>
      </c>
      <c r="C360" s="67"/>
      <c r="D360" s="68"/>
      <c r="E360" s="69"/>
      <c r="F360" s="70"/>
      <c r="G360" s="67"/>
      <c r="H360" s="71"/>
      <c r="I360" s="72"/>
      <c r="J360" s="72"/>
      <c r="K360" s="36"/>
      <c r="L360" s="79"/>
      <c r="M360" s="79"/>
      <c r="N360" s="74"/>
      <c r="O360" s="81" t="s">
        <v>1533</v>
      </c>
      <c r="P360" s="83">
        <v>44460.127650462964</v>
      </c>
      <c r="Q360" s="81" t="s">
        <v>1674</v>
      </c>
      <c r="R360" s="81"/>
      <c r="S360" s="81"/>
      <c r="T360" s="86" t="s">
        <v>2671</v>
      </c>
      <c r="U360" s="84" t="str">
        <f>HYPERLINK("https://pbs.twimg.com/media/E_xv_zuVkAUKwdt.jpg")</f>
        <v>https://pbs.twimg.com/media/E_xv_zuVkAUKwdt.jpg</v>
      </c>
      <c r="V360" s="84" t="str">
        <f>HYPERLINK("https://pbs.twimg.com/media/E_xv_zuVkAUKwdt.jpg")</f>
        <v>https://pbs.twimg.com/media/E_xv_zuVkAUKwdt.jpg</v>
      </c>
      <c r="W360" s="83">
        <v>44460.127650462964</v>
      </c>
      <c r="X360" s="89">
        <v>44460</v>
      </c>
      <c r="Y360" s="86" t="s">
        <v>3047</v>
      </c>
      <c r="Z360" s="84" t="str">
        <f>HYPERLINK("https://twitter.com/novisherliana/status/1440149740880990209")</f>
        <v>https://twitter.com/novisherliana/status/1440149740880990209</v>
      </c>
      <c r="AA360" s="81"/>
      <c r="AB360" s="81"/>
      <c r="AC360" s="86" t="s">
        <v>4508</v>
      </c>
      <c r="AD360" s="81"/>
      <c r="AE360" s="81" t="b">
        <v>0</v>
      </c>
      <c r="AF360" s="81">
        <v>0</v>
      </c>
      <c r="AG360" s="86" t="s">
        <v>6240</v>
      </c>
      <c r="AH360" s="81" t="b">
        <v>0</v>
      </c>
      <c r="AI360" s="81" t="s">
        <v>6478</v>
      </c>
      <c r="AJ360" s="81"/>
      <c r="AK360" s="86" t="s">
        <v>6240</v>
      </c>
      <c r="AL360" s="81" t="b">
        <v>0</v>
      </c>
      <c r="AM360" s="81">
        <v>14</v>
      </c>
      <c r="AN360" s="86" t="s">
        <v>4528</v>
      </c>
      <c r="AO360" s="86" t="s">
        <v>6503</v>
      </c>
      <c r="AP360" s="81" t="b">
        <v>0</v>
      </c>
      <c r="AQ360" s="86" t="s">
        <v>4528</v>
      </c>
      <c r="AR360" s="81" t="s">
        <v>179</v>
      </c>
      <c r="AS360" s="81">
        <v>0</v>
      </c>
      <c r="AT360" s="81">
        <v>0</v>
      </c>
      <c r="AU360" s="81"/>
      <c r="AV360" s="81"/>
      <c r="AW360" s="81"/>
      <c r="AX360" s="81"/>
      <c r="AY360" s="81"/>
      <c r="AZ360" s="81"/>
      <c r="BA360" s="81"/>
      <c r="BB360" s="81"/>
    </row>
    <row r="361" spans="1:54" x14ac:dyDescent="0.35">
      <c r="A361" s="66" t="s">
        <v>488</v>
      </c>
      <c r="B361" s="66" t="s">
        <v>1318</v>
      </c>
      <c r="C361" s="67"/>
      <c r="D361" s="68"/>
      <c r="E361" s="69"/>
      <c r="F361" s="70"/>
      <c r="G361" s="67"/>
      <c r="H361" s="71"/>
      <c r="I361" s="72"/>
      <c r="J361" s="72"/>
      <c r="K361" s="36"/>
      <c r="L361" s="79"/>
      <c r="M361" s="79"/>
      <c r="N361" s="74"/>
      <c r="O361" s="81" t="s">
        <v>1533</v>
      </c>
      <c r="P361" s="83">
        <v>44460.127650462964</v>
      </c>
      <c r="Q361" s="81" t="s">
        <v>1674</v>
      </c>
      <c r="R361" s="81"/>
      <c r="S361" s="81"/>
      <c r="T361" s="86" t="s">
        <v>2671</v>
      </c>
      <c r="U361" s="84" t="str">
        <f>HYPERLINK("https://pbs.twimg.com/media/E_xv_zuVkAUKwdt.jpg")</f>
        <v>https://pbs.twimg.com/media/E_xv_zuVkAUKwdt.jpg</v>
      </c>
      <c r="V361" s="84" t="str">
        <f>HYPERLINK("https://pbs.twimg.com/media/E_xv_zuVkAUKwdt.jpg")</f>
        <v>https://pbs.twimg.com/media/E_xv_zuVkAUKwdt.jpg</v>
      </c>
      <c r="W361" s="83">
        <v>44460.127650462964</v>
      </c>
      <c r="X361" s="89">
        <v>44460</v>
      </c>
      <c r="Y361" s="86" t="s">
        <v>3047</v>
      </c>
      <c r="Z361" s="84" t="str">
        <f>HYPERLINK("https://twitter.com/novisherliana/status/1440149740880990209")</f>
        <v>https://twitter.com/novisherliana/status/1440149740880990209</v>
      </c>
      <c r="AA361" s="81"/>
      <c r="AB361" s="81"/>
      <c r="AC361" s="86" t="s">
        <v>4508</v>
      </c>
      <c r="AD361" s="81"/>
      <c r="AE361" s="81" t="b">
        <v>0</v>
      </c>
      <c r="AF361" s="81">
        <v>0</v>
      </c>
      <c r="AG361" s="86" t="s">
        <v>6240</v>
      </c>
      <c r="AH361" s="81" t="b">
        <v>0</v>
      </c>
      <c r="AI361" s="81" t="s">
        <v>6478</v>
      </c>
      <c r="AJ361" s="81"/>
      <c r="AK361" s="86" t="s">
        <v>6240</v>
      </c>
      <c r="AL361" s="81" t="b">
        <v>0</v>
      </c>
      <c r="AM361" s="81">
        <v>14</v>
      </c>
      <c r="AN361" s="86" t="s">
        <v>4528</v>
      </c>
      <c r="AO361" s="86" t="s">
        <v>6503</v>
      </c>
      <c r="AP361" s="81" t="b">
        <v>0</v>
      </c>
      <c r="AQ361" s="86" t="s">
        <v>4528</v>
      </c>
      <c r="AR361" s="81" t="s">
        <v>179</v>
      </c>
      <c r="AS361" s="81">
        <v>0</v>
      </c>
      <c r="AT361" s="81">
        <v>0</v>
      </c>
      <c r="AU361" s="81"/>
      <c r="AV361" s="81"/>
      <c r="AW361" s="81"/>
      <c r="AX361" s="81"/>
      <c r="AY361" s="81"/>
      <c r="AZ361" s="81"/>
      <c r="BA361" s="81"/>
      <c r="BB361" s="81"/>
    </row>
    <row r="362" spans="1:54" x14ac:dyDescent="0.35">
      <c r="A362" s="66" t="s">
        <v>488</v>
      </c>
      <c r="B362" s="66" t="s">
        <v>1319</v>
      </c>
      <c r="C362" s="67"/>
      <c r="D362" s="68"/>
      <c r="E362" s="69"/>
      <c r="F362" s="70"/>
      <c r="G362" s="67"/>
      <c r="H362" s="71"/>
      <c r="I362" s="72"/>
      <c r="J362" s="72"/>
      <c r="K362" s="36"/>
      <c r="L362" s="79"/>
      <c r="M362" s="79"/>
      <c r="N362" s="74"/>
      <c r="O362" s="81" t="s">
        <v>1533</v>
      </c>
      <c r="P362" s="83">
        <v>44460.127650462964</v>
      </c>
      <c r="Q362" s="81" t="s">
        <v>1674</v>
      </c>
      <c r="R362" s="81"/>
      <c r="S362" s="81"/>
      <c r="T362" s="86" t="s">
        <v>2671</v>
      </c>
      <c r="U362" s="84" t="str">
        <f>HYPERLINK("https://pbs.twimg.com/media/E_xv_zuVkAUKwdt.jpg")</f>
        <v>https://pbs.twimg.com/media/E_xv_zuVkAUKwdt.jpg</v>
      </c>
      <c r="V362" s="84" t="str">
        <f>HYPERLINK("https://pbs.twimg.com/media/E_xv_zuVkAUKwdt.jpg")</f>
        <v>https://pbs.twimg.com/media/E_xv_zuVkAUKwdt.jpg</v>
      </c>
      <c r="W362" s="83">
        <v>44460.127650462964</v>
      </c>
      <c r="X362" s="89">
        <v>44460</v>
      </c>
      <c r="Y362" s="86" t="s">
        <v>3047</v>
      </c>
      <c r="Z362" s="84" t="str">
        <f>HYPERLINK("https://twitter.com/novisherliana/status/1440149740880990209")</f>
        <v>https://twitter.com/novisherliana/status/1440149740880990209</v>
      </c>
      <c r="AA362" s="81"/>
      <c r="AB362" s="81"/>
      <c r="AC362" s="86" t="s">
        <v>4508</v>
      </c>
      <c r="AD362" s="81"/>
      <c r="AE362" s="81" t="b">
        <v>0</v>
      </c>
      <c r="AF362" s="81">
        <v>0</v>
      </c>
      <c r="AG362" s="86" t="s">
        <v>6240</v>
      </c>
      <c r="AH362" s="81" t="b">
        <v>0</v>
      </c>
      <c r="AI362" s="81" t="s">
        <v>6478</v>
      </c>
      <c r="AJ362" s="81"/>
      <c r="AK362" s="86" t="s">
        <v>6240</v>
      </c>
      <c r="AL362" s="81" t="b">
        <v>0</v>
      </c>
      <c r="AM362" s="81">
        <v>14</v>
      </c>
      <c r="AN362" s="86" t="s">
        <v>4528</v>
      </c>
      <c r="AO362" s="86" t="s">
        <v>6503</v>
      </c>
      <c r="AP362" s="81" t="b">
        <v>0</v>
      </c>
      <c r="AQ362" s="86" t="s">
        <v>4528</v>
      </c>
      <c r="AR362" s="81" t="s">
        <v>179</v>
      </c>
      <c r="AS362" s="81">
        <v>0</v>
      </c>
      <c r="AT362" s="81">
        <v>0</v>
      </c>
      <c r="AU362" s="81"/>
      <c r="AV362" s="81"/>
      <c r="AW362" s="81"/>
      <c r="AX362" s="81"/>
      <c r="AY362" s="81"/>
      <c r="AZ362" s="81"/>
      <c r="BA362" s="81"/>
      <c r="BB362" s="81"/>
    </row>
    <row r="363" spans="1:54" x14ac:dyDescent="0.35">
      <c r="A363" s="66" t="s">
        <v>488</v>
      </c>
      <c r="B363" s="66" t="s">
        <v>1320</v>
      </c>
      <c r="C363" s="67"/>
      <c r="D363" s="68"/>
      <c r="E363" s="69"/>
      <c r="F363" s="70"/>
      <c r="G363" s="67"/>
      <c r="H363" s="71"/>
      <c r="I363" s="72"/>
      <c r="J363" s="72"/>
      <c r="K363" s="36"/>
      <c r="L363" s="79"/>
      <c r="M363" s="79"/>
      <c r="N363" s="74"/>
      <c r="O363" s="81" t="s">
        <v>1533</v>
      </c>
      <c r="P363" s="83">
        <v>44460.127650462964</v>
      </c>
      <c r="Q363" s="81" t="s">
        <v>1674</v>
      </c>
      <c r="R363" s="81"/>
      <c r="S363" s="81"/>
      <c r="T363" s="86" t="s">
        <v>2671</v>
      </c>
      <c r="U363" s="84" t="str">
        <f>HYPERLINK("https://pbs.twimg.com/media/E_xv_zuVkAUKwdt.jpg")</f>
        <v>https://pbs.twimg.com/media/E_xv_zuVkAUKwdt.jpg</v>
      </c>
      <c r="V363" s="84" t="str">
        <f>HYPERLINK("https://pbs.twimg.com/media/E_xv_zuVkAUKwdt.jpg")</f>
        <v>https://pbs.twimg.com/media/E_xv_zuVkAUKwdt.jpg</v>
      </c>
      <c r="W363" s="83">
        <v>44460.127650462964</v>
      </c>
      <c r="X363" s="89">
        <v>44460</v>
      </c>
      <c r="Y363" s="86" t="s">
        <v>3047</v>
      </c>
      <c r="Z363" s="84" t="str">
        <f>HYPERLINK("https://twitter.com/novisherliana/status/1440149740880990209")</f>
        <v>https://twitter.com/novisherliana/status/1440149740880990209</v>
      </c>
      <c r="AA363" s="81"/>
      <c r="AB363" s="81"/>
      <c r="AC363" s="86" t="s">
        <v>4508</v>
      </c>
      <c r="AD363" s="81"/>
      <c r="AE363" s="81" t="b">
        <v>0</v>
      </c>
      <c r="AF363" s="81">
        <v>0</v>
      </c>
      <c r="AG363" s="86" t="s">
        <v>6240</v>
      </c>
      <c r="AH363" s="81" t="b">
        <v>0</v>
      </c>
      <c r="AI363" s="81" t="s">
        <v>6478</v>
      </c>
      <c r="AJ363" s="81"/>
      <c r="AK363" s="86" t="s">
        <v>6240</v>
      </c>
      <c r="AL363" s="81" t="b">
        <v>0</v>
      </c>
      <c r="AM363" s="81">
        <v>14</v>
      </c>
      <c r="AN363" s="86" t="s">
        <v>4528</v>
      </c>
      <c r="AO363" s="86" t="s">
        <v>6503</v>
      </c>
      <c r="AP363" s="81" t="b">
        <v>0</v>
      </c>
      <c r="AQ363" s="86" t="s">
        <v>4528</v>
      </c>
      <c r="AR363" s="81" t="s">
        <v>179</v>
      </c>
      <c r="AS363" s="81">
        <v>0</v>
      </c>
      <c r="AT363" s="81">
        <v>0</v>
      </c>
      <c r="AU363" s="81"/>
      <c r="AV363" s="81"/>
      <c r="AW363" s="81"/>
      <c r="AX363" s="81"/>
      <c r="AY363" s="81"/>
      <c r="AZ363" s="81"/>
      <c r="BA363" s="81"/>
      <c r="BB363" s="81"/>
    </row>
    <row r="364" spans="1:54" x14ac:dyDescent="0.35">
      <c r="A364" s="66" t="s">
        <v>488</v>
      </c>
      <c r="B364" s="66" t="s">
        <v>504</v>
      </c>
      <c r="C364" s="67"/>
      <c r="D364" s="68"/>
      <c r="E364" s="69"/>
      <c r="F364" s="70"/>
      <c r="G364" s="67"/>
      <c r="H364" s="71"/>
      <c r="I364" s="72"/>
      <c r="J364" s="72"/>
      <c r="K364" s="36"/>
      <c r="L364" s="79"/>
      <c r="M364" s="79"/>
      <c r="N364" s="74"/>
      <c r="O364" s="81" t="s">
        <v>1532</v>
      </c>
      <c r="P364" s="83">
        <v>44460.127650462964</v>
      </c>
      <c r="Q364" s="81" t="s">
        <v>1674</v>
      </c>
      <c r="R364" s="81"/>
      <c r="S364" s="81"/>
      <c r="T364" s="86" t="s">
        <v>2671</v>
      </c>
      <c r="U364" s="84" t="str">
        <f>HYPERLINK("https://pbs.twimg.com/media/E_xv_zuVkAUKwdt.jpg")</f>
        <v>https://pbs.twimg.com/media/E_xv_zuVkAUKwdt.jpg</v>
      </c>
      <c r="V364" s="84" t="str">
        <f>HYPERLINK("https://pbs.twimg.com/media/E_xv_zuVkAUKwdt.jpg")</f>
        <v>https://pbs.twimg.com/media/E_xv_zuVkAUKwdt.jpg</v>
      </c>
      <c r="W364" s="83">
        <v>44460.127650462964</v>
      </c>
      <c r="X364" s="89">
        <v>44460</v>
      </c>
      <c r="Y364" s="86" t="s">
        <v>3047</v>
      </c>
      <c r="Z364" s="84" t="str">
        <f>HYPERLINK("https://twitter.com/novisherliana/status/1440149740880990209")</f>
        <v>https://twitter.com/novisherliana/status/1440149740880990209</v>
      </c>
      <c r="AA364" s="81"/>
      <c r="AB364" s="81"/>
      <c r="AC364" s="86" t="s">
        <v>4508</v>
      </c>
      <c r="AD364" s="81"/>
      <c r="AE364" s="81" t="b">
        <v>0</v>
      </c>
      <c r="AF364" s="81">
        <v>0</v>
      </c>
      <c r="AG364" s="86" t="s">
        <v>6240</v>
      </c>
      <c r="AH364" s="81" t="b">
        <v>0</v>
      </c>
      <c r="AI364" s="81" t="s">
        <v>6478</v>
      </c>
      <c r="AJ364" s="81"/>
      <c r="AK364" s="86" t="s">
        <v>6240</v>
      </c>
      <c r="AL364" s="81" t="b">
        <v>0</v>
      </c>
      <c r="AM364" s="81">
        <v>14</v>
      </c>
      <c r="AN364" s="86" t="s">
        <v>4528</v>
      </c>
      <c r="AO364" s="86" t="s">
        <v>6503</v>
      </c>
      <c r="AP364" s="81" t="b">
        <v>0</v>
      </c>
      <c r="AQ364" s="86" t="s">
        <v>4528</v>
      </c>
      <c r="AR364" s="81" t="s">
        <v>179</v>
      </c>
      <c r="AS364" s="81">
        <v>0</v>
      </c>
      <c r="AT364" s="81">
        <v>0</v>
      </c>
      <c r="AU364" s="81"/>
      <c r="AV364" s="81"/>
      <c r="AW364" s="81"/>
      <c r="AX364" s="81"/>
      <c r="AY364" s="81"/>
      <c r="AZ364" s="81"/>
      <c r="BA364" s="81"/>
      <c r="BB364" s="81"/>
    </row>
    <row r="365" spans="1:54" x14ac:dyDescent="0.35">
      <c r="A365" s="66" t="s">
        <v>489</v>
      </c>
      <c r="B365" s="66" t="s">
        <v>1316</v>
      </c>
      <c r="C365" s="67"/>
      <c r="D365" s="68"/>
      <c r="E365" s="69"/>
      <c r="F365" s="70"/>
      <c r="G365" s="67"/>
      <c r="H365" s="71"/>
      <c r="I365" s="72"/>
      <c r="J365" s="72"/>
      <c r="K365" s="36"/>
      <c r="L365" s="79"/>
      <c r="M365" s="79"/>
      <c r="N365" s="74"/>
      <c r="O365" s="81" t="s">
        <v>1533</v>
      </c>
      <c r="P365" s="83">
        <v>44460.127766203703</v>
      </c>
      <c r="Q365" s="81" t="s">
        <v>1674</v>
      </c>
      <c r="R365" s="81"/>
      <c r="S365" s="81"/>
      <c r="T365" s="86" t="s">
        <v>2671</v>
      </c>
      <c r="U365" s="84" t="str">
        <f>HYPERLINK("https://pbs.twimg.com/media/E_xv_zuVkAUKwdt.jpg")</f>
        <v>https://pbs.twimg.com/media/E_xv_zuVkAUKwdt.jpg</v>
      </c>
      <c r="V365" s="84" t="str">
        <f>HYPERLINK("https://pbs.twimg.com/media/E_xv_zuVkAUKwdt.jpg")</f>
        <v>https://pbs.twimg.com/media/E_xv_zuVkAUKwdt.jpg</v>
      </c>
      <c r="W365" s="83">
        <v>44460.127766203703</v>
      </c>
      <c r="X365" s="89">
        <v>44460</v>
      </c>
      <c r="Y365" s="86" t="s">
        <v>3048</v>
      </c>
      <c r="Z365" s="84" t="str">
        <f>HYPERLINK("https://twitter.com/arifrah90154134/status/1440149781829939204")</f>
        <v>https://twitter.com/arifrah90154134/status/1440149781829939204</v>
      </c>
      <c r="AA365" s="81"/>
      <c r="AB365" s="81"/>
      <c r="AC365" s="86" t="s">
        <v>4509</v>
      </c>
      <c r="AD365" s="81"/>
      <c r="AE365" s="81" t="b">
        <v>0</v>
      </c>
      <c r="AF365" s="81">
        <v>0</v>
      </c>
      <c r="AG365" s="86" t="s">
        <v>6240</v>
      </c>
      <c r="AH365" s="81" t="b">
        <v>0</v>
      </c>
      <c r="AI365" s="81" t="s">
        <v>6478</v>
      </c>
      <c r="AJ365" s="81"/>
      <c r="AK365" s="86" t="s">
        <v>6240</v>
      </c>
      <c r="AL365" s="81" t="b">
        <v>0</v>
      </c>
      <c r="AM365" s="81">
        <v>14</v>
      </c>
      <c r="AN365" s="86" t="s">
        <v>4528</v>
      </c>
      <c r="AO365" s="86" t="s">
        <v>6503</v>
      </c>
      <c r="AP365" s="81" t="b">
        <v>0</v>
      </c>
      <c r="AQ365" s="86" t="s">
        <v>4528</v>
      </c>
      <c r="AR365" s="81" t="s">
        <v>179</v>
      </c>
      <c r="AS365" s="81">
        <v>0</v>
      </c>
      <c r="AT365" s="81">
        <v>0</v>
      </c>
      <c r="AU365" s="81"/>
      <c r="AV365" s="81"/>
      <c r="AW365" s="81"/>
      <c r="AX365" s="81"/>
      <c r="AY365" s="81"/>
      <c r="AZ365" s="81"/>
      <c r="BA365" s="81"/>
      <c r="BB365" s="81"/>
    </row>
    <row r="366" spans="1:54" x14ac:dyDescent="0.35">
      <c r="A366" s="66" t="s">
        <v>489</v>
      </c>
      <c r="B366" s="66" t="s">
        <v>1317</v>
      </c>
      <c r="C366" s="67"/>
      <c r="D366" s="68"/>
      <c r="E366" s="69"/>
      <c r="F366" s="70"/>
      <c r="G366" s="67"/>
      <c r="H366" s="71"/>
      <c r="I366" s="72"/>
      <c r="J366" s="72"/>
      <c r="K366" s="36"/>
      <c r="L366" s="79"/>
      <c r="M366" s="79"/>
      <c r="N366" s="74"/>
      <c r="O366" s="81" t="s">
        <v>1533</v>
      </c>
      <c r="P366" s="83">
        <v>44460.127766203703</v>
      </c>
      <c r="Q366" s="81" t="s">
        <v>1674</v>
      </c>
      <c r="R366" s="81"/>
      <c r="S366" s="81"/>
      <c r="T366" s="86" t="s">
        <v>2671</v>
      </c>
      <c r="U366" s="84" t="str">
        <f>HYPERLINK("https://pbs.twimg.com/media/E_xv_zuVkAUKwdt.jpg")</f>
        <v>https://pbs.twimg.com/media/E_xv_zuVkAUKwdt.jpg</v>
      </c>
      <c r="V366" s="84" t="str">
        <f>HYPERLINK("https://pbs.twimg.com/media/E_xv_zuVkAUKwdt.jpg")</f>
        <v>https://pbs.twimg.com/media/E_xv_zuVkAUKwdt.jpg</v>
      </c>
      <c r="W366" s="83">
        <v>44460.127766203703</v>
      </c>
      <c r="X366" s="89">
        <v>44460</v>
      </c>
      <c r="Y366" s="86" t="s">
        <v>3048</v>
      </c>
      <c r="Z366" s="84" t="str">
        <f>HYPERLINK("https://twitter.com/arifrah90154134/status/1440149781829939204")</f>
        <v>https://twitter.com/arifrah90154134/status/1440149781829939204</v>
      </c>
      <c r="AA366" s="81"/>
      <c r="AB366" s="81"/>
      <c r="AC366" s="86" t="s">
        <v>4509</v>
      </c>
      <c r="AD366" s="81"/>
      <c r="AE366" s="81" t="b">
        <v>0</v>
      </c>
      <c r="AF366" s="81">
        <v>0</v>
      </c>
      <c r="AG366" s="86" t="s">
        <v>6240</v>
      </c>
      <c r="AH366" s="81" t="b">
        <v>0</v>
      </c>
      <c r="AI366" s="81" t="s">
        <v>6478</v>
      </c>
      <c r="AJ366" s="81"/>
      <c r="AK366" s="86" t="s">
        <v>6240</v>
      </c>
      <c r="AL366" s="81" t="b">
        <v>0</v>
      </c>
      <c r="AM366" s="81">
        <v>14</v>
      </c>
      <c r="AN366" s="86" t="s">
        <v>4528</v>
      </c>
      <c r="AO366" s="86" t="s">
        <v>6503</v>
      </c>
      <c r="AP366" s="81" t="b">
        <v>0</v>
      </c>
      <c r="AQ366" s="86" t="s">
        <v>4528</v>
      </c>
      <c r="AR366" s="81" t="s">
        <v>179</v>
      </c>
      <c r="AS366" s="81">
        <v>0</v>
      </c>
      <c r="AT366" s="81">
        <v>0</v>
      </c>
      <c r="AU366" s="81"/>
      <c r="AV366" s="81"/>
      <c r="AW366" s="81"/>
      <c r="AX366" s="81"/>
      <c r="AY366" s="81"/>
      <c r="AZ366" s="81"/>
      <c r="BA366" s="81"/>
      <c r="BB366" s="81"/>
    </row>
    <row r="367" spans="1:54" x14ac:dyDescent="0.35">
      <c r="A367" s="66" t="s">
        <v>489</v>
      </c>
      <c r="B367" s="66" t="s">
        <v>1318</v>
      </c>
      <c r="C367" s="67"/>
      <c r="D367" s="68"/>
      <c r="E367" s="69"/>
      <c r="F367" s="70"/>
      <c r="G367" s="67"/>
      <c r="H367" s="71"/>
      <c r="I367" s="72"/>
      <c r="J367" s="72"/>
      <c r="K367" s="36"/>
      <c r="L367" s="79"/>
      <c r="M367" s="79"/>
      <c r="N367" s="74"/>
      <c r="O367" s="81" t="s">
        <v>1533</v>
      </c>
      <c r="P367" s="83">
        <v>44460.127766203703</v>
      </c>
      <c r="Q367" s="81" t="s">
        <v>1674</v>
      </c>
      <c r="R367" s="81"/>
      <c r="S367" s="81"/>
      <c r="T367" s="86" t="s">
        <v>2671</v>
      </c>
      <c r="U367" s="84" t="str">
        <f>HYPERLINK("https://pbs.twimg.com/media/E_xv_zuVkAUKwdt.jpg")</f>
        <v>https://pbs.twimg.com/media/E_xv_zuVkAUKwdt.jpg</v>
      </c>
      <c r="V367" s="84" t="str">
        <f>HYPERLINK("https://pbs.twimg.com/media/E_xv_zuVkAUKwdt.jpg")</f>
        <v>https://pbs.twimg.com/media/E_xv_zuVkAUKwdt.jpg</v>
      </c>
      <c r="W367" s="83">
        <v>44460.127766203703</v>
      </c>
      <c r="X367" s="89">
        <v>44460</v>
      </c>
      <c r="Y367" s="86" t="s">
        <v>3048</v>
      </c>
      <c r="Z367" s="84" t="str">
        <f>HYPERLINK("https://twitter.com/arifrah90154134/status/1440149781829939204")</f>
        <v>https://twitter.com/arifrah90154134/status/1440149781829939204</v>
      </c>
      <c r="AA367" s="81"/>
      <c r="AB367" s="81"/>
      <c r="AC367" s="86" t="s">
        <v>4509</v>
      </c>
      <c r="AD367" s="81"/>
      <c r="AE367" s="81" t="b">
        <v>0</v>
      </c>
      <c r="AF367" s="81">
        <v>0</v>
      </c>
      <c r="AG367" s="86" t="s">
        <v>6240</v>
      </c>
      <c r="AH367" s="81" t="b">
        <v>0</v>
      </c>
      <c r="AI367" s="81" t="s">
        <v>6478</v>
      </c>
      <c r="AJ367" s="81"/>
      <c r="AK367" s="86" t="s">
        <v>6240</v>
      </c>
      <c r="AL367" s="81" t="b">
        <v>0</v>
      </c>
      <c r="AM367" s="81">
        <v>14</v>
      </c>
      <c r="AN367" s="86" t="s">
        <v>4528</v>
      </c>
      <c r="AO367" s="86" t="s">
        <v>6503</v>
      </c>
      <c r="AP367" s="81" t="b">
        <v>0</v>
      </c>
      <c r="AQ367" s="86" t="s">
        <v>4528</v>
      </c>
      <c r="AR367" s="81" t="s">
        <v>179</v>
      </c>
      <c r="AS367" s="81">
        <v>0</v>
      </c>
      <c r="AT367" s="81">
        <v>0</v>
      </c>
      <c r="AU367" s="81"/>
      <c r="AV367" s="81"/>
      <c r="AW367" s="81"/>
      <c r="AX367" s="81"/>
      <c r="AY367" s="81"/>
      <c r="AZ367" s="81"/>
      <c r="BA367" s="81"/>
      <c r="BB367" s="81"/>
    </row>
    <row r="368" spans="1:54" x14ac:dyDescent="0.35">
      <c r="A368" s="66" t="s">
        <v>489</v>
      </c>
      <c r="B368" s="66" t="s">
        <v>1319</v>
      </c>
      <c r="C368" s="67"/>
      <c r="D368" s="68"/>
      <c r="E368" s="69"/>
      <c r="F368" s="70"/>
      <c r="G368" s="67"/>
      <c r="H368" s="71"/>
      <c r="I368" s="72"/>
      <c r="J368" s="72"/>
      <c r="K368" s="36"/>
      <c r="L368" s="79"/>
      <c r="M368" s="79"/>
      <c r="N368" s="74"/>
      <c r="O368" s="81" t="s">
        <v>1533</v>
      </c>
      <c r="P368" s="83">
        <v>44460.127766203703</v>
      </c>
      <c r="Q368" s="81" t="s">
        <v>1674</v>
      </c>
      <c r="R368" s="81"/>
      <c r="S368" s="81"/>
      <c r="T368" s="86" t="s">
        <v>2671</v>
      </c>
      <c r="U368" s="84" t="str">
        <f>HYPERLINK("https://pbs.twimg.com/media/E_xv_zuVkAUKwdt.jpg")</f>
        <v>https://pbs.twimg.com/media/E_xv_zuVkAUKwdt.jpg</v>
      </c>
      <c r="V368" s="84" t="str">
        <f>HYPERLINK("https://pbs.twimg.com/media/E_xv_zuVkAUKwdt.jpg")</f>
        <v>https://pbs.twimg.com/media/E_xv_zuVkAUKwdt.jpg</v>
      </c>
      <c r="W368" s="83">
        <v>44460.127766203703</v>
      </c>
      <c r="X368" s="89">
        <v>44460</v>
      </c>
      <c r="Y368" s="86" t="s">
        <v>3048</v>
      </c>
      <c r="Z368" s="84" t="str">
        <f>HYPERLINK("https://twitter.com/arifrah90154134/status/1440149781829939204")</f>
        <v>https://twitter.com/arifrah90154134/status/1440149781829939204</v>
      </c>
      <c r="AA368" s="81"/>
      <c r="AB368" s="81"/>
      <c r="AC368" s="86" t="s">
        <v>4509</v>
      </c>
      <c r="AD368" s="81"/>
      <c r="AE368" s="81" t="b">
        <v>0</v>
      </c>
      <c r="AF368" s="81">
        <v>0</v>
      </c>
      <c r="AG368" s="86" t="s">
        <v>6240</v>
      </c>
      <c r="AH368" s="81" t="b">
        <v>0</v>
      </c>
      <c r="AI368" s="81" t="s">
        <v>6478</v>
      </c>
      <c r="AJ368" s="81"/>
      <c r="AK368" s="86" t="s">
        <v>6240</v>
      </c>
      <c r="AL368" s="81" t="b">
        <v>0</v>
      </c>
      <c r="AM368" s="81">
        <v>14</v>
      </c>
      <c r="AN368" s="86" t="s">
        <v>4528</v>
      </c>
      <c r="AO368" s="86" t="s">
        <v>6503</v>
      </c>
      <c r="AP368" s="81" t="b">
        <v>0</v>
      </c>
      <c r="AQ368" s="86" t="s">
        <v>4528</v>
      </c>
      <c r="AR368" s="81" t="s">
        <v>179</v>
      </c>
      <c r="AS368" s="81">
        <v>0</v>
      </c>
      <c r="AT368" s="81">
        <v>0</v>
      </c>
      <c r="AU368" s="81"/>
      <c r="AV368" s="81"/>
      <c r="AW368" s="81"/>
      <c r="AX368" s="81"/>
      <c r="AY368" s="81"/>
      <c r="AZ368" s="81"/>
      <c r="BA368" s="81"/>
      <c r="BB368" s="81"/>
    </row>
    <row r="369" spans="1:54" x14ac:dyDescent="0.35">
      <c r="A369" s="66" t="s">
        <v>489</v>
      </c>
      <c r="B369" s="66" t="s">
        <v>1320</v>
      </c>
      <c r="C369" s="67"/>
      <c r="D369" s="68"/>
      <c r="E369" s="69"/>
      <c r="F369" s="70"/>
      <c r="G369" s="67"/>
      <c r="H369" s="71"/>
      <c r="I369" s="72"/>
      <c r="J369" s="72"/>
      <c r="K369" s="36"/>
      <c r="L369" s="79"/>
      <c r="M369" s="79"/>
      <c r="N369" s="74"/>
      <c r="O369" s="81" t="s">
        <v>1533</v>
      </c>
      <c r="P369" s="83">
        <v>44460.127766203703</v>
      </c>
      <c r="Q369" s="81" t="s">
        <v>1674</v>
      </c>
      <c r="R369" s="81"/>
      <c r="S369" s="81"/>
      <c r="T369" s="86" t="s">
        <v>2671</v>
      </c>
      <c r="U369" s="84" t="str">
        <f>HYPERLINK("https://pbs.twimg.com/media/E_xv_zuVkAUKwdt.jpg")</f>
        <v>https://pbs.twimg.com/media/E_xv_zuVkAUKwdt.jpg</v>
      </c>
      <c r="V369" s="84" t="str">
        <f>HYPERLINK("https://pbs.twimg.com/media/E_xv_zuVkAUKwdt.jpg")</f>
        <v>https://pbs.twimg.com/media/E_xv_zuVkAUKwdt.jpg</v>
      </c>
      <c r="W369" s="83">
        <v>44460.127766203703</v>
      </c>
      <c r="X369" s="89">
        <v>44460</v>
      </c>
      <c r="Y369" s="86" t="s">
        <v>3048</v>
      </c>
      <c r="Z369" s="84" t="str">
        <f>HYPERLINK("https://twitter.com/arifrah90154134/status/1440149781829939204")</f>
        <v>https://twitter.com/arifrah90154134/status/1440149781829939204</v>
      </c>
      <c r="AA369" s="81"/>
      <c r="AB369" s="81"/>
      <c r="AC369" s="86" t="s">
        <v>4509</v>
      </c>
      <c r="AD369" s="81"/>
      <c r="AE369" s="81" t="b">
        <v>0</v>
      </c>
      <c r="AF369" s="81">
        <v>0</v>
      </c>
      <c r="AG369" s="86" t="s">
        <v>6240</v>
      </c>
      <c r="AH369" s="81" t="b">
        <v>0</v>
      </c>
      <c r="AI369" s="81" t="s">
        <v>6478</v>
      </c>
      <c r="AJ369" s="81"/>
      <c r="AK369" s="86" t="s">
        <v>6240</v>
      </c>
      <c r="AL369" s="81" t="b">
        <v>0</v>
      </c>
      <c r="AM369" s="81">
        <v>14</v>
      </c>
      <c r="AN369" s="86" t="s">
        <v>4528</v>
      </c>
      <c r="AO369" s="86" t="s">
        <v>6503</v>
      </c>
      <c r="AP369" s="81" t="b">
        <v>0</v>
      </c>
      <c r="AQ369" s="86" t="s">
        <v>4528</v>
      </c>
      <c r="AR369" s="81" t="s">
        <v>179</v>
      </c>
      <c r="AS369" s="81">
        <v>0</v>
      </c>
      <c r="AT369" s="81">
        <v>0</v>
      </c>
      <c r="AU369" s="81"/>
      <c r="AV369" s="81"/>
      <c r="AW369" s="81"/>
      <c r="AX369" s="81"/>
      <c r="AY369" s="81"/>
      <c r="AZ369" s="81"/>
      <c r="BA369" s="81"/>
      <c r="BB369" s="81"/>
    </row>
    <row r="370" spans="1:54" x14ac:dyDescent="0.35">
      <c r="A370" s="66" t="s">
        <v>489</v>
      </c>
      <c r="B370" s="66" t="s">
        <v>504</v>
      </c>
      <c r="C370" s="67"/>
      <c r="D370" s="68"/>
      <c r="E370" s="69"/>
      <c r="F370" s="70"/>
      <c r="G370" s="67"/>
      <c r="H370" s="71"/>
      <c r="I370" s="72"/>
      <c r="J370" s="72"/>
      <c r="K370" s="36"/>
      <c r="L370" s="79"/>
      <c r="M370" s="79"/>
      <c r="N370" s="74"/>
      <c r="O370" s="81" t="s">
        <v>1532</v>
      </c>
      <c r="P370" s="83">
        <v>44460.127766203703</v>
      </c>
      <c r="Q370" s="81" t="s">
        <v>1674</v>
      </c>
      <c r="R370" s="81"/>
      <c r="S370" s="81"/>
      <c r="T370" s="86" t="s">
        <v>2671</v>
      </c>
      <c r="U370" s="84" t="str">
        <f>HYPERLINK("https://pbs.twimg.com/media/E_xv_zuVkAUKwdt.jpg")</f>
        <v>https://pbs.twimg.com/media/E_xv_zuVkAUKwdt.jpg</v>
      </c>
      <c r="V370" s="84" t="str">
        <f>HYPERLINK("https://pbs.twimg.com/media/E_xv_zuVkAUKwdt.jpg")</f>
        <v>https://pbs.twimg.com/media/E_xv_zuVkAUKwdt.jpg</v>
      </c>
      <c r="W370" s="83">
        <v>44460.127766203703</v>
      </c>
      <c r="X370" s="89">
        <v>44460</v>
      </c>
      <c r="Y370" s="86" t="s">
        <v>3048</v>
      </c>
      <c r="Z370" s="84" t="str">
        <f>HYPERLINK("https://twitter.com/arifrah90154134/status/1440149781829939204")</f>
        <v>https://twitter.com/arifrah90154134/status/1440149781829939204</v>
      </c>
      <c r="AA370" s="81"/>
      <c r="AB370" s="81"/>
      <c r="AC370" s="86" t="s">
        <v>4509</v>
      </c>
      <c r="AD370" s="81"/>
      <c r="AE370" s="81" t="b">
        <v>0</v>
      </c>
      <c r="AF370" s="81">
        <v>0</v>
      </c>
      <c r="AG370" s="86" t="s">
        <v>6240</v>
      </c>
      <c r="AH370" s="81" t="b">
        <v>0</v>
      </c>
      <c r="AI370" s="81" t="s">
        <v>6478</v>
      </c>
      <c r="AJ370" s="81"/>
      <c r="AK370" s="86" t="s">
        <v>6240</v>
      </c>
      <c r="AL370" s="81" t="b">
        <v>0</v>
      </c>
      <c r="AM370" s="81">
        <v>14</v>
      </c>
      <c r="AN370" s="86" t="s">
        <v>4528</v>
      </c>
      <c r="AO370" s="86" t="s">
        <v>6503</v>
      </c>
      <c r="AP370" s="81" t="b">
        <v>0</v>
      </c>
      <c r="AQ370" s="86" t="s">
        <v>4528</v>
      </c>
      <c r="AR370" s="81" t="s">
        <v>179</v>
      </c>
      <c r="AS370" s="81">
        <v>0</v>
      </c>
      <c r="AT370" s="81">
        <v>0</v>
      </c>
      <c r="AU370" s="81"/>
      <c r="AV370" s="81"/>
      <c r="AW370" s="81"/>
      <c r="AX370" s="81"/>
      <c r="AY370" s="81"/>
      <c r="AZ370" s="81"/>
      <c r="BA370" s="81"/>
      <c r="BB370" s="81"/>
    </row>
    <row r="371" spans="1:54" x14ac:dyDescent="0.35">
      <c r="A371" s="66" t="s">
        <v>490</v>
      </c>
      <c r="B371" s="66" t="s">
        <v>1316</v>
      </c>
      <c r="C371" s="67"/>
      <c r="D371" s="68"/>
      <c r="E371" s="69"/>
      <c r="F371" s="70"/>
      <c r="G371" s="67"/>
      <c r="H371" s="71"/>
      <c r="I371" s="72"/>
      <c r="J371" s="72"/>
      <c r="K371" s="36"/>
      <c r="L371" s="79"/>
      <c r="M371" s="79"/>
      <c r="N371" s="74"/>
      <c r="O371" s="81" t="s">
        <v>1533</v>
      </c>
      <c r="P371" s="83">
        <v>44460.128900462965</v>
      </c>
      <c r="Q371" s="81" t="s">
        <v>1674</v>
      </c>
      <c r="R371" s="81"/>
      <c r="S371" s="81"/>
      <c r="T371" s="86" t="s">
        <v>2671</v>
      </c>
      <c r="U371" s="84" t="str">
        <f>HYPERLINK("https://pbs.twimg.com/media/E_xv_zuVkAUKwdt.jpg")</f>
        <v>https://pbs.twimg.com/media/E_xv_zuVkAUKwdt.jpg</v>
      </c>
      <c r="V371" s="84" t="str">
        <f>HYPERLINK("https://pbs.twimg.com/media/E_xv_zuVkAUKwdt.jpg")</f>
        <v>https://pbs.twimg.com/media/E_xv_zuVkAUKwdt.jpg</v>
      </c>
      <c r="W371" s="83">
        <v>44460.128900462965</v>
      </c>
      <c r="X371" s="89">
        <v>44460</v>
      </c>
      <c r="Y371" s="86" t="s">
        <v>3049</v>
      </c>
      <c r="Z371" s="84" t="str">
        <f>HYPERLINK("https://twitter.com/ansoermansoer/status/1440150193781964803")</f>
        <v>https://twitter.com/ansoermansoer/status/1440150193781964803</v>
      </c>
      <c r="AA371" s="81"/>
      <c r="AB371" s="81"/>
      <c r="AC371" s="86" t="s">
        <v>4510</v>
      </c>
      <c r="AD371" s="81"/>
      <c r="AE371" s="81" t="b">
        <v>0</v>
      </c>
      <c r="AF371" s="81">
        <v>0</v>
      </c>
      <c r="AG371" s="86" t="s">
        <v>6240</v>
      </c>
      <c r="AH371" s="81" t="b">
        <v>0</v>
      </c>
      <c r="AI371" s="81" t="s">
        <v>6478</v>
      </c>
      <c r="AJ371" s="81"/>
      <c r="AK371" s="86" t="s">
        <v>6240</v>
      </c>
      <c r="AL371" s="81" t="b">
        <v>0</v>
      </c>
      <c r="AM371" s="81">
        <v>14</v>
      </c>
      <c r="AN371" s="86" t="s">
        <v>4528</v>
      </c>
      <c r="AO371" s="86" t="s">
        <v>6503</v>
      </c>
      <c r="AP371" s="81" t="b">
        <v>0</v>
      </c>
      <c r="AQ371" s="86" t="s">
        <v>4528</v>
      </c>
      <c r="AR371" s="81" t="s">
        <v>179</v>
      </c>
      <c r="AS371" s="81">
        <v>0</v>
      </c>
      <c r="AT371" s="81">
        <v>0</v>
      </c>
      <c r="AU371" s="81"/>
      <c r="AV371" s="81"/>
      <c r="AW371" s="81"/>
      <c r="AX371" s="81"/>
      <c r="AY371" s="81"/>
      <c r="AZ371" s="81"/>
      <c r="BA371" s="81"/>
      <c r="BB371" s="81"/>
    </row>
    <row r="372" spans="1:54" x14ac:dyDescent="0.35">
      <c r="A372" s="66" t="s">
        <v>490</v>
      </c>
      <c r="B372" s="66" t="s">
        <v>1317</v>
      </c>
      <c r="C372" s="67"/>
      <c r="D372" s="68"/>
      <c r="E372" s="69"/>
      <c r="F372" s="70"/>
      <c r="G372" s="67"/>
      <c r="H372" s="71"/>
      <c r="I372" s="72"/>
      <c r="J372" s="72"/>
      <c r="K372" s="36"/>
      <c r="L372" s="79"/>
      <c r="M372" s="79"/>
      <c r="N372" s="74"/>
      <c r="O372" s="81" t="s">
        <v>1533</v>
      </c>
      <c r="P372" s="83">
        <v>44460.128900462965</v>
      </c>
      <c r="Q372" s="81" t="s">
        <v>1674</v>
      </c>
      <c r="R372" s="81"/>
      <c r="S372" s="81"/>
      <c r="T372" s="86" t="s">
        <v>2671</v>
      </c>
      <c r="U372" s="84" t="str">
        <f>HYPERLINK("https://pbs.twimg.com/media/E_xv_zuVkAUKwdt.jpg")</f>
        <v>https://pbs.twimg.com/media/E_xv_zuVkAUKwdt.jpg</v>
      </c>
      <c r="V372" s="84" t="str">
        <f>HYPERLINK("https://pbs.twimg.com/media/E_xv_zuVkAUKwdt.jpg")</f>
        <v>https://pbs.twimg.com/media/E_xv_zuVkAUKwdt.jpg</v>
      </c>
      <c r="W372" s="83">
        <v>44460.128900462965</v>
      </c>
      <c r="X372" s="89">
        <v>44460</v>
      </c>
      <c r="Y372" s="86" t="s">
        <v>3049</v>
      </c>
      <c r="Z372" s="84" t="str">
        <f>HYPERLINK("https://twitter.com/ansoermansoer/status/1440150193781964803")</f>
        <v>https://twitter.com/ansoermansoer/status/1440150193781964803</v>
      </c>
      <c r="AA372" s="81"/>
      <c r="AB372" s="81"/>
      <c r="AC372" s="86" t="s">
        <v>4510</v>
      </c>
      <c r="AD372" s="81"/>
      <c r="AE372" s="81" t="b">
        <v>0</v>
      </c>
      <c r="AF372" s="81">
        <v>0</v>
      </c>
      <c r="AG372" s="86" t="s">
        <v>6240</v>
      </c>
      <c r="AH372" s="81" t="b">
        <v>0</v>
      </c>
      <c r="AI372" s="81" t="s">
        <v>6478</v>
      </c>
      <c r="AJ372" s="81"/>
      <c r="AK372" s="86" t="s">
        <v>6240</v>
      </c>
      <c r="AL372" s="81" t="b">
        <v>0</v>
      </c>
      <c r="AM372" s="81">
        <v>14</v>
      </c>
      <c r="AN372" s="86" t="s">
        <v>4528</v>
      </c>
      <c r="AO372" s="86" t="s">
        <v>6503</v>
      </c>
      <c r="AP372" s="81" t="b">
        <v>0</v>
      </c>
      <c r="AQ372" s="86" t="s">
        <v>4528</v>
      </c>
      <c r="AR372" s="81" t="s">
        <v>179</v>
      </c>
      <c r="AS372" s="81">
        <v>0</v>
      </c>
      <c r="AT372" s="81">
        <v>0</v>
      </c>
      <c r="AU372" s="81"/>
      <c r="AV372" s="81"/>
      <c r="AW372" s="81"/>
      <c r="AX372" s="81"/>
      <c r="AY372" s="81"/>
      <c r="AZ372" s="81"/>
      <c r="BA372" s="81"/>
      <c r="BB372" s="81"/>
    </row>
    <row r="373" spans="1:54" x14ac:dyDescent="0.35">
      <c r="A373" s="66" t="s">
        <v>490</v>
      </c>
      <c r="B373" s="66" t="s">
        <v>1318</v>
      </c>
      <c r="C373" s="67"/>
      <c r="D373" s="68"/>
      <c r="E373" s="69"/>
      <c r="F373" s="70"/>
      <c r="G373" s="67"/>
      <c r="H373" s="71"/>
      <c r="I373" s="72"/>
      <c r="J373" s="72"/>
      <c r="K373" s="36"/>
      <c r="L373" s="79"/>
      <c r="M373" s="79"/>
      <c r="N373" s="74"/>
      <c r="O373" s="81" t="s">
        <v>1533</v>
      </c>
      <c r="P373" s="83">
        <v>44460.128900462965</v>
      </c>
      <c r="Q373" s="81" t="s">
        <v>1674</v>
      </c>
      <c r="R373" s="81"/>
      <c r="S373" s="81"/>
      <c r="T373" s="86" t="s">
        <v>2671</v>
      </c>
      <c r="U373" s="84" t="str">
        <f>HYPERLINK("https://pbs.twimg.com/media/E_xv_zuVkAUKwdt.jpg")</f>
        <v>https://pbs.twimg.com/media/E_xv_zuVkAUKwdt.jpg</v>
      </c>
      <c r="V373" s="84" t="str">
        <f>HYPERLINK("https://pbs.twimg.com/media/E_xv_zuVkAUKwdt.jpg")</f>
        <v>https://pbs.twimg.com/media/E_xv_zuVkAUKwdt.jpg</v>
      </c>
      <c r="W373" s="83">
        <v>44460.128900462965</v>
      </c>
      <c r="X373" s="89">
        <v>44460</v>
      </c>
      <c r="Y373" s="86" t="s">
        <v>3049</v>
      </c>
      <c r="Z373" s="84" t="str">
        <f>HYPERLINK("https://twitter.com/ansoermansoer/status/1440150193781964803")</f>
        <v>https://twitter.com/ansoermansoer/status/1440150193781964803</v>
      </c>
      <c r="AA373" s="81"/>
      <c r="AB373" s="81"/>
      <c r="AC373" s="86" t="s">
        <v>4510</v>
      </c>
      <c r="AD373" s="81"/>
      <c r="AE373" s="81" t="b">
        <v>0</v>
      </c>
      <c r="AF373" s="81">
        <v>0</v>
      </c>
      <c r="AG373" s="86" t="s">
        <v>6240</v>
      </c>
      <c r="AH373" s="81" t="b">
        <v>0</v>
      </c>
      <c r="AI373" s="81" t="s">
        <v>6478</v>
      </c>
      <c r="AJ373" s="81"/>
      <c r="AK373" s="86" t="s">
        <v>6240</v>
      </c>
      <c r="AL373" s="81" t="b">
        <v>0</v>
      </c>
      <c r="AM373" s="81">
        <v>14</v>
      </c>
      <c r="AN373" s="86" t="s">
        <v>4528</v>
      </c>
      <c r="AO373" s="86" t="s">
        <v>6503</v>
      </c>
      <c r="AP373" s="81" t="b">
        <v>0</v>
      </c>
      <c r="AQ373" s="86" t="s">
        <v>4528</v>
      </c>
      <c r="AR373" s="81" t="s">
        <v>179</v>
      </c>
      <c r="AS373" s="81">
        <v>0</v>
      </c>
      <c r="AT373" s="81">
        <v>0</v>
      </c>
      <c r="AU373" s="81"/>
      <c r="AV373" s="81"/>
      <c r="AW373" s="81"/>
      <c r="AX373" s="81"/>
      <c r="AY373" s="81"/>
      <c r="AZ373" s="81"/>
      <c r="BA373" s="81"/>
      <c r="BB373" s="81"/>
    </row>
    <row r="374" spans="1:54" x14ac:dyDescent="0.35">
      <c r="A374" s="66" t="s">
        <v>490</v>
      </c>
      <c r="B374" s="66" t="s">
        <v>1319</v>
      </c>
      <c r="C374" s="67"/>
      <c r="D374" s="68"/>
      <c r="E374" s="69"/>
      <c r="F374" s="70"/>
      <c r="G374" s="67"/>
      <c r="H374" s="71"/>
      <c r="I374" s="72"/>
      <c r="J374" s="72"/>
      <c r="K374" s="36"/>
      <c r="L374" s="79"/>
      <c r="M374" s="79"/>
      <c r="N374" s="74"/>
      <c r="O374" s="81" t="s">
        <v>1533</v>
      </c>
      <c r="P374" s="83">
        <v>44460.128900462965</v>
      </c>
      <c r="Q374" s="81" t="s">
        <v>1674</v>
      </c>
      <c r="R374" s="81"/>
      <c r="S374" s="81"/>
      <c r="T374" s="86" t="s">
        <v>2671</v>
      </c>
      <c r="U374" s="84" t="str">
        <f>HYPERLINK("https://pbs.twimg.com/media/E_xv_zuVkAUKwdt.jpg")</f>
        <v>https://pbs.twimg.com/media/E_xv_zuVkAUKwdt.jpg</v>
      </c>
      <c r="V374" s="84" t="str">
        <f>HYPERLINK("https://pbs.twimg.com/media/E_xv_zuVkAUKwdt.jpg")</f>
        <v>https://pbs.twimg.com/media/E_xv_zuVkAUKwdt.jpg</v>
      </c>
      <c r="W374" s="83">
        <v>44460.128900462965</v>
      </c>
      <c r="X374" s="89">
        <v>44460</v>
      </c>
      <c r="Y374" s="86" t="s">
        <v>3049</v>
      </c>
      <c r="Z374" s="84" t="str">
        <f>HYPERLINK("https://twitter.com/ansoermansoer/status/1440150193781964803")</f>
        <v>https://twitter.com/ansoermansoer/status/1440150193781964803</v>
      </c>
      <c r="AA374" s="81"/>
      <c r="AB374" s="81"/>
      <c r="AC374" s="86" t="s">
        <v>4510</v>
      </c>
      <c r="AD374" s="81"/>
      <c r="AE374" s="81" t="b">
        <v>0</v>
      </c>
      <c r="AF374" s="81">
        <v>0</v>
      </c>
      <c r="AG374" s="86" t="s">
        <v>6240</v>
      </c>
      <c r="AH374" s="81" t="b">
        <v>0</v>
      </c>
      <c r="AI374" s="81" t="s">
        <v>6478</v>
      </c>
      <c r="AJ374" s="81"/>
      <c r="AK374" s="86" t="s">
        <v>6240</v>
      </c>
      <c r="AL374" s="81" t="b">
        <v>0</v>
      </c>
      <c r="AM374" s="81">
        <v>14</v>
      </c>
      <c r="AN374" s="86" t="s">
        <v>4528</v>
      </c>
      <c r="AO374" s="86" t="s">
        <v>6503</v>
      </c>
      <c r="AP374" s="81" t="b">
        <v>0</v>
      </c>
      <c r="AQ374" s="86" t="s">
        <v>4528</v>
      </c>
      <c r="AR374" s="81" t="s">
        <v>179</v>
      </c>
      <c r="AS374" s="81">
        <v>0</v>
      </c>
      <c r="AT374" s="81">
        <v>0</v>
      </c>
      <c r="AU374" s="81"/>
      <c r="AV374" s="81"/>
      <c r="AW374" s="81"/>
      <c r="AX374" s="81"/>
      <c r="AY374" s="81"/>
      <c r="AZ374" s="81"/>
      <c r="BA374" s="81"/>
      <c r="BB374" s="81"/>
    </row>
    <row r="375" spans="1:54" x14ac:dyDescent="0.35">
      <c r="A375" s="66" t="s">
        <v>490</v>
      </c>
      <c r="B375" s="66" t="s">
        <v>1320</v>
      </c>
      <c r="C375" s="67"/>
      <c r="D375" s="68"/>
      <c r="E375" s="69"/>
      <c r="F375" s="70"/>
      <c r="G375" s="67"/>
      <c r="H375" s="71"/>
      <c r="I375" s="72"/>
      <c r="J375" s="72"/>
      <c r="K375" s="36"/>
      <c r="L375" s="79"/>
      <c r="M375" s="79"/>
      <c r="N375" s="74"/>
      <c r="O375" s="81" t="s">
        <v>1533</v>
      </c>
      <c r="P375" s="83">
        <v>44460.128900462965</v>
      </c>
      <c r="Q375" s="81" t="s">
        <v>1674</v>
      </c>
      <c r="R375" s="81"/>
      <c r="S375" s="81"/>
      <c r="T375" s="86" t="s">
        <v>2671</v>
      </c>
      <c r="U375" s="84" t="str">
        <f>HYPERLINK("https://pbs.twimg.com/media/E_xv_zuVkAUKwdt.jpg")</f>
        <v>https://pbs.twimg.com/media/E_xv_zuVkAUKwdt.jpg</v>
      </c>
      <c r="V375" s="84" t="str">
        <f>HYPERLINK("https://pbs.twimg.com/media/E_xv_zuVkAUKwdt.jpg")</f>
        <v>https://pbs.twimg.com/media/E_xv_zuVkAUKwdt.jpg</v>
      </c>
      <c r="W375" s="83">
        <v>44460.128900462965</v>
      </c>
      <c r="X375" s="89">
        <v>44460</v>
      </c>
      <c r="Y375" s="86" t="s">
        <v>3049</v>
      </c>
      <c r="Z375" s="84" t="str">
        <f>HYPERLINK("https://twitter.com/ansoermansoer/status/1440150193781964803")</f>
        <v>https://twitter.com/ansoermansoer/status/1440150193781964803</v>
      </c>
      <c r="AA375" s="81"/>
      <c r="AB375" s="81"/>
      <c r="AC375" s="86" t="s">
        <v>4510</v>
      </c>
      <c r="AD375" s="81"/>
      <c r="AE375" s="81" t="b">
        <v>0</v>
      </c>
      <c r="AF375" s="81">
        <v>0</v>
      </c>
      <c r="AG375" s="86" t="s">
        <v>6240</v>
      </c>
      <c r="AH375" s="81" t="b">
        <v>0</v>
      </c>
      <c r="AI375" s="81" t="s">
        <v>6478</v>
      </c>
      <c r="AJ375" s="81"/>
      <c r="AK375" s="86" t="s">
        <v>6240</v>
      </c>
      <c r="AL375" s="81" t="b">
        <v>0</v>
      </c>
      <c r="AM375" s="81">
        <v>14</v>
      </c>
      <c r="AN375" s="86" t="s">
        <v>4528</v>
      </c>
      <c r="AO375" s="86" t="s">
        <v>6503</v>
      </c>
      <c r="AP375" s="81" t="b">
        <v>0</v>
      </c>
      <c r="AQ375" s="86" t="s">
        <v>4528</v>
      </c>
      <c r="AR375" s="81" t="s">
        <v>179</v>
      </c>
      <c r="AS375" s="81">
        <v>0</v>
      </c>
      <c r="AT375" s="81">
        <v>0</v>
      </c>
      <c r="AU375" s="81"/>
      <c r="AV375" s="81"/>
      <c r="AW375" s="81"/>
      <c r="AX375" s="81"/>
      <c r="AY375" s="81"/>
      <c r="AZ375" s="81"/>
      <c r="BA375" s="81"/>
      <c r="BB375" s="81"/>
    </row>
    <row r="376" spans="1:54" x14ac:dyDescent="0.35">
      <c r="A376" s="66" t="s">
        <v>490</v>
      </c>
      <c r="B376" s="66" t="s">
        <v>504</v>
      </c>
      <c r="C376" s="67"/>
      <c r="D376" s="68"/>
      <c r="E376" s="69"/>
      <c r="F376" s="70"/>
      <c r="G376" s="67"/>
      <c r="H376" s="71"/>
      <c r="I376" s="72"/>
      <c r="J376" s="72"/>
      <c r="K376" s="36"/>
      <c r="L376" s="79"/>
      <c r="M376" s="79"/>
      <c r="N376" s="74"/>
      <c r="O376" s="81" t="s">
        <v>1532</v>
      </c>
      <c r="P376" s="83">
        <v>44460.128900462965</v>
      </c>
      <c r="Q376" s="81" t="s">
        <v>1674</v>
      </c>
      <c r="R376" s="81"/>
      <c r="S376" s="81"/>
      <c r="T376" s="86" t="s">
        <v>2671</v>
      </c>
      <c r="U376" s="84" t="str">
        <f>HYPERLINK("https://pbs.twimg.com/media/E_xv_zuVkAUKwdt.jpg")</f>
        <v>https://pbs.twimg.com/media/E_xv_zuVkAUKwdt.jpg</v>
      </c>
      <c r="V376" s="84" t="str">
        <f>HYPERLINK("https://pbs.twimg.com/media/E_xv_zuVkAUKwdt.jpg")</f>
        <v>https://pbs.twimg.com/media/E_xv_zuVkAUKwdt.jpg</v>
      </c>
      <c r="W376" s="83">
        <v>44460.128900462965</v>
      </c>
      <c r="X376" s="89">
        <v>44460</v>
      </c>
      <c r="Y376" s="86" t="s">
        <v>3049</v>
      </c>
      <c r="Z376" s="84" t="str">
        <f>HYPERLINK("https://twitter.com/ansoermansoer/status/1440150193781964803")</f>
        <v>https://twitter.com/ansoermansoer/status/1440150193781964803</v>
      </c>
      <c r="AA376" s="81"/>
      <c r="AB376" s="81"/>
      <c r="AC376" s="86" t="s">
        <v>4510</v>
      </c>
      <c r="AD376" s="81"/>
      <c r="AE376" s="81" t="b">
        <v>0</v>
      </c>
      <c r="AF376" s="81">
        <v>0</v>
      </c>
      <c r="AG376" s="86" t="s">
        <v>6240</v>
      </c>
      <c r="AH376" s="81" t="b">
        <v>0</v>
      </c>
      <c r="AI376" s="81" t="s">
        <v>6478</v>
      </c>
      <c r="AJ376" s="81"/>
      <c r="AK376" s="86" t="s">
        <v>6240</v>
      </c>
      <c r="AL376" s="81" t="b">
        <v>0</v>
      </c>
      <c r="AM376" s="81">
        <v>14</v>
      </c>
      <c r="AN376" s="86" t="s">
        <v>4528</v>
      </c>
      <c r="AO376" s="86" t="s">
        <v>6503</v>
      </c>
      <c r="AP376" s="81" t="b">
        <v>0</v>
      </c>
      <c r="AQ376" s="86" t="s">
        <v>4528</v>
      </c>
      <c r="AR376" s="81" t="s">
        <v>179</v>
      </c>
      <c r="AS376" s="81">
        <v>0</v>
      </c>
      <c r="AT376" s="81">
        <v>0</v>
      </c>
      <c r="AU376" s="81"/>
      <c r="AV376" s="81"/>
      <c r="AW376" s="81"/>
      <c r="AX376" s="81"/>
      <c r="AY376" s="81"/>
      <c r="AZ376" s="81"/>
      <c r="BA376" s="81"/>
      <c r="BB376" s="81"/>
    </row>
    <row r="377" spans="1:54" x14ac:dyDescent="0.35">
      <c r="A377" s="66" t="s">
        <v>491</v>
      </c>
      <c r="B377" s="66" t="s">
        <v>491</v>
      </c>
      <c r="C377" s="67"/>
      <c r="D377" s="68"/>
      <c r="E377" s="69"/>
      <c r="F377" s="70"/>
      <c r="G377" s="67"/>
      <c r="H377" s="71"/>
      <c r="I377" s="72"/>
      <c r="J377" s="72"/>
      <c r="K377" s="36"/>
      <c r="L377" s="79"/>
      <c r="M377" s="79"/>
      <c r="N377" s="74"/>
      <c r="O377" s="81" t="s">
        <v>179</v>
      </c>
      <c r="P377" s="83">
        <v>44460.134479166663</v>
      </c>
      <c r="Q377" s="81" t="s">
        <v>1675</v>
      </c>
      <c r="R377" s="81"/>
      <c r="S377" s="81"/>
      <c r="T377" s="86" t="s">
        <v>1383</v>
      </c>
      <c r="U377" s="81"/>
      <c r="V377" s="84" t="str">
        <f>HYPERLINK("https://pbs.twimg.com/profile_images/903977762225926144/8SSAsvZS_normal.jpg")</f>
        <v>https://pbs.twimg.com/profile_images/903977762225926144/8SSAsvZS_normal.jpg</v>
      </c>
      <c r="W377" s="83">
        <v>44460.134479166663</v>
      </c>
      <c r="X377" s="89">
        <v>44460</v>
      </c>
      <c r="Y377" s="86" t="s">
        <v>3050</v>
      </c>
      <c r="Z377" s="84" t="str">
        <f>HYPERLINK("https://twitter.com/jnedepok_id/status/1440152213481930764")</f>
        <v>https://twitter.com/jnedepok_id/status/1440152213481930764</v>
      </c>
      <c r="AA377" s="81"/>
      <c r="AB377" s="81"/>
      <c r="AC377" s="86" t="s">
        <v>4511</v>
      </c>
      <c r="AD377" s="81"/>
      <c r="AE377" s="81" t="b">
        <v>0</v>
      </c>
      <c r="AF377" s="81">
        <v>0</v>
      </c>
      <c r="AG377" s="86" t="s">
        <v>6240</v>
      </c>
      <c r="AH377" s="81" t="b">
        <v>0</v>
      </c>
      <c r="AI377" s="81" t="s">
        <v>6478</v>
      </c>
      <c r="AJ377" s="81"/>
      <c r="AK377" s="86" t="s">
        <v>6240</v>
      </c>
      <c r="AL377" s="81" t="b">
        <v>0</v>
      </c>
      <c r="AM377" s="81">
        <v>0</v>
      </c>
      <c r="AN377" s="86" t="s">
        <v>6240</v>
      </c>
      <c r="AO377" s="86" t="s">
        <v>6506</v>
      </c>
      <c r="AP377" s="81" t="b">
        <v>0</v>
      </c>
      <c r="AQ377" s="86" t="s">
        <v>4511</v>
      </c>
      <c r="AR377" s="81" t="s">
        <v>179</v>
      </c>
      <c r="AS377" s="81">
        <v>0</v>
      </c>
      <c r="AT377" s="81">
        <v>0</v>
      </c>
      <c r="AU377" s="81"/>
      <c r="AV377" s="81"/>
      <c r="AW377" s="81"/>
      <c r="AX377" s="81"/>
      <c r="AY377" s="81"/>
      <c r="AZ377" s="81"/>
      <c r="BA377" s="81"/>
      <c r="BB377" s="81"/>
    </row>
    <row r="378" spans="1:54" x14ac:dyDescent="0.35">
      <c r="A378" s="66" t="s">
        <v>492</v>
      </c>
      <c r="B378" s="66" t="s">
        <v>1316</v>
      </c>
      <c r="C378" s="67"/>
      <c r="D378" s="68"/>
      <c r="E378" s="69"/>
      <c r="F378" s="70"/>
      <c r="G378" s="67"/>
      <c r="H378" s="71"/>
      <c r="I378" s="72"/>
      <c r="J378" s="72"/>
      <c r="K378" s="36"/>
      <c r="L378" s="79"/>
      <c r="M378" s="79"/>
      <c r="N378" s="74"/>
      <c r="O378" s="81" t="s">
        <v>1533</v>
      </c>
      <c r="P378" s="83">
        <v>44460.137708333335</v>
      </c>
      <c r="Q378" s="81" t="s">
        <v>1674</v>
      </c>
      <c r="R378" s="81"/>
      <c r="S378" s="81"/>
      <c r="T378" s="86" t="s">
        <v>2671</v>
      </c>
      <c r="U378" s="84" t="str">
        <f>HYPERLINK("https://pbs.twimg.com/media/E_xv_zuVkAUKwdt.jpg")</f>
        <v>https://pbs.twimg.com/media/E_xv_zuVkAUKwdt.jpg</v>
      </c>
      <c r="V378" s="84" t="str">
        <f>HYPERLINK("https://pbs.twimg.com/media/E_xv_zuVkAUKwdt.jpg")</f>
        <v>https://pbs.twimg.com/media/E_xv_zuVkAUKwdt.jpg</v>
      </c>
      <c r="W378" s="83">
        <v>44460.137708333335</v>
      </c>
      <c r="X378" s="89">
        <v>44460</v>
      </c>
      <c r="Y378" s="86" t="s">
        <v>3051</v>
      </c>
      <c r="Z378" s="84" t="str">
        <f>HYPERLINK("https://twitter.com/choliqlz/status/1440153387316617231")</f>
        <v>https://twitter.com/choliqlz/status/1440153387316617231</v>
      </c>
      <c r="AA378" s="81"/>
      <c r="AB378" s="81"/>
      <c r="AC378" s="86" t="s">
        <v>4512</v>
      </c>
      <c r="AD378" s="81"/>
      <c r="AE378" s="81" t="b">
        <v>0</v>
      </c>
      <c r="AF378" s="81">
        <v>0</v>
      </c>
      <c r="AG378" s="86" t="s">
        <v>6240</v>
      </c>
      <c r="AH378" s="81" t="b">
        <v>0</v>
      </c>
      <c r="AI378" s="81" t="s">
        <v>6478</v>
      </c>
      <c r="AJ378" s="81"/>
      <c r="AK378" s="86" t="s">
        <v>6240</v>
      </c>
      <c r="AL378" s="81" t="b">
        <v>0</v>
      </c>
      <c r="AM378" s="81">
        <v>14</v>
      </c>
      <c r="AN378" s="86" t="s">
        <v>4528</v>
      </c>
      <c r="AO378" s="86" t="s">
        <v>6503</v>
      </c>
      <c r="AP378" s="81" t="b">
        <v>0</v>
      </c>
      <c r="AQ378" s="86" t="s">
        <v>4528</v>
      </c>
      <c r="AR378" s="81" t="s">
        <v>179</v>
      </c>
      <c r="AS378" s="81">
        <v>0</v>
      </c>
      <c r="AT378" s="81">
        <v>0</v>
      </c>
      <c r="AU378" s="81"/>
      <c r="AV378" s="81"/>
      <c r="AW378" s="81"/>
      <c r="AX378" s="81"/>
      <c r="AY378" s="81"/>
      <c r="AZ378" s="81"/>
      <c r="BA378" s="81"/>
      <c r="BB378" s="81"/>
    </row>
    <row r="379" spans="1:54" x14ac:dyDescent="0.35">
      <c r="A379" s="66" t="s">
        <v>492</v>
      </c>
      <c r="B379" s="66" t="s">
        <v>1317</v>
      </c>
      <c r="C379" s="67"/>
      <c r="D379" s="68"/>
      <c r="E379" s="69"/>
      <c r="F379" s="70"/>
      <c r="G379" s="67"/>
      <c r="H379" s="71"/>
      <c r="I379" s="72"/>
      <c r="J379" s="72"/>
      <c r="K379" s="36"/>
      <c r="L379" s="79"/>
      <c r="M379" s="79"/>
      <c r="N379" s="74"/>
      <c r="O379" s="81" t="s">
        <v>1533</v>
      </c>
      <c r="P379" s="83">
        <v>44460.137708333335</v>
      </c>
      <c r="Q379" s="81" t="s">
        <v>1674</v>
      </c>
      <c r="R379" s="81"/>
      <c r="S379" s="81"/>
      <c r="T379" s="86" t="s">
        <v>2671</v>
      </c>
      <c r="U379" s="84" t="str">
        <f>HYPERLINK("https://pbs.twimg.com/media/E_xv_zuVkAUKwdt.jpg")</f>
        <v>https://pbs.twimg.com/media/E_xv_zuVkAUKwdt.jpg</v>
      </c>
      <c r="V379" s="84" t="str">
        <f>HYPERLINK("https://pbs.twimg.com/media/E_xv_zuVkAUKwdt.jpg")</f>
        <v>https://pbs.twimg.com/media/E_xv_zuVkAUKwdt.jpg</v>
      </c>
      <c r="W379" s="83">
        <v>44460.137708333335</v>
      </c>
      <c r="X379" s="89">
        <v>44460</v>
      </c>
      <c r="Y379" s="86" t="s">
        <v>3051</v>
      </c>
      <c r="Z379" s="84" t="str">
        <f>HYPERLINK("https://twitter.com/choliqlz/status/1440153387316617231")</f>
        <v>https://twitter.com/choliqlz/status/1440153387316617231</v>
      </c>
      <c r="AA379" s="81"/>
      <c r="AB379" s="81"/>
      <c r="AC379" s="86" t="s">
        <v>4512</v>
      </c>
      <c r="AD379" s="81"/>
      <c r="AE379" s="81" t="b">
        <v>0</v>
      </c>
      <c r="AF379" s="81">
        <v>0</v>
      </c>
      <c r="AG379" s="86" t="s">
        <v>6240</v>
      </c>
      <c r="AH379" s="81" t="b">
        <v>0</v>
      </c>
      <c r="AI379" s="81" t="s">
        <v>6478</v>
      </c>
      <c r="AJ379" s="81"/>
      <c r="AK379" s="86" t="s">
        <v>6240</v>
      </c>
      <c r="AL379" s="81" t="b">
        <v>0</v>
      </c>
      <c r="AM379" s="81">
        <v>14</v>
      </c>
      <c r="AN379" s="86" t="s">
        <v>4528</v>
      </c>
      <c r="AO379" s="86" t="s">
        <v>6503</v>
      </c>
      <c r="AP379" s="81" t="b">
        <v>0</v>
      </c>
      <c r="AQ379" s="86" t="s">
        <v>4528</v>
      </c>
      <c r="AR379" s="81" t="s">
        <v>179</v>
      </c>
      <c r="AS379" s="81">
        <v>0</v>
      </c>
      <c r="AT379" s="81">
        <v>0</v>
      </c>
      <c r="AU379" s="81"/>
      <c r="AV379" s="81"/>
      <c r="AW379" s="81"/>
      <c r="AX379" s="81"/>
      <c r="AY379" s="81"/>
      <c r="AZ379" s="81"/>
      <c r="BA379" s="81"/>
      <c r="BB379" s="81"/>
    </row>
    <row r="380" spans="1:54" x14ac:dyDescent="0.35">
      <c r="A380" s="66" t="s">
        <v>492</v>
      </c>
      <c r="B380" s="66" t="s">
        <v>1318</v>
      </c>
      <c r="C380" s="67"/>
      <c r="D380" s="68"/>
      <c r="E380" s="69"/>
      <c r="F380" s="70"/>
      <c r="G380" s="67"/>
      <c r="H380" s="71"/>
      <c r="I380" s="72"/>
      <c r="J380" s="72"/>
      <c r="K380" s="36"/>
      <c r="L380" s="79"/>
      <c r="M380" s="79"/>
      <c r="N380" s="74"/>
      <c r="O380" s="81" t="s">
        <v>1533</v>
      </c>
      <c r="P380" s="83">
        <v>44460.137708333335</v>
      </c>
      <c r="Q380" s="81" t="s">
        <v>1674</v>
      </c>
      <c r="R380" s="81"/>
      <c r="S380" s="81"/>
      <c r="T380" s="86" t="s">
        <v>2671</v>
      </c>
      <c r="U380" s="84" t="str">
        <f>HYPERLINK("https://pbs.twimg.com/media/E_xv_zuVkAUKwdt.jpg")</f>
        <v>https://pbs.twimg.com/media/E_xv_zuVkAUKwdt.jpg</v>
      </c>
      <c r="V380" s="84" t="str">
        <f>HYPERLINK("https://pbs.twimg.com/media/E_xv_zuVkAUKwdt.jpg")</f>
        <v>https://pbs.twimg.com/media/E_xv_zuVkAUKwdt.jpg</v>
      </c>
      <c r="W380" s="83">
        <v>44460.137708333335</v>
      </c>
      <c r="X380" s="89">
        <v>44460</v>
      </c>
      <c r="Y380" s="86" t="s">
        <v>3051</v>
      </c>
      <c r="Z380" s="84" t="str">
        <f>HYPERLINK("https://twitter.com/choliqlz/status/1440153387316617231")</f>
        <v>https://twitter.com/choliqlz/status/1440153387316617231</v>
      </c>
      <c r="AA380" s="81"/>
      <c r="AB380" s="81"/>
      <c r="AC380" s="86" t="s">
        <v>4512</v>
      </c>
      <c r="AD380" s="81"/>
      <c r="AE380" s="81" t="b">
        <v>0</v>
      </c>
      <c r="AF380" s="81">
        <v>0</v>
      </c>
      <c r="AG380" s="86" t="s">
        <v>6240</v>
      </c>
      <c r="AH380" s="81" t="b">
        <v>0</v>
      </c>
      <c r="AI380" s="81" t="s">
        <v>6478</v>
      </c>
      <c r="AJ380" s="81"/>
      <c r="AK380" s="86" t="s">
        <v>6240</v>
      </c>
      <c r="AL380" s="81" t="b">
        <v>0</v>
      </c>
      <c r="AM380" s="81">
        <v>14</v>
      </c>
      <c r="AN380" s="86" t="s">
        <v>4528</v>
      </c>
      <c r="AO380" s="86" t="s">
        <v>6503</v>
      </c>
      <c r="AP380" s="81" t="b">
        <v>0</v>
      </c>
      <c r="AQ380" s="86" t="s">
        <v>4528</v>
      </c>
      <c r="AR380" s="81" t="s">
        <v>179</v>
      </c>
      <c r="AS380" s="81">
        <v>0</v>
      </c>
      <c r="AT380" s="81">
        <v>0</v>
      </c>
      <c r="AU380" s="81"/>
      <c r="AV380" s="81"/>
      <c r="AW380" s="81"/>
      <c r="AX380" s="81"/>
      <c r="AY380" s="81"/>
      <c r="AZ380" s="81"/>
      <c r="BA380" s="81"/>
      <c r="BB380" s="81"/>
    </row>
    <row r="381" spans="1:54" x14ac:dyDescent="0.35">
      <c r="A381" s="66" t="s">
        <v>492</v>
      </c>
      <c r="B381" s="66" t="s">
        <v>1319</v>
      </c>
      <c r="C381" s="67"/>
      <c r="D381" s="68"/>
      <c r="E381" s="69"/>
      <c r="F381" s="70"/>
      <c r="G381" s="67"/>
      <c r="H381" s="71"/>
      <c r="I381" s="72"/>
      <c r="J381" s="72"/>
      <c r="K381" s="36"/>
      <c r="L381" s="79"/>
      <c r="M381" s="79"/>
      <c r="N381" s="74"/>
      <c r="O381" s="81" t="s">
        <v>1533</v>
      </c>
      <c r="P381" s="83">
        <v>44460.137708333335</v>
      </c>
      <c r="Q381" s="81" t="s">
        <v>1674</v>
      </c>
      <c r="R381" s="81"/>
      <c r="S381" s="81"/>
      <c r="T381" s="86" t="s">
        <v>2671</v>
      </c>
      <c r="U381" s="84" t="str">
        <f>HYPERLINK("https://pbs.twimg.com/media/E_xv_zuVkAUKwdt.jpg")</f>
        <v>https://pbs.twimg.com/media/E_xv_zuVkAUKwdt.jpg</v>
      </c>
      <c r="V381" s="84" t="str">
        <f>HYPERLINK("https://pbs.twimg.com/media/E_xv_zuVkAUKwdt.jpg")</f>
        <v>https://pbs.twimg.com/media/E_xv_zuVkAUKwdt.jpg</v>
      </c>
      <c r="W381" s="83">
        <v>44460.137708333335</v>
      </c>
      <c r="X381" s="89">
        <v>44460</v>
      </c>
      <c r="Y381" s="86" t="s">
        <v>3051</v>
      </c>
      <c r="Z381" s="84" t="str">
        <f>HYPERLINK("https://twitter.com/choliqlz/status/1440153387316617231")</f>
        <v>https://twitter.com/choliqlz/status/1440153387316617231</v>
      </c>
      <c r="AA381" s="81"/>
      <c r="AB381" s="81"/>
      <c r="AC381" s="86" t="s">
        <v>4512</v>
      </c>
      <c r="AD381" s="81"/>
      <c r="AE381" s="81" t="b">
        <v>0</v>
      </c>
      <c r="AF381" s="81">
        <v>0</v>
      </c>
      <c r="AG381" s="86" t="s">
        <v>6240</v>
      </c>
      <c r="AH381" s="81" t="b">
        <v>0</v>
      </c>
      <c r="AI381" s="81" t="s">
        <v>6478</v>
      </c>
      <c r="AJ381" s="81"/>
      <c r="AK381" s="86" t="s">
        <v>6240</v>
      </c>
      <c r="AL381" s="81" t="b">
        <v>0</v>
      </c>
      <c r="AM381" s="81">
        <v>14</v>
      </c>
      <c r="AN381" s="86" t="s">
        <v>4528</v>
      </c>
      <c r="AO381" s="86" t="s">
        <v>6503</v>
      </c>
      <c r="AP381" s="81" t="b">
        <v>0</v>
      </c>
      <c r="AQ381" s="86" t="s">
        <v>4528</v>
      </c>
      <c r="AR381" s="81" t="s">
        <v>179</v>
      </c>
      <c r="AS381" s="81">
        <v>0</v>
      </c>
      <c r="AT381" s="81">
        <v>0</v>
      </c>
      <c r="AU381" s="81"/>
      <c r="AV381" s="81"/>
      <c r="AW381" s="81"/>
      <c r="AX381" s="81"/>
      <c r="AY381" s="81"/>
      <c r="AZ381" s="81"/>
      <c r="BA381" s="81"/>
      <c r="BB381" s="81"/>
    </row>
    <row r="382" spans="1:54" x14ac:dyDescent="0.35">
      <c r="A382" s="66" t="s">
        <v>492</v>
      </c>
      <c r="B382" s="66" t="s">
        <v>1320</v>
      </c>
      <c r="C382" s="67"/>
      <c r="D382" s="68"/>
      <c r="E382" s="69"/>
      <c r="F382" s="70"/>
      <c r="G382" s="67"/>
      <c r="H382" s="71"/>
      <c r="I382" s="72"/>
      <c r="J382" s="72"/>
      <c r="K382" s="36"/>
      <c r="L382" s="79"/>
      <c r="M382" s="79"/>
      <c r="N382" s="74"/>
      <c r="O382" s="81" t="s">
        <v>1533</v>
      </c>
      <c r="P382" s="83">
        <v>44460.137708333335</v>
      </c>
      <c r="Q382" s="81" t="s">
        <v>1674</v>
      </c>
      <c r="R382" s="81"/>
      <c r="S382" s="81"/>
      <c r="T382" s="86" t="s">
        <v>2671</v>
      </c>
      <c r="U382" s="84" t="str">
        <f>HYPERLINK("https://pbs.twimg.com/media/E_xv_zuVkAUKwdt.jpg")</f>
        <v>https://pbs.twimg.com/media/E_xv_zuVkAUKwdt.jpg</v>
      </c>
      <c r="V382" s="84" t="str">
        <f>HYPERLINK("https://pbs.twimg.com/media/E_xv_zuVkAUKwdt.jpg")</f>
        <v>https://pbs.twimg.com/media/E_xv_zuVkAUKwdt.jpg</v>
      </c>
      <c r="W382" s="83">
        <v>44460.137708333335</v>
      </c>
      <c r="X382" s="89">
        <v>44460</v>
      </c>
      <c r="Y382" s="86" t="s">
        <v>3051</v>
      </c>
      <c r="Z382" s="84" t="str">
        <f>HYPERLINK("https://twitter.com/choliqlz/status/1440153387316617231")</f>
        <v>https://twitter.com/choliqlz/status/1440153387316617231</v>
      </c>
      <c r="AA382" s="81"/>
      <c r="AB382" s="81"/>
      <c r="AC382" s="86" t="s">
        <v>4512</v>
      </c>
      <c r="AD382" s="81"/>
      <c r="AE382" s="81" t="b">
        <v>0</v>
      </c>
      <c r="AF382" s="81">
        <v>0</v>
      </c>
      <c r="AG382" s="86" t="s">
        <v>6240</v>
      </c>
      <c r="AH382" s="81" t="b">
        <v>0</v>
      </c>
      <c r="AI382" s="81" t="s">
        <v>6478</v>
      </c>
      <c r="AJ382" s="81"/>
      <c r="AK382" s="86" t="s">
        <v>6240</v>
      </c>
      <c r="AL382" s="81" t="b">
        <v>0</v>
      </c>
      <c r="AM382" s="81">
        <v>14</v>
      </c>
      <c r="AN382" s="86" t="s">
        <v>4528</v>
      </c>
      <c r="AO382" s="86" t="s">
        <v>6503</v>
      </c>
      <c r="AP382" s="81" t="b">
        <v>0</v>
      </c>
      <c r="AQ382" s="86" t="s">
        <v>4528</v>
      </c>
      <c r="AR382" s="81" t="s">
        <v>179</v>
      </c>
      <c r="AS382" s="81">
        <v>0</v>
      </c>
      <c r="AT382" s="81">
        <v>0</v>
      </c>
      <c r="AU382" s="81"/>
      <c r="AV382" s="81"/>
      <c r="AW382" s="81"/>
      <c r="AX382" s="81"/>
      <c r="AY382" s="81"/>
      <c r="AZ382" s="81"/>
      <c r="BA382" s="81"/>
      <c r="BB382" s="81"/>
    </row>
    <row r="383" spans="1:54" x14ac:dyDescent="0.35">
      <c r="A383" s="66" t="s">
        <v>492</v>
      </c>
      <c r="B383" s="66" t="s">
        <v>504</v>
      </c>
      <c r="C383" s="67"/>
      <c r="D383" s="68"/>
      <c r="E383" s="69"/>
      <c r="F383" s="70"/>
      <c r="G383" s="67"/>
      <c r="H383" s="71"/>
      <c r="I383" s="72"/>
      <c r="J383" s="72"/>
      <c r="K383" s="36"/>
      <c r="L383" s="79"/>
      <c r="M383" s="79"/>
      <c r="N383" s="74"/>
      <c r="O383" s="81" t="s">
        <v>1532</v>
      </c>
      <c r="P383" s="83">
        <v>44460.137708333335</v>
      </c>
      <c r="Q383" s="81" t="s">
        <v>1674</v>
      </c>
      <c r="R383" s="81"/>
      <c r="S383" s="81"/>
      <c r="T383" s="86" t="s">
        <v>2671</v>
      </c>
      <c r="U383" s="84" t="str">
        <f>HYPERLINK("https://pbs.twimg.com/media/E_xv_zuVkAUKwdt.jpg")</f>
        <v>https://pbs.twimg.com/media/E_xv_zuVkAUKwdt.jpg</v>
      </c>
      <c r="V383" s="84" t="str">
        <f>HYPERLINK("https://pbs.twimg.com/media/E_xv_zuVkAUKwdt.jpg")</f>
        <v>https://pbs.twimg.com/media/E_xv_zuVkAUKwdt.jpg</v>
      </c>
      <c r="W383" s="83">
        <v>44460.137708333335</v>
      </c>
      <c r="X383" s="89">
        <v>44460</v>
      </c>
      <c r="Y383" s="86" t="s">
        <v>3051</v>
      </c>
      <c r="Z383" s="84" t="str">
        <f>HYPERLINK("https://twitter.com/choliqlz/status/1440153387316617231")</f>
        <v>https://twitter.com/choliqlz/status/1440153387316617231</v>
      </c>
      <c r="AA383" s="81"/>
      <c r="AB383" s="81"/>
      <c r="AC383" s="86" t="s">
        <v>4512</v>
      </c>
      <c r="AD383" s="81"/>
      <c r="AE383" s="81" t="b">
        <v>0</v>
      </c>
      <c r="AF383" s="81">
        <v>0</v>
      </c>
      <c r="AG383" s="86" t="s">
        <v>6240</v>
      </c>
      <c r="AH383" s="81" t="b">
        <v>0</v>
      </c>
      <c r="AI383" s="81" t="s">
        <v>6478</v>
      </c>
      <c r="AJ383" s="81"/>
      <c r="AK383" s="86" t="s">
        <v>6240</v>
      </c>
      <c r="AL383" s="81" t="b">
        <v>0</v>
      </c>
      <c r="AM383" s="81">
        <v>14</v>
      </c>
      <c r="AN383" s="86" t="s">
        <v>4528</v>
      </c>
      <c r="AO383" s="86" t="s">
        <v>6503</v>
      </c>
      <c r="AP383" s="81" t="b">
        <v>0</v>
      </c>
      <c r="AQ383" s="86" t="s">
        <v>4528</v>
      </c>
      <c r="AR383" s="81" t="s">
        <v>179</v>
      </c>
      <c r="AS383" s="81">
        <v>0</v>
      </c>
      <c r="AT383" s="81">
        <v>0</v>
      </c>
      <c r="AU383" s="81"/>
      <c r="AV383" s="81"/>
      <c r="AW383" s="81"/>
      <c r="AX383" s="81"/>
      <c r="AY383" s="81"/>
      <c r="AZ383" s="81"/>
      <c r="BA383" s="81"/>
      <c r="BB383" s="81"/>
    </row>
    <row r="384" spans="1:54" x14ac:dyDescent="0.35">
      <c r="A384" s="66" t="s">
        <v>493</v>
      </c>
      <c r="B384" s="66" t="s">
        <v>1316</v>
      </c>
      <c r="C384" s="67"/>
      <c r="D384" s="68"/>
      <c r="E384" s="69"/>
      <c r="F384" s="70"/>
      <c r="G384" s="67"/>
      <c r="H384" s="71"/>
      <c r="I384" s="72"/>
      <c r="J384" s="72"/>
      <c r="K384" s="36"/>
      <c r="L384" s="79"/>
      <c r="M384" s="79"/>
      <c r="N384" s="74"/>
      <c r="O384" s="81" t="s">
        <v>1533</v>
      </c>
      <c r="P384" s="83">
        <v>44460.138668981483</v>
      </c>
      <c r="Q384" s="81" t="s">
        <v>1674</v>
      </c>
      <c r="R384" s="81"/>
      <c r="S384" s="81"/>
      <c r="T384" s="86" t="s">
        <v>2671</v>
      </c>
      <c r="U384" s="84" t="str">
        <f>HYPERLINK("https://pbs.twimg.com/media/E_xv_zuVkAUKwdt.jpg")</f>
        <v>https://pbs.twimg.com/media/E_xv_zuVkAUKwdt.jpg</v>
      </c>
      <c r="V384" s="84" t="str">
        <f>HYPERLINK("https://pbs.twimg.com/media/E_xv_zuVkAUKwdt.jpg")</f>
        <v>https://pbs.twimg.com/media/E_xv_zuVkAUKwdt.jpg</v>
      </c>
      <c r="W384" s="83">
        <v>44460.138668981483</v>
      </c>
      <c r="X384" s="89">
        <v>44460</v>
      </c>
      <c r="Y384" s="86" t="s">
        <v>3052</v>
      </c>
      <c r="Z384" s="84" t="str">
        <f>HYPERLINK("https://twitter.com/aimalfaruq_zaim/status/1440153733115965441")</f>
        <v>https://twitter.com/aimalfaruq_zaim/status/1440153733115965441</v>
      </c>
      <c r="AA384" s="81"/>
      <c r="AB384" s="81"/>
      <c r="AC384" s="86" t="s">
        <v>4513</v>
      </c>
      <c r="AD384" s="81"/>
      <c r="AE384" s="81" t="b">
        <v>0</v>
      </c>
      <c r="AF384" s="81">
        <v>0</v>
      </c>
      <c r="AG384" s="86" t="s">
        <v>6240</v>
      </c>
      <c r="AH384" s="81" t="b">
        <v>0</v>
      </c>
      <c r="AI384" s="81" t="s">
        <v>6478</v>
      </c>
      <c r="AJ384" s="81"/>
      <c r="AK384" s="86" t="s">
        <v>6240</v>
      </c>
      <c r="AL384" s="81" t="b">
        <v>0</v>
      </c>
      <c r="AM384" s="81">
        <v>14</v>
      </c>
      <c r="AN384" s="86" t="s">
        <v>4528</v>
      </c>
      <c r="AO384" s="86" t="s">
        <v>6507</v>
      </c>
      <c r="AP384" s="81" t="b">
        <v>0</v>
      </c>
      <c r="AQ384" s="86" t="s">
        <v>4528</v>
      </c>
      <c r="AR384" s="81" t="s">
        <v>179</v>
      </c>
      <c r="AS384" s="81">
        <v>0</v>
      </c>
      <c r="AT384" s="81">
        <v>0</v>
      </c>
      <c r="AU384" s="81"/>
      <c r="AV384" s="81"/>
      <c r="AW384" s="81"/>
      <c r="AX384" s="81"/>
      <c r="AY384" s="81"/>
      <c r="AZ384" s="81"/>
      <c r="BA384" s="81"/>
      <c r="BB384" s="81"/>
    </row>
    <row r="385" spans="1:54" x14ac:dyDescent="0.35">
      <c r="A385" s="66" t="s">
        <v>493</v>
      </c>
      <c r="B385" s="66" t="s">
        <v>1317</v>
      </c>
      <c r="C385" s="67"/>
      <c r="D385" s="68"/>
      <c r="E385" s="69"/>
      <c r="F385" s="70"/>
      <c r="G385" s="67"/>
      <c r="H385" s="71"/>
      <c r="I385" s="72"/>
      <c r="J385" s="72"/>
      <c r="K385" s="36"/>
      <c r="L385" s="79"/>
      <c r="M385" s="79"/>
      <c r="N385" s="74"/>
      <c r="O385" s="81" t="s">
        <v>1533</v>
      </c>
      <c r="P385" s="83">
        <v>44460.138668981483</v>
      </c>
      <c r="Q385" s="81" t="s">
        <v>1674</v>
      </c>
      <c r="R385" s="81"/>
      <c r="S385" s="81"/>
      <c r="T385" s="86" t="s">
        <v>2671</v>
      </c>
      <c r="U385" s="84" t="str">
        <f>HYPERLINK("https://pbs.twimg.com/media/E_xv_zuVkAUKwdt.jpg")</f>
        <v>https://pbs.twimg.com/media/E_xv_zuVkAUKwdt.jpg</v>
      </c>
      <c r="V385" s="84" t="str">
        <f>HYPERLINK("https://pbs.twimg.com/media/E_xv_zuVkAUKwdt.jpg")</f>
        <v>https://pbs.twimg.com/media/E_xv_zuVkAUKwdt.jpg</v>
      </c>
      <c r="W385" s="83">
        <v>44460.138668981483</v>
      </c>
      <c r="X385" s="89">
        <v>44460</v>
      </c>
      <c r="Y385" s="86" t="s">
        <v>3052</v>
      </c>
      <c r="Z385" s="84" t="str">
        <f>HYPERLINK("https://twitter.com/aimalfaruq_zaim/status/1440153733115965441")</f>
        <v>https://twitter.com/aimalfaruq_zaim/status/1440153733115965441</v>
      </c>
      <c r="AA385" s="81"/>
      <c r="AB385" s="81"/>
      <c r="AC385" s="86" t="s">
        <v>4513</v>
      </c>
      <c r="AD385" s="81"/>
      <c r="AE385" s="81" t="b">
        <v>0</v>
      </c>
      <c r="AF385" s="81">
        <v>0</v>
      </c>
      <c r="AG385" s="86" t="s">
        <v>6240</v>
      </c>
      <c r="AH385" s="81" t="b">
        <v>0</v>
      </c>
      <c r="AI385" s="81" t="s">
        <v>6478</v>
      </c>
      <c r="AJ385" s="81"/>
      <c r="AK385" s="86" t="s">
        <v>6240</v>
      </c>
      <c r="AL385" s="81" t="b">
        <v>0</v>
      </c>
      <c r="AM385" s="81">
        <v>14</v>
      </c>
      <c r="AN385" s="86" t="s">
        <v>4528</v>
      </c>
      <c r="AO385" s="86" t="s">
        <v>6507</v>
      </c>
      <c r="AP385" s="81" t="b">
        <v>0</v>
      </c>
      <c r="AQ385" s="86" t="s">
        <v>4528</v>
      </c>
      <c r="AR385" s="81" t="s">
        <v>179</v>
      </c>
      <c r="AS385" s="81">
        <v>0</v>
      </c>
      <c r="AT385" s="81">
        <v>0</v>
      </c>
      <c r="AU385" s="81"/>
      <c r="AV385" s="81"/>
      <c r="AW385" s="81"/>
      <c r="AX385" s="81"/>
      <c r="AY385" s="81"/>
      <c r="AZ385" s="81"/>
      <c r="BA385" s="81"/>
      <c r="BB385" s="81"/>
    </row>
    <row r="386" spans="1:54" x14ac:dyDescent="0.35">
      <c r="A386" s="66" t="s">
        <v>493</v>
      </c>
      <c r="B386" s="66" t="s">
        <v>1318</v>
      </c>
      <c r="C386" s="67"/>
      <c r="D386" s="68"/>
      <c r="E386" s="69"/>
      <c r="F386" s="70"/>
      <c r="G386" s="67"/>
      <c r="H386" s="71"/>
      <c r="I386" s="72"/>
      <c r="J386" s="72"/>
      <c r="K386" s="36"/>
      <c r="L386" s="79"/>
      <c r="M386" s="79"/>
      <c r="N386" s="74"/>
      <c r="O386" s="81" t="s">
        <v>1533</v>
      </c>
      <c r="P386" s="83">
        <v>44460.138668981483</v>
      </c>
      <c r="Q386" s="81" t="s">
        <v>1674</v>
      </c>
      <c r="R386" s="81"/>
      <c r="S386" s="81"/>
      <c r="T386" s="86" t="s">
        <v>2671</v>
      </c>
      <c r="U386" s="84" t="str">
        <f>HYPERLINK("https://pbs.twimg.com/media/E_xv_zuVkAUKwdt.jpg")</f>
        <v>https://pbs.twimg.com/media/E_xv_zuVkAUKwdt.jpg</v>
      </c>
      <c r="V386" s="84" t="str">
        <f>HYPERLINK("https://pbs.twimg.com/media/E_xv_zuVkAUKwdt.jpg")</f>
        <v>https://pbs.twimg.com/media/E_xv_zuVkAUKwdt.jpg</v>
      </c>
      <c r="W386" s="83">
        <v>44460.138668981483</v>
      </c>
      <c r="X386" s="89">
        <v>44460</v>
      </c>
      <c r="Y386" s="86" t="s">
        <v>3052</v>
      </c>
      <c r="Z386" s="84" t="str">
        <f>HYPERLINK("https://twitter.com/aimalfaruq_zaim/status/1440153733115965441")</f>
        <v>https://twitter.com/aimalfaruq_zaim/status/1440153733115965441</v>
      </c>
      <c r="AA386" s="81"/>
      <c r="AB386" s="81"/>
      <c r="AC386" s="86" t="s">
        <v>4513</v>
      </c>
      <c r="AD386" s="81"/>
      <c r="AE386" s="81" t="b">
        <v>0</v>
      </c>
      <c r="AF386" s="81">
        <v>0</v>
      </c>
      <c r="AG386" s="86" t="s">
        <v>6240</v>
      </c>
      <c r="AH386" s="81" t="b">
        <v>0</v>
      </c>
      <c r="AI386" s="81" t="s">
        <v>6478</v>
      </c>
      <c r="AJ386" s="81"/>
      <c r="AK386" s="86" t="s">
        <v>6240</v>
      </c>
      <c r="AL386" s="81" t="b">
        <v>0</v>
      </c>
      <c r="AM386" s="81">
        <v>14</v>
      </c>
      <c r="AN386" s="86" t="s">
        <v>4528</v>
      </c>
      <c r="AO386" s="86" t="s">
        <v>6507</v>
      </c>
      <c r="AP386" s="81" t="b">
        <v>0</v>
      </c>
      <c r="AQ386" s="86" t="s">
        <v>4528</v>
      </c>
      <c r="AR386" s="81" t="s">
        <v>179</v>
      </c>
      <c r="AS386" s="81">
        <v>0</v>
      </c>
      <c r="AT386" s="81">
        <v>0</v>
      </c>
      <c r="AU386" s="81"/>
      <c r="AV386" s="81"/>
      <c r="AW386" s="81"/>
      <c r="AX386" s="81"/>
      <c r="AY386" s="81"/>
      <c r="AZ386" s="81"/>
      <c r="BA386" s="81"/>
      <c r="BB386" s="81"/>
    </row>
    <row r="387" spans="1:54" x14ac:dyDescent="0.35">
      <c r="A387" s="66" t="s">
        <v>493</v>
      </c>
      <c r="B387" s="66" t="s">
        <v>1319</v>
      </c>
      <c r="C387" s="67"/>
      <c r="D387" s="68"/>
      <c r="E387" s="69"/>
      <c r="F387" s="70"/>
      <c r="G387" s="67"/>
      <c r="H387" s="71"/>
      <c r="I387" s="72"/>
      <c r="J387" s="72"/>
      <c r="K387" s="36"/>
      <c r="L387" s="79"/>
      <c r="M387" s="79"/>
      <c r="N387" s="74"/>
      <c r="O387" s="81" t="s">
        <v>1533</v>
      </c>
      <c r="P387" s="83">
        <v>44460.138668981483</v>
      </c>
      <c r="Q387" s="81" t="s">
        <v>1674</v>
      </c>
      <c r="R387" s="81"/>
      <c r="S387" s="81"/>
      <c r="T387" s="86" t="s">
        <v>2671</v>
      </c>
      <c r="U387" s="84" t="str">
        <f>HYPERLINK("https://pbs.twimg.com/media/E_xv_zuVkAUKwdt.jpg")</f>
        <v>https://pbs.twimg.com/media/E_xv_zuVkAUKwdt.jpg</v>
      </c>
      <c r="V387" s="84" t="str">
        <f>HYPERLINK("https://pbs.twimg.com/media/E_xv_zuVkAUKwdt.jpg")</f>
        <v>https://pbs.twimg.com/media/E_xv_zuVkAUKwdt.jpg</v>
      </c>
      <c r="W387" s="83">
        <v>44460.138668981483</v>
      </c>
      <c r="X387" s="89">
        <v>44460</v>
      </c>
      <c r="Y387" s="86" t="s">
        <v>3052</v>
      </c>
      <c r="Z387" s="84" t="str">
        <f>HYPERLINK("https://twitter.com/aimalfaruq_zaim/status/1440153733115965441")</f>
        <v>https://twitter.com/aimalfaruq_zaim/status/1440153733115965441</v>
      </c>
      <c r="AA387" s="81"/>
      <c r="AB387" s="81"/>
      <c r="AC387" s="86" t="s">
        <v>4513</v>
      </c>
      <c r="AD387" s="81"/>
      <c r="AE387" s="81" t="b">
        <v>0</v>
      </c>
      <c r="AF387" s="81">
        <v>0</v>
      </c>
      <c r="AG387" s="86" t="s">
        <v>6240</v>
      </c>
      <c r="AH387" s="81" t="b">
        <v>0</v>
      </c>
      <c r="AI387" s="81" t="s">
        <v>6478</v>
      </c>
      <c r="AJ387" s="81"/>
      <c r="AK387" s="86" t="s">
        <v>6240</v>
      </c>
      <c r="AL387" s="81" t="b">
        <v>0</v>
      </c>
      <c r="AM387" s="81">
        <v>14</v>
      </c>
      <c r="AN387" s="86" t="s">
        <v>4528</v>
      </c>
      <c r="AO387" s="86" t="s">
        <v>6507</v>
      </c>
      <c r="AP387" s="81" t="b">
        <v>0</v>
      </c>
      <c r="AQ387" s="86" t="s">
        <v>4528</v>
      </c>
      <c r="AR387" s="81" t="s">
        <v>179</v>
      </c>
      <c r="AS387" s="81">
        <v>0</v>
      </c>
      <c r="AT387" s="81">
        <v>0</v>
      </c>
      <c r="AU387" s="81"/>
      <c r="AV387" s="81"/>
      <c r="AW387" s="81"/>
      <c r="AX387" s="81"/>
      <c r="AY387" s="81"/>
      <c r="AZ387" s="81"/>
      <c r="BA387" s="81"/>
      <c r="BB387" s="81"/>
    </row>
    <row r="388" spans="1:54" x14ac:dyDescent="0.35">
      <c r="A388" s="66" t="s">
        <v>493</v>
      </c>
      <c r="B388" s="66" t="s">
        <v>1320</v>
      </c>
      <c r="C388" s="67"/>
      <c r="D388" s="68"/>
      <c r="E388" s="69"/>
      <c r="F388" s="70"/>
      <c r="G388" s="67"/>
      <c r="H388" s="71"/>
      <c r="I388" s="72"/>
      <c r="J388" s="72"/>
      <c r="K388" s="36"/>
      <c r="L388" s="79"/>
      <c r="M388" s="79"/>
      <c r="N388" s="74"/>
      <c r="O388" s="81" t="s">
        <v>1533</v>
      </c>
      <c r="P388" s="83">
        <v>44460.138668981483</v>
      </c>
      <c r="Q388" s="81" t="s">
        <v>1674</v>
      </c>
      <c r="R388" s="81"/>
      <c r="S388" s="81"/>
      <c r="T388" s="86" t="s">
        <v>2671</v>
      </c>
      <c r="U388" s="84" t="str">
        <f>HYPERLINK("https://pbs.twimg.com/media/E_xv_zuVkAUKwdt.jpg")</f>
        <v>https://pbs.twimg.com/media/E_xv_zuVkAUKwdt.jpg</v>
      </c>
      <c r="V388" s="84" t="str">
        <f>HYPERLINK("https://pbs.twimg.com/media/E_xv_zuVkAUKwdt.jpg")</f>
        <v>https://pbs.twimg.com/media/E_xv_zuVkAUKwdt.jpg</v>
      </c>
      <c r="W388" s="83">
        <v>44460.138668981483</v>
      </c>
      <c r="X388" s="89">
        <v>44460</v>
      </c>
      <c r="Y388" s="86" t="s">
        <v>3052</v>
      </c>
      <c r="Z388" s="84" t="str">
        <f>HYPERLINK("https://twitter.com/aimalfaruq_zaim/status/1440153733115965441")</f>
        <v>https://twitter.com/aimalfaruq_zaim/status/1440153733115965441</v>
      </c>
      <c r="AA388" s="81"/>
      <c r="AB388" s="81"/>
      <c r="AC388" s="86" t="s">
        <v>4513</v>
      </c>
      <c r="AD388" s="81"/>
      <c r="AE388" s="81" t="b">
        <v>0</v>
      </c>
      <c r="AF388" s="81">
        <v>0</v>
      </c>
      <c r="AG388" s="86" t="s">
        <v>6240</v>
      </c>
      <c r="AH388" s="81" t="b">
        <v>0</v>
      </c>
      <c r="AI388" s="81" t="s">
        <v>6478</v>
      </c>
      <c r="AJ388" s="81"/>
      <c r="AK388" s="86" t="s">
        <v>6240</v>
      </c>
      <c r="AL388" s="81" t="b">
        <v>0</v>
      </c>
      <c r="AM388" s="81">
        <v>14</v>
      </c>
      <c r="AN388" s="86" t="s">
        <v>4528</v>
      </c>
      <c r="AO388" s="86" t="s">
        <v>6507</v>
      </c>
      <c r="AP388" s="81" t="b">
        <v>0</v>
      </c>
      <c r="AQ388" s="86" t="s">
        <v>4528</v>
      </c>
      <c r="AR388" s="81" t="s">
        <v>179</v>
      </c>
      <c r="AS388" s="81">
        <v>0</v>
      </c>
      <c r="AT388" s="81">
        <v>0</v>
      </c>
      <c r="AU388" s="81"/>
      <c r="AV388" s="81"/>
      <c r="AW388" s="81"/>
      <c r="AX388" s="81"/>
      <c r="AY388" s="81"/>
      <c r="AZ388" s="81"/>
      <c r="BA388" s="81"/>
      <c r="BB388" s="81"/>
    </row>
    <row r="389" spans="1:54" x14ac:dyDescent="0.35">
      <c r="A389" s="66" t="s">
        <v>493</v>
      </c>
      <c r="B389" s="66" t="s">
        <v>504</v>
      </c>
      <c r="C389" s="67"/>
      <c r="D389" s="68"/>
      <c r="E389" s="69"/>
      <c r="F389" s="70"/>
      <c r="G389" s="67"/>
      <c r="H389" s="71"/>
      <c r="I389" s="72"/>
      <c r="J389" s="72"/>
      <c r="K389" s="36"/>
      <c r="L389" s="79"/>
      <c r="M389" s="79"/>
      <c r="N389" s="74"/>
      <c r="O389" s="81" t="s">
        <v>1532</v>
      </c>
      <c r="P389" s="83">
        <v>44460.138668981483</v>
      </c>
      <c r="Q389" s="81" t="s">
        <v>1674</v>
      </c>
      <c r="R389" s="81"/>
      <c r="S389" s="81"/>
      <c r="T389" s="86" t="s">
        <v>2671</v>
      </c>
      <c r="U389" s="84" t="str">
        <f>HYPERLINK("https://pbs.twimg.com/media/E_xv_zuVkAUKwdt.jpg")</f>
        <v>https://pbs.twimg.com/media/E_xv_zuVkAUKwdt.jpg</v>
      </c>
      <c r="V389" s="84" t="str">
        <f>HYPERLINK("https://pbs.twimg.com/media/E_xv_zuVkAUKwdt.jpg")</f>
        <v>https://pbs.twimg.com/media/E_xv_zuVkAUKwdt.jpg</v>
      </c>
      <c r="W389" s="83">
        <v>44460.138668981483</v>
      </c>
      <c r="X389" s="89">
        <v>44460</v>
      </c>
      <c r="Y389" s="86" t="s">
        <v>3052</v>
      </c>
      <c r="Z389" s="84" t="str">
        <f>HYPERLINK("https://twitter.com/aimalfaruq_zaim/status/1440153733115965441")</f>
        <v>https://twitter.com/aimalfaruq_zaim/status/1440153733115965441</v>
      </c>
      <c r="AA389" s="81"/>
      <c r="AB389" s="81"/>
      <c r="AC389" s="86" t="s">
        <v>4513</v>
      </c>
      <c r="AD389" s="81"/>
      <c r="AE389" s="81" t="b">
        <v>0</v>
      </c>
      <c r="AF389" s="81">
        <v>0</v>
      </c>
      <c r="AG389" s="86" t="s">
        <v>6240</v>
      </c>
      <c r="AH389" s="81" t="b">
        <v>0</v>
      </c>
      <c r="AI389" s="81" t="s">
        <v>6478</v>
      </c>
      <c r="AJ389" s="81"/>
      <c r="AK389" s="86" t="s">
        <v>6240</v>
      </c>
      <c r="AL389" s="81" t="b">
        <v>0</v>
      </c>
      <c r="AM389" s="81">
        <v>14</v>
      </c>
      <c r="AN389" s="86" t="s">
        <v>4528</v>
      </c>
      <c r="AO389" s="86" t="s">
        <v>6507</v>
      </c>
      <c r="AP389" s="81" t="b">
        <v>0</v>
      </c>
      <c r="AQ389" s="86" t="s">
        <v>4528</v>
      </c>
      <c r="AR389" s="81" t="s">
        <v>179</v>
      </c>
      <c r="AS389" s="81">
        <v>0</v>
      </c>
      <c r="AT389" s="81">
        <v>0</v>
      </c>
      <c r="AU389" s="81"/>
      <c r="AV389" s="81"/>
      <c r="AW389" s="81"/>
      <c r="AX389" s="81"/>
      <c r="AY389" s="81"/>
      <c r="AZ389" s="81"/>
      <c r="BA389" s="81"/>
      <c r="BB389" s="81"/>
    </row>
    <row r="390" spans="1:54" x14ac:dyDescent="0.35">
      <c r="A390" s="66" t="s">
        <v>494</v>
      </c>
      <c r="B390" s="66" t="s">
        <v>1316</v>
      </c>
      <c r="C390" s="67"/>
      <c r="D390" s="68"/>
      <c r="E390" s="69"/>
      <c r="F390" s="70"/>
      <c r="G390" s="67"/>
      <c r="H390" s="71"/>
      <c r="I390" s="72"/>
      <c r="J390" s="72"/>
      <c r="K390" s="36"/>
      <c r="L390" s="79"/>
      <c r="M390" s="79"/>
      <c r="N390" s="74"/>
      <c r="O390" s="81" t="s">
        <v>1533</v>
      </c>
      <c r="P390" s="83">
        <v>44460.13962962963</v>
      </c>
      <c r="Q390" s="81" t="s">
        <v>1674</v>
      </c>
      <c r="R390" s="81"/>
      <c r="S390" s="81"/>
      <c r="T390" s="86" t="s">
        <v>2671</v>
      </c>
      <c r="U390" s="84" t="str">
        <f>HYPERLINK("https://pbs.twimg.com/media/E_xv_zuVkAUKwdt.jpg")</f>
        <v>https://pbs.twimg.com/media/E_xv_zuVkAUKwdt.jpg</v>
      </c>
      <c r="V390" s="84" t="str">
        <f>HYPERLINK("https://pbs.twimg.com/media/E_xv_zuVkAUKwdt.jpg")</f>
        <v>https://pbs.twimg.com/media/E_xv_zuVkAUKwdt.jpg</v>
      </c>
      <c r="W390" s="83">
        <v>44460.13962962963</v>
      </c>
      <c r="X390" s="89">
        <v>44460</v>
      </c>
      <c r="Y390" s="86" t="s">
        <v>3053</v>
      </c>
      <c r="Z390" s="84" t="str">
        <f>HYPERLINK("https://twitter.com/farobiz/status/1440154083575271425")</f>
        <v>https://twitter.com/farobiz/status/1440154083575271425</v>
      </c>
      <c r="AA390" s="81"/>
      <c r="AB390" s="81"/>
      <c r="AC390" s="86" t="s">
        <v>4514</v>
      </c>
      <c r="AD390" s="81"/>
      <c r="AE390" s="81" t="b">
        <v>0</v>
      </c>
      <c r="AF390" s="81">
        <v>0</v>
      </c>
      <c r="AG390" s="86" t="s">
        <v>6240</v>
      </c>
      <c r="AH390" s="81" t="b">
        <v>0</v>
      </c>
      <c r="AI390" s="81" t="s">
        <v>6478</v>
      </c>
      <c r="AJ390" s="81"/>
      <c r="AK390" s="86" t="s">
        <v>6240</v>
      </c>
      <c r="AL390" s="81" t="b">
        <v>0</v>
      </c>
      <c r="AM390" s="81">
        <v>14</v>
      </c>
      <c r="AN390" s="86" t="s">
        <v>4528</v>
      </c>
      <c r="AO390" s="86" t="s">
        <v>6503</v>
      </c>
      <c r="AP390" s="81" t="b">
        <v>0</v>
      </c>
      <c r="AQ390" s="86" t="s">
        <v>4528</v>
      </c>
      <c r="AR390" s="81" t="s">
        <v>179</v>
      </c>
      <c r="AS390" s="81">
        <v>0</v>
      </c>
      <c r="AT390" s="81">
        <v>0</v>
      </c>
      <c r="AU390" s="81"/>
      <c r="AV390" s="81"/>
      <c r="AW390" s="81"/>
      <c r="AX390" s="81"/>
      <c r="AY390" s="81"/>
      <c r="AZ390" s="81"/>
      <c r="BA390" s="81"/>
      <c r="BB390" s="81"/>
    </row>
    <row r="391" spans="1:54" x14ac:dyDescent="0.35">
      <c r="A391" s="66" t="s">
        <v>494</v>
      </c>
      <c r="B391" s="66" t="s">
        <v>1317</v>
      </c>
      <c r="C391" s="67"/>
      <c r="D391" s="68"/>
      <c r="E391" s="69"/>
      <c r="F391" s="70"/>
      <c r="G391" s="67"/>
      <c r="H391" s="71"/>
      <c r="I391" s="72"/>
      <c r="J391" s="72"/>
      <c r="K391" s="36"/>
      <c r="L391" s="79"/>
      <c r="M391" s="79"/>
      <c r="N391" s="74"/>
      <c r="O391" s="81" t="s">
        <v>1533</v>
      </c>
      <c r="P391" s="83">
        <v>44460.13962962963</v>
      </c>
      <c r="Q391" s="81" t="s">
        <v>1674</v>
      </c>
      <c r="R391" s="81"/>
      <c r="S391" s="81"/>
      <c r="T391" s="86" t="s">
        <v>2671</v>
      </c>
      <c r="U391" s="84" t="str">
        <f>HYPERLINK("https://pbs.twimg.com/media/E_xv_zuVkAUKwdt.jpg")</f>
        <v>https://pbs.twimg.com/media/E_xv_zuVkAUKwdt.jpg</v>
      </c>
      <c r="V391" s="84" t="str">
        <f>HYPERLINK("https://pbs.twimg.com/media/E_xv_zuVkAUKwdt.jpg")</f>
        <v>https://pbs.twimg.com/media/E_xv_zuVkAUKwdt.jpg</v>
      </c>
      <c r="W391" s="83">
        <v>44460.13962962963</v>
      </c>
      <c r="X391" s="89">
        <v>44460</v>
      </c>
      <c r="Y391" s="86" t="s">
        <v>3053</v>
      </c>
      <c r="Z391" s="84" t="str">
        <f>HYPERLINK("https://twitter.com/farobiz/status/1440154083575271425")</f>
        <v>https://twitter.com/farobiz/status/1440154083575271425</v>
      </c>
      <c r="AA391" s="81"/>
      <c r="AB391" s="81"/>
      <c r="AC391" s="86" t="s">
        <v>4514</v>
      </c>
      <c r="AD391" s="81"/>
      <c r="AE391" s="81" t="b">
        <v>0</v>
      </c>
      <c r="AF391" s="81">
        <v>0</v>
      </c>
      <c r="AG391" s="86" t="s">
        <v>6240</v>
      </c>
      <c r="AH391" s="81" t="b">
        <v>0</v>
      </c>
      <c r="AI391" s="81" t="s">
        <v>6478</v>
      </c>
      <c r="AJ391" s="81"/>
      <c r="AK391" s="86" t="s">
        <v>6240</v>
      </c>
      <c r="AL391" s="81" t="b">
        <v>0</v>
      </c>
      <c r="AM391" s="81">
        <v>14</v>
      </c>
      <c r="AN391" s="86" t="s">
        <v>4528</v>
      </c>
      <c r="AO391" s="86" t="s">
        <v>6503</v>
      </c>
      <c r="AP391" s="81" t="b">
        <v>0</v>
      </c>
      <c r="AQ391" s="86" t="s">
        <v>4528</v>
      </c>
      <c r="AR391" s="81" t="s">
        <v>179</v>
      </c>
      <c r="AS391" s="81">
        <v>0</v>
      </c>
      <c r="AT391" s="81">
        <v>0</v>
      </c>
      <c r="AU391" s="81"/>
      <c r="AV391" s="81"/>
      <c r="AW391" s="81"/>
      <c r="AX391" s="81"/>
      <c r="AY391" s="81"/>
      <c r="AZ391" s="81"/>
      <c r="BA391" s="81"/>
      <c r="BB391" s="81"/>
    </row>
    <row r="392" spans="1:54" x14ac:dyDescent="0.35">
      <c r="A392" s="66" t="s">
        <v>494</v>
      </c>
      <c r="B392" s="66" t="s">
        <v>1318</v>
      </c>
      <c r="C392" s="67"/>
      <c r="D392" s="68"/>
      <c r="E392" s="69"/>
      <c r="F392" s="70"/>
      <c r="G392" s="67"/>
      <c r="H392" s="71"/>
      <c r="I392" s="72"/>
      <c r="J392" s="72"/>
      <c r="K392" s="36"/>
      <c r="L392" s="79"/>
      <c r="M392" s="79"/>
      <c r="N392" s="74"/>
      <c r="O392" s="81" t="s">
        <v>1533</v>
      </c>
      <c r="P392" s="83">
        <v>44460.13962962963</v>
      </c>
      <c r="Q392" s="81" t="s">
        <v>1674</v>
      </c>
      <c r="R392" s="81"/>
      <c r="S392" s="81"/>
      <c r="T392" s="86" t="s">
        <v>2671</v>
      </c>
      <c r="U392" s="84" t="str">
        <f>HYPERLINK("https://pbs.twimg.com/media/E_xv_zuVkAUKwdt.jpg")</f>
        <v>https://pbs.twimg.com/media/E_xv_zuVkAUKwdt.jpg</v>
      </c>
      <c r="V392" s="84" t="str">
        <f>HYPERLINK("https://pbs.twimg.com/media/E_xv_zuVkAUKwdt.jpg")</f>
        <v>https://pbs.twimg.com/media/E_xv_zuVkAUKwdt.jpg</v>
      </c>
      <c r="W392" s="83">
        <v>44460.13962962963</v>
      </c>
      <c r="X392" s="89">
        <v>44460</v>
      </c>
      <c r="Y392" s="86" t="s">
        <v>3053</v>
      </c>
      <c r="Z392" s="84" t="str">
        <f>HYPERLINK("https://twitter.com/farobiz/status/1440154083575271425")</f>
        <v>https://twitter.com/farobiz/status/1440154083575271425</v>
      </c>
      <c r="AA392" s="81"/>
      <c r="AB392" s="81"/>
      <c r="AC392" s="86" t="s">
        <v>4514</v>
      </c>
      <c r="AD392" s="81"/>
      <c r="AE392" s="81" t="b">
        <v>0</v>
      </c>
      <c r="AF392" s="81">
        <v>0</v>
      </c>
      <c r="AG392" s="86" t="s">
        <v>6240</v>
      </c>
      <c r="AH392" s="81" t="b">
        <v>0</v>
      </c>
      <c r="AI392" s="81" t="s">
        <v>6478</v>
      </c>
      <c r="AJ392" s="81"/>
      <c r="AK392" s="86" t="s">
        <v>6240</v>
      </c>
      <c r="AL392" s="81" t="b">
        <v>0</v>
      </c>
      <c r="AM392" s="81">
        <v>14</v>
      </c>
      <c r="AN392" s="86" t="s">
        <v>4528</v>
      </c>
      <c r="AO392" s="86" t="s">
        <v>6503</v>
      </c>
      <c r="AP392" s="81" t="b">
        <v>0</v>
      </c>
      <c r="AQ392" s="86" t="s">
        <v>4528</v>
      </c>
      <c r="AR392" s="81" t="s">
        <v>179</v>
      </c>
      <c r="AS392" s="81">
        <v>0</v>
      </c>
      <c r="AT392" s="81">
        <v>0</v>
      </c>
      <c r="AU392" s="81"/>
      <c r="AV392" s="81"/>
      <c r="AW392" s="81"/>
      <c r="AX392" s="81"/>
      <c r="AY392" s="81"/>
      <c r="AZ392" s="81"/>
      <c r="BA392" s="81"/>
      <c r="BB392" s="81"/>
    </row>
    <row r="393" spans="1:54" x14ac:dyDescent="0.35">
      <c r="A393" s="66" t="s">
        <v>494</v>
      </c>
      <c r="B393" s="66" t="s">
        <v>1319</v>
      </c>
      <c r="C393" s="67"/>
      <c r="D393" s="68"/>
      <c r="E393" s="69"/>
      <c r="F393" s="70"/>
      <c r="G393" s="67"/>
      <c r="H393" s="71"/>
      <c r="I393" s="72"/>
      <c r="J393" s="72"/>
      <c r="K393" s="36"/>
      <c r="L393" s="79"/>
      <c r="M393" s="79"/>
      <c r="N393" s="74"/>
      <c r="O393" s="81" t="s">
        <v>1533</v>
      </c>
      <c r="P393" s="83">
        <v>44460.13962962963</v>
      </c>
      <c r="Q393" s="81" t="s">
        <v>1674</v>
      </c>
      <c r="R393" s="81"/>
      <c r="S393" s="81"/>
      <c r="T393" s="86" t="s">
        <v>2671</v>
      </c>
      <c r="U393" s="84" t="str">
        <f>HYPERLINK("https://pbs.twimg.com/media/E_xv_zuVkAUKwdt.jpg")</f>
        <v>https://pbs.twimg.com/media/E_xv_zuVkAUKwdt.jpg</v>
      </c>
      <c r="V393" s="84" t="str">
        <f>HYPERLINK("https://pbs.twimg.com/media/E_xv_zuVkAUKwdt.jpg")</f>
        <v>https://pbs.twimg.com/media/E_xv_zuVkAUKwdt.jpg</v>
      </c>
      <c r="W393" s="83">
        <v>44460.13962962963</v>
      </c>
      <c r="X393" s="89">
        <v>44460</v>
      </c>
      <c r="Y393" s="86" t="s">
        <v>3053</v>
      </c>
      <c r="Z393" s="84" t="str">
        <f>HYPERLINK("https://twitter.com/farobiz/status/1440154083575271425")</f>
        <v>https://twitter.com/farobiz/status/1440154083575271425</v>
      </c>
      <c r="AA393" s="81"/>
      <c r="AB393" s="81"/>
      <c r="AC393" s="86" t="s">
        <v>4514</v>
      </c>
      <c r="AD393" s="81"/>
      <c r="AE393" s="81" t="b">
        <v>0</v>
      </c>
      <c r="AF393" s="81">
        <v>0</v>
      </c>
      <c r="AG393" s="86" t="s">
        <v>6240</v>
      </c>
      <c r="AH393" s="81" t="b">
        <v>0</v>
      </c>
      <c r="AI393" s="81" t="s">
        <v>6478</v>
      </c>
      <c r="AJ393" s="81"/>
      <c r="AK393" s="86" t="s">
        <v>6240</v>
      </c>
      <c r="AL393" s="81" t="b">
        <v>0</v>
      </c>
      <c r="AM393" s="81">
        <v>14</v>
      </c>
      <c r="AN393" s="86" t="s">
        <v>4528</v>
      </c>
      <c r="AO393" s="86" t="s">
        <v>6503</v>
      </c>
      <c r="AP393" s="81" t="b">
        <v>0</v>
      </c>
      <c r="AQ393" s="86" t="s">
        <v>4528</v>
      </c>
      <c r="AR393" s="81" t="s">
        <v>179</v>
      </c>
      <c r="AS393" s="81">
        <v>0</v>
      </c>
      <c r="AT393" s="81">
        <v>0</v>
      </c>
      <c r="AU393" s="81"/>
      <c r="AV393" s="81"/>
      <c r="AW393" s="81"/>
      <c r="AX393" s="81"/>
      <c r="AY393" s="81"/>
      <c r="AZ393" s="81"/>
      <c r="BA393" s="81"/>
      <c r="BB393" s="81"/>
    </row>
    <row r="394" spans="1:54" x14ac:dyDescent="0.35">
      <c r="A394" s="66" t="s">
        <v>494</v>
      </c>
      <c r="B394" s="66" t="s">
        <v>1320</v>
      </c>
      <c r="C394" s="67"/>
      <c r="D394" s="68"/>
      <c r="E394" s="69"/>
      <c r="F394" s="70"/>
      <c r="G394" s="67"/>
      <c r="H394" s="71"/>
      <c r="I394" s="72"/>
      <c r="J394" s="72"/>
      <c r="K394" s="36"/>
      <c r="L394" s="79"/>
      <c r="M394" s="79"/>
      <c r="N394" s="74"/>
      <c r="O394" s="81" t="s">
        <v>1533</v>
      </c>
      <c r="P394" s="83">
        <v>44460.13962962963</v>
      </c>
      <c r="Q394" s="81" t="s">
        <v>1674</v>
      </c>
      <c r="R394" s="81"/>
      <c r="S394" s="81"/>
      <c r="T394" s="86" t="s">
        <v>2671</v>
      </c>
      <c r="U394" s="84" t="str">
        <f>HYPERLINK("https://pbs.twimg.com/media/E_xv_zuVkAUKwdt.jpg")</f>
        <v>https://pbs.twimg.com/media/E_xv_zuVkAUKwdt.jpg</v>
      </c>
      <c r="V394" s="84" t="str">
        <f>HYPERLINK("https://pbs.twimg.com/media/E_xv_zuVkAUKwdt.jpg")</f>
        <v>https://pbs.twimg.com/media/E_xv_zuVkAUKwdt.jpg</v>
      </c>
      <c r="W394" s="83">
        <v>44460.13962962963</v>
      </c>
      <c r="X394" s="89">
        <v>44460</v>
      </c>
      <c r="Y394" s="86" t="s">
        <v>3053</v>
      </c>
      <c r="Z394" s="84" t="str">
        <f>HYPERLINK("https://twitter.com/farobiz/status/1440154083575271425")</f>
        <v>https://twitter.com/farobiz/status/1440154083575271425</v>
      </c>
      <c r="AA394" s="81"/>
      <c r="AB394" s="81"/>
      <c r="AC394" s="86" t="s">
        <v>4514</v>
      </c>
      <c r="AD394" s="81"/>
      <c r="AE394" s="81" t="b">
        <v>0</v>
      </c>
      <c r="AF394" s="81">
        <v>0</v>
      </c>
      <c r="AG394" s="86" t="s">
        <v>6240</v>
      </c>
      <c r="AH394" s="81" t="b">
        <v>0</v>
      </c>
      <c r="AI394" s="81" t="s">
        <v>6478</v>
      </c>
      <c r="AJ394" s="81"/>
      <c r="AK394" s="86" t="s">
        <v>6240</v>
      </c>
      <c r="AL394" s="81" t="b">
        <v>0</v>
      </c>
      <c r="AM394" s="81">
        <v>14</v>
      </c>
      <c r="AN394" s="86" t="s">
        <v>4528</v>
      </c>
      <c r="AO394" s="86" t="s">
        <v>6503</v>
      </c>
      <c r="AP394" s="81" t="b">
        <v>0</v>
      </c>
      <c r="AQ394" s="86" t="s">
        <v>4528</v>
      </c>
      <c r="AR394" s="81" t="s">
        <v>179</v>
      </c>
      <c r="AS394" s="81">
        <v>0</v>
      </c>
      <c r="AT394" s="81">
        <v>0</v>
      </c>
      <c r="AU394" s="81"/>
      <c r="AV394" s="81"/>
      <c r="AW394" s="81"/>
      <c r="AX394" s="81"/>
      <c r="AY394" s="81"/>
      <c r="AZ394" s="81"/>
      <c r="BA394" s="81"/>
      <c r="BB394" s="81"/>
    </row>
    <row r="395" spans="1:54" x14ac:dyDescent="0.35">
      <c r="A395" s="66" t="s">
        <v>494</v>
      </c>
      <c r="B395" s="66" t="s">
        <v>504</v>
      </c>
      <c r="C395" s="67"/>
      <c r="D395" s="68"/>
      <c r="E395" s="69"/>
      <c r="F395" s="70"/>
      <c r="G395" s="67"/>
      <c r="H395" s="71"/>
      <c r="I395" s="72"/>
      <c r="J395" s="72"/>
      <c r="K395" s="36"/>
      <c r="L395" s="79"/>
      <c r="M395" s="79"/>
      <c r="N395" s="74"/>
      <c r="O395" s="81" t="s">
        <v>1532</v>
      </c>
      <c r="P395" s="83">
        <v>44460.13962962963</v>
      </c>
      <c r="Q395" s="81" t="s">
        <v>1674</v>
      </c>
      <c r="R395" s="81"/>
      <c r="S395" s="81"/>
      <c r="T395" s="86" t="s">
        <v>2671</v>
      </c>
      <c r="U395" s="84" t="str">
        <f>HYPERLINK("https://pbs.twimg.com/media/E_xv_zuVkAUKwdt.jpg")</f>
        <v>https://pbs.twimg.com/media/E_xv_zuVkAUKwdt.jpg</v>
      </c>
      <c r="V395" s="84" t="str">
        <f>HYPERLINK("https://pbs.twimg.com/media/E_xv_zuVkAUKwdt.jpg")</f>
        <v>https://pbs.twimg.com/media/E_xv_zuVkAUKwdt.jpg</v>
      </c>
      <c r="W395" s="83">
        <v>44460.13962962963</v>
      </c>
      <c r="X395" s="89">
        <v>44460</v>
      </c>
      <c r="Y395" s="86" t="s">
        <v>3053</v>
      </c>
      <c r="Z395" s="84" t="str">
        <f>HYPERLINK("https://twitter.com/farobiz/status/1440154083575271425")</f>
        <v>https://twitter.com/farobiz/status/1440154083575271425</v>
      </c>
      <c r="AA395" s="81"/>
      <c r="AB395" s="81"/>
      <c r="AC395" s="86" t="s">
        <v>4514</v>
      </c>
      <c r="AD395" s="81"/>
      <c r="AE395" s="81" t="b">
        <v>0</v>
      </c>
      <c r="AF395" s="81">
        <v>0</v>
      </c>
      <c r="AG395" s="86" t="s">
        <v>6240</v>
      </c>
      <c r="AH395" s="81" t="b">
        <v>0</v>
      </c>
      <c r="AI395" s="81" t="s">
        <v>6478</v>
      </c>
      <c r="AJ395" s="81"/>
      <c r="AK395" s="86" t="s">
        <v>6240</v>
      </c>
      <c r="AL395" s="81" t="b">
        <v>0</v>
      </c>
      <c r="AM395" s="81">
        <v>14</v>
      </c>
      <c r="AN395" s="86" t="s">
        <v>4528</v>
      </c>
      <c r="AO395" s="86" t="s">
        <v>6503</v>
      </c>
      <c r="AP395" s="81" t="b">
        <v>0</v>
      </c>
      <c r="AQ395" s="86" t="s">
        <v>4528</v>
      </c>
      <c r="AR395" s="81" t="s">
        <v>179</v>
      </c>
      <c r="AS395" s="81">
        <v>0</v>
      </c>
      <c r="AT395" s="81">
        <v>0</v>
      </c>
      <c r="AU395" s="81"/>
      <c r="AV395" s="81"/>
      <c r="AW395" s="81"/>
      <c r="AX395" s="81"/>
      <c r="AY395" s="81"/>
      <c r="AZ395" s="81"/>
      <c r="BA395" s="81"/>
      <c r="BB395" s="81"/>
    </row>
    <row r="396" spans="1:54" x14ac:dyDescent="0.35">
      <c r="A396" s="66" t="s">
        <v>495</v>
      </c>
      <c r="B396" s="66" t="s">
        <v>1316</v>
      </c>
      <c r="C396" s="67"/>
      <c r="D396" s="68"/>
      <c r="E396" s="69"/>
      <c r="F396" s="70"/>
      <c r="G396" s="67"/>
      <c r="H396" s="71"/>
      <c r="I396" s="72"/>
      <c r="J396" s="72"/>
      <c r="K396" s="36"/>
      <c r="L396" s="79"/>
      <c r="M396" s="79"/>
      <c r="N396" s="74"/>
      <c r="O396" s="81" t="s">
        <v>1533</v>
      </c>
      <c r="P396" s="83">
        <v>44460.140277777777</v>
      </c>
      <c r="Q396" s="81" t="s">
        <v>1674</v>
      </c>
      <c r="R396" s="81"/>
      <c r="S396" s="81"/>
      <c r="T396" s="86" t="s">
        <v>2671</v>
      </c>
      <c r="U396" s="84" t="str">
        <f>HYPERLINK("https://pbs.twimg.com/media/E_xv_zuVkAUKwdt.jpg")</f>
        <v>https://pbs.twimg.com/media/E_xv_zuVkAUKwdt.jpg</v>
      </c>
      <c r="V396" s="84" t="str">
        <f>HYPERLINK("https://pbs.twimg.com/media/E_xv_zuVkAUKwdt.jpg")</f>
        <v>https://pbs.twimg.com/media/E_xv_zuVkAUKwdt.jpg</v>
      </c>
      <c r="W396" s="83">
        <v>44460.140277777777</v>
      </c>
      <c r="X396" s="89">
        <v>44460</v>
      </c>
      <c r="Y396" s="86" t="s">
        <v>3054</v>
      </c>
      <c r="Z396" s="84" t="str">
        <f>HYPERLINK("https://twitter.com/ansorkotakediri/status/1440154314882748420")</f>
        <v>https://twitter.com/ansorkotakediri/status/1440154314882748420</v>
      </c>
      <c r="AA396" s="81"/>
      <c r="AB396" s="81"/>
      <c r="AC396" s="86" t="s">
        <v>4515</v>
      </c>
      <c r="AD396" s="81"/>
      <c r="AE396" s="81" t="b">
        <v>0</v>
      </c>
      <c r="AF396" s="81">
        <v>0</v>
      </c>
      <c r="AG396" s="86" t="s">
        <v>6240</v>
      </c>
      <c r="AH396" s="81" t="b">
        <v>0</v>
      </c>
      <c r="AI396" s="81" t="s">
        <v>6478</v>
      </c>
      <c r="AJ396" s="81"/>
      <c r="AK396" s="86" t="s">
        <v>6240</v>
      </c>
      <c r="AL396" s="81" t="b">
        <v>0</v>
      </c>
      <c r="AM396" s="81">
        <v>14</v>
      </c>
      <c r="AN396" s="86" t="s">
        <v>4528</v>
      </c>
      <c r="AO396" s="86" t="s">
        <v>6503</v>
      </c>
      <c r="AP396" s="81" t="b">
        <v>0</v>
      </c>
      <c r="AQ396" s="86" t="s">
        <v>4528</v>
      </c>
      <c r="AR396" s="81" t="s">
        <v>179</v>
      </c>
      <c r="AS396" s="81">
        <v>0</v>
      </c>
      <c r="AT396" s="81">
        <v>0</v>
      </c>
      <c r="AU396" s="81"/>
      <c r="AV396" s="81"/>
      <c r="AW396" s="81"/>
      <c r="AX396" s="81"/>
      <c r="AY396" s="81"/>
      <c r="AZ396" s="81"/>
      <c r="BA396" s="81"/>
      <c r="BB396" s="81"/>
    </row>
    <row r="397" spans="1:54" x14ac:dyDescent="0.35">
      <c r="A397" s="66" t="s">
        <v>495</v>
      </c>
      <c r="B397" s="66" t="s">
        <v>1317</v>
      </c>
      <c r="C397" s="67"/>
      <c r="D397" s="68"/>
      <c r="E397" s="69"/>
      <c r="F397" s="70"/>
      <c r="G397" s="67"/>
      <c r="H397" s="71"/>
      <c r="I397" s="72"/>
      <c r="J397" s="72"/>
      <c r="K397" s="36"/>
      <c r="L397" s="79"/>
      <c r="M397" s="79"/>
      <c r="N397" s="74"/>
      <c r="O397" s="81" t="s">
        <v>1533</v>
      </c>
      <c r="P397" s="83">
        <v>44460.140277777777</v>
      </c>
      <c r="Q397" s="81" t="s">
        <v>1674</v>
      </c>
      <c r="R397" s="81"/>
      <c r="S397" s="81"/>
      <c r="T397" s="86" t="s">
        <v>2671</v>
      </c>
      <c r="U397" s="84" t="str">
        <f>HYPERLINK("https://pbs.twimg.com/media/E_xv_zuVkAUKwdt.jpg")</f>
        <v>https://pbs.twimg.com/media/E_xv_zuVkAUKwdt.jpg</v>
      </c>
      <c r="V397" s="84" t="str">
        <f>HYPERLINK("https://pbs.twimg.com/media/E_xv_zuVkAUKwdt.jpg")</f>
        <v>https://pbs.twimg.com/media/E_xv_zuVkAUKwdt.jpg</v>
      </c>
      <c r="W397" s="83">
        <v>44460.140277777777</v>
      </c>
      <c r="X397" s="89">
        <v>44460</v>
      </c>
      <c r="Y397" s="86" t="s">
        <v>3054</v>
      </c>
      <c r="Z397" s="84" t="str">
        <f>HYPERLINK("https://twitter.com/ansorkotakediri/status/1440154314882748420")</f>
        <v>https://twitter.com/ansorkotakediri/status/1440154314882748420</v>
      </c>
      <c r="AA397" s="81"/>
      <c r="AB397" s="81"/>
      <c r="AC397" s="86" t="s">
        <v>4515</v>
      </c>
      <c r="AD397" s="81"/>
      <c r="AE397" s="81" t="b">
        <v>0</v>
      </c>
      <c r="AF397" s="81">
        <v>0</v>
      </c>
      <c r="AG397" s="86" t="s">
        <v>6240</v>
      </c>
      <c r="AH397" s="81" t="b">
        <v>0</v>
      </c>
      <c r="AI397" s="81" t="s">
        <v>6478</v>
      </c>
      <c r="AJ397" s="81"/>
      <c r="AK397" s="86" t="s">
        <v>6240</v>
      </c>
      <c r="AL397" s="81" t="b">
        <v>0</v>
      </c>
      <c r="AM397" s="81">
        <v>14</v>
      </c>
      <c r="AN397" s="86" t="s">
        <v>4528</v>
      </c>
      <c r="AO397" s="86" t="s">
        <v>6503</v>
      </c>
      <c r="AP397" s="81" t="b">
        <v>0</v>
      </c>
      <c r="AQ397" s="86" t="s">
        <v>4528</v>
      </c>
      <c r="AR397" s="81" t="s">
        <v>179</v>
      </c>
      <c r="AS397" s="81">
        <v>0</v>
      </c>
      <c r="AT397" s="81">
        <v>0</v>
      </c>
      <c r="AU397" s="81"/>
      <c r="AV397" s="81"/>
      <c r="AW397" s="81"/>
      <c r="AX397" s="81"/>
      <c r="AY397" s="81"/>
      <c r="AZ397" s="81"/>
      <c r="BA397" s="81"/>
      <c r="BB397" s="81"/>
    </row>
    <row r="398" spans="1:54" x14ac:dyDescent="0.35">
      <c r="A398" s="66" t="s">
        <v>495</v>
      </c>
      <c r="B398" s="66" t="s">
        <v>1318</v>
      </c>
      <c r="C398" s="67"/>
      <c r="D398" s="68"/>
      <c r="E398" s="69"/>
      <c r="F398" s="70"/>
      <c r="G398" s="67"/>
      <c r="H398" s="71"/>
      <c r="I398" s="72"/>
      <c r="J398" s="72"/>
      <c r="K398" s="36"/>
      <c r="L398" s="79"/>
      <c r="M398" s="79"/>
      <c r="N398" s="74"/>
      <c r="O398" s="81" t="s">
        <v>1533</v>
      </c>
      <c r="P398" s="83">
        <v>44460.140277777777</v>
      </c>
      <c r="Q398" s="81" t="s">
        <v>1674</v>
      </c>
      <c r="R398" s="81"/>
      <c r="S398" s="81"/>
      <c r="T398" s="86" t="s">
        <v>2671</v>
      </c>
      <c r="U398" s="84" t="str">
        <f>HYPERLINK("https://pbs.twimg.com/media/E_xv_zuVkAUKwdt.jpg")</f>
        <v>https://pbs.twimg.com/media/E_xv_zuVkAUKwdt.jpg</v>
      </c>
      <c r="V398" s="84" t="str">
        <f>HYPERLINK("https://pbs.twimg.com/media/E_xv_zuVkAUKwdt.jpg")</f>
        <v>https://pbs.twimg.com/media/E_xv_zuVkAUKwdt.jpg</v>
      </c>
      <c r="W398" s="83">
        <v>44460.140277777777</v>
      </c>
      <c r="X398" s="89">
        <v>44460</v>
      </c>
      <c r="Y398" s="86" t="s">
        <v>3054</v>
      </c>
      <c r="Z398" s="84" t="str">
        <f>HYPERLINK("https://twitter.com/ansorkotakediri/status/1440154314882748420")</f>
        <v>https://twitter.com/ansorkotakediri/status/1440154314882748420</v>
      </c>
      <c r="AA398" s="81"/>
      <c r="AB398" s="81"/>
      <c r="AC398" s="86" t="s">
        <v>4515</v>
      </c>
      <c r="AD398" s="81"/>
      <c r="AE398" s="81" t="b">
        <v>0</v>
      </c>
      <c r="AF398" s="81">
        <v>0</v>
      </c>
      <c r="AG398" s="86" t="s">
        <v>6240</v>
      </c>
      <c r="AH398" s="81" t="b">
        <v>0</v>
      </c>
      <c r="AI398" s="81" t="s">
        <v>6478</v>
      </c>
      <c r="AJ398" s="81"/>
      <c r="AK398" s="86" t="s">
        <v>6240</v>
      </c>
      <c r="AL398" s="81" t="b">
        <v>0</v>
      </c>
      <c r="AM398" s="81">
        <v>14</v>
      </c>
      <c r="AN398" s="86" t="s">
        <v>4528</v>
      </c>
      <c r="AO398" s="86" t="s">
        <v>6503</v>
      </c>
      <c r="AP398" s="81" t="b">
        <v>0</v>
      </c>
      <c r="AQ398" s="86" t="s">
        <v>4528</v>
      </c>
      <c r="AR398" s="81" t="s">
        <v>179</v>
      </c>
      <c r="AS398" s="81">
        <v>0</v>
      </c>
      <c r="AT398" s="81">
        <v>0</v>
      </c>
      <c r="AU398" s="81"/>
      <c r="AV398" s="81"/>
      <c r="AW398" s="81"/>
      <c r="AX398" s="81"/>
      <c r="AY398" s="81"/>
      <c r="AZ398" s="81"/>
      <c r="BA398" s="81"/>
      <c r="BB398" s="81"/>
    </row>
    <row r="399" spans="1:54" x14ac:dyDescent="0.35">
      <c r="A399" s="66" t="s">
        <v>495</v>
      </c>
      <c r="B399" s="66" t="s">
        <v>1319</v>
      </c>
      <c r="C399" s="67"/>
      <c r="D399" s="68"/>
      <c r="E399" s="69"/>
      <c r="F399" s="70"/>
      <c r="G399" s="67"/>
      <c r="H399" s="71"/>
      <c r="I399" s="72"/>
      <c r="J399" s="72"/>
      <c r="K399" s="36"/>
      <c r="L399" s="79"/>
      <c r="M399" s="79"/>
      <c r="N399" s="74"/>
      <c r="O399" s="81" t="s">
        <v>1533</v>
      </c>
      <c r="P399" s="83">
        <v>44460.140277777777</v>
      </c>
      <c r="Q399" s="81" t="s">
        <v>1674</v>
      </c>
      <c r="R399" s="81"/>
      <c r="S399" s="81"/>
      <c r="T399" s="86" t="s">
        <v>2671</v>
      </c>
      <c r="U399" s="84" t="str">
        <f>HYPERLINK("https://pbs.twimg.com/media/E_xv_zuVkAUKwdt.jpg")</f>
        <v>https://pbs.twimg.com/media/E_xv_zuVkAUKwdt.jpg</v>
      </c>
      <c r="V399" s="84" t="str">
        <f>HYPERLINK("https://pbs.twimg.com/media/E_xv_zuVkAUKwdt.jpg")</f>
        <v>https://pbs.twimg.com/media/E_xv_zuVkAUKwdt.jpg</v>
      </c>
      <c r="W399" s="83">
        <v>44460.140277777777</v>
      </c>
      <c r="X399" s="89">
        <v>44460</v>
      </c>
      <c r="Y399" s="86" t="s">
        <v>3054</v>
      </c>
      <c r="Z399" s="84" t="str">
        <f>HYPERLINK("https://twitter.com/ansorkotakediri/status/1440154314882748420")</f>
        <v>https://twitter.com/ansorkotakediri/status/1440154314882748420</v>
      </c>
      <c r="AA399" s="81"/>
      <c r="AB399" s="81"/>
      <c r="AC399" s="86" t="s">
        <v>4515</v>
      </c>
      <c r="AD399" s="81"/>
      <c r="AE399" s="81" t="b">
        <v>0</v>
      </c>
      <c r="AF399" s="81">
        <v>0</v>
      </c>
      <c r="AG399" s="86" t="s">
        <v>6240</v>
      </c>
      <c r="AH399" s="81" t="b">
        <v>0</v>
      </c>
      <c r="AI399" s="81" t="s">
        <v>6478</v>
      </c>
      <c r="AJ399" s="81"/>
      <c r="AK399" s="86" t="s">
        <v>6240</v>
      </c>
      <c r="AL399" s="81" t="b">
        <v>0</v>
      </c>
      <c r="AM399" s="81">
        <v>14</v>
      </c>
      <c r="AN399" s="86" t="s">
        <v>4528</v>
      </c>
      <c r="AO399" s="86" t="s">
        <v>6503</v>
      </c>
      <c r="AP399" s="81" t="b">
        <v>0</v>
      </c>
      <c r="AQ399" s="86" t="s">
        <v>4528</v>
      </c>
      <c r="AR399" s="81" t="s">
        <v>179</v>
      </c>
      <c r="AS399" s="81">
        <v>0</v>
      </c>
      <c r="AT399" s="81">
        <v>0</v>
      </c>
      <c r="AU399" s="81"/>
      <c r="AV399" s="81"/>
      <c r="AW399" s="81"/>
      <c r="AX399" s="81"/>
      <c r="AY399" s="81"/>
      <c r="AZ399" s="81"/>
      <c r="BA399" s="81"/>
      <c r="BB399" s="81"/>
    </row>
    <row r="400" spans="1:54" x14ac:dyDescent="0.35">
      <c r="A400" s="66" t="s">
        <v>495</v>
      </c>
      <c r="B400" s="66" t="s">
        <v>1320</v>
      </c>
      <c r="C400" s="67"/>
      <c r="D400" s="68"/>
      <c r="E400" s="69"/>
      <c r="F400" s="70"/>
      <c r="G400" s="67"/>
      <c r="H400" s="71"/>
      <c r="I400" s="72"/>
      <c r="J400" s="72"/>
      <c r="K400" s="36"/>
      <c r="L400" s="79"/>
      <c r="M400" s="79"/>
      <c r="N400" s="74"/>
      <c r="O400" s="81" t="s">
        <v>1533</v>
      </c>
      <c r="P400" s="83">
        <v>44460.140277777777</v>
      </c>
      <c r="Q400" s="81" t="s">
        <v>1674</v>
      </c>
      <c r="R400" s="81"/>
      <c r="S400" s="81"/>
      <c r="T400" s="86" t="s">
        <v>2671</v>
      </c>
      <c r="U400" s="84" t="str">
        <f>HYPERLINK("https://pbs.twimg.com/media/E_xv_zuVkAUKwdt.jpg")</f>
        <v>https://pbs.twimg.com/media/E_xv_zuVkAUKwdt.jpg</v>
      </c>
      <c r="V400" s="84" t="str">
        <f>HYPERLINK("https://pbs.twimg.com/media/E_xv_zuVkAUKwdt.jpg")</f>
        <v>https://pbs.twimg.com/media/E_xv_zuVkAUKwdt.jpg</v>
      </c>
      <c r="W400" s="83">
        <v>44460.140277777777</v>
      </c>
      <c r="X400" s="89">
        <v>44460</v>
      </c>
      <c r="Y400" s="86" t="s">
        <v>3054</v>
      </c>
      <c r="Z400" s="84" t="str">
        <f>HYPERLINK("https://twitter.com/ansorkotakediri/status/1440154314882748420")</f>
        <v>https://twitter.com/ansorkotakediri/status/1440154314882748420</v>
      </c>
      <c r="AA400" s="81"/>
      <c r="AB400" s="81"/>
      <c r="AC400" s="86" t="s">
        <v>4515</v>
      </c>
      <c r="AD400" s="81"/>
      <c r="AE400" s="81" t="b">
        <v>0</v>
      </c>
      <c r="AF400" s="81">
        <v>0</v>
      </c>
      <c r="AG400" s="86" t="s">
        <v>6240</v>
      </c>
      <c r="AH400" s="81" t="b">
        <v>0</v>
      </c>
      <c r="AI400" s="81" t="s">
        <v>6478</v>
      </c>
      <c r="AJ400" s="81"/>
      <c r="AK400" s="86" t="s">
        <v>6240</v>
      </c>
      <c r="AL400" s="81" t="b">
        <v>0</v>
      </c>
      <c r="AM400" s="81">
        <v>14</v>
      </c>
      <c r="AN400" s="86" t="s">
        <v>4528</v>
      </c>
      <c r="AO400" s="86" t="s">
        <v>6503</v>
      </c>
      <c r="AP400" s="81" t="b">
        <v>0</v>
      </c>
      <c r="AQ400" s="86" t="s">
        <v>4528</v>
      </c>
      <c r="AR400" s="81" t="s">
        <v>179</v>
      </c>
      <c r="AS400" s="81">
        <v>0</v>
      </c>
      <c r="AT400" s="81">
        <v>0</v>
      </c>
      <c r="AU400" s="81"/>
      <c r="AV400" s="81"/>
      <c r="AW400" s="81"/>
      <c r="AX400" s="81"/>
      <c r="AY400" s="81"/>
      <c r="AZ400" s="81"/>
      <c r="BA400" s="81"/>
      <c r="BB400" s="81"/>
    </row>
    <row r="401" spans="1:54" x14ac:dyDescent="0.35">
      <c r="A401" s="66" t="s">
        <v>495</v>
      </c>
      <c r="B401" s="66" t="s">
        <v>504</v>
      </c>
      <c r="C401" s="67"/>
      <c r="D401" s="68"/>
      <c r="E401" s="69"/>
      <c r="F401" s="70"/>
      <c r="G401" s="67"/>
      <c r="H401" s="71"/>
      <c r="I401" s="72"/>
      <c r="J401" s="72"/>
      <c r="K401" s="36"/>
      <c r="L401" s="79"/>
      <c r="M401" s="79"/>
      <c r="N401" s="74"/>
      <c r="O401" s="81" t="s">
        <v>1532</v>
      </c>
      <c r="P401" s="83">
        <v>44460.140277777777</v>
      </c>
      <c r="Q401" s="81" t="s">
        <v>1674</v>
      </c>
      <c r="R401" s="81"/>
      <c r="S401" s="81"/>
      <c r="T401" s="86" t="s">
        <v>2671</v>
      </c>
      <c r="U401" s="84" t="str">
        <f>HYPERLINK("https://pbs.twimg.com/media/E_xv_zuVkAUKwdt.jpg")</f>
        <v>https://pbs.twimg.com/media/E_xv_zuVkAUKwdt.jpg</v>
      </c>
      <c r="V401" s="84" t="str">
        <f>HYPERLINK("https://pbs.twimg.com/media/E_xv_zuVkAUKwdt.jpg")</f>
        <v>https://pbs.twimg.com/media/E_xv_zuVkAUKwdt.jpg</v>
      </c>
      <c r="W401" s="83">
        <v>44460.140277777777</v>
      </c>
      <c r="X401" s="89">
        <v>44460</v>
      </c>
      <c r="Y401" s="86" t="s">
        <v>3054</v>
      </c>
      <c r="Z401" s="84" t="str">
        <f>HYPERLINK("https://twitter.com/ansorkotakediri/status/1440154314882748420")</f>
        <v>https://twitter.com/ansorkotakediri/status/1440154314882748420</v>
      </c>
      <c r="AA401" s="81"/>
      <c r="AB401" s="81"/>
      <c r="AC401" s="86" t="s">
        <v>4515</v>
      </c>
      <c r="AD401" s="81"/>
      <c r="AE401" s="81" t="b">
        <v>0</v>
      </c>
      <c r="AF401" s="81">
        <v>0</v>
      </c>
      <c r="AG401" s="86" t="s">
        <v>6240</v>
      </c>
      <c r="AH401" s="81" t="b">
        <v>0</v>
      </c>
      <c r="AI401" s="81" t="s">
        <v>6478</v>
      </c>
      <c r="AJ401" s="81"/>
      <c r="AK401" s="86" t="s">
        <v>6240</v>
      </c>
      <c r="AL401" s="81" t="b">
        <v>0</v>
      </c>
      <c r="AM401" s="81">
        <v>14</v>
      </c>
      <c r="AN401" s="86" t="s">
        <v>4528</v>
      </c>
      <c r="AO401" s="86" t="s">
        <v>6503</v>
      </c>
      <c r="AP401" s="81" t="b">
        <v>0</v>
      </c>
      <c r="AQ401" s="86" t="s">
        <v>4528</v>
      </c>
      <c r="AR401" s="81" t="s">
        <v>179</v>
      </c>
      <c r="AS401" s="81">
        <v>0</v>
      </c>
      <c r="AT401" s="81">
        <v>0</v>
      </c>
      <c r="AU401" s="81"/>
      <c r="AV401" s="81"/>
      <c r="AW401" s="81"/>
      <c r="AX401" s="81"/>
      <c r="AY401" s="81"/>
      <c r="AZ401" s="81"/>
      <c r="BA401" s="81"/>
      <c r="BB401" s="81"/>
    </row>
    <row r="402" spans="1:54" x14ac:dyDescent="0.35">
      <c r="A402" s="66" t="s">
        <v>496</v>
      </c>
      <c r="B402" s="66" t="s">
        <v>1321</v>
      </c>
      <c r="C402" s="67"/>
      <c r="D402" s="68"/>
      <c r="E402" s="69"/>
      <c r="F402" s="70"/>
      <c r="G402" s="67"/>
      <c r="H402" s="71"/>
      <c r="I402" s="72"/>
      <c r="J402" s="72"/>
      <c r="K402" s="36"/>
      <c r="L402" s="79"/>
      <c r="M402" s="79"/>
      <c r="N402" s="74"/>
      <c r="O402" s="81" t="s">
        <v>1534</v>
      </c>
      <c r="P402" s="83">
        <v>44460.157129629632</v>
      </c>
      <c r="Q402" s="81" t="s">
        <v>1676</v>
      </c>
      <c r="R402" s="81"/>
      <c r="S402" s="81"/>
      <c r="T402" s="81"/>
      <c r="U402" s="81"/>
      <c r="V402" s="84" t="str">
        <f>HYPERLINK("https://abs.twimg.com/sticky/default_profile_images/default_profile_normal.png")</f>
        <v>https://abs.twimg.com/sticky/default_profile_images/default_profile_normal.png</v>
      </c>
      <c r="W402" s="83">
        <v>44460.157129629632</v>
      </c>
      <c r="X402" s="89">
        <v>44460</v>
      </c>
      <c r="Y402" s="86" t="s">
        <v>3055</v>
      </c>
      <c r="Z402" s="84" t="str">
        <f>HYPERLINK("https://twitter.com/a88ytjhan88/status/1440160422049431552")</f>
        <v>https://twitter.com/a88ytjhan88/status/1440160422049431552</v>
      </c>
      <c r="AA402" s="81"/>
      <c r="AB402" s="81"/>
      <c r="AC402" s="86" t="s">
        <v>4516</v>
      </c>
      <c r="AD402" s="81"/>
      <c r="AE402" s="81" t="b">
        <v>0</v>
      </c>
      <c r="AF402" s="81">
        <v>0</v>
      </c>
      <c r="AG402" s="86" t="s">
        <v>6286</v>
      </c>
      <c r="AH402" s="81" t="b">
        <v>0</v>
      </c>
      <c r="AI402" s="81" t="s">
        <v>6478</v>
      </c>
      <c r="AJ402" s="81"/>
      <c r="AK402" s="86" t="s">
        <v>6240</v>
      </c>
      <c r="AL402" s="81" t="b">
        <v>0</v>
      </c>
      <c r="AM402" s="81">
        <v>0</v>
      </c>
      <c r="AN402" s="86" t="s">
        <v>6240</v>
      </c>
      <c r="AO402" s="86" t="s">
        <v>6505</v>
      </c>
      <c r="AP402" s="81" t="b">
        <v>0</v>
      </c>
      <c r="AQ402" s="86" t="s">
        <v>4516</v>
      </c>
      <c r="AR402" s="81" t="s">
        <v>179</v>
      </c>
      <c r="AS402" s="81">
        <v>0</v>
      </c>
      <c r="AT402" s="81">
        <v>0</v>
      </c>
      <c r="AU402" s="81"/>
      <c r="AV402" s="81"/>
      <c r="AW402" s="81"/>
      <c r="AX402" s="81"/>
      <c r="AY402" s="81"/>
      <c r="AZ402" s="81"/>
      <c r="BA402" s="81"/>
      <c r="BB402" s="81"/>
    </row>
    <row r="403" spans="1:54" x14ac:dyDescent="0.35">
      <c r="A403" s="66" t="s">
        <v>497</v>
      </c>
      <c r="B403" s="66" t="s">
        <v>497</v>
      </c>
      <c r="C403" s="67"/>
      <c r="D403" s="68"/>
      <c r="E403" s="69"/>
      <c r="F403" s="70"/>
      <c r="G403" s="67"/>
      <c r="H403" s="71"/>
      <c r="I403" s="72"/>
      <c r="J403" s="72"/>
      <c r="K403" s="36"/>
      <c r="L403" s="79"/>
      <c r="M403" s="79"/>
      <c r="N403" s="74"/>
      <c r="O403" s="81" t="s">
        <v>179</v>
      </c>
      <c r="P403" s="83">
        <v>44460.158356481479</v>
      </c>
      <c r="Q403" s="81" t="s">
        <v>1677</v>
      </c>
      <c r="R403" s="84" t="str">
        <f>HYPERLINK("https://www.padangjobs.co/2020/12/lowongan-kerja-sumbar-pt-pos-indonesia.html?utm_source=dlvr.it&amp;utm_medium=twitter")</f>
        <v>https://www.padangjobs.co/2020/12/lowongan-kerja-sumbar-pt-pos-indonesia.html?utm_source=dlvr.it&amp;utm_medium=twitter</v>
      </c>
      <c r="S403" s="81" t="s">
        <v>2600</v>
      </c>
      <c r="T403" s="81"/>
      <c r="U403" s="81"/>
      <c r="V403" s="84" t="str">
        <f>HYPERLINK("https://pbs.twimg.com/profile_images/965662788583436288/rBrJHA-E_normal.jpg")</f>
        <v>https://pbs.twimg.com/profile_images/965662788583436288/rBrJHA-E_normal.jpg</v>
      </c>
      <c r="W403" s="83">
        <v>44460.158356481479</v>
      </c>
      <c r="X403" s="89">
        <v>44460</v>
      </c>
      <c r="Y403" s="86" t="s">
        <v>3056</v>
      </c>
      <c r="Z403" s="84" t="str">
        <f>HYPERLINK("https://twitter.com/padangjobs_id/status/1440160866796589064")</f>
        <v>https://twitter.com/padangjobs_id/status/1440160866796589064</v>
      </c>
      <c r="AA403" s="81"/>
      <c r="AB403" s="81"/>
      <c r="AC403" s="86" t="s">
        <v>4517</v>
      </c>
      <c r="AD403" s="81"/>
      <c r="AE403" s="81" t="b">
        <v>0</v>
      </c>
      <c r="AF403" s="81">
        <v>0</v>
      </c>
      <c r="AG403" s="86" t="s">
        <v>6240</v>
      </c>
      <c r="AH403" s="81" t="b">
        <v>0</v>
      </c>
      <c r="AI403" s="81" t="s">
        <v>6478</v>
      </c>
      <c r="AJ403" s="81"/>
      <c r="AK403" s="86" t="s">
        <v>6240</v>
      </c>
      <c r="AL403" s="81" t="b">
        <v>0</v>
      </c>
      <c r="AM403" s="81">
        <v>0</v>
      </c>
      <c r="AN403" s="86" t="s">
        <v>6240</v>
      </c>
      <c r="AO403" s="86" t="s">
        <v>6515</v>
      </c>
      <c r="AP403" s="81" t="b">
        <v>0</v>
      </c>
      <c r="AQ403" s="86" t="s">
        <v>4517</v>
      </c>
      <c r="AR403" s="81" t="s">
        <v>179</v>
      </c>
      <c r="AS403" s="81">
        <v>0</v>
      </c>
      <c r="AT403" s="81">
        <v>0</v>
      </c>
      <c r="AU403" s="81"/>
      <c r="AV403" s="81"/>
      <c r="AW403" s="81"/>
      <c r="AX403" s="81"/>
      <c r="AY403" s="81"/>
      <c r="AZ403" s="81"/>
      <c r="BA403" s="81"/>
      <c r="BB403" s="81"/>
    </row>
    <row r="404" spans="1:54" x14ac:dyDescent="0.35">
      <c r="A404" s="66" t="s">
        <v>498</v>
      </c>
      <c r="B404" s="66" t="s">
        <v>1316</v>
      </c>
      <c r="C404" s="67"/>
      <c r="D404" s="68"/>
      <c r="E404" s="69"/>
      <c r="F404" s="70"/>
      <c r="G404" s="67"/>
      <c r="H404" s="71"/>
      <c r="I404" s="72"/>
      <c r="J404" s="72"/>
      <c r="K404" s="36"/>
      <c r="L404" s="79"/>
      <c r="M404" s="79"/>
      <c r="N404" s="74"/>
      <c r="O404" s="81" t="s">
        <v>1533</v>
      </c>
      <c r="P404" s="83">
        <v>44460.17900462963</v>
      </c>
      <c r="Q404" s="81" t="s">
        <v>1674</v>
      </c>
      <c r="R404" s="81"/>
      <c r="S404" s="81"/>
      <c r="T404" s="86" t="s">
        <v>2671</v>
      </c>
      <c r="U404" s="84" t="str">
        <f>HYPERLINK("https://pbs.twimg.com/media/E_xv_zuVkAUKwdt.jpg")</f>
        <v>https://pbs.twimg.com/media/E_xv_zuVkAUKwdt.jpg</v>
      </c>
      <c r="V404" s="84" t="str">
        <f>HYPERLINK("https://pbs.twimg.com/media/E_xv_zuVkAUKwdt.jpg")</f>
        <v>https://pbs.twimg.com/media/E_xv_zuVkAUKwdt.jpg</v>
      </c>
      <c r="W404" s="83">
        <v>44460.17900462963</v>
      </c>
      <c r="X404" s="89">
        <v>44460</v>
      </c>
      <c r="Y404" s="86" t="s">
        <v>3057</v>
      </c>
      <c r="Z404" s="84" t="str">
        <f>HYPERLINK("https://twitter.com/471_eb/status/1440168351674683394")</f>
        <v>https://twitter.com/471_eb/status/1440168351674683394</v>
      </c>
      <c r="AA404" s="81"/>
      <c r="AB404" s="81"/>
      <c r="AC404" s="86" t="s">
        <v>4518</v>
      </c>
      <c r="AD404" s="81"/>
      <c r="AE404" s="81" t="b">
        <v>0</v>
      </c>
      <c r="AF404" s="81">
        <v>0</v>
      </c>
      <c r="AG404" s="86" t="s">
        <v>6240</v>
      </c>
      <c r="AH404" s="81" t="b">
        <v>0</v>
      </c>
      <c r="AI404" s="81" t="s">
        <v>6478</v>
      </c>
      <c r="AJ404" s="81"/>
      <c r="AK404" s="86" t="s">
        <v>6240</v>
      </c>
      <c r="AL404" s="81" t="b">
        <v>0</v>
      </c>
      <c r="AM404" s="81">
        <v>14</v>
      </c>
      <c r="AN404" s="86" t="s">
        <v>4528</v>
      </c>
      <c r="AO404" s="86" t="s">
        <v>6503</v>
      </c>
      <c r="AP404" s="81" t="b">
        <v>0</v>
      </c>
      <c r="AQ404" s="86" t="s">
        <v>4528</v>
      </c>
      <c r="AR404" s="81" t="s">
        <v>179</v>
      </c>
      <c r="AS404" s="81">
        <v>0</v>
      </c>
      <c r="AT404" s="81">
        <v>0</v>
      </c>
      <c r="AU404" s="81"/>
      <c r="AV404" s="81"/>
      <c r="AW404" s="81"/>
      <c r="AX404" s="81"/>
      <c r="AY404" s="81"/>
      <c r="AZ404" s="81"/>
      <c r="BA404" s="81"/>
      <c r="BB404" s="81"/>
    </row>
    <row r="405" spans="1:54" x14ac:dyDescent="0.35">
      <c r="A405" s="66" t="s">
        <v>498</v>
      </c>
      <c r="B405" s="66" t="s">
        <v>1317</v>
      </c>
      <c r="C405" s="67"/>
      <c r="D405" s="68"/>
      <c r="E405" s="69"/>
      <c r="F405" s="70"/>
      <c r="G405" s="67"/>
      <c r="H405" s="71"/>
      <c r="I405" s="72"/>
      <c r="J405" s="72"/>
      <c r="K405" s="36"/>
      <c r="L405" s="79"/>
      <c r="M405" s="79"/>
      <c r="N405" s="74"/>
      <c r="O405" s="81" t="s">
        <v>1533</v>
      </c>
      <c r="P405" s="83">
        <v>44460.17900462963</v>
      </c>
      <c r="Q405" s="81" t="s">
        <v>1674</v>
      </c>
      <c r="R405" s="81"/>
      <c r="S405" s="81"/>
      <c r="T405" s="86" t="s">
        <v>2671</v>
      </c>
      <c r="U405" s="84" t="str">
        <f>HYPERLINK("https://pbs.twimg.com/media/E_xv_zuVkAUKwdt.jpg")</f>
        <v>https://pbs.twimg.com/media/E_xv_zuVkAUKwdt.jpg</v>
      </c>
      <c r="V405" s="84" t="str">
        <f>HYPERLINK("https://pbs.twimg.com/media/E_xv_zuVkAUKwdt.jpg")</f>
        <v>https://pbs.twimg.com/media/E_xv_zuVkAUKwdt.jpg</v>
      </c>
      <c r="W405" s="83">
        <v>44460.17900462963</v>
      </c>
      <c r="X405" s="89">
        <v>44460</v>
      </c>
      <c r="Y405" s="86" t="s">
        <v>3057</v>
      </c>
      <c r="Z405" s="84" t="str">
        <f>HYPERLINK("https://twitter.com/471_eb/status/1440168351674683394")</f>
        <v>https://twitter.com/471_eb/status/1440168351674683394</v>
      </c>
      <c r="AA405" s="81"/>
      <c r="AB405" s="81"/>
      <c r="AC405" s="86" t="s">
        <v>4518</v>
      </c>
      <c r="AD405" s="81"/>
      <c r="AE405" s="81" t="b">
        <v>0</v>
      </c>
      <c r="AF405" s="81">
        <v>0</v>
      </c>
      <c r="AG405" s="86" t="s">
        <v>6240</v>
      </c>
      <c r="AH405" s="81" t="b">
        <v>0</v>
      </c>
      <c r="AI405" s="81" t="s">
        <v>6478</v>
      </c>
      <c r="AJ405" s="81"/>
      <c r="AK405" s="86" t="s">
        <v>6240</v>
      </c>
      <c r="AL405" s="81" t="b">
        <v>0</v>
      </c>
      <c r="AM405" s="81">
        <v>14</v>
      </c>
      <c r="AN405" s="86" t="s">
        <v>4528</v>
      </c>
      <c r="AO405" s="86" t="s">
        <v>6503</v>
      </c>
      <c r="AP405" s="81" t="b">
        <v>0</v>
      </c>
      <c r="AQ405" s="86" t="s">
        <v>4528</v>
      </c>
      <c r="AR405" s="81" t="s">
        <v>179</v>
      </c>
      <c r="AS405" s="81">
        <v>0</v>
      </c>
      <c r="AT405" s="81">
        <v>0</v>
      </c>
      <c r="AU405" s="81"/>
      <c r="AV405" s="81"/>
      <c r="AW405" s="81"/>
      <c r="AX405" s="81"/>
      <c r="AY405" s="81"/>
      <c r="AZ405" s="81"/>
      <c r="BA405" s="81"/>
      <c r="BB405" s="81"/>
    </row>
    <row r="406" spans="1:54" x14ac:dyDescent="0.35">
      <c r="A406" s="66" t="s">
        <v>498</v>
      </c>
      <c r="B406" s="66" t="s">
        <v>1318</v>
      </c>
      <c r="C406" s="67"/>
      <c r="D406" s="68"/>
      <c r="E406" s="69"/>
      <c r="F406" s="70"/>
      <c r="G406" s="67"/>
      <c r="H406" s="71"/>
      <c r="I406" s="72"/>
      <c r="J406" s="72"/>
      <c r="K406" s="36"/>
      <c r="L406" s="79"/>
      <c r="M406" s="79"/>
      <c r="N406" s="74"/>
      <c r="O406" s="81" t="s">
        <v>1533</v>
      </c>
      <c r="P406" s="83">
        <v>44460.17900462963</v>
      </c>
      <c r="Q406" s="81" t="s">
        <v>1674</v>
      </c>
      <c r="R406" s="81"/>
      <c r="S406" s="81"/>
      <c r="T406" s="86" t="s">
        <v>2671</v>
      </c>
      <c r="U406" s="84" t="str">
        <f>HYPERLINK("https://pbs.twimg.com/media/E_xv_zuVkAUKwdt.jpg")</f>
        <v>https://pbs.twimg.com/media/E_xv_zuVkAUKwdt.jpg</v>
      </c>
      <c r="V406" s="84" t="str">
        <f>HYPERLINK("https://pbs.twimg.com/media/E_xv_zuVkAUKwdt.jpg")</f>
        <v>https://pbs.twimg.com/media/E_xv_zuVkAUKwdt.jpg</v>
      </c>
      <c r="W406" s="83">
        <v>44460.17900462963</v>
      </c>
      <c r="X406" s="89">
        <v>44460</v>
      </c>
      <c r="Y406" s="86" t="s">
        <v>3057</v>
      </c>
      <c r="Z406" s="84" t="str">
        <f>HYPERLINK("https://twitter.com/471_eb/status/1440168351674683394")</f>
        <v>https://twitter.com/471_eb/status/1440168351674683394</v>
      </c>
      <c r="AA406" s="81"/>
      <c r="AB406" s="81"/>
      <c r="AC406" s="86" t="s">
        <v>4518</v>
      </c>
      <c r="AD406" s="81"/>
      <c r="AE406" s="81" t="b">
        <v>0</v>
      </c>
      <c r="AF406" s="81">
        <v>0</v>
      </c>
      <c r="AG406" s="86" t="s">
        <v>6240</v>
      </c>
      <c r="AH406" s="81" t="b">
        <v>0</v>
      </c>
      <c r="AI406" s="81" t="s">
        <v>6478</v>
      </c>
      <c r="AJ406" s="81"/>
      <c r="AK406" s="86" t="s">
        <v>6240</v>
      </c>
      <c r="AL406" s="81" t="b">
        <v>0</v>
      </c>
      <c r="AM406" s="81">
        <v>14</v>
      </c>
      <c r="AN406" s="86" t="s">
        <v>4528</v>
      </c>
      <c r="AO406" s="86" t="s">
        <v>6503</v>
      </c>
      <c r="AP406" s="81" t="b">
        <v>0</v>
      </c>
      <c r="AQ406" s="86" t="s">
        <v>4528</v>
      </c>
      <c r="AR406" s="81" t="s">
        <v>179</v>
      </c>
      <c r="AS406" s="81">
        <v>0</v>
      </c>
      <c r="AT406" s="81">
        <v>0</v>
      </c>
      <c r="AU406" s="81"/>
      <c r="AV406" s="81"/>
      <c r="AW406" s="81"/>
      <c r="AX406" s="81"/>
      <c r="AY406" s="81"/>
      <c r="AZ406" s="81"/>
      <c r="BA406" s="81"/>
      <c r="BB406" s="81"/>
    </row>
    <row r="407" spans="1:54" x14ac:dyDescent="0.35">
      <c r="A407" s="66" t="s">
        <v>498</v>
      </c>
      <c r="B407" s="66" t="s">
        <v>1319</v>
      </c>
      <c r="C407" s="67"/>
      <c r="D407" s="68"/>
      <c r="E407" s="69"/>
      <c r="F407" s="70"/>
      <c r="G407" s="67"/>
      <c r="H407" s="71"/>
      <c r="I407" s="72"/>
      <c r="J407" s="72"/>
      <c r="K407" s="36"/>
      <c r="L407" s="79"/>
      <c r="M407" s="79"/>
      <c r="N407" s="74"/>
      <c r="O407" s="81" t="s">
        <v>1533</v>
      </c>
      <c r="P407" s="83">
        <v>44460.17900462963</v>
      </c>
      <c r="Q407" s="81" t="s">
        <v>1674</v>
      </c>
      <c r="R407" s="81"/>
      <c r="S407" s="81"/>
      <c r="T407" s="86" t="s">
        <v>2671</v>
      </c>
      <c r="U407" s="84" t="str">
        <f>HYPERLINK("https://pbs.twimg.com/media/E_xv_zuVkAUKwdt.jpg")</f>
        <v>https://pbs.twimg.com/media/E_xv_zuVkAUKwdt.jpg</v>
      </c>
      <c r="V407" s="84" t="str">
        <f>HYPERLINK("https://pbs.twimg.com/media/E_xv_zuVkAUKwdt.jpg")</f>
        <v>https://pbs.twimg.com/media/E_xv_zuVkAUKwdt.jpg</v>
      </c>
      <c r="W407" s="83">
        <v>44460.17900462963</v>
      </c>
      <c r="X407" s="89">
        <v>44460</v>
      </c>
      <c r="Y407" s="86" t="s">
        <v>3057</v>
      </c>
      <c r="Z407" s="84" t="str">
        <f>HYPERLINK("https://twitter.com/471_eb/status/1440168351674683394")</f>
        <v>https://twitter.com/471_eb/status/1440168351674683394</v>
      </c>
      <c r="AA407" s="81"/>
      <c r="AB407" s="81"/>
      <c r="AC407" s="86" t="s">
        <v>4518</v>
      </c>
      <c r="AD407" s="81"/>
      <c r="AE407" s="81" t="b">
        <v>0</v>
      </c>
      <c r="AF407" s="81">
        <v>0</v>
      </c>
      <c r="AG407" s="86" t="s">
        <v>6240</v>
      </c>
      <c r="AH407" s="81" t="b">
        <v>0</v>
      </c>
      <c r="AI407" s="81" t="s">
        <v>6478</v>
      </c>
      <c r="AJ407" s="81"/>
      <c r="AK407" s="86" t="s">
        <v>6240</v>
      </c>
      <c r="AL407" s="81" t="b">
        <v>0</v>
      </c>
      <c r="AM407" s="81">
        <v>14</v>
      </c>
      <c r="AN407" s="86" t="s">
        <v>4528</v>
      </c>
      <c r="AO407" s="86" t="s">
        <v>6503</v>
      </c>
      <c r="AP407" s="81" t="b">
        <v>0</v>
      </c>
      <c r="AQ407" s="86" t="s">
        <v>4528</v>
      </c>
      <c r="AR407" s="81" t="s">
        <v>179</v>
      </c>
      <c r="AS407" s="81">
        <v>0</v>
      </c>
      <c r="AT407" s="81">
        <v>0</v>
      </c>
      <c r="AU407" s="81"/>
      <c r="AV407" s="81"/>
      <c r="AW407" s="81"/>
      <c r="AX407" s="81"/>
      <c r="AY407" s="81"/>
      <c r="AZ407" s="81"/>
      <c r="BA407" s="81"/>
      <c r="BB407" s="81"/>
    </row>
    <row r="408" spans="1:54" x14ac:dyDescent="0.35">
      <c r="A408" s="66" t="s">
        <v>498</v>
      </c>
      <c r="B408" s="66" t="s">
        <v>1320</v>
      </c>
      <c r="C408" s="67"/>
      <c r="D408" s="68"/>
      <c r="E408" s="69"/>
      <c r="F408" s="70"/>
      <c r="G408" s="67"/>
      <c r="H408" s="71"/>
      <c r="I408" s="72"/>
      <c r="J408" s="72"/>
      <c r="K408" s="36"/>
      <c r="L408" s="79"/>
      <c r="M408" s="79"/>
      <c r="N408" s="74"/>
      <c r="O408" s="81" t="s">
        <v>1533</v>
      </c>
      <c r="P408" s="83">
        <v>44460.17900462963</v>
      </c>
      <c r="Q408" s="81" t="s">
        <v>1674</v>
      </c>
      <c r="R408" s="81"/>
      <c r="S408" s="81"/>
      <c r="T408" s="86" t="s">
        <v>2671</v>
      </c>
      <c r="U408" s="84" t="str">
        <f>HYPERLINK("https://pbs.twimg.com/media/E_xv_zuVkAUKwdt.jpg")</f>
        <v>https://pbs.twimg.com/media/E_xv_zuVkAUKwdt.jpg</v>
      </c>
      <c r="V408" s="84" t="str">
        <f>HYPERLINK("https://pbs.twimg.com/media/E_xv_zuVkAUKwdt.jpg")</f>
        <v>https://pbs.twimg.com/media/E_xv_zuVkAUKwdt.jpg</v>
      </c>
      <c r="W408" s="83">
        <v>44460.17900462963</v>
      </c>
      <c r="X408" s="89">
        <v>44460</v>
      </c>
      <c r="Y408" s="86" t="s">
        <v>3057</v>
      </c>
      <c r="Z408" s="84" t="str">
        <f>HYPERLINK("https://twitter.com/471_eb/status/1440168351674683394")</f>
        <v>https://twitter.com/471_eb/status/1440168351674683394</v>
      </c>
      <c r="AA408" s="81"/>
      <c r="AB408" s="81"/>
      <c r="AC408" s="86" t="s">
        <v>4518</v>
      </c>
      <c r="AD408" s="81"/>
      <c r="AE408" s="81" t="b">
        <v>0</v>
      </c>
      <c r="AF408" s="81">
        <v>0</v>
      </c>
      <c r="AG408" s="86" t="s">
        <v>6240</v>
      </c>
      <c r="AH408" s="81" t="b">
        <v>0</v>
      </c>
      <c r="AI408" s="81" t="s">
        <v>6478</v>
      </c>
      <c r="AJ408" s="81"/>
      <c r="AK408" s="86" t="s">
        <v>6240</v>
      </c>
      <c r="AL408" s="81" t="b">
        <v>0</v>
      </c>
      <c r="AM408" s="81">
        <v>14</v>
      </c>
      <c r="AN408" s="86" t="s">
        <v>4528</v>
      </c>
      <c r="AO408" s="86" t="s">
        <v>6503</v>
      </c>
      <c r="AP408" s="81" t="b">
        <v>0</v>
      </c>
      <c r="AQ408" s="86" t="s">
        <v>4528</v>
      </c>
      <c r="AR408" s="81" t="s">
        <v>179</v>
      </c>
      <c r="AS408" s="81">
        <v>0</v>
      </c>
      <c r="AT408" s="81">
        <v>0</v>
      </c>
      <c r="AU408" s="81"/>
      <c r="AV408" s="81"/>
      <c r="AW408" s="81"/>
      <c r="AX408" s="81"/>
      <c r="AY408" s="81"/>
      <c r="AZ408" s="81"/>
      <c r="BA408" s="81"/>
      <c r="BB408" s="81"/>
    </row>
    <row r="409" spans="1:54" x14ac:dyDescent="0.35">
      <c r="A409" s="66" t="s">
        <v>498</v>
      </c>
      <c r="B409" s="66" t="s">
        <v>504</v>
      </c>
      <c r="C409" s="67"/>
      <c r="D409" s="68"/>
      <c r="E409" s="69"/>
      <c r="F409" s="70"/>
      <c r="G409" s="67"/>
      <c r="H409" s="71"/>
      <c r="I409" s="72"/>
      <c r="J409" s="72"/>
      <c r="K409" s="36"/>
      <c r="L409" s="79"/>
      <c r="M409" s="79"/>
      <c r="N409" s="74"/>
      <c r="O409" s="81" t="s">
        <v>1532</v>
      </c>
      <c r="P409" s="83">
        <v>44460.17900462963</v>
      </c>
      <c r="Q409" s="81" t="s">
        <v>1674</v>
      </c>
      <c r="R409" s="81"/>
      <c r="S409" s="81"/>
      <c r="T409" s="86" t="s">
        <v>2671</v>
      </c>
      <c r="U409" s="84" t="str">
        <f>HYPERLINK("https://pbs.twimg.com/media/E_xv_zuVkAUKwdt.jpg")</f>
        <v>https://pbs.twimg.com/media/E_xv_zuVkAUKwdt.jpg</v>
      </c>
      <c r="V409" s="84" t="str">
        <f>HYPERLINK("https://pbs.twimg.com/media/E_xv_zuVkAUKwdt.jpg")</f>
        <v>https://pbs.twimg.com/media/E_xv_zuVkAUKwdt.jpg</v>
      </c>
      <c r="W409" s="83">
        <v>44460.17900462963</v>
      </c>
      <c r="X409" s="89">
        <v>44460</v>
      </c>
      <c r="Y409" s="86" t="s">
        <v>3057</v>
      </c>
      <c r="Z409" s="84" t="str">
        <f>HYPERLINK("https://twitter.com/471_eb/status/1440168351674683394")</f>
        <v>https://twitter.com/471_eb/status/1440168351674683394</v>
      </c>
      <c r="AA409" s="81"/>
      <c r="AB409" s="81"/>
      <c r="AC409" s="86" t="s">
        <v>4518</v>
      </c>
      <c r="AD409" s="81"/>
      <c r="AE409" s="81" t="b">
        <v>0</v>
      </c>
      <c r="AF409" s="81">
        <v>0</v>
      </c>
      <c r="AG409" s="86" t="s">
        <v>6240</v>
      </c>
      <c r="AH409" s="81" t="b">
        <v>0</v>
      </c>
      <c r="AI409" s="81" t="s">
        <v>6478</v>
      </c>
      <c r="AJ409" s="81"/>
      <c r="AK409" s="86" t="s">
        <v>6240</v>
      </c>
      <c r="AL409" s="81" t="b">
        <v>0</v>
      </c>
      <c r="AM409" s="81">
        <v>14</v>
      </c>
      <c r="AN409" s="86" t="s">
        <v>4528</v>
      </c>
      <c r="AO409" s="86" t="s">
        <v>6503</v>
      </c>
      <c r="AP409" s="81" t="b">
        <v>0</v>
      </c>
      <c r="AQ409" s="86" t="s">
        <v>4528</v>
      </c>
      <c r="AR409" s="81" t="s">
        <v>179</v>
      </c>
      <c r="AS409" s="81">
        <v>0</v>
      </c>
      <c r="AT409" s="81">
        <v>0</v>
      </c>
      <c r="AU409" s="81"/>
      <c r="AV409" s="81"/>
      <c r="AW409" s="81"/>
      <c r="AX409" s="81"/>
      <c r="AY409" s="81"/>
      <c r="AZ409" s="81"/>
      <c r="BA409" s="81"/>
      <c r="BB409" s="81"/>
    </row>
    <row r="410" spans="1:54" x14ac:dyDescent="0.35">
      <c r="A410" s="66" t="s">
        <v>335</v>
      </c>
      <c r="B410" s="66" t="s">
        <v>335</v>
      </c>
      <c r="C410" s="67"/>
      <c r="D410" s="68"/>
      <c r="E410" s="69"/>
      <c r="F410" s="70"/>
      <c r="G410" s="67"/>
      <c r="H410" s="71"/>
      <c r="I410" s="72"/>
      <c r="J410" s="72"/>
      <c r="K410" s="36"/>
      <c r="L410" s="79"/>
      <c r="M410" s="79"/>
      <c r="N410" s="74"/>
      <c r="O410" s="81" t="s">
        <v>179</v>
      </c>
      <c r="P410" s="83">
        <v>44458.62090277778</v>
      </c>
      <c r="Q410" s="81" t="s">
        <v>1586</v>
      </c>
      <c r="R410" s="81"/>
      <c r="S410" s="81"/>
      <c r="T410" s="81"/>
      <c r="U410" s="84" t="str">
        <f>HYPERLINK("https://pbs.twimg.com/ext_tw_video_thumb/1439603623520993285/pu/img/4NCBVhjvbYSKxAvX.jpg")</f>
        <v>https://pbs.twimg.com/ext_tw_video_thumb/1439603623520993285/pu/img/4NCBVhjvbYSKxAvX.jpg</v>
      </c>
      <c r="V410" s="84" t="str">
        <f>HYPERLINK("https://pbs.twimg.com/ext_tw_video_thumb/1439603623520993285/pu/img/4NCBVhjvbYSKxAvX.jpg")</f>
        <v>https://pbs.twimg.com/ext_tw_video_thumb/1439603623520993285/pu/img/4NCBVhjvbYSKxAvX.jpg</v>
      </c>
      <c r="W410" s="83">
        <v>44458.62090277778</v>
      </c>
      <c r="X410" s="89">
        <v>44458</v>
      </c>
      <c r="Y410" s="86" t="s">
        <v>3058</v>
      </c>
      <c r="Z410" s="84" t="str">
        <f>HYPERLINK("https://twitter.com/amierah___/status/1439603712679235588")</f>
        <v>https://twitter.com/amierah___/status/1439603712679235588</v>
      </c>
      <c r="AA410" s="81"/>
      <c r="AB410" s="81"/>
      <c r="AC410" s="86" t="s">
        <v>4519</v>
      </c>
      <c r="AD410" s="81"/>
      <c r="AE410" s="81" t="b">
        <v>0</v>
      </c>
      <c r="AF410" s="81">
        <v>143</v>
      </c>
      <c r="AG410" s="86" t="s">
        <v>6240</v>
      </c>
      <c r="AH410" s="81" t="b">
        <v>0</v>
      </c>
      <c r="AI410" s="81" t="s">
        <v>6478</v>
      </c>
      <c r="AJ410" s="81"/>
      <c r="AK410" s="86" t="s">
        <v>6240</v>
      </c>
      <c r="AL410" s="81" t="b">
        <v>0</v>
      </c>
      <c r="AM410" s="81">
        <v>102</v>
      </c>
      <c r="AN410" s="86" t="s">
        <v>6240</v>
      </c>
      <c r="AO410" s="86" t="s">
        <v>6505</v>
      </c>
      <c r="AP410" s="81" t="b">
        <v>0</v>
      </c>
      <c r="AQ410" s="86" t="s">
        <v>4519</v>
      </c>
      <c r="AR410" s="81" t="s">
        <v>179</v>
      </c>
      <c r="AS410" s="81">
        <v>0</v>
      </c>
      <c r="AT410" s="81">
        <v>0</v>
      </c>
      <c r="AU410" s="81"/>
      <c r="AV410" s="81"/>
      <c r="AW410" s="81"/>
      <c r="AX410" s="81"/>
      <c r="AY410" s="81"/>
      <c r="AZ410" s="81"/>
      <c r="BA410" s="81"/>
      <c r="BB410" s="81"/>
    </row>
    <row r="411" spans="1:54" x14ac:dyDescent="0.35">
      <c r="A411" s="66" t="s">
        <v>335</v>
      </c>
      <c r="B411" s="66" t="s">
        <v>335</v>
      </c>
      <c r="C411" s="67"/>
      <c r="D411" s="68"/>
      <c r="E411" s="69"/>
      <c r="F411" s="70"/>
      <c r="G411" s="67"/>
      <c r="H411" s="71"/>
      <c r="I411" s="72"/>
      <c r="J411" s="72"/>
      <c r="K411" s="36"/>
      <c r="L411" s="79"/>
      <c r="M411" s="79"/>
      <c r="N411" s="74"/>
      <c r="O411" s="81" t="s">
        <v>179</v>
      </c>
      <c r="P411" s="83">
        <v>44458.625104166669</v>
      </c>
      <c r="Q411" s="81" t="s">
        <v>1624</v>
      </c>
      <c r="R411" s="81"/>
      <c r="S411" s="81"/>
      <c r="T411" s="81"/>
      <c r="U411" s="84" t="str">
        <f>HYPERLINK("https://pbs.twimg.com/media/E_qBUbPVUAwaLsS.jpg")</f>
        <v>https://pbs.twimg.com/media/E_qBUbPVUAwaLsS.jpg</v>
      </c>
      <c r="V411" s="84" t="str">
        <f>HYPERLINK("https://pbs.twimg.com/media/E_qBUbPVUAwaLsS.jpg")</f>
        <v>https://pbs.twimg.com/media/E_qBUbPVUAwaLsS.jpg</v>
      </c>
      <c r="W411" s="83">
        <v>44458.625104166669</v>
      </c>
      <c r="X411" s="89">
        <v>44458</v>
      </c>
      <c r="Y411" s="86" t="s">
        <v>3059</v>
      </c>
      <c r="Z411" s="84" t="str">
        <f>HYPERLINK("https://twitter.com/amierah___/status/1439605235844976642")</f>
        <v>https://twitter.com/amierah___/status/1439605235844976642</v>
      </c>
      <c r="AA411" s="81"/>
      <c r="AB411" s="81"/>
      <c r="AC411" s="86" t="s">
        <v>4520</v>
      </c>
      <c r="AD411" s="86" t="s">
        <v>4519</v>
      </c>
      <c r="AE411" s="81" t="b">
        <v>0</v>
      </c>
      <c r="AF411" s="81">
        <v>5</v>
      </c>
      <c r="AG411" s="86" t="s">
        <v>6261</v>
      </c>
      <c r="AH411" s="81" t="b">
        <v>0</v>
      </c>
      <c r="AI411" s="81" t="s">
        <v>6478</v>
      </c>
      <c r="AJ411" s="81"/>
      <c r="AK411" s="86" t="s">
        <v>6240</v>
      </c>
      <c r="AL411" s="81" t="b">
        <v>0</v>
      </c>
      <c r="AM411" s="81">
        <v>1</v>
      </c>
      <c r="AN411" s="86" t="s">
        <v>6240</v>
      </c>
      <c r="AO411" s="86" t="s">
        <v>6505</v>
      </c>
      <c r="AP411" s="81" t="b">
        <v>0</v>
      </c>
      <c r="AQ411" s="86" t="s">
        <v>4519</v>
      </c>
      <c r="AR411" s="81" t="s">
        <v>179</v>
      </c>
      <c r="AS411" s="81">
        <v>0</v>
      </c>
      <c r="AT411" s="81">
        <v>0</v>
      </c>
      <c r="AU411" s="81"/>
      <c r="AV411" s="81"/>
      <c r="AW411" s="81"/>
      <c r="AX411" s="81"/>
      <c r="AY411" s="81"/>
      <c r="AZ411" s="81"/>
      <c r="BA411" s="81"/>
      <c r="BB411" s="81"/>
    </row>
    <row r="412" spans="1:54" x14ac:dyDescent="0.35">
      <c r="A412" s="66" t="s">
        <v>335</v>
      </c>
      <c r="B412" s="66" t="s">
        <v>335</v>
      </c>
      <c r="C412" s="67"/>
      <c r="D412" s="68"/>
      <c r="E412" s="69"/>
      <c r="F412" s="70"/>
      <c r="G412" s="67"/>
      <c r="H412" s="71"/>
      <c r="I412" s="72"/>
      <c r="J412" s="72"/>
      <c r="K412" s="36"/>
      <c r="L412" s="79"/>
      <c r="M412" s="79"/>
      <c r="N412" s="74"/>
      <c r="O412" s="81" t="s">
        <v>179</v>
      </c>
      <c r="P412" s="83">
        <v>44458.627199074072</v>
      </c>
      <c r="Q412" s="81" t="s">
        <v>1587</v>
      </c>
      <c r="R412" s="81"/>
      <c r="S412" s="81"/>
      <c r="T412" s="81"/>
      <c r="U412" s="84" t="str">
        <f>HYPERLINK("https://pbs.twimg.com/media/E_qB_giUYAEglct.jpg")</f>
        <v>https://pbs.twimg.com/media/E_qB_giUYAEglct.jpg</v>
      </c>
      <c r="V412" s="84" t="str">
        <f>HYPERLINK("https://pbs.twimg.com/media/E_qB_giUYAEglct.jpg")</f>
        <v>https://pbs.twimg.com/media/E_qB_giUYAEglct.jpg</v>
      </c>
      <c r="W412" s="83">
        <v>44458.627199074072</v>
      </c>
      <c r="X412" s="89">
        <v>44458</v>
      </c>
      <c r="Y412" s="86" t="s">
        <v>3060</v>
      </c>
      <c r="Z412" s="84" t="str">
        <f>HYPERLINK("https://twitter.com/amierah___/status/1439605993155956740")</f>
        <v>https://twitter.com/amierah___/status/1439605993155956740</v>
      </c>
      <c r="AA412" s="81"/>
      <c r="AB412" s="81"/>
      <c r="AC412" s="86" t="s">
        <v>4521</v>
      </c>
      <c r="AD412" s="86" t="s">
        <v>4520</v>
      </c>
      <c r="AE412" s="81" t="b">
        <v>0</v>
      </c>
      <c r="AF412" s="81">
        <v>11</v>
      </c>
      <c r="AG412" s="86" t="s">
        <v>6261</v>
      </c>
      <c r="AH412" s="81" t="b">
        <v>0</v>
      </c>
      <c r="AI412" s="81" t="s">
        <v>6478</v>
      </c>
      <c r="AJ412" s="81"/>
      <c r="AK412" s="86" t="s">
        <v>6240</v>
      </c>
      <c r="AL412" s="81" t="b">
        <v>0</v>
      </c>
      <c r="AM412" s="81">
        <v>2</v>
      </c>
      <c r="AN412" s="86" t="s">
        <v>6240</v>
      </c>
      <c r="AO412" s="86" t="s">
        <v>6505</v>
      </c>
      <c r="AP412" s="81" t="b">
        <v>0</v>
      </c>
      <c r="AQ412" s="86" t="s">
        <v>4520</v>
      </c>
      <c r="AR412" s="81" t="s">
        <v>179</v>
      </c>
      <c r="AS412" s="81">
        <v>0</v>
      </c>
      <c r="AT412" s="81">
        <v>0</v>
      </c>
      <c r="AU412" s="81"/>
      <c r="AV412" s="81"/>
      <c r="AW412" s="81"/>
      <c r="AX412" s="81"/>
      <c r="AY412" s="81"/>
      <c r="AZ412" s="81"/>
      <c r="BA412" s="81"/>
      <c r="BB412" s="81"/>
    </row>
    <row r="413" spans="1:54" x14ac:dyDescent="0.35">
      <c r="A413" s="66" t="s">
        <v>335</v>
      </c>
      <c r="B413" s="66" t="s">
        <v>335</v>
      </c>
      <c r="C413" s="67"/>
      <c r="D413" s="68"/>
      <c r="E413" s="69"/>
      <c r="F413" s="70"/>
      <c r="G413" s="67"/>
      <c r="H413" s="71"/>
      <c r="I413" s="72"/>
      <c r="J413" s="72"/>
      <c r="K413" s="36"/>
      <c r="L413" s="79"/>
      <c r="M413" s="79"/>
      <c r="N413" s="74"/>
      <c r="O413" s="81" t="s">
        <v>179</v>
      </c>
      <c r="P413" s="83">
        <v>44458.63108796296</v>
      </c>
      <c r="Q413" s="81" t="s">
        <v>1588</v>
      </c>
      <c r="R413" s="81"/>
      <c r="S413" s="81"/>
      <c r="T413" s="81"/>
      <c r="U413" s="84" t="str">
        <f>HYPERLINK("https://pbs.twimg.com/media/E_qDTScVQAAIhYC.jpg")</f>
        <v>https://pbs.twimg.com/media/E_qDTScVQAAIhYC.jpg</v>
      </c>
      <c r="V413" s="84" t="str">
        <f>HYPERLINK("https://pbs.twimg.com/media/E_qDTScVQAAIhYC.jpg")</f>
        <v>https://pbs.twimg.com/media/E_qDTScVQAAIhYC.jpg</v>
      </c>
      <c r="W413" s="83">
        <v>44458.63108796296</v>
      </c>
      <c r="X413" s="89">
        <v>44458</v>
      </c>
      <c r="Y413" s="86" t="s">
        <v>3061</v>
      </c>
      <c r="Z413" s="84" t="str">
        <f>HYPERLINK("https://twitter.com/amierah___/status/1439607404908269571")</f>
        <v>https://twitter.com/amierah___/status/1439607404908269571</v>
      </c>
      <c r="AA413" s="81"/>
      <c r="AB413" s="81"/>
      <c r="AC413" s="86" t="s">
        <v>4522</v>
      </c>
      <c r="AD413" s="86" t="s">
        <v>4521</v>
      </c>
      <c r="AE413" s="81" t="b">
        <v>0</v>
      </c>
      <c r="AF413" s="81">
        <v>3</v>
      </c>
      <c r="AG413" s="86" t="s">
        <v>6261</v>
      </c>
      <c r="AH413" s="81" t="b">
        <v>0</v>
      </c>
      <c r="AI413" s="81" t="s">
        <v>6478</v>
      </c>
      <c r="AJ413" s="81"/>
      <c r="AK413" s="86" t="s">
        <v>6240</v>
      </c>
      <c r="AL413" s="81" t="b">
        <v>0</v>
      </c>
      <c r="AM413" s="81">
        <v>1</v>
      </c>
      <c r="AN413" s="86" t="s">
        <v>6240</v>
      </c>
      <c r="AO413" s="86" t="s">
        <v>6505</v>
      </c>
      <c r="AP413" s="81" t="b">
        <v>0</v>
      </c>
      <c r="AQ413" s="86" t="s">
        <v>4521</v>
      </c>
      <c r="AR413" s="81" t="s">
        <v>179</v>
      </c>
      <c r="AS413" s="81">
        <v>0</v>
      </c>
      <c r="AT413" s="81">
        <v>0</v>
      </c>
      <c r="AU413" s="81"/>
      <c r="AV413" s="81"/>
      <c r="AW413" s="81"/>
      <c r="AX413" s="81"/>
      <c r="AY413" s="81"/>
      <c r="AZ413" s="81"/>
      <c r="BA413" s="81"/>
      <c r="BB413" s="81"/>
    </row>
    <row r="414" spans="1:54" x14ac:dyDescent="0.35">
      <c r="A414" s="66" t="s">
        <v>499</v>
      </c>
      <c r="B414" s="66" t="s">
        <v>335</v>
      </c>
      <c r="C414" s="67"/>
      <c r="D414" s="68"/>
      <c r="E414" s="69"/>
      <c r="F414" s="70"/>
      <c r="G414" s="67"/>
      <c r="H414" s="71"/>
      <c r="I414" s="72"/>
      <c r="J414" s="72"/>
      <c r="K414" s="36"/>
      <c r="L414" s="79"/>
      <c r="M414" s="79"/>
      <c r="N414" s="74"/>
      <c r="O414" s="81" t="s">
        <v>1532</v>
      </c>
      <c r="P414" s="83">
        <v>44460.179918981485</v>
      </c>
      <c r="Q414" s="81" t="s">
        <v>1586</v>
      </c>
      <c r="R414" s="81"/>
      <c r="S414" s="81"/>
      <c r="T414" s="81"/>
      <c r="U414" s="84" t="str">
        <f>HYPERLINK("https://pbs.twimg.com/ext_tw_video_thumb/1439603623520993285/pu/img/4NCBVhjvbYSKxAvX.jpg")</f>
        <v>https://pbs.twimg.com/ext_tw_video_thumb/1439603623520993285/pu/img/4NCBVhjvbYSKxAvX.jpg</v>
      </c>
      <c r="V414" s="84" t="str">
        <f>HYPERLINK("https://pbs.twimg.com/ext_tw_video_thumb/1439603623520993285/pu/img/4NCBVhjvbYSKxAvX.jpg")</f>
        <v>https://pbs.twimg.com/ext_tw_video_thumb/1439603623520993285/pu/img/4NCBVhjvbYSKxAvX.jpg</v>
      </c>
      <c r="W414" s="83">
        <v>44460.179918981485</v>
      </c>
      <c r="X414" s="89">
        <v>44460</v>
      </c>
      <c r="Y414" s="86" t="s">
        <v>3062</v>
      </c>
      <c r="Z414" s="84" t="str">
        <f>HYPERLINK("https://twitter.com/atikahlahhh/status/1440168682747953155")</f>
        <v>https://twitter.com/atikahlahhh/status/1440168682747953155</v>
      </c>
      <c r="AA414" s="81"/>
      <c r="AB414" s="81"/>
      <c r="AC414" s="86" t="s">
        <v>4523</v>
      </c>
      <c r="AD414" s="81"/>
      <c r="AE414" s="81" t="b">
        <v>0</v>
      </c>
      <c r="AF414" s="81">
        <v>0</v>
      </c>
      <c r="AG414" s="86" t="s">
        <v>6240</v>
      </c>
      <c r="AH414" s="81" t="b">
        <v>0</v>
      </c>
      <c r="AI414" s="81" t="s">
        <v>6478</v>
      </c>
      <c r="AJ414" s="81"/>
      <c r="AK414" s="86" t="s">
        <v>6240</v>
      </c>
      <c r="AL414" s="81" t="b">
        <v>0</v>
      </c>
      <c r="AM414" s="81">
        <v>102</v>
      </c>
      <c r="AN414" s="86" t="s">
        <v>4519</v>
      </c>
      <c r="AO414" s="86" t="s">
        <v>6505</v>
      </c>
      <c r="AP414" s="81" t="b">
        <v>0</v>
      </c>
      <c r="AQ414" s="86" t="s">
        <v>4519</v>
      </c>
      <c r="AR414" s="81" t="s">
        <v>179</v>
      </c>
      <c r="AS414" s="81">
        <v>0</v>
      </c>
      <c r="AT414" s="81">
        <v>0</v>
      </c>
      <c r="AU414" s="81"/>
      <c r="AV414" s="81"/>
      <c r="AW414" s="81"/>
      <c r="AX414" s="81"/>
      <c r="AY414" s="81"/>
      <c r="AZ414" s="81"/>
      <c r="BA414" s="81"/>
      <c r="BB414" s="81"/>
    </row>
    <row r="415" spans="1:54" x14ac:dyDescent="0.35">
      <c r="A415" s="66" t="s">
        <v>500</v>
      </c>
      <c r="B415" s="66" t="s">
        <v>1316</v>
      </c>
      <c r="C415" s="67"/>
      <c r="D415" s="68"/>
      <c r="E415" s="69"/>
      <c r="F415" s="70"/>
      <c r="G415" s="67"/>
      <c r="H415" s="71"/>
      <c r="I415" s="72"/>
      <c r="J415" s="72"/>
      <c r="K415" s="36"/>
      <c r="L415" s="79"/>
      <c r="M415" s="79"/>
      <c r="N415" s="74"/>
      <c r="O415" s="81" t="s">
        <v>1533</v>
      </c>
      <c r="P415" s="83">
        <v>44460.184189814812</v>
      </c>
      <c r="Q415" s="81" t="s">
        <v>1674</v>
      </c>
      <c r="R415" s="81"/>
      <c r="S415" s="81"/>
      <c r="T415" s="86" t="s">
        <v>2671</v>
      </c>
      <c r="U415" s="84" t="str">
        <f>HYPERLINK("https://pbs.twimg.com/media/E_xv_zuVkAUKwdt.jpg")</f>
        <v>https://pbs.twimg.com/media/E_xv_zuVkAUKwdt.jpg</v>
      </c>
      <c r="V415" s="84" t="str">
        <f>HYPERLINK("https://pbs.twimg.com/media/E_xv_zuVkAUKwdt.jpg")</f>
        <v>https://pbs.twimg.com/media/E_xv_zuVkAUKwdt.jpg</v>
      </c>
      <c r="W415" s="83">
        <v>44460.184189814812</v>
      </c>
      <c r="X415" s="89">
        <v>44460</v>
      </c>
      <c r="Y415" s="86" t="s">
        <v>3063</v>
      </c>
      <c r="Z415" s="84" t="str">
        <f>HYPERLINK("https://twitter.com/jaimahmembara_/status/1440170228822904836")</f>
        <v>https://twitter.com/jaimahmembara_/status/1440170228822904836</v>
      </c>
      <c r="AA415" s="81"/>
      <c r="AB415" s="81"/>
      <c r="AC415" s="86" t="s">
        <v>4524</v>
      </c>
      <c r="AD415" s="81"/>
      <c r="AE415" s="81" t="b">
        <v>0</v>
      </c>
      <c r="AF415" s="81">
        <v>0</v>
      </c>
      <c r="AG415" s="86" t="s">
        <v>6240</v>
      </c>
      <c r="AH415" s="81" t="b">
        <v>0</v>
      </c>
      <c r="AI415" s="81" t="s">
        <v>6478</v>
      </c>
      <c r="AJ415" s="81"/>
      <c r="AK415" s="86" t="s">
        <v>6240</v>
      </c>
      <c r="AL415" s="81" t="b">
        <v>0</v>
      </c>
      <c r="AM415" s="81">
        <v>14</v>
      </c>
      <c r="AN415" s="86" t="s">
        <v>4528</v>
      </c>
      <c r="AO415" s="86" t="s">
        <v>6503</v>
      </c>
      <c r="AP415" s="81" t="b">
        <v>0</v>
      </c>
      <c r="AQ415" s="86" t="s">
        <v>4528</v>
      </c>
      <c r="AR415" s="81" t="s">
        <v>179</v>
      </c>
      <c r="AS415" s="81">
        <v>0</v>
      </c>
      <c r="AT415" s="81">
        <v>0</v>
      </c>
      <c r="AU415" s="81"/>
      <c r="AV415" s="81"/>
      <c r="AW415" s="81"/>
      <c r="AX415" s="81"/>
      <c r="AY415" s="81"/>
      <c r="AZ415" s="81"/>
      <c r="BA415" s="81"/>
      <c r="BB415" s="81"/>
    </row>
    <row r="416" spans="1:54" x14ac:dyDescent="0.35">
      <c r="A416" s="66" t="s">
        <v>500</v>
      </c>
      <c r="B416" s="66" t="s">
        <v>1317</v>
      </c>
      <c r="C416" s="67"/>
      <c r="D416" s="68"/>
      <c r="E416" s="69"/>
      <c r="F416" s="70"/>
      <c r="G416" s="67"/>
      <c r="H416" s="71"/>
      <c r="I416" s="72"/>
      <c r="J416" s="72"/>
      <c r="K416" s="36"/>
      <c r="L416" s="79"/>
      <c r="M416" s="79"/>
      <c r="N416" s="74"/>
      <c r="O416" s="81" t="s">
        <v>1533</v>
      </c>
      <c r="P416" s="83">
        <v>44460.184189814812</v>
      </c>
      <c r="Q416" s="81" t="s">
        <v>1674</v>
      </c>
      <c r="R416" s="81"/>
      <c r="S416" s="81"/>
      <c r="T416" s="86" t="s">
        <v>2671</v>
      </c>
      <c r="U416" s="84" t="str">
        <f>HYPERLINK("https://pbs.twimg.com/media/E_xv_zuVkAUKwdt.jpg")</f>
        <v>https://pbs.twimg.com/media/E_xv_zuVkAUKwdt.jpg</v>
      </c>
      <c r="V416" s="84" t="str">
        <f>HYPERLINK("https://pbs.twimg.com/media/E_xv_zuVkAUKwdt.jpg")</f>
        <v>https://pbs.twimg.com/media/E_xv_zuVkAUKwdt.jpg</v>
      </c>
      <c r="W416" s="83">
        <v>44460.184189814812</v>
      </c>
      <c r="X416" s="89">
        <v>44460</v>
      </c>
      <c r="Y416" s="86" t="s">
        <v>3063</v>
      </c>
      <c r="Z416" s="84" t="str">
        <f>HYPERLINK("https://twitter.com/jaimahmembara_/status/1440170228822904836")</f>
        <v>https://twitter.com/jaimahmembara_/status/1440170228822904836</v>
      </c>
      <c r="AA416" s="81"/>
      <c r="AB416" s="81"/>
      <c r="AC416" s="86" t="s">
        <v>4524</v>
      </c>
      <c r="AD416" s="81"/>
      <c r="AE416" s="81" t="b">
        <v>0</v>
      </c>
      <c r="AF416" s="81">
        <v>0</v>
      </c>
      <c r="AG416" s="86" t="s">
        <v>6240</v>
      </c>
      <c r="AH416" s="81" t="b">
        <v>0</v>
      </c>
      <c r="AI416" s="81" t="s">
        <v>6478</v>
      </c>
      <c r="AJ416" s="81"/>
      <c r="AK416" s="86" t="s">
        <v>6240</v>
      </c>
      <c r="AL416" s="81" t="b">
        <v>0</v>
      </c>
      <c r="AM416" s="81">
        <v>14</v>
      </c>
      <c r="AN416" s="86" t="s">
        <v>4528</v>
      </c>
      <c r="AO416" s="86" t="s">
        <v>6503</v>
      </c>
      <c r="AP416" s="81" t="b">
        <v>0</v>
      </c>
      <c r="AQ416" s="86" t="s">
        <v>4528</v>
      </c>
      <c r="AR416" s="81" t="s">
        <v>179</v>
      </c>
      <c r="AS416" s="81">
        <v>0</v>
      </c>
      <c r="AT416" s="81">
        <v>0</v>
      </c>
      <c r="AU416" s="81"/>
      <c r="AV416" s="81"/>
      <c r="AW416" s="81"/>
      <c r="AX416" s="81"/>
      <c r="AY416" s="81"/>
      <c r="AZ416" s="81"/>
      <c r="BA416" s="81"/>
      <c r="BB416" s="81"/>
    </row>
    <row r="417" spans="1:54" x14ac:dyDescent="0.35">
      <c r="A417" s="66" t="s">
        <v>500</v>
      </c>
      <c r="B417" s="66" t="s">
        <v>1318</v>
      </c>
      <c r="C417" s="67"/>
      <c r="D417" s="68"/>
      <c r="E417" s="69"/>
      <c r="F417" s="70"/>
      <c r="G417" s="67"/>
      <c r="H417" s="71"/>
      <c r="I417" s="72"/>
      <c r="J417" s="72"/>
      <c r="K417" s="36"/>
      <c r="L417" s="79"/>
      <c r="M417" s="79"/>
      <c r="N417" s="74"/>
      <c r="O417" s="81" t="s">
        <v>1533</v>
      </c>
      <c r="P417" s="83">
        <v>44460.184189814812</v>
      </c>
      <c r="Q417" s="81" t="s">
        <v>1674</v>
      </c>
      <c r="R417" s="81"/>
      <c r="S417" s="81"/>
      <c r="T417" s="86" t="s">
        <v>2671</v>
      </c>
      <c r="U417" s="84" t="str">
        <f>HYPERLINK("https://pbs.twimg.com/media/E_xv_zuVkAUKwdt.jpg")</f>
        <v>https://pbs.twimg.com/media/E_xv_zuVkAUKwdt.jpg</v>
      </c>
      <c r="V417" s="84" t="str">
        <f>HYPERLINK("https://pbs.twimg.com/media/E_xv_zuVkAUKwdt.jpg")</f>
        <v>https://pbs.twimg.com/media/E_xv_zuVkAUKwdt.jpg</v>
      </c>
      <c r="W417" s="83">
        <v>44460.184189814812</v>
      </c>
      <c r="X417" s="89">
        <v>44460</v>
      </c>
      <c r="Y417" s="86" t="s">
        <v>3063</v>
      </c>
      <c r="Z417" s="84" t="str">
        <f>HYPERLINK("https://twitter.com/jaimahmembara_/status/1440170228822904836")</f>
        <v>https://twitter.com/jaimahmembara_/status/1440170228822904836</v>
      </c>
      <c r="AA417" s="81"/>
      <c r="AB417" s="81"/>
      <c r="AC417" s="86" t="s">
        <v>4524</v>
      </c>
      <c r="AD417" s="81"/>
      <c r="AE417" s="81" t="b">
        <v>0</v>
      </c>
      <c r="AF417" s="81">
        <v>0</v>
      </c>
      <c r="AG417" s="86" t="s">
        <v>6240</v>
      </c>
      <c r="AH417" s="81" t="b">
        <v>0</v>
      </c>
      <c r="AI417" s="81" t="s">
        <v>6478</v>
      </c>
      <c r="AJ417" s="81"/>
      <c r="AK417" s="86" t="s">
        <v>6240</v>
      </c>
      <c r="AL417" s="81" t="b">
        <v>0</v>
      </c>
      <c r="AM417" s="81">
        <v>14</v>
      </c>
      <c r="AN417" s="86" t="s">
        <v>4528</v>
      </c>
      <c r="AO417" s="86" t="s">
        <v>6503</v>
      </c>
      <c r="AP417" s="81" t="b">
        <v>0</v>
      </c>
      <c r="AQ417" s="86" t="s">
        <v>4528</v>
      </c>
      <c r="AR417" s="81" t="s">
        <v>179</v>
      </c>
      <c r="AS417" s="81">
        <v>0</v>
      </c>
      <c r="AT417" s="81">
        <v>0</v>
      </c>
      <c r="AU417" s="81"/>
      <c r="AV417" s="81"/>
      <c r="AW417" s="81"/>
      <c r="AX417" s="81"/>
      <c r="AY417" s="81"/>
      <c r="AZ417" s="81"/>
      <c r="BA417" s="81"/>
      <c r="BB417" s="81"/>
    </row>
    <row r="418" spans="1:54" x14ac:dyDescent="0.35">
      <c r="A418" s="66" t="s">
        <v>500</v>
      </c>
      <c r="B418" s="66" t="s">
        <v>1319</v>
      </c>
      <c r="C418" s="67"/>
      <c r="D418" s="68"/>
      <c r="E418" s="69"/>
      <c r="F418" s="70"/>
      <c r="G418" s="67"/>
      <c r="H418" s="71"/>
      <c r="I418" s="72"/>
      <c r="J418" s="72"/>
      <c r="K418" s="36"/>
      <c r="L418" s="79"/>
      <c r="M418" s="79"/>
      <c r="N418" s="74"/>
      <c r="O418" s="81" t="s">
        <v>1533</v>
      </c>
      <c r="P418" s="83">
        <v>44460.184189814812</v>
      </c>
      <c r="Q418" s="81" t="s">
        <v>1674</v>
      </c>
      <c r="R418" s="81"/>
      <c r="S418" s="81"/>
      <c r="T418" s="86" t="s">
        <v>2671</v>
      </c>
      <c r="U418" s="84" t="str">
        <f>HYPERLINK("https://pbs.twimg.com/media/E_xv_zuVkAUKwdt.jpg")</f>
        <v>https://pbs.twimg.com/media/E_xv_zuVkAUKwdt.jpg</v>
      </c>
      <c r="V418" s="84" t="str">
        <f>HYPERLINK("https://pbs.twimg.com/media/E_xv_zuVkAUKwdt.jpg")</f>
        <v>https://pbs.twimg.com/media/E_xv_zuVkAUKwdt.jpg</v>
      </c>
      <c r="W418" s="83">
        <v>44460.184189814812</v>
      </c>
      <c r="X418" s="89">
        <v>44460</v>
      </c>
      <c r="Y418" s="86" t="s">
        <v>3063</v>
      </c>
      <c r="Z418" s="84" t="str">
        <f>HYPERLINK("https://twitter.com/jaimahmembara_/status/1440170228822904836")</f>
        <v>https://twitter.com/jaimahmembara_/status/1440170228822904836</v>
      </c>
      <c r="AA418" s="81"/>
      <c r="AB418" s="81"/>
      <c r="AC418" s="86" t="s">
        <v>4524</v>
      </c>
      <c r="AD418" s="81"/>
      <c r="AE418" s="81" t="b">
        <v>0</v>
      </c>
      <c r="AF418" s="81">
        <v>0</v>
      </c>
      <c r="AG418" s="86" t="s">
        <v>6240</v>
      </c>
      <c r="AH418" s="81" t="b">
        <v>0</v>
      </c>
      <c r="AI418" s="81" t="s">
        <v>6478</v>
      </c>
      <c r="AJ418" s="81"/>
      <c r="AK418" s="86" t="s">
        <v>6240</v>
      </c>
      <c r="AL418" s="81" t="b">
        <v>0</v>
      </c>
      <c r="AM418" s="81">
        <v>14</v>
      </c>
      <c r="AN418" s="86" t="s">
        <v>4528</v>
      </c>
      <c r="AO418" s="86" t="s">
        <v>6503</v>
      </c>
      <c r="AP418" s="81" t="b">
        <v>0</v>
      </c>
      <c r="AQ418" s="86" t="s">
        <v>4528</v>
      </c>
      <c r="AR418" s="81" t="s">
        <v>179</v>
      </c>
      <c r="AS418" s="81">
        <v>0</v>
      </c>
      <c r="AT418" s="81">
        <v>0</v>
      </c>
      <c r="AU418" s="81"/>
      <c r="AV418" s="81"/>
      <c r="AW418" s="81"/>
      <c r="AX418" s="81"/>
      <c r="AY418" s="81"/>
      <c r="AZ418" s="81"/>
      <c r="BA418" s="81"/>
      <c r="BB418" s="81"/>
    </row>
    <row r="419" spans="1:54" x14ac:dyDescent="0.35">
      <c r="A419" s="66" t="s">
        <v>500</v>
      </c>
      <c r="B419" s="66" t="s">
        <v>1320</v>
      </c>
      <c r="C419" s="67"/>
      <c r="D419" s="68"/>
      <c r="E419" s="69"/>
      <c r="F419" s="70"/>
      <c r="G419" s="67"/>
      <c r="H419" s="71"/>
      <c r="I419" s="72"/>
      <c r="J419" s="72"/>
      <c r="K419" s="36"/>
      <c r="L419" s="79"/>
      <c r="M419" s="79"/>
      <c r="N419" s="74"/>
      <c r="O419" s="81" t="s">
        <v>1533</v>
      </c>
      <c r="P419" s="83">
        <v>44460.184189814812</v>
      </c>
      <c r="Q419" s="81" t="s">
        <v>1674</v>
      </c>
      <c r="R419" s="81"/>
      <c r="S419" s="81"/>
      <c r="T419" s="86" t="s">
        <v>2671</v>
      </c>
      <c r="U419" s="84" t="str">
        <f>HYPERLINK("https://pbs.twimg.com/media/E_xv_zuVkAUKwdt.jpg")</f>
        <v>https://pbs.twimg.com/media/E_xv_zuVkAUKwdt.jpg</v>
      </c>
      <c r="V419" s="84" t="str">
        <f>HYPERLINK("https://pbs.twimg.com/media/E_xv_zuVkAUKwdt.jpg")</f>
        <v>https://pbs.twimg.com/media/E_xv_zuVkAUKwdt.jpg</v>
      </c>
      <c r="W419" s="83">
        <v>44460.184189814812</v>
      </c>
      <c r="X419" s="89">
        <v>44460</v>
      </c>
      <c r="Y419" s="86" t="s">
        <v>3063</v>
      </c>
      <c r="Z419" s="84" t="str">
        <f>HYPERLINK("https://twitter.com/jaimahmembara_/status/1440170228822904836")</f>
        <v>https://twitter.com/jaimahmembara_/status/1440170228822904836</v>
      </c>
      <c r="AA419" s="81"/>
      <c r="AB419" s="81"/>
      <c r="AC419" s="86" t="s">
        <v>4524</v>
      </c>
      <c r="AD419" s="81"/>
      <c r="AE419" s="81" t="b">
        <v>0</v>
      </c>
      <c r="AF419" s="81">
        <v>0</v>
      </c>
      <c r="AG419" s="86" t="s">
        <v>6240</v>
      </c>
      <c r="AH419" s="81" t="b">
        <v>0</v>
      </c>
      <c r="AI419" s="81" t="s">
        <v>6478</v>
      </c>
      <c r="AJ419" s="81"/>
      <c r="AK419" s="86" t="s">
        <v>6240</v>
      </c>
      <c r="AL419" s="81" t="b">
        <v>0</v>
      </c>
      <c r="AM419" s="81">
        <v>14</v>
      </c>
      <c r="AN419" s="86" t="s">
        <v>4528</v>
      </c>
      <c r="AO419" s="86" t="s">
        <v>6503</v>
      </c>
      <c r="AP419" s="81" t="b">
        <v>0</v>
      </c>
      <c r="AQ419" s="86" t="s">
        <v>4528</v>
      </c>
      <c r="AR419" s="81" t="s">
        <v>179</v>
      </c>
      <c r="AS419" s="81">
        <v>0</v>
      </c>
      <c r="AT419" s="81">
        <v>0</v>
      </c>
      <c r="AU419" s="81"/>
      <c r="AV419" s="81"/>
      <c r="AW419" s="81"/>
      <c r="AX419" s="81"/>
      <c r="AY419" s="81"/>
      <c r="AZ419" s="81"/>
      <c r="BA419" s="81"/>
      <c r="BB419" s="81"/>
    </row>
    <row r="420" spans="1:54" x14ac:dyDescent="0.35">
      <c r="A420" s="66" t="s">
        <v>500</v>
      </c>
      <c r="B420" s="66" t="s">
        <v>504</v>
      </c>
      <c r="C420" s="67"/>
      <c r="D420" s="68"/>
      <c r="E420" s="69"/>
      <c r="F420" s="70"/>
      <c r="G420" s="67"/>
      <c r="H420" s="71"/>
      <c r="I420" s="72"/>
      <c r="J420" s="72"/>
      <c r="K420" s="36"/>
      <c r="L420" s="79"/>
      <c r="M420" s="79"/>
      <c r="N420" s="74"/>
      <c r="O420" s="81" t="s">
        <v>1532</v>
      </c>
      <c r="P420" s="83">
        <v>44460.184189814812</v>
      </c>
      <c r="Q420" s="81" t="s">
        <v>1674</v>
      </c>
      <c r="R420" s="81"/>
      <c r="S420" s="81"/>
      <c r="T420" s="86" t="s">
        <v>2671</v>
      </c>
      <c r="U420" s="84" t="str">
        <f>HYPERLINK("https://pbs.twimg.com/media/E_xv_zuVkAUKwdt.jpg")</f>
        <v>https://pbs.twimg.com/media/E_xv_zuVkAUKwdt.jpg</v>
      </c>
      <c r="V420" s="84" t="str">
        <f>HYPERLINK("https://pbs.twimg.com/media/E_xv_zuVkAUKwdt.jpg")</f>
        <v>https://pbs.twimg.com/media/E_xv_zuVkAUKwdt.jpg</v>
      </c>
      <c r="W420" s="83">
        <v>44460.184189814812</v>
      </c>
      <c r="X420" s="89">
        <v>44460</v>
      </c>
      <c r="Y420" s="86" t="s">
        <v>3063</v>
      </c>
      <c r="Z420" s="84" t="str">
        <f>HYPERLINK("https://twitter.com/jaimahmembara_/status/1440170228822904836")</f>
        <v>https://twitter.com/jaimahmembara_/status/1440170228822904836</v>
      </c>
      <c r="AA420" s="81"/>
      <c r="AB420" s="81"/>
      <c r="AC420" s="86" t="s">
        <v>4524</v>
      </c>
      <c r="AD420" s="81"/>
      <c r="AE420" s="81" t="b">
        <v>0</v>
      </c>
      <c r="AF420" s="81">
        <v>0</v>
      </c>
      <c r="AG420" s="86" t="s">
        <v>6240</v>
      </c>
      <c r="AH420" s="81" t="b">
        <v>0</v>
      </c>
      <c r="AI420" s="81" t="s">
        <v>6478</v>
      </c>
      <c r="AJ420" s="81"/>
      <c r="AK420" s="86" t="s">
        <v>6240</v>
      </c>
      <c r="AL420" s="81" t="b">
        <v>0</v>
      </c>
      <c r="AM420" s="81">
        <v>14</v>
      </c>
      <c r="AN420" s="86" t="s">
        <v>4528</v>
      </c>
      <c r="AO420" s="86" t="s">
        <v>6503</v>
      </c>
      <c r="AP420" s="81" t="b">
        <v>0</v>
      </c>
      <c r="AQ420" s="86" t="s">
        <v>4528</v>
      </c>
      <c r="AR420" s="81" t="s">
        <v>179</v>
      </c>
      <c r="AS420" s="81">
        <v>0</v>
      </c>
      <c r="AT420" s="81">
        <v>0</v>
      </c>
      <c r="AU420" s="81"/>
      <c r="AV420" s="81"/>
      <c r="AW420" s="81"/>
      <c r="AX420" s="81"/>
      <c r="AY420" s="81"/>
      <c r="AZ420" s="81"/>
      <c r="BA420" s="81"/>
      <c r="BB420" s="81"/>
    </row>
    <row r="421" spans="1:54" x14ac:dyDescent="0.35">
      <c r="A421" s="66" t="s">
        <v>501</v>
      </c>
      <c r="B421" s="66" t="s">
        <v>501</v>
      </c>
      <c r="C421" s="67"/>
      <c r="D421" s="68"/>
      <c r="E421" s="69"/>
      <c r="F421" s="70"/>
      <c r="G421" s="67"/>
      <c r="H421" s="71"/>
      <c r="I421" s="72"/>
      <c r="J421" s="72"/>
      <c r="K421" s="36"/>
      <c r="L421" s="79"/>
      <c r="M421" s="79"/>
      <c r="N421" s="74"/>
      <c r="O421" s="81" t="s">
        <v>179</v>
      </c>
      <c r="P421" s="83">
        <v>44460.188425925924</v>
      </c>
      <c r="Q421" s="81" t="s">
        <v>1678</v>
      </c>
      <c r="R421" s="84" t="str">
        <f>HYPERLINK("https://kompaskerja.com/lowongan-kerja-minimal-sma-sederajat-pt-pos-indonesia-bumn-september-2021/")</f>
        <v>https://kompaskerja.com/lowongan-kerja-minimal-sma-sederajat-pt-pos-indonesia-bumn-september-2021/</v>
      </c>
      <c r="S421" s="81" t="s">
        <v>2601</v>
      </c>
      <c r="T421" s="81"/>
      <c r="U421" s="81"/>
      <c r="V421" s="84" t="str">
        <f>HYPERLINK("https://pbs.twimg.com/profile_images/1121684138497458177/7LP5sagl_normal.png")</f>
        <v>https://pbs.twimg.com/profile_images/1121684138497458177/7LP5sagl_normal.png</v>
      </c>
      <c r="W421" s="83">
        <v>44460.188425925924</v>
      </c>
      <c r="X421" s="89">
        <v>44460</v>
      </c>
      <c r="Y421" s="86" t="s">
        <v>3064</v>
      </c>
      <c r="Z421" s="84" t="str">
        <f>HYPERLINK("https://twitter.com/kompaskerja/status/1440171764231802891")</f>
        <v>https://twitter.com/kompaskerja/status/1440171764231802891</v>
      </c>
      <c r="AA421" s="81"/>
      <c r="AB421" s="81"/>
      <c r="AC421" s="86" t="s">
        <v>4525</v>
      </c>
      <c r="AD421" s="81"/>
      <c r="AE421" s="81" t="b">
        <v>0</v>
      </c>
      <c r="AF421" s="81">
        <v>0</v>
      </c>
      <c r="AG421" s="86" t="s">
        <v>6240</v>
      </c>
      <c r="AH421" s="81" t="b">
        <v>0</v>
      </c>
      <c r="AI421" s="81" t="s">
        <v>6478</v>
      </c>
      <c r="AJ421" s="81"/>
      <c r="AK421" s="86" t="s">
        <v>6240</v>
      </c>
      <c r="AL421" s="81" t="b">
        <v>0</v>
      </c>
      <c r="AM421" s="81">
        <v>0</v>
      </c>
      <c r="AN421" s="86" t="s">
        <v>6240</v>
      </c>
      <c r="AO421" s="86" t="s">
        <v>6507</v>
      </c>
      <c r="AP421" s="81" t="b">
        <v>0</v>
      </c>
      <c r="AQ421" s="86" t="s">
        <v>4525</v>
      </c>
      <c r="AR421" s="81" t="s">
        <v>179</v>
      </c>
      <c r="AS421" s="81">
        <v>0</v>
      </c>
      <c r="AT421" s="81">
        <v>0</v>
      </c>
      <c r="AU421" s="81"/>
      <c r="AV421" s="81"/>
      <c r="AW421" s="81"/>
      <c r="AX421" s="81"/>
      <c r="AY421" s="81"/>
      <c r="AZ421" s="81"/>
      <c r="BA421" s="81"/>
      <c r="BB421" s="81"/>
    </row>
    <row r="422" spans="1:54" x14ac:dyDescent="0.35">
      <c r="A422" s="66" t="s">
        <v>502</v>
      </c>
      <c r="B422" s="66" t="s">
        <v>1322</v>
      </c>
      <c r="C422" s="67"/>
      <c r="D422" s="68"/>
      <c r="E422" s="69"/>
      <c r="F422" s="70"/>
      <c r="G422" s="67"/>
      <c r="H422" s="71"/>
      <c r="I422" s="72"/>
      <c r="J422" s="72"/>
      <c r="K422" s="36"/>
      <c r="L422" s="79"/>
      <c r="M422" s="79"/>
      <c r="N422" s="74"/>
      <c r="O422" s="81" t="s">
        <v>1534</v>
      </c>
      <c r="P422" s="83">
        <v>44460.191168981481</v>
      </c>
      <c r="Q422" s="81" t="s">
        <v>1679</v>
      </c>
      <c r="R422" s="81"/>
      <c r="S422" s="81"/>
      <c r="T422" s="81"/>
      <c r="U422" s="81"/>
      <c r="V422" s="84" t="str">
        <f>HYPERLINK("https://pbs.twimg.com/profile_images/1442331295699259396/PiwzQdpq_normal.jpg")</f>
        <v>https://pbs.twimg.com/profile_images/1442331295699259396/PiwzQdpq_normal.jpg</v>
      </c>
      <c r="W422" s="83">
        <v>44460.191168981481</v>
      </c>
      <c r="X422" s="89">
        <v>44460</v>
      </c>
      <c r="Y422" s="86" t="s">
        <v>3065</v>
      </c>
      <c r="Z422" s="84" t="str">
        <f>HYPERLINK("https://twitter.com/astronphile/status/1440172760488022017")</f>
        <v>https://twitter.com/astronphile/status/1440172760488022017</v>
      </c>
      <c r="AA422" s="81"/>
      <c r="AB422" s="81"/>
      <c r="AC422" s="86" t="s">
        <v>4526</v>
      </c>
      <c r="AD422" s="86" t="s">
        <v>6017</v>
      </c>
      <c r="AE422" s="81" t="b">
        <v>0</v>
      </c>
      <c r="AF422" s="81">
        <v>0</v>
      </c>
      <c r="AG422" s="86" t="s">
        <v>6287</v>
      </c>
      <c r="AH422" s="81" t="b">
        <v>0</v>
      </c>
      <c r="AI422" s="81" t="s">
        <v>6478</v>
      </c>
      <c r="AJ422" s="81"/>
      <c r="AK422" s="86" t="s">
        <v>6240</v>
      </c>
      <c r="AL422" s="81" t="b">
        <v>0</v>
      </c>
      <c r="AM422" s="81">
        <v>0</v>
      </c>
      <c r="AN422" s="86" t="s">
        <v>6240</v>
      </c>
      <c r="AO422" s="86" t="s">
        <v>6503</v>
      </c>
      <c r="AP422" s="81" t="b">
        <v>0</v>
      </c>
      <c r="AQ422" s="86" t="s">
        <v>6017</v>
      </c>
      <c r="AR422" s="81" t="s">
        <v>179</v>
      </c>
      <c r="AS422" s="81">
        <v>0</v>
      </c>
      <c r="AT422" s="81">
        <v>0</v>
      </c>
      <c r="AU422" s="81"/>
      <c r="AV422" s="81"/>
      <c r="AW422" s="81"/>
      <c r="AX422" s="81"/>
      <c r="AY422" s="81"/>
      <c r="AZ422" s="81"/>
      <c r="BA422" s="81"/>
      <c r="BB422" s="81"/>
    </row>
    <row r="423" spans="1:54" x14ac:dyDescent="0.35">
      <c r="A423" s="66" t="s">
        <v>503</v>
      </c>
      <c r="B423" s="66" t="s">
        <v>503</v>
      </c>
      <c r="C423" s="67"/>
      <c r="D423" s="68"/>
      <c r="E423" s="69"/>
      <c r="F423" s="70"/>
      <c r="G423" s="67"/>
      <c r="H423" s="71"/>
      <c r="I423" s="72"/>
      <c r="J423" s="72"/>
      <c r="K423" s="36"/>
      <c r="L423" s="79"/>
      <c r="M423" s="79"/>
      <c r="N423" s="74"/>
      <c r="O423" s="81" t="s">
        <v>179</v>
      </c>
      <c r="P423" s="83">
        <v>44460.199282407404</v>
      </c>
      <c r="Q423" s="81" t="s">
        <v>1680</v>
      </c>
      <c r="R423" s="81"/>
      <c r="S423" s="81"/>
      <c r="T423" s="81"/>
      <c r="U423" s="81"/>
      <c r="V423" s="84" t="str">
        <f>HYPERLINK("https://pbs.twimg.com/profile_images/1432960701048315908/Umg7Tb9s_normal.jpg")</f>
        <v>https://pbs.twimg.com/profile_images/1432960701048315908/Umg7Tb9s_normal.jpg</v>
      </c>
      <c r="W423" s="83">
        <v>44460.199282407404</v>
      </c>
      <c r="X423" s="89">
        <v>44460</v>
      </c>
      <c r="Y423" s="86" t="s">
        <v>3066</v>
      </c>
      <c r="Z423" s="84" t="str">
        <f>HYPERLINK("https://twitter.com/ydwsgf/status/1440175701051641860")</f>
        <v>https://twitter.com/ydwsgf/status/1440175701051641860</v>
      </c>
      <c r="AA423" s="81"/>
      <c r="AB423" s="81"/>
      <c r="AC423" s="86" t="s">
        <v>4527</v>
      </c>
      <c r="AD423" s="86" t="s">
        <v>6018</v>
      </c>
      <c r="AE423" s="81" t="b">
        <v>0</v>
      </c>
      <c r="AF423" s="81">
        <v>0</v>
      </c>
      <c r="AG423" s="86" t="s">
        <v>6288</v>
      </c>
      <c r="AH423" s="81" t="b">
        <v>0</v>
      </c>
      <c r="AI423" s="81" t="s">
        <v>6478</v>
      </c>
      <c r="AJ423" s="81"/>
      <c r="AK423" s="86" t="s">
        <v>6240</v>
      </c>
      <c r="AL423" s="81" t="b">
        <v>0</v>
      </c>
      <c r="AM423" s="81">
        <v>0</v>
      </c>
      <c r="AN423" s="86" t="s">
        <v>6240</v>
      </c>
      <c r="AO423" s="86" t="s">
        <v>6503</v>
      </c>
      <c r="AP423" s="81" t="b">
        <v>0</v>
      </c>
      <c r="AQ423" s="86" t="s">
        <v>6018</v>
      </c>
      <c r="AR423" s="81" t="s">
        <v>179</v>
      </c>
      <c r="AS423" s="81">
        <v>0</v>
      </c>
      <c r="AT423" s="81">
        <v>0</v>
      </c>
      <c r="AU423" s="81"/>
      <c r="AV423" s="81"/>
      <c r="AW423" s="81"/>
      <c r="AX423" s="81"/>
      <c r="AY423" s="81"/>
      <c r="AZ423" s="81"/>
      <c r="BA423" s="81"/>
      <c r="BB423" s="81"/>
    </row>
    <row r="424" spans="1:54" x14ac:dyDescent="0.35">
      <c r="A424" s="66" t="s">
        <v>504</v>
      </c>
      <c r="B424" s="66" t="s">
        <v>1316</v>
      </c>
      <c r="C424" s="67"/>
      <c r="D424" s="68"/>
      <c r="E424" s="69"/>
      <c r="F424" s="70"/>
      <c r="G424" s="67"/>
      <c r="H424" s="71"/>
      <c r="I424" s="72"/>
      <c r="J424" s="72"/>
      <c r="K424" s="36"/>
      <c r="L424" s="79"/>
      <c r="M424" s="79"/>
      <c r="N424" s="74"/>
      <c r="O424" s="81" t="s">
        <v>1535</v>
      </c>
      <c r="P424" s="83">
        <v>44460.125972222224</v>
      </c>
      <c r="Q424" s="81" t="s">
        <v>1674</v>
      </c>
      <c r="R424" s="81"/>
      <c r="S424" s="81"/>
      <c r="T424" s="86" t="s">
        <v>2671</v>
      </c>
      <c r="U424" s="84" t="str">
        <f>HYPERLINK("https://pbs.twimg.com/media/E_xv_zuVkAUKwdt.jpg")</f>
        <v>https://pbs.twimg.com/media/E_xv_zuVkAUKwdt.jpg</v>
      </c>
      <c r="V424" s="84" t="str">
        <f>HYPERLINK("https://pbs.twimg.com/media/E_xv_zuVkAUKwdt.jpg")</f>
        <v>https://pbs.twimg.com/media/E_xv_zuVkAUKwdt.jpg</v>
      </c>
      <c r="W424" s="83">
        <v>44460.125972222224</v>
      </c>
      <c r="X424" s="89">
        <v>44460</v>
      </c>
      <c r="Y424" s="86" t="s">
        <v>3067</v>
      </c>
      <c r="Z424" s="84" t="str">
        <f>HYPERLINK("https://twitter.com/eonsirtus/status/1440149131205353475")</f>
        <v>https://twitter.com/eonsirtus/status/1440149131205353475</v>
      </c>
      <c r="AA424" s="81"/>
      <c r="AB424" s="81"/>
      <c r="AC424" s="86" t="s">
        <v>4528</v>
      </c>
      <c r="AD424" s="81"/>
      <c r="AE424" s="81" t="b">
        <v>0</v>
      </c>
      <c r="AF424" s="81">
        <v>12</v>
      </c>
      <c r="AG424" s="86" t="s">
        <v>6240</v>
      </c>
      <c r="AH424" s="81" t="b">
        <v>0</v>
      </c>
      <c r="AI424" s="81" t="s">
        <v>6478</v>
      </c>
      <c r="AJ424" s="81"/>
      <c r="AK424" s="86" t="s">
        <v>6240</v>
      </c>
      <c r="AL424" s="81" t="b">
        <v>0</v>
      </c>
      <c r="AM424" s="81">
        <v>14</v>
      </c>
      <c r="AN424" s="86" t="s">
        <v>6240</v>
      </c>
      <c r="AO424" s="86" t="s">
        <v>6503</v>
      </c>
      <c r="AP424" s="81" t="b">
        <v>0</v>
      </c>
      <c r="AQ424" s="86" t="s">
        <v>4528</v>
      </c>
      <c r="AR424" s="81" t="s">
        <v>179</v>
      </c>
      <c r="AS424" s="81">
        <v>0</v>
      </c>
      <c r="AT424" s="81">
        <v>0</v>
      </c>
      <c r="AU424" s="81"/>
      <c r="AV424" s="81"/>
      <c r="AW424" s="81"/>
      <c r="AX424" s="81"/>
      <c r="AY424" s="81"/>
      <c r="AZ424" s="81"/>
      <c r="BA424" s="81"/>
      <c r="BB424" s="81"/>
    </row>
    <row r="425" spans="1:54" x14ac:dyDescent="0.35">
      <c r="A425" s="66" t="s">
        <v>505</v>
      </c>
      <c r="B425" s="66" t="s">
        <v>1316</v>
      </c>
      <c r="C425" s="67"/>
      <c r="D425" s="68"/>
      <c r="E425" s="69"/>
      <c r="F425" s="70"/>
      <c r="G425" s="67"/>
      <c r="H425" s="71"/>
      <c r="I425" s="72"/>
      <c r="J425" s="72"/>
      <c r="K425" s="36"/>
      <c r="L425" s="79"/>
      <c r="M425" s="79"/>
      <c r="N425" s="74"/>
      <c r="O425" s="81" t="s">
        <v>1533</v>
      </c>
      <c r="P425" s="83">
        <v>44460.208807870367</v>
      </c>
      <c r="Q425" s="81" t="s">
        <v>1674</v>
      </c>
      <c r="R425" s="81"/>
      <c r="S425" s="81"/>
      <c r="T425" s="86" t="s">
        <v>2671</v>
      </c>
      <c r="U425" s="84" t="str">
        <f>HYPERLINK("https://pbs.twimg.com/media/E_xv_zuVkAUKwdt.jpg")</f>
        <v>https://pbs.twimg.com/media/E_xv_zuVkAUKwdt.jpg</v>
      </c>
      <c r="V425" s="84" t="str">
        <f>HYPERLINK("https://pbs.twimg.com/media/E_xv_zuVkAUKwdt.jpg")</f>
        <v>https://pbs.twimg.com/media/E_xv_zuVkAUKwdt.jpg</v>
      </c>
      <c r="W425" s="83">
        <v>44460.208807870367</v>
      </c>
      <c r="X425" s="89">
        <v>44460</v>
      </c>
      <c r="Y425" s="86" t="s">
        <v>3068</v>
      </c>
      <c r="Z425" s="84" t="str">
        <f>HYPERLINK("https://twitter.com/gondron13473091/status/1440179150141026312")</f>
        <v>https://twitter.com/gondron13473091/status/1440179150141026312</v>
      </c>
      <c r="AA425" s="81"/>
      <c r="AB425" s="81"/>
      <c r="AC425" s="86" t="s">
        <v>4529</v>
      </c>
      <c r="AD425" s="81"/>
      <c r="AE425" s="81" t="b">
        <v>0</v>
      </c>
      <c r="AF425" s="81">
        <v>0</v>
      </c>
      <c r="AG425" s="86" t="s">
        <v>6240</v>
      </c>
      <c r="AH425" s="81" t="b">
        <v>0</v>
      </c>
      <c r="AI425" s="81" t="s">
        <v>6478</v>
      </c>
      <c r="AJ425" s="81"/>
      <c r="AK425" s="86" t="s">
        <v>6240</v>
      </c>
      <c r="AL425" s="81" t="b">
        <v>0</v>
      </c>
      <c r="AM425" s="81">
        <v>14</v>
      </c>
      <c r="AN425" s="86" t="s">
        <v>4528</v>
      </c>
      <c r="AO425" s="86" t="s">
        <v>6503</v>
      </c>
      <c r="AP425" s="81" t="b">
        <v>0</v>
      </c>
      <c r="AQ425" s="86" t="s">
        <v>4528</v>
      </c>
      <c r="AR425" s="81" t="s">
        <v>179</v>
      </c>
      <c r="AS425" s="81">
        <v>0</v>
      </c>
      <c r="AT425" s="81">
        <v>0</v>
      </c>
      <c r="AU425" s="81"/>
      <c r="AV425" s="81"/>
      <c r="AW425" s="81"/>
      <c r="AX425" s="81"/>
      <c r="AY425" s="81"/>
      <c r="AZ425" s="81"/>
      <c r="BA425" s="81"/>
      <c r="BB425" s="81"/>
    </row>
    <row r="426" spans="1:54" x14ac:dyDescent="0.35">
      <c r="A426" s="66" t="s">
        <v>504</v>
      </c>
      <c r="B426" s="66" t="s">
        <v>1317</v>
      </c>
      <c r="C426" s="67"/>
      <c r="D426" s="68"/>
      <c r="E426" s="69"/>
      <c r="F426" s="70"/>
      <c r="G426" s="67"/>
      <c r="H426" s="71"/>
      <c r="I426" s="72"/>
      <c r="J426" s="72"/>
      <c r="K426" s="36"/>
      <c r="L426" s="79"/>
      <c r="M426" s="79"/>
      <c r="N426" s="74"/>
      <c r="O426" s="81" t="s">
        <v>1535</v>
      </c>
      <c r="P426" s="83">
        <v>44460.125972222224</v>
      </c>
      <c r="Q426" s="81" t="s">
        <v>1674</v>
      </c>
      <c r="R426" s="81"/>
      <c r="S426" s="81"/>
      <c r="T426" s="86" t="s">
        <v>2671</v>
      </c>
      <c r="U426" s="84" t="str">
        <f>HYPERLINK("https://pbs.twimg.com/media/E_xv_zuVkAUKwdt.jpg")</f>
        <v>https://pbs.twimg.com/media/E_xv_zuVkAUKwdt.jpg</v>
      </c>
      <c r="V426" s="84" t="str">
        <f>HYPERLINK("https://pbs.twimg.com/media/E_xv_zuVkAUKwdt.jpg")</f>
        <v>https://pbs.twimg.com/media/E_xv_zuVkAUKwdt.jpg</v>
      </c>
      <c r="W426" s="83">
        <v>44460.125972222224</v>
      </c>
      <c r="X426" s="89">
        <v>44460</v>
      </c>
      <c r="Y426" s="86" t="s">
        <v>3067</v>
      </c>
      <c r="Z426" s="84" t="str">
        <f>HYPERLINK("https://twitter.com/eonsirtus/status/1440149131205353475")</f>
        <v>https://twitter.com/eonsirtus/status/1440149131205353475</v>
      </c>
      <c r="AA426" s="81"/>
      <c r="AB426" s="81"/>
      <c r="AC426" s="86" t="s">
        <v>4528</v>
      </c>
      <c r="AD426" s="81"/>
      <c r="AE426" s="81" t="b">
        <v>0</v>
      </c>
      <c r="AF426" s="81">
        <v>12</v>
      </c>
      <c r="AG426" s="86" t="s">
        <v>6240</v>
      </c>
      <c r="AH426" s="81" t="b">
        <v>0</v>
      </c>
      <c r="AI426" s="81" t="s">
        <v>6478</v>
      </c>
      <c r="AJ426" s="81"/>
      <c r="AK426" s="86" t="s">
        <v>6240</v>
      </c>
      <c r="AL426" s="81" t="b">
        <v>0</v>
      </c>
      <c r="AM426" s="81">
        <v>14</v>
      </c>
      <c r="AN426" s="86" t="s">
        <v>6240</v>
      </c>
      <c r="AO426" s="86" t="s">
        <v>6503</v>
      </c>
      <c r="AP426" s="81" t="b">
        <v>0</v>
      </c>
      <c r="AQ426" s="86" t="s">
        <v>4528</v>
      </c>
      <c r="AR426" s="81" t="s">
        <v>179</v>
      </c>
      <c r="AS426" s="81">
        <v>0</v>
      </c>
      <c r="AT426" s="81">
        <v>0</v>
      </c>
      <c r="AU426" s="81"/>
      <c r="AV426" s="81"/>
      <c r="AW426" s="81"/>
      <c r="AX426" s="81"/>
      <c r="AY426" s="81"/>
      <c r="AZ426" s="81"/>
      <c r="BA426" s="81"/>
      <c r="BB426" s="81"/>
    </row>
    <row r="427" spans="1:54" x14ac:dyDescent="0.35">
      <c r="A427" s="66" t="s">
        <v>505</v>
      </c>
      <c r="B427" s="66" t="s">
        <v>1317</v>
      </c>
      <c r="C427" s="67"/>
      <c r="D427" s="68"/>
      <c r="E427" s="69"/>
      <c r="F427" s="70"/>
      <c r="G427" s="67"/>
      <c r="H427" s="71"/>
      <c r="I427" s="72"/>
      <c r="J427" s="72"/>
      <c r="K427" s="36"/>
      <c r="L427" s="79"/>
      <c r="M427" s="79"/>
      <c r="N427" s="74"/>
      <c r="O427" s="81" t="s">
        <v>1533</v>
      </c>
      <c r="P427" s="83">
        <v>44460.208807870367</v>
      </c>
      <c r="Q427" s="81" t="s">
        <v>1674</v>
      </c>
      <c r="R427" s="81"/>
      <c r="S427" s="81"/>
      <c r="T427" s="86" t="s">
        <v>2671</v>
      </c>
      <c r="U427" s="84" t="str">
        <f>HYPERLINK("https://pbs.twimg.com/media/E_xv_zuVkAUKwdt.jpg")</f>
        <v>https://pbs.twimg.com/media/E_xv_zuVkAUKwdt.jpg</v>
      </c>
      <c r="V427" s="84" t="str">
        <f>HYPERLINK("https://pbs.twimg.com/media/E_xv_zuVkAUKwdt.jpg")</f>
        <v>https://pbs.twimg.com/media/E_xv_zuVkAUKwdt.jpg</v>
      </c>
      <c r="W427" s="83">
        <v>44460.208807870367</v>
      </c>
      <c r="X427" s="89">
        <v>44460</v>
      </c>
      <c r="Y427" s="86" t="s">
        <v>3068</v>
      </c>
      <c r="Z427" s="84" t="str">
        <f>HYPERLINK("https://twitter.com/gondron13473091/status/1440179150141026312")</f>
        <v>https://twitter.com/gondron13473091/status/1440179150141026312</v>
      </c>
      <c r="AA427" s="81"/>
      <c r="AB427" s="81"/>
      <c r="AC427" s="86" t="s">
        <v>4529</v>
      </c>
      <c r="AD427" s="81"/>
      <c r="AE427" s="81" t="b">
        <v>0</v>
      </c>
      <c r="AF427" s="81">
        <v>0</v>
      </c>
      <c r="AG427" s="86" t="s">
        <v>6240</v>
      </c>
      <c r="AH427" s="81" t="b">
        <v>0</v>
      </c>
      <c r="AI427" s="81" t="s">
        <v>6478</v>
      </c>
      <c r="AJ427" s="81"/>
      <c r="AK427" s="86" t="s">
        <v>6240</v>
      </c>
      <c r="AL427" s="81" t="b">
        <v>0</v>
      </c>
      <c r="AM427" s="81">
        <v>14</v>
      </c>
      <c r="AN427" s="86" t="s">
        <v>4528</v>
      </c>
      <c r="AO427" s="86" t="s">
        <v>6503</v>
      </c>
      <c r="AP427" s="81" t="b">
        <v>0</v>
      </c>
      <c r="AQ427" s="86" t="s">
        <v>4528</v>
      </c>
      <c r="AR427" s="81" t="s">
        <v>179</v>
      </c>
      <c r="AS427" s="81">
        <v>0</v>
      </c>
      <c r="AT427" s="81">
        <v>0</v>
      </c>
      <c r="AU427" s="81"/>
      <c r="AV427" s="81"/>
      <c r="AW427" s="81"/>
      <c r="AX427" s="81"/>
      <c r="AY427" s="81"/>
      <c r="AZ427" s="81"/>
      <c r="BA427" s="81"/>
      <c r="BB427" s="81"/>
    </row>
    <row r="428" spans="1:54" x14ac:dyDescent="0.35">
      <c r="A428" s="66" t="s">
        <v>504</v>
      </c>
      <c r="B428" s="66" t="s">
        <v>1318</v>
      </c>
      <c r="C428" s="67"/>
      <c r="D428" s="68"/>
      <c r="E428" s="69"/>
      <c r="F428" s="70"/>
      <c r="G428" s="67"/>
      <c r="H428" s="71"/>
      <c r="I428" s="72"/>
      <c r="J428" s="72"/>
      <c r="K428" s="36"/>
      <c r="L428" s="79"/>
      <c r="M428" s="79"/>
      <c r="N428" s="74"/>
      <c r="O428" s="81" t="s">
        <v>1535</v>
      </c>
      <c r="P428" s="83">
        <v>44460.125972222224</v>
      </c>
      <c r="Q428" s="81" t="s">
        <v>1674</v>
      </c>
      <c r="R428" s="81"/>
      <c r="S428" s="81"/>
      <c r="T428" s="86" t="s">
        <v>2671</v>
      </c>
      <c r="U428" s="84" t="str">
        <f>HYPERLINK("https://pbs.twimg.com/media/E_xv_zuVkAUKwdt.jpg")</f>
        <v>https://pbs.twimg.com/media/E_xv_zuVkAUKwdt.jpg</v>
      </c>
      <c r="V428" s="84" t="str">
        <f>HYPERLINK("https://pbs.twimg.com/media/E_xv_zuVkAUKwdt.jpg")</f>
        <v>https://pbs.twimg.com/media/E_xv_zuVkAUKwdt.jpg</v>
      </c>
      <c r="W428" s="83">
        <v>44460.125972222224</v>
      </c>
      <c r="X428" s="89">
        <v>44460</v>
      </c>
      <c r="Y428" s="86" t="s">
        <v>3067</v>
      </c>
      <c r="Z428" s="84" t="str">
        <f>HYPERLINK("https://twitter.com/eonsirtus/status/1440149131205353475")</f>
        <v>https://twitter.com/eonsirtus/status/1440149131205353475</v>
      </c>
      <c r="AA428" s="81"/>
      <c r="AB428" s="81"/>
      <c r="AC428" s="86" t="s">
        <v>4528</v>
      </c>
      <c r="AD428" s="81"/>
      <c r="AE428" s="81" t="b">
        <v>0</v>
      </c>
      <c r="AF428" s="81">
        <v>12</v>
      </c>
      <c r="AG428" s="86" t="s">
        <v>6240</v>
      </c>
      <c r="AH428" s="81" t="b">
        <v>0</v>
      </c>
      <c r="AI428" s="81" t="s">
        <v>6478</v>
      </c>
      <c r="AJ428" s="81"/>
      <c r="AK428" s="86" t="s">
        <v>6240</v>
      </c>
      <c r="AL428" s="81" t="b">
        <v>0</v>
      </c>
      <c r="AM428" s="81">
        <v>14</v>
      </c>
      <c r="AN428" s="86" t="s">
        <v>6240</v>
      </c>
      <c r="AO428" s="86" t="s">
        <v>6503</v>
      </c>
      <c r="AP428" s="81" t="b">
        <v>0</v>
      </c>
      <c r="AQ428" s="86" t="s">
        <v>4528</v>
      </c>
      <c r="AR428" s="81" t="s">
        <v>179</v>
      </c>
      <c r="AS428" s="81">
        <v>0</v>
      </c>
      <c r="AT428" s="81">
        <v>0</v>
      </c>
      <c r="AU428" s="81"/>
      <c r="AV428" s="81"/>
      <c r="AW428" s="81"/>
      <c r="AX428" s="81"/>
      <c r="AY428" s="81"/>
      <c r="AZ428" s="81"/>
      <c r="BA428" s="81"/>
      <c r="BB428" s="81"/>
    </row>
    <row r="429" spans="1:54" x14ac:dyDescent="0.35">
      <c r="A429" s="66" t="s">
        <v>505</v>
      </c>
      <c r="B429" s="66" t="s">
        <v>1318</v>
      </c>
      <c r="C429" s="67"/>
      <c r="D429" s="68"/>
      <c r="E429" s="69"/>
      <c r="F429" s="70"/>
      <c r="G429" s="67"/>
      <c r="H429" s="71"/>
      <c r="I429" s="72"/>
      <c r="J429" s="72"/>
      <c r="K429" s="36"/>
      <c r="L429" s="79"/>
      <c r="M429" s="79"/>
      <c r="N429" s="74"/>
      <c r="O429" s="81" t="s">
        <v>1533</v>
      </c>
      <c r="P429" s="83">
        <v>44460.208807870367</v>
      </c>
      <c r="Q429" s="81" t="s">
        <v>1674</v>
      </c>
      <c r="R429" s="81"/>
      <c r="S429" s="81"/>
      <c r="T429" s="86" t="s">
        <v>2671</v>
      </c>
      <c r="U429" s="84" t="str">
        <f>HYPERLINK("https://pbs.twimg.com/media/E_xv_zuVkAUKwdt.jpg")</f>
        <v>https://pbs.twimg.com/media/E_xv_zuVkAUKwdt.jpg</v>
      </c>
      <c r="V429" s="84" t="str">
        <f>HYPERLINK("https://pbs.twimg.com/media/E_xv_zuVkAUKwdt.jpg")</f>
        <v>https://pbs.twimg.com/media/E_xv_zuVkAUKwdt.jpg</v>
      </c>
      <c r="W429" s="83">
        <v>44460.208807870367</v>
      </c>
      <c r="X429" s="89">
        <v>44460</v>
      </c>
      <c r="Y429" s="86" t="s">
        <v>3068</v>
      </c>
      <c r="Z429" s="84" t="str">
        <f>HYPERLINK("https://twitter.com/gondron13473091/status/1440179150141026312")</f>
        <v>https://twitter.com/gondron13473091/status/1440179150141026312</v>
      </c>
      <c r="AA429" s="81"/>
      <c r="AB429" s="81"/>
      <c r="AC429" s="86" t="s">
        <v>4529</v>
      </c>
      <c r="AD429" s="81"/>
      <c r="AE429" s="81" t="b">
        <v>0</v>
      </c>
      <c r="AF429" s="81">
        <v>0</v>
      </c>
      <c r="AG429" s="86" t="s">
        <v>6240</v>
      </c>
      <c r="AH429" s="81" t="b">
        <v>0</v>
      </c>
      <c r="AI429" s="81" t="s">
        <v>6478</v>
      </c>
      <c r="AJ429" s="81"/>
      <c r="AK429" s="86" t="s">
        <v>6240</v>
      </c>
      <c r="AL429" s="81" t="b">
        <v>0</v>
      </c>
      <c r="AM429" s="81">
        <v>14</v>
      </c>
      <c r="AN429" s="86" t="s">
        <v>4528</v>
      </c>
      <c r="AO429" s="86" t="s">
        <v>6503</v>
      </c>
      <c r="AP429" s="81" t="b">
        <v>0</v>
      </c>
      <c r="AQ429" s="86" t="s">
        <v>4528</v>
      </c>
      <c r="AR429" s="81" t="s">
        <v>179</v>
      </c>
      <c r="AS429" s="81">
        <v>0</v>
      </c>
      <c r="AT429" s="81">
        <v>0</v>
      </c>
      <c r="AU429" s="81"/>
      <c r="AV429" s="81"/>
      <c r="AW429" s="81"/>
      <c r="AX429" s="81"/>
      <c r="AY429" s="81"/>
      <c r="AZ429" s="81"/>
      <c r="BA429" s="81"/>
      <c r="BB429" s="81"/>
    </row>
    <row r="430" spans="1:54" x14ac:dyDescent="0.35">
      <c r="A430" s="66" t="s">
        <v>504</v>
      </c>
      <c r="B430" s="66" t="s">
        <v>1319</v>
      </c>
      <c r="C430" s="67"/>
      <c r="D430" s="68"/>
      <c r="E430" s="69"/>
      <c r="F430" s="70"/>
      <c r="G430" s="67"/>
      <c r="H430" s="71"/>
      <c r="I430" s="72"/>
      <c r="J430" s="72"/>
      <c r="K430" s="36"/>
      <c r="L430" s="79"/>
      <c r="M430" s="79"/>
      <c r="N430" s="74"/>
      <c r="O430" s="81" t="s">
        <v>1535</v>
      </c>
      <c r="P430" s="83">
        <v>44460.125972222224</v>
      </c>
      <c r="Q430" s="81" t="s">
        <v>1674</v>
      </c>
      <c r="R430" s="81"/>
      <c r="S430" s="81"/>
      <c r="T430" s="86" t="s">
        <v>2671</v>
      </c>
      <c r="U430" s="84" t="str">
        <f>HYPERLINK("https://pbs.twimg.com/media/E_xv_zuVkAUKwdt.jpg")</f>
        <v>https://pbs.twimg.com/media/E_xv_zuVkAUKwdt.jpg</v>
      </c>
      <c r="V430" s="84" t="str">
        <f>HYPERLINK("https://pbs.twimg.com/media/E_xv_zuVkAUKwdt.jpg")</f>
        <v>https://pbs.twimg.com/media/E_xv_zuVkAUKwdt.jpg</v>
      </c>
      <c r="W430" s="83">
        <v>44460.125972222224</v>
      </c>
      <c r="X430" s="89">
        <v>44460</v>
      </c>
      <c r="Y430" s="86" t="s">
        <v>3067</v>
      </c>
      <c r="Z430" s="84" t="str">
        <f>HYPERLINK("https://twitter.com/eonsirtus/status/1440149131205353475")</f>
        <v>https://twitter.com/eonsirtus/status/1440149131205353475</v>
      </c>
      <c r="AA430" s="81"/>
      <c r="AB430" s="81"/>
      <c r="AC430" s="86" t="s">
        <v>4528</v>
      </c>
      <c r="AD430" s="81"/>
      <c r="AE430" s="81" t="b">
        <v>0</v>
      </c>
      <c r="AF430" s="81">
        <v>12</v>
      </c>
      <c r="AG430" s="86" t="s">
        <v>6240</v>
      </c>
      <c r="AH430" s="81" t="b">
        <v>0</v>
      </c>
      <c r="AI430" s="81" t="s">
        <v>6478</v>
      </c>
      <c r="AJ430" s="81"/>
      <c r="AK430" s="86" t="s">
        <v>6240</v>
      </c>
      <c r="AL430" s="81" t="b">
        <v>0</v>
      </c>
      <c r="AM430" s="81">
        <v>14</v>
      </c>
      <c r="AN430" s="86" t="s">
        <v>6240</v>
      </c>
      <c r="AO430" s="86" t="s">
        <v>6503</v>
      </c>
      <c r="AP430" s="81" t="b">
        <v>0</v>
      </c>
      <c r="AQ430" s="86" t="s">
        <v>4528</v>
      </c>
      <c r="AR430" s="81" t="s">
        <v>179</v>
      </c>
      <c r="AS430" s="81">
        <v>0</v>
      </c>
      <c r="AT430" s="81">
        <v>0</v>
      </c>
      <c r="AU430" s="81"/>
      <c r="AV430" s="81"/>
      <c r="AW430" s="81"/>
      <c r="AX430" s="81"/>
      <c r="AY430" s="81"/>
      <c r="AZ430" s="81"/>
      <c r="BA430" s="81"/>
      <c r="BB430" s="81"/>
    </row>
    <row r="431" spans="1:54" x14ac:dyDescent="0.35">
      <c r="A431" s="66" t="s">
        <v>505</v>
      </c>
      <c r="B431" s="66" t="s">
        <v>1319</v>
      </c>
      <c r="C431" s="67"/>
      <c r="D431" s="68"/>
      <c r="E431" s="69"/>
      <c r="F431" s="70"/>
      <c r="G431" s="67"/>
      <c r="H431" s="71"/>
      <c r="I431" s="72"/>
      <c r="J431" s="72"/>
      <c r="K431" s="36"/>
      <c r="L431" s="79"/>
      <c r="M431" s="79"/>
      <c r="N431" s="74"/>
      <c r="O431" s="81" t="s">
        <v>1533</v>
      </c>
      <c r="P431" s="83">
        <v>44460.208807870367</v>
      </c>
      <c r="Q431" s="81" t="s">
        <v>1674</v>
      </c>
      <c r="R431" s="81"/>
      <c r="S431" s="81"/>
      <c r="T431" s="86" t="s">
        <v>2671</v>
      </c>
      <c r="U431" s="84" t="str">
        <f>HYPERLINK("https://pbs.twimg.com/media/E_xv_zuVkAUKwdt.jpg")</f>
        <v>https://pbs.twimg.com/media/E_xv_zuVkAUKwdt.jpg</v>
      </c>
      <c r="V431" s="84" t="str">
        <f>HYPERLINK("https://pbs.twimg.com/media/E_xv_zuVkAUKwdt.jpg")</f>
        <v>https://pbs.twimg.com/media/E_xv_zuVkAUKwdt.jpg</v>
      </c>
      <c r="W431" s="83">
        <v>44460.208807870367</v>
      </c>
      <c r="X431" s="89">
        <v>44460</v>
      </c>
      <c r="Y431" s="86" t="s">
        <v>3068</v>
      </c>
      <c r="Z431" s="84" t="str">
        <f>HYPERLINK("https://twitter.com/gondron13473091/status/1440179150141026312")</f>
        <v>https://twitter.com/gondron13473091/status/1440179150141026312</v>
      </c>
      <c r="AA431" s="81"/>
      <c r="AB431" s="81"/>
      <c r="AC431" s="86" t="s">
        <v>4529</v>
      </c>
      <c r="AD431" s="81"/>
      <c r="AE431" s="81" t="b">
        <v>0</v>
      </c>
      <c r="AF431" s="81">
        <v>0</v>
      </c>
      <c r="AG431" s="86" t="s">
        <v>6240</v>
      </c>
      <c r="AH431" s="81" t="b">
        <v>0</v>
      </c>
      <c r="AI431" s="81" t="s">
        <v>6478</v>
      </c>
      <c r="AJ431" s="81"/>
      <c r="AK431" s="86" t="s">
        <v>6240</v>
      </c>
      <c r="AL431" s="81" t="b">
        <v>0</v>
      </c>
      <c r="AM431" s="81">
        <v>14</v>
      </c>
      <c r="AN431" s="86" t="s">
        <v>4528</v>
      </c>
      <c r="AO431" s="86" t="s">
        <v>6503</v>
      </c>
      <c r="AP431" s="81" t="b">
        <v>0</v>
      </c>
      <c r="AQ431" s="86" t="s">
        <v>4528</v>
      </c>
      <c r="AR431" s="81" t="s">
        <v>179</v>
      </c>
      <c r="AS431" s="81">
        <v>0</v>
      </c>
      <c r="AT431" s="81">
        <v>0</v>
      </c>
      <c r="AU431" s="81"/>
      <c r="AV431" s="81"/>
      <c r="AW431" s="81"/>
      <c r="AX431" s="81"/>
      <c r="AY431" s="81"/>
      <c r="AZ431" s="81"/>
      <c r="BA431" s="81"/>
      <c r="BB431" s="81"/>
    </row>
    <row r="432" spans="1:54" x14ac:dyDescent="0.35">
      <c r="A432" s="66" t="s">
        <v>504</v>
      </c>
      <c r="B432" s="66" t="s">
        <v>1320</v>
      </c>
      <c r="C432" s="67"/>
      <c r="D432" s="68"/>
      <c r="E432" s="69"/>
      <c r="F432" s="70"/>
      <c r="G432" s="67"/>
      <c r="H432" s="71"/>
      <c r="I432" s="72"/>
      <c r="J432" s="72"/>
      <c r="K432" s="36"/>
      <c r="L432" s="79"/>
      <c r="M432" s="79"/>
      <c r="N432" s="74"/>
      <c r="O432" s="81" t="s">
        <v>1535</v>
      </c>
      <c r="P432" s="83">
        <v>44460.125972222224</v>
      </c>
      <c r="Q432" s="81" t="s">
        <v>1674</v>
      </c>
      <c r="R432" s="81"/>
      <c r="S432" s="81"/>
      <c r="T432" s="86" t="s">
        <v>2671</v>
      </c>
      <c r="U432" s="84" t="str">
        <f>HYPERLINK("https://pbs.twimg.com/media/E_xv_zuVkAUKwdt.jpg")</f>
        <v>https://pbs.twimg.com/media/E_xv_zuVkAUKwdt.jpg</v>
      </c>
      <c r="V432" s="84" t="str">
        <f>HYPERLINK("https://pbs.twimg.com/media/E_xv_zuVkAUKwdt.jpg")</f>
        <v>https://pbs.twimg.com/media/E_xv_zuVkAUKwdt.jpg</v>
      </c>
      <c r="W432" s="83">
        <v>44460.125972222224</v>
      </c>
      <c r="X432" s="89">
        <v>44460</v>
      </c>
      <c r="Y432" s="86" t="s">
        <v>3067</v>
      </c>
      <c r="Z432" s="84" t="str">
        <f>HYPERLINK("https://twitter.com/eonsirtus/status/1440149131205353475")</f>
        <v>https://twitter.com/eonsirtus/status/1440149131205353475</v>
      </c>
      <c r="AA432" s="81"/>
      <c r="AB432" s="81"/>
      <c r="AC432" s="86" t="s">
        <v>4528</v>
      </c>
      <c r="AD432" s="81"/>
      <c r="AE432" s="81" t="b">
        <v>0</v>
      </c>
      <c r="AF432" s="81">
        <v>12</v>
      </c>
      <c r="AG432" s="86" t="s">
        <v>6240</v>
      </c>
      <c r="AH432" s="81" t="b">
        <v>0</v>
      </c>
      <c r="AI432" s="81" t="s">
        <v>6478</v>
      </c>
      <c r="AJ432" s="81"/>
      <c r="AK432" s="86" t="s">
        <v>6240</v>
      </c>
      <c r="AL432" s="81" t="b">
        <v>0</v>
      </c>
      <c r="AM432" s="81">
        <v>14</v>
      </c>
      <c r="AN432" s="86" t="s">
        <v>6240</v>
      </c>
      <c r="AO432" s="86" t="s">
        <v>6503</v>
      </c>
      <c r="AP432" s="81" t="b">
        <v>0</v>
      </c>
      <c r="AQ432" s="86" t="s">
        <v>4528</v>
      </c>
      <c r="AR432" s="81" t="s">
        <v>179</v>
      </c>
      <c r="AS432" s="81">
        <v>0</v>
      </c>
      <c r="AT432" s="81">
        <v>0</v>
      </c>
      <c r="AU432" s="81"/>
      <c r="AV432" s="81"/>
      <c r="AW432" s="81"/>
      <c r="AX432" s="81"/>
      <c r="AY432" s="81"/>
      <c r="AZ432" s="81"/>
      <c r="BA432" s="81"/>
      <c r="BB432" s="81"/>
    </row>
    <row r="433" spans="1:54" x14ac:dyDescent="0.35">
      <c r="A433" s="66" t="s">
        <v>505</v>
      </c>
      <c r="B433" s="66" t="s">
        <v>1320</v>
      </c>
      <c r="C433" s="67"/>
      <c r="D433" s="68"/>
      <c r="E433" s="69"/>
      <c r="F433" s="70"/>
      <c r="G433" s="67"/>
      <c r="H433" s="71"/>
      <c r="I433" s="72"/>
      <c r="J433" s="72"/>
      <c r="K433" s="36"/>
      <c r="L433" s="79"/>
      <c r="M433" s="79"/>
      <c r="N433" s="74"/>
      <c r="O433" s="81" t="s">
        <v>1533</v>
      </c>
      <c r="P433" s="83">
        <v>44460.208807870367</v>
      </c>
      <c r="Q433" s="81" t="s">
        <v>1674</v>
      </c>
      <c r="R433" s="81"/>
      <c r="S433" s="81"/>
      <c r="T433" s="86" t="s">
        <v>2671</v>
      </c>
      <c r="U433" s="84" t="str">
        <f>HYPERLINK("https://pbs.twimg.com/media/E_xv_zuVkAUKwdt.jpg")</f>
        <v>https://pbs.twimg.com/media/E_xv_zuVkAUKwdt.jpg</v>
      </c>
      <c r="V433" s="84" t="str">
        <f>HYPERLINK("https://pbs.twimg.com/media/E_xv_zuVkAUKwdt.jpg")</f>
        <v>https://pbs.twimg.com/media/E_xv_zuVkAUKwdt.jpg</v>
      </c>
      <c r="W433" s="83">
        <v>44460.208807870367</v>
      </c>
      <c r="X433" s="89">
        <v>44460</v>
      </c>
      <c r="Y433" s="86" t="s">
        <v>3068</v>
      </c>
      <c r="Z433" s="84" t="str">
        <f>HYPERLINK("https://twitter.com/gondron13473091/status/1440179150141026312")</f>
        <v>https://twitter.com/gondron13473091/status/1440179150141026312</v>
      </c>
      <c r="AA433" s="81"/>
      <c r="AB433" s="81"/>
      <c r="AC433" s="86" t="s">
        <v>4529</v>
      </c>
      <c r="AD433" s="81"/>
      <c r="AE433" s="81" t="b">
        <v>0</v>
      </c>
      <c r="AF433" s="81">
        <v>0</v>
      </c>
      <c r="AG433" s="86" t="s">
        <v>6240</v>
      </c>
      <c r="AH433" s="81" t="b">
        <v>0</v>
      </c>
      <c r="AI433" s="81" t="s">
        <v>6478</v>
      </c>
      <c r="AJ433" s="81"/>
      <c r="AK433" s="86" t="s">
        <v>6240</v>
      </c>
      <c r="AL433" s="81" t="b">
        <v>0</v>
      </c>
      <c r="AM433" s="81">
        <v>14</v>
      </c>
      <c r="AN433" s="86" t="s">
        <v>4528</v>
      </c>
      <c r="AO433" s="86" t="s">
        <v>6503</v>
      </c>
      <c r="AP433" s="81" t="b">
        <v>0</v>
      </c>
      <c r="AQ433" s="86" t="s">
        <v>4528</v>
      </c>
      <c r="AR433" s="81" t="s">
        <v>179</v>
      </c>
      <c r="AS433" s="81">
        <v>0</v>
      </c>
      <c r="AT433" s="81">
        <v>0</v>
      </c>
      <c r="AU433" s="81"/>
      <c r="AV433" s="81"/>
      <c r="AW433" s="81"/>
      <c r="AX433" s="81"/>
      <c r="AY433" s="81"/>
      <c r="AZ433" s="81"/>
      <c r="BA433" s="81"/>
      <c r="BB433" s="81"/>
    </row>
    <row r="434" spans="1:54" x14ac:dyDescent="0.35">
      <c r="A434" s="66" t="s">
        <v>505</v>
      </c>
      <c r="B434" s="66" t="s">
        <v>504</v>
      </c>
      <c r="C434" s="67"/>
      <c r="D434" s="68"/>
      <c r="E434" s="69"/>
      <c r="F434" s="70"/>
      <c r="G434" s="67"/>
      <c r="H434" s="71"/>
      <c r="I434" s="72"/>
      <c r="J434" s="72"/>
      <c r="K434" s="36"/>
      <c r="L434" s="79"/>
      <c r="M434" s="79"/>
      <c r="N434" s="74"/>
      <c r="O434" s="81" t="s">
        <v>1532</v>
      </c>
      <c r="P434" s="83">
        <v>44460.208807870367</v>
      </c>
      <c r="Q434" s="81" t="s">
        <v>1674</v>
      </c>
      <c r="R434" s="81"/>
      <c r="S434" s="81"/>
      <c r="T434" s="86" t="s">
        <v>2671</v>
      </c>
      <c r="U434" s="84" t="str">
        <f>HYPERLINK("https://pbs.twimg.com/media/E_xv_zuVkAUKwdt.jpg")</f>
        <v>https://pbs.twimg.com/media/E_xv_zuVkAUKwdt.jpg</v>
      </c>
      <c r="V434" s="84" t="str">
        <f>HYPERLINK("https://pbs.twimg.com/media/E_xv_zuVkAUKwdt.jpg")</f>
        <v>https://pbs.twimg.com/media/E_xv_zuVkAUKwdt.jpg</v>
      </c>
      <c r="W434" s="83">
        <v>44460.208807870367</v>
      </c>
      <c r="X434" s="89">
        <v>44460</v>
      </c>
      <c r="Y434" s="86" t="s">
        <v>3068</v>
      </c>
      <c r="Z434" s="84" t="str">
        <f>HYPERLINK("https://twitter.com/gondron13473091/status/1440179150141026312")</f>
        <v>https://twitter.com/gondron13473091/status/1440179150141026312</v>
      </c>
      <c r="AA434" s="81"/>
      <c r="AB434" s="81"/>
      <c r="AC434" s="86" t="s">
        <v>4529</v>
      </c>
      <c r="AD434" s="81"/>
      <c r="AE434" s="81" t="b">
        <v>0</v>
      </c>
      <c r="AF434" s="81">
        <v>0</v>
      </c>
      <c r="AG434" s="86" t="s">
        <v>6240</v>
      </c>
      <c r="AH434" s="81" t="b">
        <v>0</v>
      </c>
      <c r="AI434" s="81" t="s">
        <v>6478</v>
      </c>
      <c r="AJ434" s="81"/>
      <c r="AK434" s="86" t="s">
        <v>6240</v>
      </c>
      <c r="AL434" s="81" t="b">
        <v>0</v>
      </c>
      <c r="AM434" s="81">
        <v>14</v>
      </c>
      <c r="AN434" s="86" t="s">
        <v>4528</v>
      </c>
      <c r="AO434" s="86" t="s">
        <v>6503</v>
      </c>
      <c r="AP434" s="81" t="b">
        <v>0</v>
      </c>
      <c r="AQ434" s="86" t="s">
        <v>4528</v>
      </c>
      <c r="AR434" s="81" t="s">
        <v>179</v>
      </c>
      <c r="AS434" s="81">
        <v>0</v>
      </c>
      <c r="AT434" s="81">
        <v>0</v>
      </c>
      <c r="AU434" s="81"/>
      <c r="AV434" s="81"/>
      <c r="AW434" s="81"/>
      <c r="AX434" s="81"/>
      <c r="AY434" s="81"/>
      <c r="AZ434" s="81"/>
      <c r="BA434" s="81"/>
      <c r="BB434" s="81"/>
    </row>
    <row r="435" spans="1:54" x14ac:dyDescent="0.35">
      <c r="A435" s="66" t="s">
        <v>506</v>
      </c>
      <c r="B435" s="66" t="s">
        <v>1291</v>
      </c>
      <c r="C435" s="67"/>
      <c r="D435" s="68"/>
      <c r="E435" s="69"/>
      <c r="F435" s="70"/>
      <c r="G435" s="67"/>
      <c r="H435" s="71"/>
      <c r="I435" s="72"/>
      <c r="J435" s="72"/>
      <c r="K435" s="36"/>
      <c r="L435" s="79"/>
      <c r="M435" s="79"/>
      <c r="N435" s="74"/>
      <c r="O435" s="81" t="s">
        <v>1534</v>
      </c>
      <c r="P435" s="83">
        <v>44460.23778935185</v>
      </c>
      <c r="Q435" s="81" t="s">
        <v>1681</v>
      </c>
      <c r="R435" s="81"/>
      <c r="S435" s="81"/>
      <c r="T435" s="81"/>
      <c r="U435" s="81"/>
      <c r="V435" s="84" t="str">
        <f>HYPERLINK("https://pbs.twimg.com/profile_images/1440652918932180996/gpRLWy3Y_normal.jpg")</f>
        <v>https://pbs.twimg.com/profile_images/1440652918932180996/gpRLWy3Y_normal.jpg</v>
      </c>
      <c r="W435" s="83">
        <v>44460.23778935185</v>
      </c>
      <c r="X435" s="89">
        <v>44460</v>
      </c>
      <c r="Y435" s="86" t="s">
        <v>3069</v>
      </c>
      <c r="Z435" s="84" t="str">
        <f>HYPERLINK("https://twitter.com/woozisparks/status/1440189652678316035")</f>
        <v>https://twitter.com/woozisparks/status/1440189652678316035</v>
      </c>
      <c r="AA435" s="81"/>
      <c r="AB435" s="81"/>
      <c r="AC435" s="86" t="s">
        <v>4530</v>
      </c>
      <c r="AD435" s="86" t="s">
        <v>6019</v>
      </c>
      <c r="AE435" s="81" t="b">
        <v>0</v>
      </c>
      <c r="AF435" s="81">
        <v>0</v>
      </c>
      <c r="AG435" s="86" t="s">
        <v>6259</v>
      </c>
      <c r="AH435" s="81" t="b">
        <v>0</v>
      </c>
      <c r="AI435" s="81" t="s">
        <v>6478</v>
      </c>
      <c r="AJ435" s="81"/>
      <c r="AK435" s="86" t="s">
        <v>6240</v>
      </c>
      <c r="AL435" s="81" t="b">
        <v>0</v>
      </c>
      <c r="AM435" s="81">
        <v>0</v>
      </c>
      <c r="AN435" s="86" t="s">
        <v>6240</v>
      </c>
      <c r="AO435" s="86" t="s">
        <v>6503</v>
      </c>
      <c r="AP435" s="81" t="b">
        <v>0</v>
      </c>
      <c r="AQ435" s="86" t="s">
        <v>6019</v>
      </c>
      <c r="AR435" s="81" t="s">
        <v>179</v>
      </c>
      <c r="AS435" s="81">
        <v>0</v>
      </c>
      <c r="AT435" s="81">
        <v>0</v>
      </c>
      <c r="AU435" s="81"/>
      <c r="AV435" s="81"/>
      <c r="AW435" s="81"/>
      <c r="AX435" s="81"/>
      <c r="AY435" s="81"/>
      <c r="AZ435" s="81"/>
      <c r="BA435" s="81"/>
      <c r="BB435" s="81"/>
    </row>
    <row r="436" spans="1:54" x14ac:dyDescent="0.35">
      <c r="A436" s="66" t="s">
        <v>507</v>
      </c>
      <c r="B436" s="66" t="s">
        <v>507</v>
      </c>
      <c r="C436" s="67"/>
      <c r="D436" s="68"/>
      <c r="E436" s="69"/>
      <c r="F436" s="70"/>
      <c r="G436" s="67"/>
      <c r="H436" s="71"/>
      <c r="I436" s="72"/>
      <c r="J436" s="72"/>
      <c r="K436" s="36"/>
      <c r="L436" s="79"/>
      <c r="M436" s="79"/>
      <c r="N436" s="74"/>
      <c r="O436" s="81" t="s">
        <v>179</v>
      </c>
      <c r="P436" s="83">
        <v>44460.256284722222</v>
      </c>
      <c r="Q436" s="81" t="s">
        <v>1682</v>
      </c>
      <c r="R436" s="81"/>
      <c r="S436" s="81"/>
      <c r="T436" s="81"/>
      <c r="U436" s="81"/>
      <c r="V436" s="84" t="str">
        <f>HYPERLINK("https://pbs.twimg.com/profile_images/378800000098274452/1a2bbc7d6de2fdad3c6a5a95d5f41302_normal.jpeg")</f>
        <v>https://pbs.twimg.com/profile_images/378800000098274452/1a2bbc7d6de2fdad3c6a5a95d5f41302_normal.jpeg</v>
      </c>
      <c r="W436" s="83">
        <v>44460.256284722222</v>
      </c>
      <c r="X436" s="89">
        <v>44460</v>
      </c>
      <c r="Y436" s="86" t="s">
        <v>3070</v>
      </c>
      <c r="Z436" s="84" t="str">
        <f>HYPERLINK("https://twitter.com/baratropot/status/1440196356572807171")</f>
        <v>https://twitter.com/baratropot/status/1440196356572807171</v>
      </c>
      <c r="AA436" s="81"/>
      <c r="AB436" s="81"/>
      <c r="AC436" s="86" t="s">
        <v>4531</v>
      </c>
      <c r="AD436" s="81"/>
      <c r="AE436" s="81" t="b">
        <v>0</v>
      </c>
      <c r="AF436" s="81">
        <v>0</v>
      </c>
      <c r="AG436" s="86" t="s">
        <v>6240</v>
      </c>
      <c r="AH436" s="81" t="b">
        <v>0</v>
      </c>
      <c r="AI436" s="81" t="s">
        <v>6478</v>
      </c>
      <c r="AJ436" s="81"/>
      <c r="AK436" s="86" t="s">
        <v>6240</v>
      </c>
      <c r="AL436" s="81" t="b">
        <v>0</v>
      </c>
      <c r="AM436" s="81">
        <v>0</v>
      </c>
      <c r="AN436" s="86" t="s">
        <v>6240</v>
      </c>
      <c r="AO436" s="86" t="s">
        <v>6503</v>
      </c>
      <c r="AP436" s="81" t="b">
        <v>0</v>
      </c>
      <c r="AQ436" s="86" t="s">
        <v>4531</v>
      </c>
      <c r="AR436" s="81" t="s">
        <v>179</v>
      </c>
      <c r="AS436" s="81">
        <v>0</v>
      </c>
      <c r="AT436" s="81">
        <v>0</v>
      </c>
      <c r="AU436" s="81"/>
      <c r="AV436" s="81"/>
      <c r="AW436" s="81"/>
      <c r="AX436" s="81"/>
      <c r="AY436" s="81"/>
      <c r="AZ436" s="81"/>
      <c r="BA436" s="81"/>
      <c r="BB436" s="81"/>
    </row>
    <row r="437" spans="1:54" x14ac:dyDescent="0.35">
      <c r="A437" s="66" t="s">
        <v>508</v>
      </c>
      <c r="B437" s="66" t="s">
        <v>508</v>
      </c>
      <c r="C437" s="67"/>
      <c r="D437" s="68"/>
      <c r="E437" s="69"/>
      <c r="F437" s="70"/>
      <c r="G437" s="67"/>
      <c r="H437" s="71"/>
      <c r="I437" s="72"/>
      <c r="J437" s="72"/>
      <c r="K437" s="36"/>
      <c r="L437" s="79"/>
      <c r="M437" s="79"/>
      <c r="N437" s="74"/>
      <c r="O437" s="81" t="s">
        <v>179</v>
      </c>
      <c r="P437" s="83">
        <v>44460.256342592591</v>
      </c>
      <c r="Q437" s="81" t="s">
        <v>1683</v>
      </c>
      <c r="R437" s="81"/>
      <c r="S437" s="81"/>
      <c r="T437" s="86" t="s">
        <v>2672</v>
      </c>
      <c r="U437" s="81"/>
      <c r="V437" s="84" t="str">
        <f>HYPERLINK("https://pbs.twimg.com/profile_images/1430426826736693249/fmej1IWo_normal.jpg")</f>
        <v>https://pbs.twimg.com/profile_images/1430426826736693249/fmej1IWo_normal.jpg</v>
      </c>
      <c r="W437" s="83">
        <v>44460.256342592591</v>
      </c>
      <c r="X437" s="89">
        <v>44460</v>
      </c>
      <c r="Y437" s="86" t="s">
        <v>3071</v>
      </c>
      <c r="Z437" s="84" t="str">
        <f>HYPERLINK("https://twitter.com/butterflyyyyy02/status/1440196376843874307")</f>
        <v>https://twitter.com/butterflyyyyy02/status/1440196376843874307</v>
      </c>
      <c r="AA437" s="81"/>
      <c r="AB437" s="81"/>
      <c r="AC437" s="86" t="s">
        <v>4532</v>
      </c>
      <c r="AD437" s="86" t="s">
        <v>6020</v>
      </c>
      <c r="AE437" s="81" t="b">
        <v>0</v>
      </c>
      <c r="AF437" s="81">
        <v>0</v>
      </c>
      <c r="AG437" s="86" t="s">
        <v>6289</v>
      </c>
      <c r="AH437" s="81" t="b">
        <v>0</v>
      </c>
      <c r="AI437" s="81" t="s">
        <v>6485</v>
      </c>
      <c r="AJ437" s="81"/>
      <c r="AK437" s="86" t="s">
        <v>6240</v>
      </c>
      <c r="AL437" s="81" t="b">
        <v>0</v>
      </c>
      <c r="AM437" s="81">
        <v>0</v>
      </c>
      <c r="AN437" s="86" t="s">
        <v>6240</v>
      </c>
      <c r="AO437" s="86" t="s">
        <v>6505</v>
      </c>
      <c r="AP437" s="81" t="b">
        <v>0</v>
      </c>
      <c r="AQ437" s="86" t="s">
        <v>6020</v>
      </c>
      <c r="AR437" s="81" t="s">
        <v>179</v>
      </c>
      <c r="AS437" s="81">
        <v>0</v>
      </c>
      <c r="AT437" s="81">
        <v>0</v>
      </c>
      <c r="AU437" s="81"/>
      <c r="AV437" s="81"/>
      <c r="AW437" s="81"/>
      <c r="AX437" s="81"/>
      <c r="AY437" s="81"/>
      <c r="AZ437" s="81"/>
      <c r="BA437" s="81"/>
      <c r="BB437" s="81"/>
    </row>
    <row r="438" spans="1:54" x14ac:dyDescent="0.35">
      <c r="A438" s="66" t="s">
        <v>509</v>
      </c>
      <c r="B438" s="66" t="s">
        <v>1323</v>
      </c>
      <c r="C438" s="67"/>
      <c r="D438" s="68"/>
      <c r="E438" s="69"/>
      <c r="F438" s="70"/>
      <c r="G438" s="67"/>
      <c r="H438" s="71"/>
      <c r="I438" s="72"/>
      <c r="J438" s="72"/>
      <c r="K438" s="36"/>
      <c r="L438" s="79"/>
      <c r="M438" s="79"/>
      <c r="N438" s="74"/>
      <c r="O438" s="81" t="s">
        <v>1535</v>
      </c>
      <c r="P438" s="83">
        <v>44460.287245370368</v>
      </c>
      <c r="Q438" s="81" t="s">
        <v>1684</v>
      </c>
      <c r="R438" s="84" t="str">
        <f>HYPERLINK("https://twitter.com/ib_ost/status/1440119631516082176")</f>
        <v>https://twitter.com/ib_ost/status/1440119631516082176</v>
      </c>
      <c r="S438" s="81" t="s">
        <v>2588</v>
      </c>
      <c r="T438" s="81"/>
      <c r="U438" s="81"/>
      <c r="V438" s="84" t="str">
        <f>HYPERLINK("https://pbs.twimg.com/profile_images/1311564667324526592/Wel-qpe2_normal.jpg")</f>
        <v>https://pbs.twimg.com/profile_images/1311564667324526592/Wel-qpe2_normal.jpg</v>
      </c>
      <c r="W438" s="83">
        <v>44460.287245370368</v>
      </c>
      <c r="X438" s="89">
        <v>44460</v>
      </c>
      <c r="Y438" s="86" t="s">
        <v>3072</v>
      </c>
      <c r="Z438" s="84" t="str">
        <f>HYPERLINK("https://twitter.com/dasterhejo/status/1440207576222691340")</f>
        <v>https://twitter.com/dasterhejo/status/1440207576222691340</v>
      </c>
      <c r="AA438" s="81"/>
      <c r="AB438" s="81"/>
      <c r="AC438" s="86" t="s">
        <v>4533</v>
      </c>
      <c r="AD438" s="81"/>
      <c r="AE438" s="81" t="b">
        <v>0</v>
      </c>
      <c r="AF438" s="81">
        <v>0</v>
      </c>
      <c r="AG438" s="86" t="s">
        <v>6290</v>
      </c>
      <c r="AH438" s="81" t="b">
        <v>1</v>
      </c>
      <c r="AI438" s="81" t="s">
        <v>6478</v>
      </c>
      <c r="AJ438" s="81"/>
      <c r="AK438" s="86" t="s">
        <v>6033</v>
      </c>
      <c r="AL438" s="81" t="b">
        <v>0</v>
      </c>
      <c r="AM438" s="81">
        <v>0</v>
      </c>
      <c r="AN438" s="86" t="s">
        <v>6240</v>
      </c>
      <c r="AO438" s="86" t="s">
        <v>6503</v>
      </c>
      <c r="AP438" s="81" t="b">
        <v>0</v>
      </c>
      <c r="AQ438" s="86" t="s">
        <v>4533</v>
      </c>
      <c r="AR438" s="81" t="s">
        <v>179</v>
      </c>
      <c r="AS438" s="81">
        <v>0</v>
      </c>
      <c r="AT438" s="81">
        <v>0</v>
      </c>
      <c r="AU438" s="81"/>
      <c r="AV438" s="81"/>
      <c r="AW438" s="81"/>
      <c r="AX438" s="81"/>
      <c r="AY438" s="81"/>
      <c r="AZ438" s="81"/>
      <c r="BA438" s="81"/>
      <c r="BB438" s="81"/>
    </row>
    <row r="439" spans="1:54" x14ac:dyDescent="0.35">
      <c r="A439" s="66" t="s">
        <v>509</v>
      </c>
      <c r="B439" s="66" t="s">
        <v>1272</v>
      </c>
      <c r="C439" s="67"/>
      <c r="D439" s="68"/>
      <c r="E439" s="69"/>
      <c r="F439" s="70"/>
      <c r="G439" s="67"/>
      <c r="H439" s="71"/>
      <c r="I439" s="72"/>
      <c r="J439" s="72"/>
      <c r="K439" s="36"/>
      <c r="L439" s="79"/>
      <c r="M439" s="79"/>
      <c r="N439" s="74"/>
      <c r="O439" s="81" t="s">
        <v>1535</v>
      </c>
      <c r="P439" s="83">
        <v>44460.287245370368</v>
      </c>
      <c r="Q439" s="81" t="s">
        <v>1684</v>
      </c>
      <c r="R439" s="84" t="str">
        <f>HYPERLINK("https://twitter.com/ib_ost/status/1440119631516082176")</f>
        <v>https://twitter.com/ib_ost/status/1440119631516082176</v>
      </c>
      <c r="S439" s="81" t="s">
        <v>2588</v>
      </c>
      <c r="T439" s="81"/>
      <c r="U439" s="81"/>
      <c r="V439" s="84" t="str">
        <f>HYPERLINK("https://pbs.twimg.com/profile_images/1311564667324526592/Wel-qpe2_normal.jpg")</f>
        <v>https://pbs.twimg.com/profile_images/1311564667324526592/Wel-qpe2_normal.jpg</v>
      </c>
      <c r="W439" s="83">
        <v>44460.287245370368</v>
      </c>
      <c r="X439" s="89">
        <v>44460</v>
      </c>
      <c r="Y439" s="86" t="s">
        <v>3072</v>
      </c>
      <c r="Z439" s="84" t="str">
        <f>HYPERLINK("https://twitter.com/dasterhejo/status/1440207576222691340")</f>
        <v>https://twitter.com/dasterhejo/status/1440207576222691340</v>
      </c>
      <c r="AA439" s="81"/>
      <c r="AB439" s="81"/>
      <c r="AC439" s="86" t="s">
        <v>4533</v>
      </c>
      <c r="AD439" s="81"/>
      <c r="AE439" s="81" t="b">
        <v>0</v>
      </c>
      <c r="AF439" s="81">
        <v>0</v>
      </c>
      <c r="AG439" s="86" t="s">
        <v>6290</v>
      </c>
      <c r="AH439" s="81" t="b">
        <v>1</v>
      </c>
      <c r="AI439" s="81" t="s">
        <v>6478</v>
      </c>
      <c r="AJ439" s="81"/>
      <c r="AK439" s="86" t="s">
        <v>6033</v>
      </c>
      <c r="AL439" s="81" t="b">
        <v>0</v>
      </c>
      <c r="AM439" s="81">
        <v>0</v>
      </c>
      <c r="AN439" s="86" t="s">
        <v>6240</v>
      </c>
      <c r="AO439" s="86" t="s">
        <v>6503</v>
      </c>
      <c r="AP439" s="81" t="b">
        <v>0</v>
      </c>
      <c r="AQ439" s="86" t="s">
        <v>4533</v>
      </c>
      <c r="AR439" s="81" t="s">
        <v>179</v>
      </c>
      <c r="AS439" s="81">
        <v>0</v>
      </c>
      <c r="AT439" s="81">
        <v>0</v>
      </c>
      <c r="AU439" s="81"/>
      <c r="AV439" s="81"/>
      <c r="AW439" s="81"/>
      <c r="AX439" s="81"/>
      <c r="AY439" s="81"/>
      <c r="AZ439" s="81"/>
      <c r="BA439" s="81"/>
      <c r="BB439" s="81"/>
    </row>
    <row r="440" spans="1:54" x14ac:dyDescent="0.35">
      <c r="A440" s="66" t="s">
        <v>509</v>
      </c>
      <c r="B440" s="66" t="s">
        <v>1324</v>
      </c>
      <c r="C440" s="67"/>
      <c r="D440" s="68"/>
      <c r="E440" s="69"/>
      <c r="F440" s="70"/>
      <c r="G440" s="67"/>
      <c r="H440" s="71"/>
      <c r="I440" s="72"/>
      <c r="J440" s="72"/>
      <c r="K440" s="36"/>
      <c r="L440" s="79"/>
      <c r="M440" s="79"/>
      <c r="N440" s="74"/>
      <c r="O440" s="81" t="s">
        <v>1535</v>
      </c>
      <c r="P440" s="83">
        <v>44460.287245370368</v>
      </c>
      <c r="Q440" s="81" t="s">
        <v>1684</v>
      </c>
      <c r="R440" s="84" t="str">
        <f>HYPERLINK("https://twitter.com/ib_ost/status/1440119631516082176")</f>
        <v>https://twitter.com/ib_ost/status/1440119631516082176</v>
      </c>
      <c r="S440" s="81" t="s">
        <v>2588</v>
      </c>
      <c r="T440" s="81"/>
      <c r="U440" s="81"/>
      <c r="V440" s="84" t="str">
        <f>HYPERLINK("https://pbs.twimg.com/profile_images/1311564667324526592/Wel-qpe2_normal.jpg")</f>
        <v>https://pbs.twimg.com/profile_images/1311564667324526592/Wel-qpe2_normal.jpg</v>
      </c>
      <c r="W440" s="83">
        <v>44460.287245370368</v>
      </c>
      <c r="X440" s="89">
        <v>44460</v>
      </c>
      <c r="Y440" s="86" t="s">
        <v>3072</v>
      </c>
      <c r="Z440" s="84" t="str">
        <f>HYPERLINK("https://twitter.com/dasterhejo/status/1440207576222691340")</f>
        <v>https://twitter.com/dasterhejo/status/1440207576222691340</v>
      </c>
      <c r="AA440" s="81"/>
      <c r="AB440" s="81"/>
      <c r="AC440" s="86" t="s">
        <v>4533</v>
      </c>
      <c r="AD440" s="81"/>
      <c r="AE440" s="81" t="b">
        <v>0</v>
      </c>
      <c r="AF440" s="81">
        <v>0</v>
      </c>
      <c r="AG440" s="86" t="s">
        <v>6290</v>
      </c>
      <c r="AH440" s="81" t="b">
        <v>1</v>
      </c>
      <c r="AI440" s="81" t="s">
        <v>6478</v>
      </c>
      <c r="AJ440" s="81"/>
      <c r="AK440" s="86" t="s">
        <v>6033</v>
      </c>
      <c r="AL440" s="81" t="b">
        <v>0</v>
      </c>
      <c r="AM440" s="81">
        <v>0</v>
      </c>
      <c r="AN440" s="86" t="s">
        <v>6240</v>
      </c>
      <c r="AO440" s="86" t="s">
        <v>6503</v>
      </c>
      <c r="AP440" s="81" t="b">
        <v>0</v>
      </c>
      <c r="AQ440" s="86" t="s">
        <v>4533</v>
      </c>
      <c r="AR440" s="81" t="s">
        <v>179</v>
      </c>
      <c r="AS440" s="81">
        <v>0</v>
      </c>
      <c r="AT440" s="81">
        <v>0</v>
      </c>
      <c r="AU440" s="81"/>
      <c r="AV440" s="81"/>
      <c r="AW440" s="81"/>
      <c r="AX440" s="81"/>
      <c r="AY440" s="81"/>
      <c r="AZ440" s="81"/>
      <c r="BA440" s="81"/>
      <c r="BB440" s="81"/>
    </row>
    <row r="441" spans="1:54" x14ac:dyDescent="0.35">
      <c r="A441" s="66" t="s">
        <v>509</v>
      </c>
      <c r="B441" s="66" t="s">
        <v>1269</v>
      </c>
      <c r="C441" s="67"/>
      <c r="D441" s="68"/>
      <c r="E441" s="69"/>
      <c r="F441" s="70"/>
      <c r="G441" s="67"/>
      <c r="H441" s="71"/>
      <c r="I441" s="72"/>
      <c r="J441" s="72"/>
      <c r="K441" s="36"/>
      <c r="L441" s="79"/>
      <c r="M441" s="79"/>
      <c r="N441" s="74"/>
      <c r="O441" s="81" t="s">
        <v>1534</v>
      </c>
      <c r="P441" s="83">
        <v>44460.287245370368</v>
      </c>
      <c r="Q441" s="81" t="s">
        <v>1684</v>
      </c>
      <c r="R441" s="84" t="str">
        <f>HYPERLINK("https://twitter.com/ib_ost/status/1440119631516082176")</f>
        <v>https://twitter.com/ib_ost/status/1440119631516082176</v>
      </c>
      <c r="S441" s="81" t="s">
        <v>2588</v>
      </c>
      <c r="T441" s="81"/>
      <c r="U441" s="81"/>
      <c r="V441" s="84" t="str">
        <f>HYPERLINK("https://pbs.twimg.com/profile_images/1311564667324526592/Wel-qpe2_normal.jpg")</f>
        <v>https://pbs.twimg.com/profile_images/1311564667324526592/Wel-qpe2_normal.jpg</v>
      </c>
      <c r="W441" s="83">
        <v>44460.287245370368</v>
      </c>
      <c r="X441" s="89">
        <v>44460</v>
      </c>
      <c r="Y441" s="86" t="s">
        <v>3072</v>
      </c>
      <c r="Z441" s="84" t="str">
        <f>HYPERLINK("https://twitter.com/dasterhejo/status/1440207576222691340")</f>
        <v>https://twitter.com/dasterhejo/status/1440207576222691340</v>
      </c>
      <c r="AA441" s="81"/>
      <c r="AB441" s="81"/>
      <c r="AC441" s="86" t="s">
        <v>4533</v>
      </c>
      <c r="AD441" s="81"/>
      <c r="AE441" s="81" t="b">
        <v>0</v>
      </c>
      <c r="AF441" s="81">
        <v>0</v>
      </c>
      <c r="AG441" s="86" t="s">
        <v>6290</v>
      </c>
      <c r="AH441" s="81" t="b">
        <v>1</v>
      </c>
      <c r="AI441" s="81" t="s">
        <v>6478</v>
      </c>
      <c r="AJ441" s="81"/>
      <c r="AK441" s="86" t="s">
        <v>6033</v>
      </c>
      <c r="AL441" s="81" t="b">
        <v>0</v>
      </c>
      <c r="AM441" s="81">
        <v>0</v>
      </c>
      <c r="AN441" s="86" t="s">
        <v>6240</v>
      </c>
      <c r="AO441" s="86" t="s">
        <v>6503</v>
      </c>
      <c r="AP441" s="81" t="b">
        <v>0</v>
      </c>
      <c r="AQ441" s="86" t="s">
        <v>4533</v>
      </c>
      <c r="AR441" s="81" t="s">
        <v>179</v>
      </c>
      <c r="AS441" s="81">
        <v>0</v>
      </c>
      <c r="AT441" s="81">
        <v>0</v>
      </c>
      <c r="AU441" s="81"/>
      <c r="AV441" s="81"/>
      <c r="AW441" s="81"/>
      <c r="AX441" s="81"/>
      <c r="AY441" s="81"/>
      <c r="AZ441" s="81"/>
      <c r="BA441" s="81"/>
      <c r="BB441" s="81"/>
    </row>
    <row r="442" spans="1:54" x14ac:dyDescent="0.35">
      <c r="A442" s="66" t="s">
        <v>510</v>
      </c>
      <c r="B442" s="66" t="s">
        <v>510</v>
      </c>
      <c r="C442" s="67"/>
      <c r="D442" s="68"/>
      <c r="E442" s="69"/>
      <c r="F442" s="70"/>
      <c r="G442" s="67"/>
      <c r="H442" s="71"/>
      <c r="I442" s="72"/>
      <c r="J442" s="72"/>
      <c r="K442" s="36"/>
      <c r="L442" s="79"/>
      <c r="M442" s="79"/>
      <c r="N442" s="74"/>
      <c r="O442" s="81" t="s">
        <v>179</v>
      </c>
      <c r="P442" s="83">
        <v>44460.288321759261</v>
      </c>
      <c r="Q442" s="81" t="s">
        <v>1685</v>
      </c>
      <c r="R442" s="81"/>
      <c r="S442" s="81"/>
      <c r="T442" s="81"/>
      <c r="U442" s="84" t="str">
        <f>HYPERLINK("https://pbs.twimg.com/media/E_ylePOVIAQCCZd.jpg")</f>
        <v>https://pbs.twimg.com/media/E_ylePOVIAQCCZd.jpg</v>
      </c>
      <c r="V442" s="84" t="str">
        <f>HYPERLINK("https://pbs.twimg.com/media/E_ylePOVIAQCCZd.jpg")</f>
        <v>https://pbs.twimg.com/media/E_ylePOVIAQCCZd.jpg</v>
      </c>
      <c r="W442" s="83">
        <v>44460.288321759261</v>
      </c>
      <c r="X442" s="89">
        <v>44460</v>
      </c>
      <c r="Y442" s="86" t="s">
        <v>3073</v>
      </c>
      <c r="Z442" s="84" t="str">
        <f>HYPERLINK("https://twitter.com/biowan3254/status/1440207966330703875")</f>
        <v>https://twitter.com/biowan3254/status/1440207966330703875</v>
      </c>
      <c r="AA442" s="81"/>
      <c r="AB442" s="81"/>
      <c r="AC442" s="86" t="s">
        <v>4534</v>
      </c>
      <c r="AD442" s="81"/>
      <c r="AE442" s="81" t="b">
        <v>0</v>
      </c>
      <c r="AF442" s="81">
        <v>0</v>
      </c>
      <c r="AG442" s="86" t="s">
        <v>6240</v>
      </c>
      <c r="AH442" s="81" t="b">
        <v>0</v>
      </c>
      <c r="AI442" s="81" t="s">
        <v>6478</v>
      </c>
      <c r="AJ442" s="81"/>
      <c r="AK442" s="86" t="s">
        <v>6240</v>
      </c>
      <c r="AL442" s="81" t="b">
        <v>0</v>
      </c>
      <c r="AM442" s="81">
        <v>0</v>
      </c>
      <c r="AN442" s="86" t="s">
        <v>6240</v>
      </c>
      <c r="AO442" s="86" t="s">
        <v>6503</v>
      </c>
      <c r="AP442" s="81" t="b">
        <v>0</v>
      </c>
      <c r="AQ442" s="86" t="s">
        <v>4534</v>
      </c>
      <c r="AR442" s="81" t="s">
        <v>179</v>
      </c>
      <c r="AS442" s="81">
        <v>0</v>
      </c>
      <c r="AT442" s="81">
        <v>0</v>
      </c>
      <c r="AU442" s="81"/>
      <c r="AV442" s="81"/>
      <c r="AW442" s="81"/>
      <c r="AX442" s="81"/>
      <c r="AY442" s="81"/>
      <c r="AZ442" s="81"/>
      <c r="BA442" s="81"/>
      <c r="BB442" s="81"/>
    </row>
    <row r="443" spans="1:54" x14ac:dyDescent="0.35">
      <c r="A443" s="66" t="s">
        <v>511</v>
      </c>
      <c r="B443" s="66" t="s">
        <v>511</v>
      </c>
      <c r="C443" s="67"/>
      <c r="D443" s="68"/>
      <c r="E443" s="69"/>
      <c r="F443" s="70"/>
      <c r="G443" s="67"/>
      <c r="H443" s="71"/>
      <c r="I443" s="72"/>
      <c r="J443" s="72"/>
      <c r="K443" s="36"/>
      <c r="L443" s="79"/>
      <c r="M443" s="79"/>
      <c r="N443" s="74"/>
      <c r="O443" s="81" t="s">
        <v>179</v>
      </c>
      <c r="P443" s="83">
        <v>44460.288657407407</v>
      </c>
      <c r="Q443" s="81" t="s">
        <v>1686</v>
      </c>
      <c r="R443" s="81"/>
      <c r="S443" s="81"/>
      <c r="T443" s="81"/>
      <c r="U443" s="81"/>
      <c r="V443" s="84" t="str">
        <f>HYPERLINK("https://pbs.twimg.com/profile_images/1442378409095483393/HrY1zMf__normal.jpg")</f>
        <v>https://pbs.twimg.com/profile_images/1442378409095483393/HrY1zMf__normal.jpg</v>
      </c>
      <c r="W443" s="83">
        <v>44460.288657407407</v>
      </c>
      <c r="X443" s="89">
        <v>44460</v>
      </c>
      <c r="Y443" s="86" t="s">
        <v>3074</v>
      </c>
      <c r="Z443" s="84" t="str">
        <f>HYPERLINK("https://twitter.com/anisofeaaaaaa/status/1440208089479671814")</f>
        <v>https://twitter.com/anisofeaaaaaa/status/1440208089479671814</v>
      </c>
      <c r="AA443" s="81"/>
      <c r="AB443" s="81"/>
      <c r="AC443" s="86" t="s">
        <v>4535</v>
      </c>
      <c r="AD443" s="81"/>
      <c r="AE443" s="81" t="b">
        <v>0</v>
      </c>
      <c r="AF443" s="81">
        <v>0</v>
      </c>
      <c r="AG443" s="86" t="s">
        <v>6240</v>
      </c>
      <c r="AH443" s="81" t="b">
        <v>0</v>
      </c>
      <c r="AI443" s="81" t="s">
        <v>6478</v>
      </c>
      <c r="AJ443" s="81"/>
      <c r="AK443" s="86" t="s">
        <v>6240</v>
      </c>
      <c r="AL443" s="81" t="b">
        <v>0</v>
      </c>
      <c r="AM443" s="81">
        <v>0</v>
      </c>
      <c r="AN443" s="86" t="s">
        <v>6240</v>
      </c>
      <c r="AO443" s="86" t="s">
        <v>6503</v>
      </c>
      <c r="AP443" s="81" t="b">
        <v>0</v>
      </c>
      <c r="AQ443" s="86" t="s">
        <v>4535</v>
      </c>
      <c r="AR443" s="81" t="s">
        <v>179</v>
      </c>
      <c r="AS443" s="81">
        <v>0</v>
      </c>
      <c r="AT443" s="81">
        <v>0</v>
      </c>
      <c r="AU443" s="81"/>
      <c r="AV443" s="81"/>
      <c r="AW443" s="81"/>
      <c r="AX443" s="81"/>
      <c r="AY443" s="81"/>
      <c r="AZ443" s="81"/>
      <c r="BA443" s="81"/>
      <c r="BB443" s="81"/>
    </row>
    <row r="444" spans="1:54" x14ac:dyDescent="0.35">
      <c r="A444" s="66" t="s">
        <v>512</v>
      </c>
      <c r="B444" s="66" t="s">
        <v>1247</v>
      </c>
      <c r="C444" s="67"/>
      <c r="D444" s="68"/>
      <c r="E444" s="69"/>
      <c r="F444" s="70"/>
      <c r="G444" s="67"/>
      <c r="H444" s="71"/>
      <c r="I444" s="72"/>
      <c r="J444" s="72"/>
      <c r="K444" s="36"/>
      <c r="L444" s="79"/>
      <c r="M444" s="79"/>
      <c r="N444" s="74"/>
      <c r="O444" s="81" t="s">
        <v>1532</v>
      </c>
      <c r="P444" s="83">
        <v>44460.290509259263</v>
      </c>
      <c r="Q444" s="81" t="s">
        <v>1650</v>
      </c>
      <c r="R444" s="81"/>
      <c r="S444" s="81"/>
      <c r="T444" s="86" t="s">
        <v>2667</v>
      </c>
      <c r="U444" s="84" t="str">
        <f>HYPERLINK("https://pbs.twimg.com/media/E_ubZIHUYAESLiB.jpg")</f>
        <v>https://pbs.twimg.com/media/E_ubZIHUYAESLiB.jpg</v>
      </c>
      <c r="V444" s="84" t="str">
        <f>HYPERLINK("https://pbs.twimg.com/media/E_ubZIHUYAESLiB.jpg")</f>
        <v>https://pbs.twimg.com/media/E_ubZIHUYAESLiB.jpg</v>
      </c>
      <c r="W444" s="83">
        <v>44460.290509259263</v>
      </c>
      <c r="X444" s="89">
        <v>44460</v>
      </c>
      <c r="Y444" s="86" t="s">
        <v>3075</v>
      </c>
      <c r="Z444" s="84" t="str">
        <f>HYPERLINK("https://twitter.com/cixbaely/status/1440208760689942537")</f>
        <v>https://twitter.com/cixbaely/status/1440208760689942537</v>
      </c>
      <c r="AA444" s="81"/>
      <c r="AB444" s="81"/>
      <c r="AC444" s="86" t="s">
        <v>4536</v>
      </c>
      <c r="AD444" s="81"/>
      <c r="AE444" s="81" t="b">
        <v>0</v>
      </c>
      <c r="AF444" s="81">
        <v>0</v>
      </c>
      <c r="AG444" s="86" t="s">
        <v>6240</v>
      </c>
      <c r="AH444" s="81" t="b">
        <v>0</v>
      </c>
      <c r="AI444" s="81" t="s">
        <v>6479</v>
      </c>
      <c r="AJ444" s="81"/>
      <c r="AK444" s="86" t="s">
        <v>6240</v>
      </c>
      <c r="AL444" s="81" t="b">
        <v>0</v>
      </c>
      <c r="AM444" s="81">
        <v>27</v>
      </c>
      <c r="AN444" s="86" t="s">
        <v>5503</v>
      </c>
      <c r="AO444" s="86" t="s">
        <v>6503</v>
      </c>
      <c r="AP444" s="81" t="b">
        <v>0</v>
      </c>
      <c r="AQ444" s="86" t="s">
        <v>5503</v>
      </c>
      <c r="AR444" s="81" t="s">
        <v>179</v>
      </c>
      <c r="AS444" s="81">
        <v>0</v>
      </c>
      <c r="AT444" s="81">
        <v>0</v>
      </c>
      <c r="AU444" s="81"/>
      <c r="AV444" s="81"/>
      <c r="AW444" s="81"/>
      <c r="AX444" s="81"/>
      <c r="AY444" s="81"/>
      <c r="AZ444" s="81"/>
      <c r="BA444" s="81"/>
      <c r="BB444" s="81"/>
    </row>
    <row r="445" spans="1:54" x14ac:dyDescent="0.35">
      <c r="A445" s="66" t="s">
        <v>513</v>
      </c>
      <c r="B445" s="66" t="s">
        <v>513</v>
      </c>
      <c r="C445" s="67"/>
      <c r="D445" s="68"/>
      <c r="E445" s="69"/>
      <c r="F445" s="70"/>
      <c r="G445" s="67"/>
      <c r="H445" s="71"/>
      <c r="I445" s="72"/>
      <c r="J445" s="72"/>
      <c r="K445" s="36"/>
      <c r="L445" s="79"/>
      <c r="M445" s="79"/>
      <c r="N445" s="74"/>
      <c r="O445" s="81" t="s">
        <v>179</v>
      </c>
      <c r="P445" s="83">
        <v>44460.292361111111</v>
      </c>
      <c r="Q445" s="81" t="s">
        <v>1687</v>
      </c>
      <c r="R445" s="84" t="str">
        <f>HYPERLINK("https://www.gesuri.id/pemerintahan/lasarus-tegaskan-plbn-berperan-tekan-kasus-covid-19-b2c98Z2U4")</f>
        <v>https://www.gesuri.id/pemerintahan/lasarus-tegaskan-plbn-berperan-tekan-kasus-covid-19-b2c98Z2U4</v>
      </c>
      <c r="S445" s="81" t="s">
        <v>2602</v>
      </c>
      <c r="T445" s="86" t="s">
        <v>2673</v>
      </c>
      <c r="U445" s="81"/>
      <c r="V445" s="84" t="str">
        <f>HYPERLINK("https://pbs.twimg.com/profile_images/935094379638689792/Y2yHR5kF_normal.jpg")</f>
        <v>https://pbs.twimg.com/profile_images/935094379638689792/Y2yHR5kF_normal.jpg</v>
      </c>
      <c r="W445" s="83">
        <v>44460.292361111111</v>
      </c>
      <c r="X445" s="89">
        <v>44460</v>
      </c>
      <c r="Y445" s="86" t="s">
        <v>3076</v>
      </c>
      <c r="Z445" s="84" t="str">
        <f>HYPERLINK("https://twitter.com/gesuriid/status/1440209428704284672")</f>
        <v>https://twitter.com/gesuriid/status/1440209428704284672</v>
      </c>
      <c r="AA445" s="81"/>
      <c r="AB445" s="81"/>
      <c r="AC445" s="86" t="s">
        <v>4537</v>
      </c>
      <c r="AD445" s="81"/>
      <c r="AE445" s="81" t="b">
        <v>0</v>
      </c>
      <c r="AF445" s="81">
        <v>0</v>
      </c>
      <c r="AG445" s="86" t="s">
        <v>6240</v>
      </c>
      <c r="AH445" s="81" t="b">
        <v>0</v>
      </c>
      <c r="AI445" s="81" t="s">
        <v>6478</v>
      </c>
      <c r="AJ445" s="81"/>
      <c r="AK445" s="86" t="s">
        <v>6240</v>
      </c>
      <c r="AL445" s="81" t="b">
        <v>0</v>
      </c>
      <c r="AM445" s="81">
        <v>0</v>
      </c>
      <c r="AN445" s="86" t="s">
        <v>6240</v>
      </c>
      <c r="AO445" s="86" t="s">
        <v>6512</v>
      </c>
      <c r="AP445" s="81" t="b">
        <v>0</v>
      </c>
      <c r="AQ445" s="86" t="s">
        <v>4537</v>
      </c>
      <c r="AR445" s="81" t="s">
        <v>179</v>
      </c>
      <c r="AS445" s="81">
        <v>0</v>
      </c>
      <c r="AT445" s="81">
        <v>0</v>
      </c>
      <c r="AU445" s="81"/>
      <c r="AV445" s="81"/>
      <c r="AW445" s="81"/>
      <c r="AX445" s="81"/>
      <c r="AY445" s="81"/>
      <c r="AZ445" s="81"/>
      <c r="BA445" s="81"/>
      <c r="BB445" s="81"/>
    </row>
    <row r="446" spans="1:54" x14ac:dyDescent="0.35">
      <c r="A446" s="66" t="s">
        <v>514</v>
      </c>
      <c r="B446" s="66" t="s">
        <v>1325</v>
      </c>
      <c r="C446" s="67"/>
      <c r="D446" s="68"/>
      <c r="E446" s="69"/>
      <c r="F446" s="70"/>
      <c r="G446" s="67"/>
      <c r="H446" s="71"/>
      <c r="I446" s="72"/>
      <c r="J446" s="72"/>
      <c r="K446" s="36"/>
      <c r="L446" s="79"/>
      <c r="M446" s="79"/>
      <c r="N446" s="74"/>
      <c r="O446" s="81" t="s">
        <v>1535</v>
      </c>
      <c r="P446" s="83">
        <v>44460.305266203701</v>
      </c>
      <c r="Q446" s="81" t="s">
        <v>1688</v>
      </c>
      <c r="R446" s="81"/>
      <c r="S446" s="81"/>
      <c r="T446" s="81"/>
      <c r="U446" s="81"/>
      <c r="V446" s="84" t="str">
        <f>HYPERLINK("https://pbs.twimg.com/profile_images/1091700350472474624/CsuQ65QF_normal.jpg")</f>
        <v>https://pbs.twimg.com/profile_images/1091700350472474624/CsuQ65QF_normal.jpg</v>
      </c>
      <c r="W446" s="83">
        <v>44460.305266203701</v>
      </c>
      <c r="X446" s="89">
        <v>44460</v>
      </c>
      <c r="Y446" s="86" t="s">
        <v>3077</v>
      </c>
      <c r="Z446" s="84" t="str">
        <f>HYPERLINK("https://twitter.com/festifiki/status/1440214104644349954")</f>
        <v>https://twitter.com/festifiki/status/1440214104644349954</v>
      </c>
      <c r="AA446" s="81"/>
      <c r="AB446" s="81"/>
      <c r="AC446" s="86" t="s">
        <v>4538</v>
      </c>
      <c r="AD446" s="81"/>
      <c r="AE446" s="81" t="b">
        <v>0</v>
      </c>
      <c r="AF446" s="81">
        <v>0</v>
      </c>
      <c r="AG446" s="86" t="s">
        <v>6240</v>
      </c>
      <c r="AH446" s="81" t="b">
        <v>0</v>
      </c>
      <c r="AI446" s="81" t="s">
        <v>6478</v>
      </c>
      <c r="AJ446" s="81"/>
      <c r="AK446" s="86" t="s">
        <v>6240</v>
      </c>
      <c r="AL446" s="81" t="b">
        <v>0</v>
      </c>
      <c r="AM446" s="81">
        <v>0</v>
      </c>
      <c r="AN446" s="86" t="s">
        <v>6240</v>
      </c>
      <c r="AO446" s="86" t="s">
        <v>6505</v>
      </c>
      <c r="AP446" s="81" t="b">
        <v>0</v>
      </c>
      <c r="AQ446" s="86" t="s">
        <v>4538</v>
      </c>
      <c r="AR446" s="81" t="s">
        <v>179</v>
      </c>
      <c r="AS446" s="81">
        <v>0</v>
      </c>
      <c r="AT446" s="81">
        <v>0</v>
      </c>
      <c r="AU446" s="81"/>
      <c r="AV446" s="81"/>
      <c r="AW446" s="81"/>
      <c r="AX446" s="81"/>
      <c r="AY446" s="81"/>
      <c r="AZ446" s="81"/>
      <c r="BA446" s="81"/>
      <c r="BB446" s="81"/>
    </row>
    <row r="447" spans="1:54" x14ac:dyDescent="0.35">
      <c r="A447" s="66" t="s">
        <v>515</v>
      </c>
      <c r="B447" s="66" t="s">
        <v>1326</v>
      </c>
      <c r="C447" s="67"/>
      <c r="D447" s="68"/>
      <c r="E447" s="69"/>
      <c r="F447" s="70"/>
      <c r="G447" s="67"/>
      <c r="H447" s="71"/>
      <c r="I447" s="72"/>
      <c r="J447" s="72"/>
      <c r="K447" s="36"/>
      <c r="L447" s="79"/>
      <c r="M447" s="79"/>
      <c r="N447" s="74"/>
      <c r="O447" s="81" t="s">
        <v>1534</v>
      </c>
      <c r="P447" s="83">
        <v>44460.319641203707</v>
      </c>
      <c r="Q447" s="81" t="s">
        <v>1689</v>
      </c>
      <c r="R447" s="81"/>
      <c r="S447" s="81"/>
      <c r="T447" s="81"/>
      <c r="U447" s="81"/>
      <c r="V447" s="84" t="str">
        <f>HYPERLINK("https://pbs.twimg.com/profile_images/1441766559429496832/1feOUpmQ_normal.jpg")</f>
        <v>https://pbs.twimg.com/profile_images/1441766559429496832/1feOUpmQ_normal.jpg</v>
      </c>
      <c r="W447" s="83">
        <v>44460.319641203707</v>
      </c>
      <c r="X447" s="89">
        <v>44460</v>
      </c>
      <c r="Y447" s="86" t="s">
        <v>3078</v>
      </c>
      <c r="Z447" s="84" t="str">
        <f>HYPERLINK("https://twitter.com/eunoiahoon/status/1440219314934599684")</f>
        <v>https://twitter.com/eunoiahoon/status/1440219314934599684</v>
      </c>
      <c r="AA447" s="81"/>
      <c r="AB447" s="81"/>
      <c r="AC447" s="86" t="s">
        <v>4539</v>
      </c>
      <c r="AD447" s="86" t="s">
        <v>6021</v>
      </c>
      <c r="AE447" s="81" t="b">
        <v>0</v>
      </c>
      <c r="AF447" s="81">
        <v>0</v>
      </c>
      <c r="AG447" s="86" t="s">
        <v>6291</v>
      </c>
      <c r="AH447" s="81" t="b">
        <v>0</v>
      </c>
      <c r="AI447" s="81" t="s">
        <v>6479</v>
      </c>
      <c r="AJ447" s="81"/>
      <c r="AK447" s="86" t="s">
        <v>6240</v>
      </c>
      <c r="AL447" s="81" t="b">
        <v>0</v>
      </c>
      <c r="AM447" s="81">
        <v>0</v>
      </c>
      <c r="AN447" s="86" t="s">
        <v>6240</v>
      </c>
      <c r="AO447" s="86" t="s">
        <v>6503</v>
      </c>
      <c r="AP447" s="81" t="b">
        <v>0</v>
      </c>
      <c r="AQ447" s="86" t="s">
        <v>6021</v>
      </c>
      <c r="AR447" s="81" t="s">
        <v>179</v>
      </c>
      <c r="AS447" s="81">
        <v>0</v>
      </c>
      <c r="AT447" s="81">
        <v>0</v>
      </c>
      <c r="AU447" s="81"/>
      <c r="AV447" s="81"/>
      <c r="AW447" s="81"/>
      <c r="AX447" s="81"/>
      <c r="AY447" s="81"/>
      <c r="AZ447" s="81"/>
      <c r="BA447" s="81"/>
      <c r="BB447" s="81"/>
    </row>
    <row r="448" spans="1:54" x14ac:dyDescent="0.35">
      <c r="A448" s="66" t="s">
        <v>516</v>
      </c>
      <c r="B448" s="66" t="s">
        <v>516</v>
      </c>
      <c r="C448" s="67"/>
      <c r="D448" s="68"/>
      <c r="E448" s="69"/>
      <c r="F448" s="70"/>
      <c r="G448" s="67"/>
      <c r="H448" s="71"/>
      <c r="I448" s="72"/>
      <c r="J448" s="72"/>
      <c r="K448" s="36"/>
      <c r="L448" s="79"/>
      <c r="M448" s="79"/>
      <c r="N448" s="74"/>
      <c r="O448" s="81" t="s">
        <v>179</v>
      </c>
      <c r="P448" s="83">
        <v>44435.334340277775</v>
      </c>
      <c r="Q448" s="81" t="s">
        <v>1690</v>
      </c>
      <c r="R448" s="84" t="str">
        <f>HYPERLINK("https://kemlu.go.id/portal/id/read/2866/berita/indonesia-terpilih-sebagai-anggota-postal-operations-council-pada-universal-postal-union-periode-2021-2024")</f>
        <v>https://kemlu.go.id/portal/id/read/2866/berita/indonesia-terpilih-sebagai-anggota-postal-operations-council-pada-universal-postal-union-periode-2021-2024</v>
      </c>
      <c r="S448" s="81" t="s">
        <v>2603</v>
      </c>
      <c r="T448" s="86" t="s">
        <v>2674</v>
      </c>
      <c r="U448" s="84" t="str">
        <f>HYPERLINK("https://pbs.twimg.com/media/E9yDTwGVkAEka1Y.jpg")</f>
        <v>https://pbs.twimg.com/media/E9yDTwGVkAEka1Y.jpg</v>
      </c>
      <c r="V448" s="84" t="str">
        <f>HYPERLINK("https://pbs.twimg.com/media/E9yDTwGVkAEka1Y.jpg")</f>
        <v>https://pbs.twimg.com/media/E9yDTwGVkAEka1Y.jpg</v>
      </c>
      <c r="W448" s="83">
        <v>44435.334340277775</v>
      </c>
      <c r="X448" s="89">
        <v>44435</v>
      </c>
      <c r="Y448" s="86" t="s">
        <v>3079</v>
      </c>
      <c r="Z448" s="84" t="str">
        <f>HYPERLINK("https://twitter.com/kemlu_ri/status/1431164947539447811")</f>
        <v>https://twitter.com/kemlu_ri/status/1431164947539447811</v>
      </c>
      <c r="AA448" s="81"/>
      <c r="AB448" s="81"/>
      <c r="AC448" s="86" t="s">
        <v>4540</v>
      </c>
      <c r="AD448" s="86" t="s">
        <v>6022</v>
      </c>
      <c r="AE448" s="81" t="b">
        <v>0</v>
      </c>
      <c r="AF448" s="81">
        <v>15</v>
      </c>
      <c r="AG448" s="86" t="s">
        <v>6292</v>
      </c>
      <c r="AH448" s="81" t="b">
        <v>0</v>
      </c>
      <c r="AI448" s="81" t="s">
        <v>6478</v>
      </c>
      <c r="AJ448" s="81"/>
      <c r="AK448" s="86" t="s">
        <v>6240</v>
      </c>
      <c r="AL448" s="81" t="b">
        <v>0</v>
      </c>
      <c r="AM448" s="81">
        <v>12</v>
      </c>
      <c r="AN448" s="86" t="s">
        <v>6240</v>
      </c>
      <c r="AO448" s="86" t="s">
        <v>6507</v>
      </c>
      <c r="AP448" s="81" t="b">
        <v>0</v>
      </c>
      <c r="AQ448" s="86" t="s">
        <v>6022</v>
      </c>
      <c r="AR448" s="81" t="s">
        <v>1532</v>
      </c>
      <c r="AS448" s="81">
        <v>0</v>
      </c>
      <c r="AT448" s="81">
        <v>0</v>
      </c>
      <c r="AU448" s="81"/>
      <c r="AV448" s="81"/>
      <c r="AW448" s="81"/>
      <c r="AX448" s="81"/>
      <c r="AY448" s="81"/>
      <c r="AZ448" s="81"/>
      <c r="BA448" s="81"/>
      <c r="BB448" s="81"/>
    </row>
    <row r="449" spans="1:54" x14ac:dyDescent="0.35">
      <c r="A449" s="66" t="s">
        <v>517</v>
      </c>
      <c r="B449" s="66" t="s">
        <v>516</v>
      </c>
      <c r="C449" s="67"/>
      <c r="D449" s="68"/>
      <c r="E449" s="69"/>
      <c r="F449" s="70"/>
      <c r="G449" s="67"/>
      <c r="H449" s="71"/>
      <c r="I449" s="72"/>
      <c r="J449" s="72"/>
      <c r="K449" s="36"/>
      <c r="L449" s="79"/>
      <c r="M449" s="79"/>
      <c r="N449" s="74"/>
      <c r="O449" s="81" t="s">
        <v>1532</v>
      </c>
      <c r="P449" s="83">
        <v>44460.322881944441</v>
      </c>
      <c r="Q449" s="81" t="s">
        <v>1690</v>
      </c>
      <c r="R449" s="84" t="str">
        <f>HYPERLINK("https://kemlu.go.id/portal/id/read/2866/berita/indonesia-terpilih-sebagai-anggota-postal-operations-council-pada-universal-postal-union-periode-2021-2024")</f>
        <v>https://kemlu.go.id/portal/id/read/2866/berita/indonesia-terpilih-sebagai-anggota-postal-operations-council-pada-universal-postal-union-periode-2021-2024</v>
      </c>
      <c r="S449" s="81" t="s">
        <v>2603</v>
      </c>
      <c r="T449" s="86" t="s">
        <v>2674</v>
      </c>
      <c r="U449" s="84" t="str">
        <f>HYPERLINK("https://pbs.twimg.com/media/E9yDTwGVkAEka1Y.jpg")</f>
        <v>https://pbs.twimg.com/media/E9yDTwGVkAEka1Y.jpg</v>
      </c>
      <c r="V449" s="84" t="str">
        <f>HYPERLINK("https://pbs.twimg.com/media/E9yDTwGVkAEka1Y.jpg")</f>
        <v>https://pbs.twimg.com/media/E9yDTwGVkAEka1Y.jpg</v>
      </c>
      <c r="W449" s="83">
        <v>44460.322881944441</v>
      </c>
      <c r="X449" s="89">
        <v>44460</v>
      </c>
      <c r="Y449" s="86" t="s">
        <v>3080</v>
      </c>
      <c r="Z449" s="84" t="str">
        <f>HYPERLINK("https://twitter.com/zakierivaldi/status/1440220489763360768")</f>
        <v>https://twitter.com/zakierivaldi/status/1440220489763360768</v>
      </c>
      <c r="AA449" s="81"/>
      <c r="AB449" s="81"/>
      <c r="AC449" s="86" t="s">
        <v>4541</v>
      </c>
      <c r="AD449" s="81"/>
      <c r="AE449" s="81" t="b">
        <v>0</v>
      </c>
      <c r="AF449" s="81">
        <v>0</v>
      </c>
      <c r="AG449" s="86" t="s">
        <v>6240</v>
      </c>
      <c r="AH449" s="81" t="b">
        <v>0</v>
      </c>
      <c r="AI449" s="81" t="s">
        <v>6478</v>
      </c>
      <c r="AJ449" s="81"/>
      <c r="AK449" s="86" t="s">
        <v>6240</v>
      </c>
      <c r="AL449" s="81" t="b">
        <v>0</v>
      </c>
      <c r="AM449" s="81">
        <v>12</v>
      </c>
      <c r="AN449" s="86" t="s">
        <v>4540</v>
      </c>
      <c r="AO449" s="86" t="s">
        <v>6503</v>
      </c>
      <c r="AP449" s="81" t="b">
        <v>0</v>
      </c>
      <c r="AQ449" s="86" t="s">
        <v>4540</v>
      </c>
      <c r="AR449" s="81" t="s">
        <v>179</v>
      </c>
      <c r="AS449" s="81">
        <v>0</v>
      </c>
      <c r="AT449" s="81">
        <v>0</v>
      </c>
      <c r="AU449" s="81"/>
      <c r="AV449" s="81"/>
      <c r="AW449" s="81"/>
      <c r="AX449" s="81"/>
      <c r="AY449" s="81"/>
      <c r="AZ449" s="81"/>
      <c r="BA449" s="81"/>
      <c r="BB449" s="81"/>
    </row>
    <row r="450" spans="1:54" x14ac:dyDescent="0.35">
      <c r="A450" s="66" t="s">
        <v>518</v>
      </c>
      <c r="B450" s="66" t="s">
        <v>518</v>
      </c>
      <c r="C450" s="67"/>
      <c r="D450" s="68"/>
      <c r="E450" s="69"/>
      <c r="F450" s="70"/>
      <c r="G450" s="67"/>
      <c r="H450" s="71"/>
      <c r="I450" s="72"/>
      <c r="J450" s="72"/>
      <c r="K450" s="36"/>
      <c r="L450" s="79"/>
      <c r="M450" s="79"/>
      <c r="N450" s="74"/>
      <c r="O450" s="81" t="s">
        <v>179</v>
      </c>
      <c r="P450" s="83">
        <v>44460.347083333334</v>
      </c>
      <c r="Q450" s="81" t="s">
        <v>1691</v>
      </c>
      <c r="R450" s="81"/>
      <c r="S450" s="81"/>
      <c r="T450" s="81"/>
      <c r="U450" s="81"/>
      <c r="V450" s="84" t="str">
        <f>HYPERLINK("https://pbs.twimg.com/profile_images/1391236302897487873/Moe3gT6t_normal.jpg")</f>
        <v>https://pbs.twimg.com/profile_images/1391236302897487873/Moe3gT6t_normal.jpg</v>
      </c>
      <c r="W450" s="83">
        <v>44460.347083333334</v>
      </c>
      <c r="X450" s="89">
        <v>44460</v>
      </c>
      <c r="Y450" s="86" t="s">
        <v>3081</v>
      </c>
      <c r="Z450" s="84" t="str">
        <f>HYPERLINK("https://twitter.com/ljtzys/status/1440229258421358597")</f>
        <v>https://twitter.com/ljtzys/status/1440229258421358597</v>
      </c>
      <c r="AA450" s="81"/>
      <c r="AB450" s="81"/>
      <c r="AC450" s="86" t="s">
        <v>4542</v>
      </c>
      <c r="AD450" s="81"/>
      <c r="AE450" s="81" t="b">
        <v>0</v>
      </c>
      <c r="AF450" s="81">
        <v>0</v>
      </c>
      <c r="AG450" s="86" t="s">
        <v>6240</v>
      </c>
      <c r="AH450" s="81" t="b">
        <v>0</v>
      </c>
      <c r="AI450" s="81" t="s">
        <v>6478</v>
      </c>
      <c r="AJ450" s="81"/>
      <c r="AK450" s="86" t="s">
        <v>6240</v>
      </c>
      <c r="AL450" s="81" t="b">
        <v>0</v>
      </c>
      <c r="AM450" s="81">
        <v>0</v>
      </c>
      <c r="AN450" s="86" t="s">
        <v>6240</v>
      </c>
      <c r="AO450" s="86" t="s">
        <v>6503</v>
      </c>
      <c r="AP450" s="81" t="b">
        <v>0</v>
      </c>
      <c r="AQ450" s="86" t="s">
        <v>4542</v>
      </c>
      <c r="AR450" s="81" t="s">
        <v>179</v>
      </c>
      <c r="AS450" s="81">
        <v>0</v>
      </c>
      <c r="AT450" s="81">
        <v>0</v>
      </c>
      <c r="AU450" s="81"/>
      <c r="AV450" s="81"/>
      <c r="AW450" s="81"/>
      <c r="AX450" s="81"/>
      <c r="AY450" s="81"/>
      <c r="AZ450" s="81"/>
      <c r="BA450" s="81"/>
      <c r="BB450" s="81"/>
    </row>
    <row r="451" spans="1:54" x14ac:dyDescent="0.35">
      <c r="A451" s="66" t="s">
        <v>519</v>
      </c>
      <c r="B451" s="66" t="s">
        <v>519</v>
      </c>
      <c r="C451" s="67"/>
      <c r="D451" s="68"/>
      <c r="E451" s="69"/>
      <c r="F451" s="70"/>
      <c r="G451" s="67"/>
      <c r="H451" s="71"/>
      <c r="I451" s="72"/>
      <c r="J451" s="72"/>
      <c r="K451" s="36"/>
      <c r="L451" s="79"/>
      <c r="M451" s="79"/>
      <c r="N451" s="74"/>
      <c r="O451" s="81" t="s">
        <v>179</v>
      </c>
      <c r="P451" s="83">
        <v>44460.362696759257</v>
      </c>
      <c r="Q451" s="81" t="s">
        <v>1692</v>
      </c>
      <c r="R451" s="84" t="str">
        <f>HYPERLINK("https://www.sdna.gr/podosfairo/880493_poly-tiki-taki-i-pos-kaneis-ton-pike-senter-gia-na-pareis-bathmo-me-ti-granada")</f>
        <v>https://www.sdna.gr/podosfairo/880493_poly-tiki-taki-i-pos-kaneis-ton-pike-senter-gia-na-pareis-bathmo-me-ti-granada</v>
      </c>
      <c r="S451" s="81" t="s">
        <v>2604</v>
      </c>
      <c r="T451" s="81"/>
      <c r="U451" s="81"/>
      <c r="V451" s="84" t="str">
        <f>HYPERLINK("https://pbs.twimg.com/profile_images/1344952032554328065/R2BRlDNQ_normal.jpg")</f>
        <v>https://pbs.twimg.com/profile_images/1344952032554328065/R2BRlDNQ_normal.jpg</v>
      </c>
      <c r="W451" s="83">
        <v>44460.362696759257</v>
      </c>
      <c r="X451" s="89">
        <v>44460</v>
      </c>
      <c r="Y451" s="86" t="s">
        <v>3082</v>
      </c>
      <c r="Z451" s="84" t="str">
        <f>HYPERLINK("https://twitter.com/sdnagr/status/1440234919389646849")</f>
        <v>https://twitter.com/sdnagr/status/1440234919389646849</v>
      </c>
      <c r="AA451" s="81"/>
      <c r="AB451" s="81"/>
      <c r="AC451" s="86" t="s">
        <v>4543</v>
      </c>
      <c r="AD451" s="81"/>
      <c r="AE451" s="81" t="b">
        <v>0</v>
      </c>
      <c r="AF451" s="81">
        <v>0</v>
      </c>
      <c r="AG451" s="86" t="s">
        <v>6240</v>
      </c>
      <c r="AH451" s="81" t="b">
        <v>0</v>
      </c>
      <c r="AI451" s="81" t="s">
        <v>6486</v>
      </c>
      <c r="AJ451" s="81"/>
      <c r="AK451" s="86" t="s">
        <v>6240</v>
      </c>
      <c r="AL451" s="81" t="b">
        <v>0</v>
      </c>
      <c r="AM451" s="81">
        <v>0</v>
      </c>
      <c r="AN451" s="86" t="s">
        <v>6240</v>
      </c>
      <c r="AO451" s="86" t="s">
        <v>6507</v>
      </c>
      <c r="AP451" s="81" t="b">
        <v>0</v>
      </c>
      <c r="AQ451" s="86" t="s">
        <v>4543</v>
      </c>
      <c r="AR451" s="81" t="s">
        <v>179</v>
      </c>
      <c r="AS451" s="81">
        <v>0</v>
      </c>
      <c r="AT451" s="81">
        <v>0</v>
      </c>
      <c r="AU451" s="81"/>
      <c r="AV451" s="81"/>
      <c r="AW451" s="81"/>
      <c r="AX451" s="81"/>
      <c r="AY451" s="81"/>
      <c r="AZ451" s="81"/>
      <c r="BA451" s="81"/>
      <c r="BB451" s="81"/>
    </row>
    <row r="452" spans="1:54" x14ac:dyDescent="0.35">
      <c r="A452" s="66" t="s">
        <v>520</v>
      </c>
      <c r="B452" s="66" t="s">
        <v>1327</v>
      </c>
      <c r="C452" s="67"/>
      <c r="D452" s="68"/>
      <c r="E452" s="69"/>
      <c r="F452" s="70"/>
      <c r="G452" s="67"/>
      <c r="H452" s="71"/>
      <c r="I452" s="72"/>
      <c r="J452" s="72"/>
      <c r="K452" s="36"/>
      <c r="L452" s="79"/>
      <c r="M452" s="79"/>
      <c r="N452" s="74"/>
      <c r="O452" s="81" t="s">
        <v>1534</v>
      </c>
      <c r="P452" s="83">
        <v>44460.370138888888</v>
      </c>
      <c r="Q452" s="81" t="s">
        <v>1693</v>
      </c>
      <c r="R452" s="81"/>
      <c r="S452" s="81"/>
      <c r="T452" s="81"/>
      <c r="U452" s="81"/>
      <c r="V452" s="84" t="str">
        <f>HYPERLINK("https://pbs.twimg.com/profile_images/1439937233969041409/mdcThWGA_normal.jpg")</f>
        <v>https://pbs.twimg.com/profile_images/1439937233969041409/mdcThWGA_normal.jpg</v>
      </c>
      <c r="W452" s="83">
        <v>44460.370138888888</v>
      </c>
      <c r="X452" s="89">
        <v>44460</v>
      </c>
      <c r="Y452" s="86" t="s">
        <v>3083</v>
      </c>
      <c r="Z452" s="84" t="str">
        <f>HYPERLINK("https://twitter.com/budiatnogr/status/1440237614875889679")</f>
        <v>https://twitter.com/budiatnogr/status/1440237614875889679</v>
      </c>
      <c r="AA452" s="81"/>
      <c r="AB452" s="81"/>
      <c r="AC452" s="86" t="s">
        <v>4544</v>
      </c>
      <c r="AD452" s="86" t="s">
        <v>6023</v>
      </c>
      <c r="AE452" s="81" t="b">
        <v>0</v>
      </c>
      <c r="AF452" s="81">
        <v>1</v>
      </c>
      <c r="AG452" s="86" t="s">
        <v>6293</v>
      </c>
      <c r="AH452" s="81" t="b">
        <v>0</v>
      </c>
      <c r="AI452" s="81" t="s">
        <v>6478</v>
      </c>
      <c r="AJ452" s="81"/>
      <c r="AK452" s="86" t="s">
        <v>6240</v>
      </c>
      <c r="AL452" s="81" t="b">
        <v>0</v>
      </c>
      <c r="AM452" s="81">
        <v>0</v>
      </c>
      <c r="AN452" s="86" t="s">
        <v>6240</v>
      </c>
      <c r="AO452" s="86" t="s">
        <v>6503</v>
      </c>
      <c r="AP452" s="81" t="b">
        <v>0</v>
      </c>
      <c r="AQ452" s="86" t="s">
        <v>6023</v>
      </c>
      <c r="AR452" s="81" t="s">
        <v>179</v>
      </c>
      <c r="AS452" s="81">
        <v>0</v>
      </c>
      <c r="AT452" s="81">
        <v>0</v>
      </c>
      <c r="AU452" s="81"/>
      <c r="AV452" s="81"/>
      <c r="AW452" s="81"/>
      <c r="AX452" s="81"/>
      <c r="AY452" s="81"/>
      <c r="AZ452" s="81"/>
      <c r="BA452" s="81"/>
      <c r="BB452" s="81"/>
    </row>
    <row r="453" spans="1:54" x14ac:dyDescent="0.35">
      <c r="A453" s="66" t="s">
        <v>521</v>
      </c>
      <c r="B453" s="66" t="s">
        <v>1328</v>
      </c>
      <c r="C453" s="67"/>
      <c r="D453" s="68"/>
      <c r="E453" s="69"/>
      <c r="F453" s="70"/>
      <c r="G453" s="67"/>
      <c r="H453" s="71"/>
      <c r="I453" s="72"/>
      <c r="J453" s="72"/>
      <c r="K453" s="36"/>
      <c r="L453" s="79"/>
      <c r="M453" s="79"/>
      <c r="N453" s="74"/>
      <c r="O453" s="81" t="s">
        <v>1534</v>
      </c>
      <c r="P453" s="83">
        <v>44460.378761574073</v>
      </c>
      <c r="Q453" s="81" t="s">
        <v>1694</v>
      </c>
      <c r="R453" s="81"/>
      <c r="S453" s="81"/>
      <c r="T453" s="81"/>
      <c r="U453" s="81"/>
      <c r="V453" s="84" t="str">
        <f>HYPERLINK("https://pbs.twimg.com/profile_images/1433038608185774091/8VwyBhV4_normal.jpg")</f>
        <v>https://pbs.twimg.com/profile_images/1433038608185774091/8VwyBhV4_normal.jpg</v>
      </c>
      <c r="W453" s="83">
        <v>44460.378761574073</v>
      </c>
      <c r="X453" s="89">
        <v>44460</v>
      </c>
      <c r="Y453" s="86" t="s">
        <v>3084</v>
      </c>
      <c r="Z453" s="84" t="str">
        <f>HYPERLINK("https://twitter.com/wickysky_/status/1440240738822856709")</f>
        <v>https://twitter.com/wickysky_/status/1440240738822856709</v>
      </c>
      <c r="AA453" s="81"/>
      <c r="AB453" s="81"/>
      <c r="AC453" s="86" t="s">
        <v>4545</v>
      </c>
      <c r="AD453" s="86" t="s">
        <v>6024</v>
      </c>
      <c r="AE453" s="81" t="b">
        <v>0</v>
      </c>
      <c r="AF453" s="81">
        <v>0</v>
      </c>
      <c r="AG453" s="86" t="s">
        <v>6294</v>
      </c>
      <c r="AH453" s="81" t="b">
        <v>0</v>
      </c>
      <c r="AI453" s="81" t="s">
        <v>6478</v>
      </c>
      <c r="AJ453" s="81"/>
      <c r="AK453" s="86" t="s">
        <v>6240</v>
      </c>
      <c r="AL453" s="81" t="b">
        <v>0</v>
      </c>
      <c r="AM453" s="81">
        <v>0</v>
      </c>
      <c r="AN453" s="86" t="s">
        <v>6240</v>
      </c>
      <c r="AO453" s="86" t="s">
        <v>6505</v>
      </c>
      <c r="AP453" s="81" t="b">
        <v>0</v>
      </c>
      <c r="AQ453" s="86" t="s">
        <v>6024</v>
      </c>
      <c r="AR453" s="81" t="s">
        <v>179</v>
      </c>
      <c r="AS453" s="81">
        <v>0</v>
      </c>
      <c r="AT453" s="81">
        <v>0</v>
      </c>
      <c r="AU453" s="81"/>
      <c r="AV453" s="81"/>
      <c r="AW453" s="81"/>
      <c r="AX453" s="81"/>
      <c r="AY453" s="81"/>
      <c r="AZ453" s="81"/>
      <c r="BA453" s="81"/>
      <c r="BB453" s="81"/>
    </row>
    <row r="454" spans="1:54" x14ac:dyDescent="0.35">
      <c r="A454" s="66" t="s">
        <v>522</v>
      </c>
      <c r="B454" s="66" t="s">
        <v>1329</v>
      </c>
      <c r="C454" s="67"/>
      <c r="D454" s="68"/>
      <c r="E454" s="69"/>
      <c r="F454" s="70"/>
      <c r="G454" s="67"/>
      <c r="H454" s="71"/>
      <c r="I454" s="72"/>
      <c r="J454" s="72"/>
      <c r="K454" s="36"/>
      <c r="L454" s="79"/>
      <c r="M454" s="79"/>
      <c r="N454" s="74"/>
      <c r="O454" s="81" t="s">
        <v>1534</v>
      </c>
      <c r="P454" s="83">
        <v>44460.399560185186</v>
      </c>
      <c r="Q454" s="81" t="s">
        <v>1695</v>
      </c>
      <c r="R454" s="81"/>
      <c r="S454" s="81"/>
      <c r="T454" s="81"/>
      <c r="U454" s="81"/>
      <c r="V454" s="84" t="str">
        <f>HYPERLINK("https://pbs.twimg.com/profile_images/1369775839005446146/2biGpcla_normal.jpg")</f>
        <v>https://pbs.twimg.com/profile_images/1369775839005446146/2biGpcla_normal.jpg</v>
      </c>
      <c r="W454" s="83">
        <v>44460.399560185186</v>
      </c>
      <c r="X454" s="89">
        <v>44460</v>
      </c>
      <c r="Y454" s="86" t="s">
        <v>3085</v>
      </c>
      <c r="Z454" s="84" t="str">
        <f>HYPERLINK("https://twitter.com/kucingduakepala/status/1440248279460048897")</f>
        <v>https://twitter.com/kucingduakepala/status/1440248279460048897</v>
      </c>
      <c r="AA454" s="81"/>
      <c r="AB454" s="81"/>
      <c r="AC454" s="86" t="s">
        <v>4546</v>
      </c>
      <c r="AD454" s="86" t="s">
        <v>6025</v>
      </c>
      <c r="AE454" s="81" t="b">
        <v>0</v>
      </c>
      <c r="AF454" s="81">
        <v>0</v>
      </c>
      <c r="AG454" s="86" t="s">
        <v>6295</v>
      </c>
      <c r="AH454" s="81" t="b">
        <v>0</v>
      </c>
      <c r="AI454" s="81" t="s">
        <v>6478</v>
      </c>
      <c r="AJ454" s="81"/>
      <c r="AK454" s="86" t="s">
        <v>6240</v>
      </c>
      <c r="AL454" s="81" t="b">
        <v>0</v>
      </c>
      <c r="AM454" s="81">
        <v>0</v>
      </c>
      <c r="AN454" s="86" t="s">
        <v>6240</v>
      </c>
      <c r="AO454" s="86" t="s">
        <v>6503</v>
      </c>
      <c r="AP454" s="81" t="b">
        <v>0</v>
      </c>
      <c r="AQ454" s="86" t="s">
        <v>6025</v>
      </c>
      <c r="AR454" s="81" t="s">
        <v>179</v>
      </c>
      <c r="AS454" s="81">
        <v>0</v>
      </c>
      <c r="AT454" s="81">
        <v>0</v>
      </c>
      <c r="AU454" s="81"/>
      <c r="AV454" s="81"/>
      <c r="AW454" s="81"/>
      <c r="AX454" s="81"/>
      <c r="AY454" s="81"/>
      <c r="AZ454" s="81"/>
      <c r="BA454" s="81"/>
      <c r="BB454" s="81"/>
    </row>
    <row r="455" spans="1:54" x14ac:dyDescent="0.35">
      <c r="A455" s="66" t="s">
        <v>523</v>
      </c>
      <c r="B455" s="66" t="s">
        <v>1330</v>
      </c>
      <c r="C455" s="67"/>
      <c r="D455" s="68"/>
      <c r="E455" s="69"/>
      <c r="F455" s="70"/>
      <c r="G455" s="67"/>
      <c r="H455" s="71"/>
      <c r="I455" s="72"/>
      <c r="J455" s="72"/>
      <c r="K455" s="36"/>
      <c r="L455" s="79"/>
      <c r="M455" s="79"/>
      <c r="N455" s="74"/>
      <c r="O455" s="81" t="s">
        <v>1534</v>
      </c>
      <c r="P455" s="83">
        <v>44460.401817129627</v>
      </c>
      <c r="Q455" s="81" t="s">
        <v>1696</v>
      </c>
      <c r="R455" s="81"/>
      <c r="S455" s="81"/>
      <c r="T455" s="81"/>
      <c r="U455" s="81"/>
      <c r="V455" s="84" t="str">
        <f>HYPERLINK("https://pbs.twimg.com/profile_images/1074955938895781888/M5aLXePY_normal.jpg")</f>
        <v>https://pbs.twimg.com/profile_images/1074955938895781888/M5aLXePY_normal.jpg</v>
      </c>
      <c r="W455" s="83">
        <v>44460.401817129627</v>
      </c>
      <c r="X455" s="89">
        <v>44460</v>
      </c>
      <c r="Y455" s="86" t="s">
        <v>3086</v>
      </c>
      <c r="Z455" s="84" t="str">
        <f>HYPERLINK("https://twitter.com/bcpasarbaru/status/1440249096783073283")</f>
        <v>https://twitter.com/bcpasarbaru/status/1440249096783073283</v>
      </c>
      <c r="AA455" s="81"/>
      <c r="AB455" s="81"/>
      <c r="AC455" s="86" t="s">
        <v>4547</v>
      </c>
      <c r="AD455" s="86" t="s">
        <v>6026</v>
      </c>
      <c r="AE455" s="81" t="b">
        <v>0</v>
      </c>
      <c r="AF455" s="81">
        <v>0</v>
      </c>
      <c r="AG455" s="86" t="s">
        <v>6296</v>
      </c>
      <c r="AH455" s="81" t="b">
        <v>0</v>
      </c>
      <c r="AI455" s="81" t="s">
        <v>6478</v>
      </c>
      <c r="AJ455" s="81"/>
      <c r="AK455" s="86" t="s">
        <v>6240</v>
      </c>
      <c r="AL455" s="81" t="b">
        <v>0</v>
      </c>
      <c r="AM455" s="81">
        <v>0</v>
      </c>
      <c r="AN455" s="86" t="s">
        <v>6240</v>
      </c>
      <c r="AO455" s="86" t="s">
        <v>6507</v>
      </c>
      <c r="AP455" s="81" t="b">
        <v>0</v>
      </c>
      <c r="AQ455" s="86" t="s">
        <v>6026</v>
      </c>
      <c r="AR455" s="81" t="s">
        <v>179</v>
      </c>
      <c r="AS455" s="81">
        <v>0</v>
      </c>
      <c r="AT455" s="81">
        <v>0</v>
      </c>
      <c r="AU455" s="81"/>
      <c r="AV455" s="81"/>
      <c r="AW455" s="81"/>
      <c r="AX455" s="81"/>
      <c r="AY455" s="81"/>
      <c r="AZ455" s="81"/>
      <c r="BA455" s="81"/>
      <c r="BB455" s="81"/>
    </row>
    <row r="456" spans="1:54" x14ac:dyDescent="0.35">
      <c r="A456" s="66" t="s">
        <v>524</v>
      </c>
      <c r="B456" s="66" t="s">
        <v>1331</v>
      </c>
      <c r="C456" s="67"/>
      <c r="D456" s="68"/>
      <c r="E456" s="69"/>
      <c r="F456" s="70"/>
      <c r="G456" s="67"/>
      <c r="H456" s="71"/>
      <c r="I456" s="72"/>
      <c r="J456" s="72"/>
      <c r="K456" s="36"/>
      <c r="L456" s="79"/>
      <c r="M456" s="79"/>
      <c r="N456" s="74"/>
      <c r="O456" s="81" t="s">
        <v>1535</v>
      </c>
      <c r="P456" s="83">
        <v>44460.417638888888</v>
      </c>
      <c r="Q456" s="81" t="s">
        <v>1697</v>
      </c>
      <c r="R456" s="81"/>
      <c r="S456" s="81"/>
      <c r="T456" s="81"/>
      <c r="U456" s="81"/>
      <c r="V456" s="84" t="str">
        <f>HYPERLINK("https://pbs.twimg.com/profile_images/1435051860503584769/qddKHTKq_normal.jpg")</f>
        <v>https://pbs.twimg.com/profile_images/1435051860503584769/qddKHTKq_normal.jpg</v>
      </c>
      <c r="W456" s="83">
        <v>44460.417638888888</v>
      </c>
      <c r="X456" s="89">
        <v>44460</v>
      </c>
      <c r="Y456" s="86" t="s">
        <v>3087</v>
      </c>
      <c r="Z456" s="84" t="str">
        <f>HYPERLINK("https://twitter.com/pascallen_/status/1440254827926220804")</f>
        <v>https://twitter.com/pascallen_/status/1440254827926220804</v>
      </c>
      <c r="AA456" s="81"/>
      <c r="AB456" s="81"/>
      <c r="AC456" s="86" t="s">
        <v>4548</v>
      </c>
      <c r="AD456" s="86" t="s">
        <v>6027</v>
      </c>
      <c r="AE456" s="81" t="b">
        <v>0</v>
      </c>
      <c r="AF456" s="81">
        <v>0</v>
      </c>
      <c r="AG456" s="86" t="s">
        <v>6297</v>
      </c>
      <c r="AH456" s="81" t="b">
        <v>0</v>
      </c>
      <c r="AI456" s="81" t="s">
        <v>6478</v>
      </c>
      <c r="AJ456" s="81"/>
      <c r="AK456" s="86" t="s">
        <v>6240</v>
      </c>
      <c r="AL456" s="81" t="b">
        <v>0</v>
      </c>
      <c r="AM456" s="81">
        <v>0</v>
      </c>
      <c r="AN456" s="86" t="s">
        <v>6240</v>
      </c>
      <c r="AO456" s="86" t="s">
        <v>6503</v>
      </c>
      <c r="AP456" s="81" t="b">
        <v>0</v>
      </c>
      <c r="AQ456" s="86" t="s">
        <v>6027</v>
      </c>
      <c r="AR456" s="81" t="s">
        <v>179</v>
      </c>
      <c r="AS456" s="81">
        <v>0</v>
      </c>
      <c r="AT456" s="81">
        <v>0</v>
      </c>
      <c r="AU456" s="81"/>
      <c r="AV456" s="81"/>
      <c r="AW456" s="81"/>
      <c r="AX456" s="81"/>
      <c r="AY456" s="81"/>
      <c r="AZ456" s="81"/>
      <c r="BA456" s="81"/>
      <c r="BB456" s="81"/>
    </row>
    <row r="457" spans="1:54" x14ac:dyDescent="0.35">
      <c r="A457" s="66" t="s">
        <v>524</v>
      </c>
      <c r="B457" s="66" t="s">
        <v>1332</v>
      </c>
      <c r="C457" s="67"/>
      <c r="D457" s="68"/>
      <c r="E457" s="69"/>
      <c r="F457" s="70"/>
      <c r="G457" s="67"/>
      <c r="H457" s="71"/>
      <c r="I457" s="72"/>
      <c r="J457" s="72"/>
      <c r="K457" s="36"/>
      <c r="L457" s="79"/>
      <c r="M457" s="79"/>
      <c r="N457" s="74"/>
      <c r="O457" s="81" t="s">
        <v>1534</v>
      </c>
      <c r="P457" s="83">
        <v>44460.417638888888</v>
      </c>
      <c r="Q457" s="81" t="s">
        <v>1697</v>
      </c>
      <c r="R457" s="81"/>
      <c r="S457" s="81"/>
      <c r="T457" s="81"/>
      <c r="U457" s="81"/>
      <c r="V457" s="84" t="str">
        <f>HYPERLINK("https://pbs.twimg.com/profile_images/1435051860503584769/qddKHTKq_normal.jpg")</f>
        <v>https://pbs.twimg.com/profile_images/1435051860503584769/qddKHTKq_normal.jpg</v>
      </c>
      <c r="W457" s="83">
        <v>44460.417638888888</v>
      </c>
      <c r="X457" s="89">
        <v>44460</v>
      </c>
      <c r="Y457" s="86" t="s">
        <v>3087</v>
      </c>
      <c r="Z457" s="84" t="str">
        <f>HYPERLINK("https://twitter.com/pascallen_/status/1440254827926220804")</f>
        <v>https://twitter.com/pascallen_/status/1440254827926220804</v>
      </c>
      <c r="AA457" s="81"/>
      <c r="AB457" s="81"/>
      <c r="AC457" s="86" t="s">
        <v>4548</v>
      </c>
      <c r="AD457" s="86" t="s">
        <v>6027</v>
      </c>
      <c r="AE457" s="81" t="b">
        <v>0</v>
      </c>
      <c r="AF457" s="81">
        <v>0</v>
      </c>
      <c r="AG457" s="86" t="s">
        <v>6297</v>
      </c>
      <c r="AH457" s="81" t="b">
        <v>0</v>
      </c>
      <c r="AI457" s="81" t="s">
        <v>6478</v>
      </c>
      <c r="AJ457" s="81"/>
      <c r="AK457" s="86" t="s">
        <v>6240</v>
      </c>
      <c r="AL457" s="81" t="b">
        <v>0</v>
      </c>
      <c r="AM457" s="81">
        <v>0</v>
      </c>
      <c r="AN457" s="86" t="s">
        <v>6240</v>
      </c>
      <c r="AO457" s="86" t="s">
        <v>6503</v>
      </c>
      <c r="AP457" s="81" t="b">
        <v>0</v>
      </c>
      <c r="AQ457" s="86" t="s">
        <v>6027</v>
      </c>
      <c r="AR457" s="81" t="s">
        <v>179</v>
      </c>
      <c r="AS457" s="81">
        <v>0</v>
      </c>
      <c r="AT457" s="81">
        <v>0</v>
      </c>
      <c r="AU457" s="81"/>
      <c r="AV457" s="81"/>
      <c r="AW457" s="81"/>
      <c r="AX457" s="81"/>
      <c r="AY457" s="81"/>
      <c r="AZ457" s="81"/>
      <c r="BA457" s="81"/>
      <c r="BB457" s="81"/>
    </row>
    <row r="458" spans="1:54" x14ac:dyDescent="0.35">
      <c r="A458" s="66" t="s">
        <v>525</v>
      </c>
      <c r="B458" s="66" t="s">
        <v>1232</v>
      </c>
      <c r="C458" s="67"/>
      <c r="D458" s="68"/>
      <c r="E458" s="69"/>
      <c r="F458" s="70"/>
      <c r="G458" s="67"/>
      <c r="H458" s="71"/>
      <c r="I458" s="72"/>
      <c r="J458" s="72"/>
      <c r="K458" s="36"/>
      <c r="L458" s="79"/>
      <c r="M458" s="79"/>
      <c r="N458" s="74"/>
      <c r="O458" s="81" t="s">
        <v>1535</v>
      </c>
      <c r="P458" s="83">
        <v>44460.425173611111</v>
      </c>
      <c r="Q458" s="81" t="s">
        <v>1698</v>
      </c>
      <c r="R458" s="81"/>
      <c r="S458" s="81"/>
      <c r="T458" s="81"/>
      <c r="U458" s="84" t="str">
        <f>HYPERLINK("https://pbs.twimg.com/media/E_zSVIUVIAY586Q.png")</f>
        <v>https://pbs.twimg.com/media/E_zSVIUVIAY586Q.png</v>
      </c>
      <c r="V458" s="84" t="str">
        <f>HYPERLINK("https://pbs.twimg.com/media/E_zSVIUVIAY586Q.png")</f>
        <v>https://pbs.twimg.com/media/E_zSVIUVIAY586Q.png</v>
      </c>
      <c r="W458" s="83">
        <v>44460.425173611111</v>
      </c>
      <c r="X458" s="89">
        <v>44460</v>
      </c>
      <c r="Y458" s="86" t="s">
        <v>3088</v>
      </c>
      <c r="Z458" s="84" t="str">
        <f>HYPERLINK("https://twitter.com/rizkamarhani/status/1440257560309731333")</f>
        <v>https://twitter.com/rizkamarhani/status/1440257560309731333</v>
      </c>
      <c r="AA458" s="81"/>
      <c r="AB458" s="81"/>
      <c r="AC458" s="86" t="s">
        <v>4549</v>
      </c>
      <c r="AD458" s="81"/>
      <c r="AE458" s="81" t="b">
        <v>0</v>
      </c>
      <c r="AF458" s="81">
        <v>0</v>
      </c>
      <c r="AG458" s="86" t="s">
        <v>6240</v>
      </c>
      <c r="AH458" s="81" t="b">
        <v>0</v>
      </c>
      <c r="AI458" s="81" t="s">
        <v>6478</v>
      </c>
      <c r="AJ458" s="81"/>
      <c r="AK458" s="86" t="s">
        <v>6240</v>
      </c>
      <c r="AL458" s="81" t="b">
        <v>0</v>
      </c>
      <c r="AM458" s="81">
        <v>0</v>
      </c>
      <c r="AN458" s="86" t="s">
        <v>6240</v>
      </c>
      <c r="AO458" s="86" t="s">
        <v>6507</v>
      </c>
      <c r="AP458" s="81" t="b">
        <v>0</v>
      </c>
      <c r="AQ458" s="86" t="s">
        <v>4549</v>
      </c>
      <c r="AR458" s="81" t="s">
        <v>179</v>
      </c>
      <c r="AS458" s="81">
        <v>0</v>
      </c>
      <c r="AT458" s="81">
        <v>0</v>
      </c>
      <c r="AU458" s="81"/>
      <c r="AV458" s="81"/>
      <c r="AW458" s="81"/>
      <c r="AX458" s="81"/>
      <c r="AY458" s="81"/>
      <c r="AZ458" s="81"/>
      <c r="BA458" s="81"/>
      <c r="BB458" s="81"/>
    </row>
    <row r="459" spans="1:54" x14ac:dyDescent="0.35">
      <c r="A459" s="66" t="s">
        <v>526</v>
      </c>
      <c r="B459" s="66" t="s">
        <v>1272</v>
      </c>
      <c r="C459" s="67"/>
      <c r="D459" s="68"/>
      <c r="E459" s="69"/>
      <c r="F459" s="70"/>
      <c r="G459" s="67"/>
      <c r="H459" s="71"/>
      <c r="I459" s="72"/>
      <c r="J459" s="72"/>
      <c r="K459" s="36"/>
      <c r="L459" s="79"/>
      <c r="M459" s="79"/>
      <c r="N459" s="74"/>
      <c r="O459" s="81" t="s">
        <v>1535</v>
      </c>
      <c r="P459" s="83">
        <v>44455.096180555556</v>
      </c>
      <c r="Q459" s="81" t="s">
        <v>1536</v>
      </c>
      <c r="R459" s="81"/>
      <c r="S459" s="81"/>
      <c r="T459" s="86" t="s">
        <v>2656</v>
      </c>
      <c r="U459" s="84" t="str">
        <f>HYPERLINK("https://pbs.twimg.com/media/E_X1zlwVIAES6Ks.jpg")</f>
        <v>https://pbs.twimg.com/media/E_X1zlwVIAES6Ks.jpg</v>
      </c>
      <c r="V459" s="84" t="str">
        <f>HYPERLINK("https://pbs.twimg.com/media/E_X1zlwVIAES6Ks.jpg")</f>
        <v>https://pbs.twimg.com/media/E_X1zlwVIAES6Ks.jpg</v>
      </c>
      <c r="W459" s="83">
        <v>44455.096180555556</v>
      </c>
      <c r="X459" s="89">
        <v>44455</v>
      </c>
      <c r="Y459" s="86" t="s">
        <v>3089</v>
      </c>
      <c r="Z459" s="84" t="str">
        <f>HYPERLINK("https://twitter.com/madelin252/status/1438326397290758144")</f>
        <v>https://twitter.com/madelin252/status/1438326397290758144</v>
      </c>
      <c r="AA459" s="81"/>
      <c r="AB459" s="81"/>
      <c r="AC459" s="86" t="s">
        <v>4550</v>
      </c>
      <c r="AD459" s="81"/>
      <c r="AE459" s="81" t="b">
        <v>0</v>
      </c>
      <c r="AF459" s="81">
        <v>190</v>
      </c>
      <c r="AG459" s="86" t="s">
        <v>6240</v>
      </c>
      <c r="AH459" s="81" t="b">
        <v>0</v>
      </c>
      <c r="AI459" s="81" t="s">
        <v>6478</v>
      </c>
      <c r="AJ459" s="81"/>
      <c r="AK459" s="86" t="s">
        <v>6240</v>
      </c>
      <c r="AL459" s="81" t="b">
        <v>0</v>
      </c>
      <c r="AM459" s="81">
        <v>61</v>
      </c>
      <c r="AN459" s="86" t="s">
        <v>6240</v>
      </c>
      <c r="AO459" s="86" t="s">
        <v>6507</v>
      </c>
      <c r="AP459" s="81" t="b">
        <v>0</v>
      </c>
      <c r="AQ459" s="86" t="s">
        <v>4550</v>
      </c>
      <c r="AR459" s="81" t="s">
        <v>1532</v>
      </c>
      <c r="AS459" s="81">
        <v>0</v>
      </c>
      <c r="AT459" s="81">
        <v>0</v>
      </c>
      <c r="AU459" s="81"/>
      <c r="AV459" s="81"/>
      <c r="AW459" s="81"/>
      <c r="AX459" s="81"/>
      <c r="AY459" s="81"/>
      <c r="AZ459" s="81"/>
      <c r="BA459" s="81"/>
      <c r="BB459" s="81"/>
    </row>
    <row r="460" spans="1:54" x14ac:dyDescent="0.35">
      <c r="A460" s="66" t="s">
        <v>527</v>
      </c>
      <c r="B460" s="66" t="s">
        <v>526</v>
      </c>
      <c r="C460" s="67"/>
      <c r="D460" s="68"/>
      <c r="E460" s="69"/>
      <c r="F460" s="70"/>
      <c r="G460" s="67"/>
      <c r="H460" s="71"/>
      <c r="I460" s="72"/>
      <c r="J460" s="72"/>
      <c r="K460" s="36"/>
      <c r="L460" s="79"/>
      <c r="M460" s="79"/>
      <c r="N460" s="74"/>
      <c r="O460" s="81" t="s">
        <v>1532</v>
      </c>
      <c r="P460" s="83">
        <v>44460.436863425923</v>
      </c>
      <c r="Q460" s="81" t="s">
        <v>1536</v>
      </c>
      <c r="R460" s="81"/>
      <c r="S460" s="81"/>
      <c r="T460" s="86" t="s">
        <v>2656</v>
      </c>
      <c r="U460" s="84" t="str">
        <f>HYPERLINK("https://pbs.twimg.com/media/E_X1zlwVIAES6Ks.jpg")</f>
        <v>https://pbs.twimg.com/media/E_X1zlwVIAES6Ks.jpg</v>
      </c>
      <c r="V460" s="84" t="str">
        <f>HYPERLINK("https://pbs.twimg.com/media/E_X1zlwVIAES6Ks.jpg")</f>
        <v>https://pbs.twimg.com/media/E_X1zlwVIAES6Ks.jpg</v>
      </c>
      <c r="W460" s="83">
        <v>44460.436863425923</v>
      </c>
      <c r="X460" s="89">
        <v>44460</v>
      </c>
      <c r="Y460" s="86" t="s">
        <v>3090</v>
      </c>
      <c r="Z460" s="84" t="str">
        <f>HYPERLINK("https://twitter.com/bagheli1plus/status/1440261793650118656")</f>
        <v>https://twitter.com/bagheli1plus/status/1440261793650118656</v>
      </c>
      <c r="AA460" s="81"/>
      <c r="AB460" s="81"/>
      <c r="AC460" s="86" t="s">
        <v>4551</v>
      </c>
      <c r="AD460" s="81"/>
      <c r="AE460" s="81" t="b">
        <v>0</v>
      </c>
      <c r="AF460" s="81">
        <v>0</v>
      </c>
      <c r="AG460" s="86" t="s">
        <v>6240</v>
      </c>
      <c r="AH460" s="81" t="b">
        <v>0</v>
      </c>
      <c r="AI460" s="81" t="s">
        <v>6478</v>
      </c>
      <c r="AJ460" s="81"/>
      <c r="AK460" s="86" t="s">
        <v>6240</v>
      </c>
      <c r="AL460" s="81" t="b">
        <v>0</v>
      </c>
      <c r="AM460" s="81">
        <v>61</v>
      </c>
      <c r="AN460" s="86" t="s">
        <v>4550</v>
      </c>
      <c r="AO460" s="86" t="s">
        <v>6507</v>
      </c>
      <c r="AP460" s="81" t="b">
        <v>0</v>
      </c>
      <c r="AQ460" s="86" t="s">
        <v>4550</v>
      </c>
      <c r="AR460" s="81" t="s">
        <v>179</v>
      </c>
      <c r="AS460" s="81">
        <v>0</v>
      </c>
      <c r="AT460" s="81">
        <v>0</v>
      </c>
      <c r="AU460" s="81"/>
      <c r="AV460" s="81"/>
      <c r="AW460" s="81"/>
      <c r="AX460" s="81"/>
      <c r="AY460" s="81"/>
      <c r="AZ460" s="81"/>
      <c r="BA460" s="81"/>
      <c r="BB460" s="81"/>
    </row>
    <row r="461" spans="1:54" x14ac:dyDescent="0.35">
      <c r="A461" s="66" t="s">
        <v>527</v>
      </c>
      <c r="B461" s="66" t="s">
        <v>1272</v>
      </c>
      <c r="C461" s="67"/>
      <c r="D461" s="68"/>
      <c r="E461" s="69"/>
      <c r="F461" s="70"/>
      <c r="G461" s="67"/>
      <c r="H461" s="71"/>
      <c r="I461" s="72"/>
      <c r="J461" s="72"/>
      <c r="K461" s="36"/>
      <c r="L461" s="79"/>
      <c r="M461" s="79"/>
      <c r="N461" s="74"/>
      <c r="O461" s="81" t="s">
        <v>1533</v>
      </c>
      <c r="P461" s="83">
        <v>44460.436863425923</v>
      </c>
      <c r="Q461" s="81" t="s">
        <v>1536</v>
      </c>
      <c r="R461" s="81"/>
      <c r="S461" s="81"/>
      <c r="T461" s="86" t="s">
        <v>2656</v>
      </c>
      <c r="U461" s="84" t="str">
        <f>HYPERLINK("https://pbs.twimg.com/media/E_X1zlwVIAES6Ks.jpg")</f>
        <v>https://pbs.twimg.com/media/E_X1zlwVIAES6Ks.jpg</v>
      </c>
      <c r="V461" s="84" t="str">
        <f>HYPERLINK("https://pbs.twimg.com/media/E_X1zlwVIAES6Ks.jpg")</f>
        <v>https://pbs.twimg.com/media/E_X1zlwVIAES6Ks.jpg</v>
      </c>
      <c r="W461" s="83">
        <v>44460.436863425923</v>
      </c>
      <c r="X461" s="89">
        <v>44460</v>
      </c>
      <c r="Y461" s="86" t="s">
        <v>3090</v>
      </c>
      <c r="Z461" s="84" t="str">
        <f>HYPERLINK("https://twitter.com/bagheli1plus/status/1440261793650118656")</f>
        <v>https://twitter.com/bagheli1plus/status/1440261793650118656</v>
      </c>
      <c r="AA461" s="81"/>
      <c r="AB461" s="81"/>
      <c r="AC461" s="86" t="s">
        <v>4551</v>
      </c>
      <c r="AD461" s="81"/>
      <c r="AE461" s="81" t="b">
        <v>0</v>
      </c>
      <c r="AF461" s="81">
        <v>0</v>
      </c>
      <c r="AG461" s="86" t="s">
        <v>6240</v>
      </c>
      <c r="AH461" s="81" t="b">
        <v>0</v>
      </c>
      <c r="AI461" s="81" t="s">
        <v>6478</v>
      </c>
      <c r="AJ461" s="81"/>
      <c r="AK461" s="86" t="s">
        <v>6240</v>
      </c>
      <c r="AL461" s="81" t="b">
        <v>0</v>
      </c>
      <c r="AM461" s="81">
        <v>61</v>
      </c>
      <c r="AN461" s="86" t="s">
        <v>4550</v>
      </c>
      <c r="AO461" s="86" t="s">
        <v>6507</v>
      </c>
      <c r="AP461" s="81" t="b">
        <v>0</v>
      </c>
      <c r="AQ461" s="86" t="s">
        <v>4550</v>
      </c>
      <c r="AR461" s="81" t="s">
        <v>179</v>
      </c>
      <c r="AS461" s="81">
        <v>0</v>
      </c>
      <c r="AT461" s="81">
        <v>0</v>
      </c>
      <c r="AU461" s="81"/>
      <c r="AV461" s="81"/>
      <c r="AW461" s="81"/>
      <c r="AX461" s="81"/>
      <c r="AY461" s="81"/>
      <c r="AZ461" s="81"/>
      <c r="BA461" s="81"/>
      <c r="BB461" s="81"/>
    </row>
    <row r="462" spans="1:54" x14ac:dyDescent="0.35">
      <c r="A462" s="66" t="s">
        <v>528</v>
      </c>
      <c r="B462" s="66" t="s">
        <v>1333</v>
      </c>
      <c r="C462" s="67"/>
      <c r="D462" s="68"/>
      <c r="E462" s="69"/>
      <c r="F462" s="70"/>
      <c r="G462" s="67"/>
      <c r="H462" s="71"/>
      <c r="I462" s="72"/>
      <c r="J462" s="72"/>
      <c r="K462" s="36"/>
      <c r="L462" s="79"/>
      <c r="M462" s="79"/>
      <c r="N462" s="74"/>
      <c r="O462" s="81" t="s">
        <v>1534</v>
      </c>
      <c r="P462" s="83">
        <v>44460.453310185185</v>
      </c>
      <c r="Q462" s="81" t="s">
        <v>1699</v>
      </c>
      <c r="R462" s="81"/>
      <c r="S462" s="81"/>
      <c r="T462" s="81"/>
      <c r="U462" s="81"/>
      <c r="V462" s="84" t="str">
        <f>HYPERLINK("https://pbs.twimg.com/profile_images/1191707766848512002/-GjAs2NV_normal.jpg")</f>
        <v>https://pbs.twimg.com/profile_images/1191707766848512002/-GjAs2NV_normal.jpg</v>
      </c>
      <c r="W462" s="83">
        <v>44460.453310185185</v>
      </c>
      <c r="X462" s="89">
        <v>44460</v>
      </c>
      <c r="Y462" s="86" t="s">
        <v>3091</v>
      </c>
      <c r="Z462" s="84" t="str">
        <f>HYPERLINK("https://twitter.com/anaknda_/status/1440267756474040329")</f>
        <v>https://twitter.com/anaknda_/status/1440267756474040329</v>
      </c>
      <c r="AA462" s="81"/>
      <c r="AB462" s="81"/>
      <c r="AC462" s="86" t="s">
        <v>4552</v>
      </c>
      <c r="AD462" s="86" t="s">
        <v>6028</v>
      </c>
      <c r="AE462" s="81" t="b">
        <v>0</v>
      </c>
      <c r="AF462" s="81">
        <v>0</v>
      </c>
      <c r="AG462" s="86" t="s">
        <v>6298</v>
      </c>
      <c r="AH462" s="81" t="b">
        <v>0</v>
      </c>
      <c r="AI462" s="81" t="s">
        <v>6478</v>
      </c>
      <c r="AJ462" s="81"/>
      <c r="AK462" s="86" t="s">
        <v>6240</v>
      </c>
      <c r="AL462" s="81" t="b">
        <v>0</v>
      </c>
      <c r="AM462" s="81">
        <v>0</v>
      </c>
      <c r="AN462" s="86" t="s">
        <v>6240</v>
      </c>
      <c r="AO462" s="86" t="s">
        <v>6503</v>
      </c>
      <c r="AP462" s="81" t="b">
        <v>0</v>
      </c>
      <c r="AQ462" s="86" t="s">
        <v>6028</v>
      </c>
      <c r="AR462" s="81" t="s">
        <v>179</v>
      </c>
      <c r="AS462" s="81">
        <v>0</v>
      </c>
      <c r="AT462" s="81">
        <v>0</v>
      </c>
      <c r="AU462" s="81"/>
      <c r="AV462" s="81"/>
      <c r="AW462" s="81"/>
      <c r="AX462" s="81"/>
      <c r="AY462" s="81"/>
      <c r="AZ462" s="81"/>
      <c r="BA462" s="81"/>
      <c r="BB462" s="81"/>
    </row>
    <row r="463" spans="1:54" x14ac:dyDescent="0.35">
      <c r="A463" s="66" t="s">
        <v>529</v>
      </c>
      <c r="B463" s="66" t="s">
        <v>1291</v>
      </c>
      <c r="C463" s="67"/>
      <c r="D463" s="68"/>
      <c r="E463" s="69"/>
      <c r="F463" s="70"/>
      <c r="G463" s="67"/>
      <c r="H463" s="71"/>
      <c r="I463" s="72"/>
      <c r="J463" s="72"/>
      <c r="K463" s="36"/>
      <c r="L463" s="79"/>
      <c r="M463" s="79"/>
      <c r="N463" s="74"/>
      <c r="O463" s="81" t="s">
        <v>1534</v>
      </c>
      <c r="P463" s="83">
        <v>44460.453321759262</v>
      </c>
      <c r="Q463" s="81" t="s">
        <v>1700</v>
      </c>
      <c r="R463" s="81"/>
      <c r="S463" s="81"/>
      <c r="T463" s="81"/>
      <c r="U463" s="81"/>
      <c r="V463" s="84" t="str">
        <f>HYPERLINK("https://pbs.twimg.com/profile_images/1440703588666273799/IjXNrpvZ_normal.jpg")</f>
        <v>https://pbs.twimg.com/profile_images/1440703588666273799/IjXNrpvZ_normal.jpg</v>
      </c>
      <c r="W463" s="83">
        <v>44460.453321759262</v>
      </c>
      <c r="X463" s="89">
        <v>44460</v>
      </c>
      <c r="Y463" s="86" t="s">
        <v>3092</v>
      </c>
      <c r="Z463" s="84" t="str">
        <f>HYPERLINK("https://twitter.com/greysavyor/status/1440267761129644035")</f>
        <v>https://twitter.com/greysavyor/status/1440267761129644035</v>
      </c>
      <c r="AA463" s="81"/>
      <c r="AB463" s="81"/>
      <c r="AC463" s="86" t="s">
        <v>4553</v>
      </c>
      <c r="AD463" s="86" t="s">
        <v>6029</v>
      </c>
      <c r="AE463" s="81" t="b">
        <v>0</v>
      </c>
      <c r="AF463" s="81">
        <v>0</v>
      </c>
      <c r="AG463" s="86" t="s">
        <v>6259</v>
      </c>
      <c r="AH463" s="81" t="b">
        <v>0</v>
      </c>
      <c r="AI463" s="81" t="s">
        <v>6478</v>
      </c>
      <c r="AJ463" s="81"/>
      <c r="AK463" s="86" t="s">
        <v>6240</v>
      </c>
      <c r="AL463" s="81" t="b">
        <v>0</v>
      </c>
      <c r="AM463" s="81">
        <v>0</v>
      </c>
      <c r="AN463" s="86" t="s">
        <v>6240</v>
      </c>
      <c r="AO463" s="86" t="s">
        <v>6503</v>
      </c>
      <c r="AP463" s="81" t="b">
        <v>0</v>
      </c>
      <c r="AQ463" s="86" t="s">
        <v>6029</v>
      </c>
      <c r="AR463" s="81" t="s">
        <v>179</v>
      </c>
      <c r="AS463" s="81">
        <v>0</v>
      </c>
      <c r="AT463" s="81">
        <v>0</v>
      </c>
      <c r="AU463" s="81"/>
      <c r="AV463" s="81"/>
      <c r="AW463" s="81"/>
      <c r="AX463" s="81"/>
      <c r="AY463" s="81"/>
      <c r="AZ463" s="81"/>
      <c r="BA463" s="81"/>
      <c r="BB463" s="81"/>
    </row>
    <row r="464" spans="1:54" x14ac:dyDescent="0.35">
      <c r="A464" s="66" t="s">
        <v>530</v>
      </c>
      <c r="B464" s="66" t="s">
        <v>1334</v>
      </c>
      <c r="C464" s="67"/>
      <c r="D464" s="68"/>
      <c r="E464" s="69"/>
      <c r="F464" s="70"/>
      <c r="G464" s="67"/>
      <c r="H464" s="71"/>
      <c r="I464" s="72"/>
      <c r="J464" s="72"/>
      <c r="K464" s="36"/>
      <c r="L464" s="79"/>
      <c r="M464" s="79"/>
      <c r="N464" s="74"/>
      <c r="O464" s="81" t="s">
        <v>1534</v>
      </c>
      <c r="P464" s="83">
        <v>44460.453379629631</v>
      </c>
      <c r="Q464" s="81" t="s">
        <v>1701</v>
      </c>
      <c r="R464" s="81"/>
      <c r="S464" s="81"/>
      <c r="T464" s="81"/>
      <c r="U464" s="81"/>
      <c r="V464" s="84" t="str">
        <f>HYPERLINK("https://pbs.twimg.com/profile_images/1269732246442831872/AKI4IE96_normal.jpg")</f>
        <v>https://pbs.twimg.com/profile_images/1269732246442831872/AKI4IE96_normal.jpg</v>
      </c>
      <c r="W464" s="83">
        <v>44460.453379629631</v>
      </c>
      <c r="X464" s="89">
        <v>44460</v>
      </c>
      <c r="Y464" s="86" t="s">
        <v>3093</v>
      </c>
      <c r="Z464" s="84" t="str">
        <f>HYPERLINK("https://twitter.com/yuuutzh_/status/1440267782604476419")</f>
        <v>https://twitter.com/yuuutzh_/status/1440267782604476419</v>
      </c>
      <c r="AA464" s="81"/>
      <c r="AB464" s="81"/>
      <c r="AC464" s="86" t="s">
        <v>4554</v>
      </c>
      <c r="AD464" s="86" t="s">
        <v>6030</v>
      </c>
      <c r="AE464" s="81" t="b">
        <v>0</v>
      </c>
      <c r="AF464" s="81">
        <v>0</v>
      </c>
      <c r="AG464" s="86" t="s">
        <v>6299</v>
      </c>
      <c r="AH464" s="81" t="b">
        <v>0</v>
      </c>
      <c r="AI464" s="81" t="s">
        <v>6478</v>
      </c>
      <c r="AJ464" s="81"/>
      <c r="AK464" s="86" t="s">
        <v>6240</v>
      </c>
      <c r="AL464" s="81" t="b">
        <v>0</v>
      </c>
      <c r="AM464" s="81">
        <v>0</v>
      </c>
      <c r="AN464" s="86" t="s">
        <v>6240</v>
      </c>
      <c r="AO464" s="86" t="s">
        <v>6505</v>
      </c>
      <c r="AP464" s="81" t="b">
        <v>0</v>
      </c>
      <c r="AQ464" s="86" t="s">
        <v>6030</v>
      </c>
      <c r="AR464" s="81" t="s">
        <v>179</v>
      </c>
      <c r="AS464" s="81">
        <v>0</v>
      </c>
      <c r="AT464" s="81">
        <v>0</v>
      </c>
      <c r="AU464" s="81"/>
      <c r="AV464" s="81"/>
      <c r="AW464" s="81"/>
      <c r="AX464" s="81"/>
      <c r="AY464" s="81"/>
      <c r="AZ464" s="81"/>
      <c r="BA464" s="81"/>
      <c r="BB464" s="81"/>
    </row>
    <row r="465" spans="1:54" x14ac:dyDescent="0.35">
      <c r="A465" s="66" t="s">
        <v>531</v>
      </c>
      <c r="B465" s="66" t="s">
        <v>1335</v>
      </c>
      <c r="C465" s="67"/>
      <c r="D465" s="68"/>
      <c r="E465" s="69"/>
      <c r="F465" s="70"/>
      <c r="G465" s="67"/>
      <c r="H465" s="71"/>
      <c r="I465" s="72"/>
      <c r="J465" s="72"/>
      <c r="K465" s="36"/>
      <c r="L465" s="79"/>
      <c r="M465" s="79"/>
      <c r="N465" s="74"/>
      <c r="O465" s="81" t="s">
        <v>1534</v>
      </c>
      <c r="P465" s="83">
        <v>44460.466423611113</v>
      </c>
      <c r="Q465" s="81" t="s">
        <v>1702</v>
      </c>
      <c r="R465" s="81"/>
      <c r="S465" s="81"/>
      <c r="T465" s="81"/>
      <c r="U465" s="81"/>
      <c r="V465" s="84" t="str">
        <f>HYPERLINK("https://pbs.twimg.com/profile_images/1431887189818834948/9es9lwcr_normal.jpg")</f>
        <v>https://pbs.twimg.com/profile_images/1431887189818834948/9es9lwcr_normal.jpg</v>
      </c>
      <c r="W465" s="83">
        <v>44460.466423611113</v>
      </c>
      <c r="X465" s="89">
        <v>44460</v>
      </c>
      <c r="Y465" s="86" t="s">
        <v>3094</v>
      </c>
      <c r="Z465" s="84" t="str">
        <f>HYPERLINK("https://twitter.com/blvckalter/status/1440272508461088772")</f>
        <v>https://twitter.com/blvckalter/status/1440272508461088772</v>
      </c>
      <c r="AA465" s="81"/>
      <c r="AB465" s="81"/>
      <c r="AC465" s="86" t="s">
        <v>4555</v>
      </c>
      <c r="AD465" s="86" t="s">
        <v>6031</v>
      </c>
      <c r="AE465" s="81" t="b">
        <v>0</v>
      </c>
      <c r="AF465" s="81">
        <v>0</v>
      </c>
      <c r="AG465" s="86" t="s">
        <v>6300</v>
      </c>
      <c r="AH465" s="81" t="b">
        <v>0</v>
      </c>
      <c r="AI465" s="81" t="s">
        <v>6478</v>
      </c>
      <c r="AJ465" s="81"/>
      <c r="AK465" s="86" t="s">
        <v>6240</v>
      </c>
      <c r="AL465" s="81" t="b">
        <v>0</v>
      </c>
      <c r="AM465" s="81">
        <v>0</v>
      </c>
      <c r="AN465" s="86" t="s">
        <v>6240</v>
      </c>
      <c r="AO465" s="86" t="s">
        <v>6505</v>
      </c>
      <c r="AP465" s="81" t="b">
        <v>0</v>
      </c>
      <c r="AQ465" s="86" t="s">
        <v>6031</v>
      </c>
      <c r="AR465" s="81" t="s">
        <v>179</v>
      </c>
      <c r="AS465" s="81">
        <v>0</v>
      </c>
      <c r="AT465" s="81">
        <v>0</v>
      </c>
      <c r="AU465" s="81"/>
      <c r="AV465" s="81"/>
      <c r="AW465" s="81"/>
      <c r="AX465" s="81"/>
      <c r="AY465" s="81"/>
      <c r="AZ465" s="81"/>
      <c r="BA465" s="81"/>
      <c r="BB465" s="81"/>
    </row>
    <row r="466" spans="1:54" x14ac:dyDescent="0.35">
      <c r="A466" s="66" t="s">
        <v>532</v>
      </c>
      <c r="B466" s="66" t="s">
        <v>1336</v>
      </c>
      <c r="C466" s="67"/>
      <c r="D466" s="68"/>
      <c r="E466" s="69"/>
      <c r="F466" s="70"/>
      <c r="G466" s="67"/>
      <c r="H466" s="71"/>
      <c r="I466" s="72"/>
      <c r="J466" s="72"/>
      <c r="K466" s="36"/>
      <c r="L466" s="79"/>
      <c r="M466" s="79"/>
      <c r="N466" s="74"/>
      <c r="O466" s="81" t="s">
        <v>1535</v>
      </c>
      <c r="P466" s="83">
        <v>44437.325810185182</v>
      </c>
      <c r="Q466" s="81" t="s">
        <v>1703</v>
      </c>
      <c r="R466" s="81"/>
      <c r="S466" s="81"/>
      <c r="T466" s="86" t="s">
        <v>2675</v>
      </c>
      <c r="U466" s="81" t="s">
        <v>2754</v>
      </c>
      <c r="V466" s="81" t="s">
        <v>2754</v>
      </c>
      <c r="W466" s="83">
        <v>44437.325810185182</v>
      </c>
      <c r="X466" s="89">
        <v>44437</v>
      </c>
      <c r="Y466" s="86" t="s">
        <v>3095</v>
      </c>
      <c r="Z466" s="84" t="str">
        <f>HYPERLINK("https://twitter.com/teeuhaa/status/1431886631997374465")</f>
        <v>https://twitter.com/teeuhaa/status/1431886631997374465</v>
      </c>
      <c r="AA466" s="81"/>
      <c r="AB466" s="81"/>
      <c r="AC466" s="86" t="s">
        <v>4556</v>
      </c>
      <c r="AD466" s="86" t="s">
        <v>6032</v>
      </c>
      <c r="AE466" s="81" t="b">
        <v>0</v>
      </c>
      <c r="AF466" s="81">
        <v>0</v>
      </c>
      <c r="AG466" s="86" t="s">
        <v>6301</v>
      </c>
      <c r="AH466" s="81" t="b">
        <v>0</v>
      </c>
      <c r="AI466" s="81" t="s">
        <v>6479</v>
      </c>
      <c r="AJ466" s="81"/>
      <c r="AK466" s="86" t="s">
        <v>6240</v>
      </c>
      <c r="AL466" s="81" t="b">
        <v>0</v>
      </c>
      <c r="AM466" s="81">
        <v>4</v>
      </c>
      <c r="AN466" s="86" t="s">
        <v>6240</v>
      </c>
      <c r="AO466" s="86" t="s">
        <v>6503</v>
      </c>
      <c r="AP466" s="81" t="b">
        <v>0</v>
      </c>
      <c r="AQ466" s="86" t="s">
        <v>6032</v>
      </c>
      <c r="AR466" s="81" t="s">
        <v>1532</v>
      </c>
      <c r="AS466" s="81">
        <v>0</v>
      </c>
      <c r="AT466" s="81">
        <v>0</v>
      </c>
      <c r="AU466" s="81"/>
      <c r="AV466" s="81"/>
      <c r="AW466" s="81"/>
      <c r="AX466" s="81"/>
      <c r="AY466" s="81"/>
      <c r="AZ466" s="81"/>
      <c r="BA466" s="81"/>
      <c r="BB466" s="81"/>
    </row>
    <row r="467" spans="1:54" x14ac:dyDescent="0.35">
      <c r="A467" s="66" t="s">
        <v>532</v>
      </c>
      <c r="B467" s="66" t="s">
        <v>1336</v>
      </c>
      <c r="C467" s="67"/>
      <c r="D467" s="68"/>
      <c r="E467" s="69"/>
      <c r="F467" s="70"/>
      <c r="G467" s="67"/>
      <c r="H467" s="71"/>
      <c r="I467" s="72"/>
      <c r="J467" s="72"/>
      <c r="K467" s="36"/>
      <c r="L467" s="79"/>
      <c r="M467" s="79"/>
      <c r="N467" s="74"/>
      <c r="O467" s="81" t="s">
        <v>1533</v>
      </c>
      <c r="P467" s="83">
        <v>44460.470937500002</v>
      </c>
      <c r="Q467" s="81" t="s">
        <v>1703</v>
      </c>
      <c r="R467" s="81"/>
      <c r="S467" s="81"/>
      <c r="T467" s="86" t="s">
        <v>2675</v>
      </c>
      <c r="U467" s="81" t="s">
        <v>2754</v>
      </c>
      <c r="V467" s="81" t="s">
        <v>2754</v>
      </c>
      <c r="W467" s="83">
        <v>44460.470937500002</v>
      </c>
      <c r="X467" s="89">
        <v>44460</v>
      </c>
      <c r="Y467" s="86" t="s">
        <v>3096</v>
      </c>
      <c r="Z467" s="84" t="str">
        <f>HYPERLINK("https://twitter.com/teeuhaa/status/1440274142893281295")</f>
        <v>https://twitter.com/teeuhaa/status/1440274142893281295</v>
      </c>
      <c r="AA467" s="81"/>
      <c r="AB467" s="81"/>
      <c r="AC467" s="86" t="s">
        <v>4557</v>
      </c>
      <c r="AD467" s="81"/>
      <c r="AE467" s="81" t="b">
        <v>0</v>
      </c>
      <c r="AF467" s="81">
        <v>0</v>
      </c>
      <c r="AG467" s="86" t="s">
        <v>6240</v>
      </c>
      <c r="AH467" s="81" t="b">
        <v>0</v>
      </c>
      <c r="AI467" s="81" t="s">
        <v>6479</v>
      </c>
      <c r="AJ467" s="81"/>
      <c r="AK467" s="86" t="s">
        <v>6240</v>
      </c>
      <c r="AL467" s="81" t="b">
        <v>0</v>
      </c>
      <c r="AM467" s="81">
        <v>4</v>
      </c>
      <c r="AN467" s="86" t="s">
        <v>4556</v>
      </c>
      <c r="AO467" s="86" t="s">
        <v>6503</v>
      </c>
      <c r="AP467" s="81" t="b">
        <v>0</v>
      </c>
      <c r="AQ467" s="86" t="s">
        <v>4556</v>
      </c>
      <c r="AR467" s="81" t="s">
        <v>179</v>
      </c>
      <c r="AS467" s="81">
        <v>0</v>
      </c>
      <c r="AT467" s="81">
        <v>0</v>
      </c>
      <c r="AU467" s="81"/>
      <c r="AV467" s="81"/>
      <c r="AW467" s="81"/>
      <c r="AX467" s="81"/>
      <c r="AY467" s="81"/>
      <c r="AZ467" s="81"/>
      <c r="BA467" s="81"/>
      <c r="BB467" s="81"/>
    </row>
    <row r="468" spans="1:54" x14ac:dyDescent="0.35">
      <c r="A468" s="66" t="s">
        <v>532</v>
      </c>
      <c r="B468" s="66" t="s">
        <v>1337</v>
      </c>
      <c r="C468" s="67"/>
      <c r="D468" s="68"/>
      <c r="E468" s="69"/>
      <c r="F468" s="70"/>
      <c r="G468" s="67"/>
      <c r="H468" s="71"/>
      <c r="I468" s="72"/>
      <c r="J468" s="72"/>
      <c r="K468" s="36"/>
      <c r="L468" s="79"/>
      <c r="M468" s="79"/>
      <c r="N468" s="74"/>
      <c r="O468" s="81" t="s">
        <v>1535</v>
      </c>
      <c r="P468" s="83">
        <v>44437.325810185182</v>
      </c>
      <c r="Q468" s="81" t="s">
        <v>1703</v>
      </c>
      <c r="R468" s="81"/>
      <c r="S468" s="81"/>
      <c r="T468" s="86" t="s">
        <v>2675</v>
      </c>
      <c r="U468" s="81" t="s">
        <v>2754</v>
      </c>
      <c r="V468" s="81" t="s">
        <v>2754</v>
      </c>
      <c r="W468" s="83">
        <v>44437.325810185182</v>
      </c>
      <c r="X468" s="89">
        <v>44437</v>
      </c>
      <c r="Y468" s="86" t="s">
        <v>3095</v>
      </c>
      <c r="Z468" s="84" t="str">
        <f>HYPERLINK("https://twitter.com/teeuhaa/status/1431886631997374465")</f>
        <v>https://twitter.com/teeuhaa/status/1431886631997374465</v>
      </c>
      <c r="AA468" s="81"/>
      <c r="AB468" s="81"/>
      <c r="AC468" s="86" t="s">
        <v>4556</v>
      </c>
      <c r="AD468" s="86" t="s">
        <v>6032</v>
      </c>
      <c r="AE468" s="81" t="b">
        <v>0</v>
      </c>
      <c r="AF468" s="81">
        <v>0</v>
      </c>
      <c r="AG468" s="86" t="s">
        <v>6301</v>
      </c>
      <c r="AH468" s="81" t="b">
        <v>0</v>
      </c>
      <c r="AI468" s="81" t="s">
        <v>6479</v>
      </c>
      <c r="AJ468" s="81"/>
      <c r="AK468" s="86" t="s">
        <v>6240</v>
      </c>
      <c r="AL468" s="81" t="b">
        <v>0</v>
      </c>
      <c r="AM468" s="81">
        <v>4</v>
      </c>
      <c r="AN468" s="86" t="s">
        <v>6240</v>
      </c>
      <c r="AO468" s="86" t="s">
        <v>6503</v>
      </c>
      <c r="AP468" s="81" t="b">
        <v>0</v>
      </c>
      <c r="AQ468" s="86" t="s">
        <v>6032</v>
      </c>
      <c r="AR468" s="81" t="s">
        <v>1532</v>
      </c>
      <c r="AS468" s="81">
        <v>0</v>
      </c>
      <c r="AT468" s="81">
        <v>0</v>
      </c>
      <c r="AU468" s="81"/>
      <c r="AV468" s="81"/>
      <c r="AW468" s="81"/>
      <c r="AX468" s="81"/>
      <c r="AY468" s="81"/>
      <c r="AZ468" s="81"/>
      <c r="BA468" s="81"/>
      <c r="BB468" s="81"/>
    </row>
    <row r="469" spans="1:54" x14ac:dyDescent="0.35">
      <c r="A469" s="66" t="s">
        <v>532</v>
      </c>
      <c r="B469" s="66" t="s">
        <v>1337</v>
      </c>
      <c r="C469" s="67"/>
      <c r="D469" s="68"/>
      <c r="E469" s="69"/>
      <c r="F469" s="70"/>
      <c r="G469" s="67"/>
      <c r="H469" s="71"/>
      <c r="I469" s="72"/>
      <c r="J469" s="72"/>
      <c r="K469" s="36"/>
      <c r="L469" s="79"/>
      <c r="M469" s="79"/>
      <c r="N469" s="74"/>
      <c r="O469" s="81" t="s">
        <v>1533</v>
      </c>
      <c r="P469" s="83">
        <v>44460.470937500002</v>
      </c>
      <c r="Q469" s="81" t="s">
        <v>1703</v>
      </c>
      <c r="R469" s="81"/>
      <c r="S469" s="81"/>
      <c r="T469" s="86" t="s">
        <v>2675</v>
      </c>
      <c r="U469" s="81" t="s">
        <v>2754</v>
      </c>
      <c r="V469" s="81" t="s">
        <v>2754</v>
      </c>
      <c r="W469" s="83">
        <v>44460.470937500002</v>
      </c>
      <c r="X469" s="89">
        <v>44460</v>
      </c>
      <c r="Y469" s="86" t="s">
        <v>3096</v>
      </c>
      <c r="Z469" s="84" t="str">
        <f>HYPERLINK("https://twitter.com/teeuhaa/status/1440274142893281295")</f>
        <v>https://twitter.com/teeuhaa/status/1440274142893281295</v>
      </c>
      <c r="AA469" s="81"/>
      <c r="AB469" s="81"/>
      <c r="AC469" s="86" t="s">
        <v>4557</v>
      </c>
      <c r="AD469" s="81"/>
      <c r="AE469" s="81" t="b">
        <v>0</v>
      </c>
      <c r="AF469" s="81">
        <v>0</v>
      </c>
      <c r="AG469" s="86" t="s">
        <v>6240</v>
      </c>
      <c r="AH469" s="81" t="b">
        <v>0</v>
      </c>
      <c r="AI469" s="81" t="s">
        <v>6479</v>
      </c>
      <c r="AJ469" s="81"/>
      <c r="AK469" s="86" t="s">
        <v>6240</v>
      </c>
      <c r="AL469" s="81" t="b">
        <v>0</v>
      </c>
      <c r="AM469" s="81">
        <v>4</v>
      </c>
      <c r="AN469" s="86" t="s">
        <v>4556</v>
      </c>
      <c r="AO469" s="86" t="s">
        <v>6503</v>
      </c>
      <c r="AP469" s="81" t="b">
        <v>0</v>
      </c>
      <c r="AQ469" s="86" t="s">
        <v>4556</v>
      </c>
      <c r="AR469" s="81" t="s">
        <v>179</v>
      </c>
      <c r="AS469" s="81">
        <v>0</v>
      </c>
      <c r="AT469" s="81">
        <v>0</v>
      </c>
      <c r="AU469" s="81"/>
      <c r="AV469" s="81"/>
      <c r="AW469" s="81"/>
      <c r="AX469" s="81"/>
      <c r="AY469" s="81"/>
      <c r="AZ469" s="81"/>
      <c r="BA469" s="81"/>
      <c r="BB469" s="81"/>
    </row>
    <row r="470" spans="1:54" x14ac:dyDescent="0.35">
      <c r="A470" s="66" t="s">
        <v>532</v>
      </c>
      <c r="B470" s="66" t="s">
        <v>1338</v>
      </c>
      <c r="C470" s="67"/>
      <c r="D470" s="68"/>
      <c r="E470" s="69"/>
      <c r="F470" s="70"/>
      <c r="G470" s="67"/>
      <c r="H470" s="71"/>
      <c r="I470" s="72"/>
      <c r="J470" s="72"/>
      <c r="K470" s="36"/>
      <c r="L470" s="79"/>
      <c r="M470" s="79"/>
      <c r="N470" s="74"/>
      <c r="O470" s="81" t="s">
        <v>1535</v>
      </c>
      <c r="P470" s="83">
        <v>44437.325810185182</v>
      </c>
      <c r="Q470" s="81" t="s">
        <v>1703</v>
      </c>
      <c r="R470" s="81"/>
      <c r="S470" s="81"/>
      <c r="T470" s="86" t="s">
        <v>2675</v>
      </c>
      <c r="U470" s="81" t="s">
        <v>2754</v>
      </c>
      <c r="V470" s="81" t="s">
        <v>2754</v>
      </c>
      <c r="W470" s="83">
        <v>44437.325810185182</v>
      </c>
      <c r="X470" s="89">
        <v>44437</v>
      </c>
      <c r="Y470" s="86" t="s">
        <v>3095</v>
      </c>
      <c r="Z470" s="84" t="str">
        <f>HYPERLINK("https://twitter.com/teeuhaa/status/1431886631997374465")</f>
        <v>https://twitter.com/teeuhaa/status/1431886631997374465</v>
      </c>
      <c r="AA470" s="81"/>
      <c r="AB470" s="81"/>
      <c r="AC470" s="86" t="s">
        <v>4556</v>
      </c>
      <c r="AD470" s="86" t="s">
        <v>6032</v>
      </c>
      <c r="AE470" s="81" t="b">
        <v>0</v>
      </c>
      <c r="AF470" s="81">
        <v>0</v>
      </c>
      <c r="AG470" s="86" t="s">
        <v>6301</v>
      </c>
      <c r="AH470" s="81" t="b">
        <v>0</v>
      </c>
      <c r="AI470" s="81" t="s">
        <v>6479</v>
      </c>
      <c r="AJ470" s="81"/>
      <c r="AK470" s="86" t="s">
        <v>6240</v>
      </c>
      <c r="AL470" s="81" t="b">
        <v>0</v>
      </c>
      <c r="AM470" s="81">
        <v>4</v>
      </c>
      <c r="AN470" s="86" t="s">
        <v>6240</v>
      </c>
      <c r="AO470" s="86" t="s">
        <v>6503</v>
      </c>
      <c r="AP470" s="81" t="b">
        <v>0</v>
      </c>
      <c r="AQ470" s="86" t="s">
        <v>6032</v>
      </c>
      <c r="AR470" s="81" t="s">
        <v>1532</v>
      </c>
      <c r="AS470" s="81">
        <v>0</v>
      </c>
      <c r="AT470" s="81">
        <v>0</v>
      </c>
      <c r="AU470" s="81"/>
      <c r="AV470" s="81"/>
      <c r="AW470" s="81"/>
      <c r="AX470" s="81"/>
      <c r="AY470" s="81"/>
      <c r="AZ470" s="81"/>
      <c r="BA470" s="81"/>
      <c r="BB470" s="81"/>
    </row>
    <row r="471" spans="1:54" x14ac:dyDescent="0.35">
      <c r="A471" s="66" t="s">
        <v>532</v>
      </c>
      <c r="B471" s="66" t="s">
        <v>1338</v>
      </c>
      <c r="C471" s="67"/>
      <c r="D471" s="68"/>
      <c r="E471" s="69"/>
      <c r="F471" s="70"/>
      <c r="G471" s="67"/>
      <c r="H471" s="71"/>
      <c r="I471" s="72"/>
      <c r="J471" s="72"/>
      <c r="K471" s="36"/>
      <c r="L471" s="79"/>
      <c r="M471" s="79"/>
      <c r="N471" s="74"/>
      <c r="O471" s="81" t="s">
        <v>1533</v>
      </c>
      <c r="P471" s="83">
        <v>44460.470937500002</v>
      </c>
      <c r="Q471" s="81" t="s">
        <v>1703</v>
      </c>
      <c r="R471" s="81"/>
      <c r="S471" s="81"/>
      <c r="T471" s="86" t="s">
        <v>2675</v>
      </c>
      <c r="U471" s="81" t="s">
        <v>2754</v>
      </c>
      <c r="V471" s="81" t="s">
        <v>2754</v>
      </c>
      <c r="W471" s="83">
        <v>44460.470937500002</v>
      </c>
      <c r="X471" s="89">
        <v>44460</v>
      </c>
      <c r="Y471" s="86" t="s">
        <v>3096</v>
      </c>
      <c r="Z471" s="84" t="str">
        <f>HYPERLINK("https://twitter.com/teeuhaa/status/1440274142893281295")</f>
        <v>https://twitter.com/teeuhaa/status/1440274142893281295</v>
      </c>
      <c r="AA471" s="81"/>
      <c r="AB471" s="81"/>
      <c r="AC471" s="86" t="s">
        <v>4557</v>
      </c>
      <c r="AD471" s="81"/>
      <c r="AE471" s="81" t="b">
        <v>0</v>
      </c>
      <c r="AF471" s="81">
        <v>0</v>
      </c>
      <c r="AG471" s="86" t="s">
        <v>6240</v>
      </c>
      <c r="AH471" s="81" t="b">
        <v>0</v>
      </c>
      <c r="AI471" s="81" t="s">
        <v>6479</v>
      </c>
      <c r="AJ471" s="81"/>
      <c r="AK471" s="86" t="s">
        <v>6240</v>
      </c>
      <c r="AL471" s="81" t="b">
        <v>0</v>
      </c>
      <c r="AM471" s="81">
        <v>4</v>
      </c>
      <c r="AN471" s="86" t="s">
        <v>4556</v>
      </c>
      <c r="AO471" s="86" t="s">
        <v>6503</v>
      </c>
      <c r="AP471" s="81" t="b">
        <v>0</v>
      </c>
      <c r="AQ471" s="86" t="s">
        <v>4556</v>
      </c>
      <c r="AR471" s="81" t="s">
        <v>179</v>
      </c>
      <c r="AS471" s="81">
        <v>0</v>
      </c>
      <c r="AT471" s="81">
        <v>0</v>
      </c>
      <c r="AU471" s="81"/>
      <c r="AV471" s="81"/>
      <c r="AW471" s="81"/>
      <c r="AX471" s="81"/>
      <c r="AY471" s="81"/>
      <c r="AZ471" s="81"/>
      <c r="BA471" s="81"/>
      <c r="BB471" s="81"/>
    </row>
    <row r="472" spans="1:54" x14ac:dyDescent="0.35">
      <c r="A472" s="66" t="s">
        <v>532</v>
      </c>
      <c r="B472" s="66" t="s">
        <v>1339</v>
      </c>
      <c r="C472" s="67"/>
      <c r="D472" s="68"/>
      <c r="E472" s="69"/>
      <c r="F472" s="70"/>
      <c r="G472" s="67"/>
      <c r="H472" s="71"/>
      <c r="I472" s="72"/>
      <c r="J472" s="72"/>
      <c r="K472" s="36"/>
      <c r="L472" s="79"/>
      <c r="M472" s="79"/>
      <c r="N472" s="74"/>
      <c r="O472" s="81" t="s">
        <v>1535</v>
      </c>
      <c r="P472" s="83">
        <v>44437.325810185182</v>
      </c>
      <c r="Q472" s="81" t="s">
        <v>1703</v>
      </c>
      <c r="R472" s="81"/>
      <c r="S472" s="81"/>
      <c r="T472" s="86" t="s">
        <v>2675</v>
      </c>
      <c r="U472" s="81" t="s">
        <v>2754</v>
      </c>
      <c r="V472" s="81" t="s">
        <v>2754</v>
      </c>
      <c r="W472" s="83">
        <v>44437.325810185182</v>
      </c>
      <c r="X472" s="89">
        <v>44437</v>
      </c>
      <c r="Y472" s="86" t="s">
        <v>3095</v>
      </c>
      <c r="Z472" s="84" t="str">
        <f>HYPERLINK("https://twitter.com/teeuhaa/status/1431886631997374465")</f>
        <v>https://twitter.com/teeuhaa/status/1431886631997374465</v>
      </c>
      <c r="AA472" s="81"/>
      <c r="AB472" s="81"/>
      <c r="AC472" s="86" t="s">
        <v>4556</v>
      </c>
      <c r="AD472" s="86" t="s">
        <v>6032</v>
      </c>
      <c r="AE472" s="81" t="b">
        <v>0</v>
      </c>
      <c r="AF472" s="81">
        <v>0</v>
      </c>
      <c r="AG472" s="86" t="s">
        <v>6301</v>
      </c>
      <c r="AH472" s="81" t="b">
        <v>0</v>
      </c>
      <c r="AI472" s="81" t="s">
        <v>6479</v>
      </c>
      <c r="AJ472" s="81"/>
      <c r="AK472" s="86" t="s">
        <v>6240</v>
      </c>
      <c r="AL472" s="81" t="b">
        <v>0</v>
      </c>
      <c r="AM472" s="81">
        <v>4</v>
      </c>
      <c r="AN472" s="86" t="s">
        <v>6240</v>
      </c>
      <c r="AO472" s="86" t="s">
        <v>6503</v>
      </c>
      <c r="AP472" s="81" t="b">
        <v>0</v>
      </c>
      <c r="AQ472" s="86" t="s">
        <v>6032</v>
      </c>
      <c r="AR472" s="81" t="s">
        <v>1532</v>
      </c>
      <c r="AS472" s="81">
        <v>0</v>
      </c>
      <c r="AT472" s="81">
        <v>0</v>
      </c>
      <c r="AU472" s="81"/>
      <c r="AV472" s="81"/>
      <c r="AW472" s="81"/>
      <c r="AX472" s="81"/>
      <c r="AY472" s="81"/>
      <c r="AZ472" s="81"/>
      <c r="BA472" s="81"/>
      <c r="BB472" s="81"/>
    </row>
    <row r="473" spans="1:54" x14ac:dyDescent="0.35">
      <c r="A473" s="66" t="s">
        <v>532</v>
      </c>
      <c r="B473" s="66" t="s">
        <v>1339</v>
      </c>
      <c r="C473" s="67"/>
      <c r="D473" s="68"/>
      <c r="E473" s="69"/>
      <c r="F473" s="70"/>
      <c r="G473" s="67"/>
      <c r="H473" s="71"/>
      <c r="I473" s="72"/>
      <c r="J473" s="72"/>
      <c r="K473" s="36"/>
      <c r="L473" s="79"/>
      <c r="M473" s="79"/>
      <c r="N473" s="74"/>
      <c r="O473" s="81" t="s">
        <v>1533</v>
      </c>
      <c r="P473" s="83">
        <v>44460.470937500002</v>
      </c>
      <c r="Q473" s="81" t="s">
        <v>1703</v>
      </c>
      <c r="R473" s="81"/>
      <c r="S473" s="81"/>
      <c r="T473" s="86" t="s">
        <v>2675</v>
      </c>
      <c r="U473" s="81" t="s">
        <v>2754</v>
      </c>
      <c r="V473" s="81" t="s">
        <v>2754</v>
      </c>
      <c r="W473" s="83">
        <v>44460.470937500002</v>
      </c>
      <c r="X473" s="89">
        <v>44460</v>
      </c>
      <c r="Y473" s="86" t="s">
        <v>3096</v>
      </c>
      <c r="Z473" s="84" t="str">
        <f>HYPERLINK("https://twitter.com/teeuhaa/status/1440274142893281295")</f>
        <v>https://twitter.com/teeuhaa/status/1440274142893281295</v>
      </c>
      <c r="AA473" s="81"/>
      <c r="AB473" s="81"/>
      <c r="AC473" s="86" t="s">
        <v>4557</v>
      </c>
      <c r="AD473" s="81"/>
      <c r="AE473" s="81" t="b">
        <v>0</v>
      </c>
      <c r="AF473" s="81">
        <v>0</v>
      </c>
      <c r="AG473" s="86" t="s">
        <v>6240</v>
      </c>
      <c r="AH473" s="81" t="b">
        <v>0</v>
      </c>
      <c r="AI473" s="81" t="s">
        <v>6479</v>
      </c>
      <c r="AJ473" s="81"/>
      <c r="AK473" s="86" t="s">
        <v>6240</v>
      </c>
      <c r="AL473" s="81" t="b">
        <v>0</v>
      </c>
      <c r="AM473" s="81">
        <v>4</v>
      </c>
      <c r="AN473" s="86" t="s">
        <v>4556</v>
      </c>
      <c r="AO473" s="86" t="s">
        <v>6503</v>
      </c>
      <c r="AP473" s="81" t="b">
        <v>0</v>
      </c>
      <c r="AQ473" s="86" t="s">
        <v>4556</v>
      </c>
      <c r="AR473" s="81" t="s">
        <v>179</v>
      </c>
      <c r="AS473" s="81">
        <v>0</v>
      </c>
      <c r="AT473" s="81">
        <v>0</v>
      </c>
      <c r="AU473" s="81"/>
      <c r="AV473" s="81"/>
      <c r="AW473" s="81"/>
      <c r="AX473" s="81"/>
      <c r="AY473" s="81"/>
      <c r="AZ473" s="81"/>
      <c r="BA473" s="81"/>
      <c r="BB473" s="81"/>
    </row>
    <row r="474" spans="1:54" x14ac:dyDescent="0.35">
      <c r="A474" s="66" t="s">
        <v>532</v>
      </c>
      <c r="B474" s="66" t="s">
        <v>1340</v>
      </c>
      <c r="C474" s="67"/>
      <c r="D474" s="68"/>
      <c r="E474" s="69"/>
      <c r="F474" s="70"/>
      <c r="G474" s="67"/>
      <c r="H474" s="71"/>
      <c r="I474" s="72"/>
      <c r="J474" s="72"/>
      <c r="K474" s="36"/>
      <c r="L474" s="79"/>
      <c r="M474" s="79"/>
      <c r="N474" s="74"/>
      <c r="O474" s="81" t="s">
        <v>1535</v>
      </c>
      <c r="P474" s="83">
        <v>44437.325810185182</v>
      </c>
      <c r="Q474" s="81" t="s">
        <v>1703</v>
      </c>
      <c r="R474" s="81"/>
      <c r="S474" s="81"/>
      <c r="T474" s="86" t="s">
        <v>2675</v>
      </c>
      <c r="U474" s="81" t="s">
        <v>2754</v>
      </c>
      <c r="V474" s="81" t="s">
        <v>2754</v>
      </c>
      <c r="W474" s="83">
        <v>44437.325810185182</v>
      </c>
      <c r="X474" s="89">
        <v>44437</v>
      </c>
      <c r="Y474" s="86" t="s">
        <v>3095</v>
      </c>
      <c r="Z474" s="84" t="str">
        <f>HYPERLINK("https://twitter.com/teeuhaa/status/1431886631997374465")</f>
        <v>https://twitter.com/teeuhaa/status/1431886631997374465</v>
      </c>
      <c r="AA474" s="81"/>
      <c r="AB474" s="81"/>
      <c r="AC474" s="86" t="s">
        <v>4556</v>
      </c>
      <c r="AD474" s="86" t="s">
        <v>6032</v>
      </c>
      <c r="AE474" s="81" t="b">
        <v>0</v>
      </c>
      <c r="AF474" s="81">
        <v>0</v>
      </c>
      <c r="AG474" s="86" t="s">
        <v>6301</v>
      </c>
      <c r="AH474" s="81" t="b">
        <v>0</v>
      </c>
      <c r="AI474" s="81" t="s">
        <v>6479</v>
      </c>
      <c r="AJ474" s="81"/>
      <c r="AK474" s="86" t="s">
        <v>6240</v>
      </c>
      <c r="AL474" s="81" t="b">
        <v>0</v>
      </c>
      <c r="AM474" s="81">
        <v>4</v>
      </c>
      <c r="AN474" s="86" t="s">
        <v>6240</v>
      </c>
      <c r="AO474" s="86" t="s">
        <v>6503</v>
      </c>
      <c r="AP474" s="81" t="b">
        <v>0</v>
      </c>
      <c r="AQ474" s="86" t="s">
        <v>6032</v>
      </c>
      <c r="AR474" s="81" t="s">
        <v>1532</v>
      </c>
      <c r="AS474" s="81">
        <v>0</v>
      </c>
      <c r="AT474" s="81">
        <v>0</v>
      </c>
      <c r="AU474" s="81"/>
      <c r="AV474" s="81"/>
      <c r="AW474" s="81"/>
      <c r="AX474" s="81"/>
      <c r="AY474" s="81"/>
      <c r="AZ474" s="81"/>
      <c r="BA474" s="81"/>
      <c r="BB474" s="81"/>
    </row>
    <row r="475" spans="1:54" x14ac:dyDescent="0.35">
      <c r="A475" s="66" t="s">
        <v>532</v>
      </c>
      <c r="B475" s="66" t="s">
        <v>1340</v>
      </c>
      <c r="C475" s="67"/>
      <c r="D475" s="68"/>
      <c r="E475" s="69"/>
      <c r="F475" s="70"/>
      <c r="G475" s="67"/>
      <c r="H475" s="71"/>
      <c r="I475" s="72"/>
      <c r="J475" s="72"/>
      <c r="K475" s="36"/>
      <c r="L475" s="79"/>
      <c r="M475" s="79"/>
      <c r="N475" s="74"/>
      <c r="O475" s="81" t="s">
        <v>1533</v>
      </c>
      <c r="P475" s="83">
        <v>44460.470937500002</v>
      </c>
      <c r="Q475" s="81" t="s">
        <v>1703</v>
      </c>
      <c r="R475" s="81"/>
      <c r="S475" s="81"/>
      <c r="T475" s="86" t="s">
        <v>2675</v>
      </c>
      <c r="U475" s="81" t="s">
        <v>2754</v>
      </c>
      <c r="V475" s="81" t="s">
        <v>2754</v>
      </c>
      <c r="W475" s="83">
        <v>44460.470937500002</v>
      </c>
      <c r="X475" s="89">
        <v>44460</v>
      </c>
      <c r="Y475" s="86" t="s">
        <v>3096</v>
      </c>
      <c r="Z475" s="84" t="str">
        <f>HYPERLINK("https://twitter.com/teeuhaa/status/1440274142893281295")</f>
        <v>https://twitter.com/teeuhaa/status/1440274142893281295</v>
      </c>
      <c r="AA475" s="81"/>
      <c r="AB475" s="81"/>
      <c r="AC475" s="86" t="s">
        <v>4557</v>
      </c>
      <c r="AD475" s="81"/>
      <c r="AE475" s="81" t="b">
        <v>0</v>
      </c>
      <c r="AF475" s="81">
        <v>0</v>
      </c>
      <c r="AG475" s="86" t="s">
        <v>6240</v>
      </c>
      <c r="AH475" s="81" t="b">
        <v>0</v>
      </c>
      <c r="AI475" s="81" t="s">
        <v>6479</v>
      </c>
      <c r="AJ475" s="81"/>
      <c r="AK475" s="86" t="s">
        <v>6240</v>
      </c>
      <c r="AL475" s="81" t="b">
        <v>0</v>
      </c>
      <c r="AM475" s="81">
        <v>4</v>
      </c>
      <c r="AN475" s="86" t="s">
        <v>4556</v>
      </c>
      <c r="AO475" s="86" t="s">
        <v>6503</v>
      </c>
      <c r="AP475" s="81" t="b">
        <v>0</v>
      </c>
      <c r="AQ475" s="86" t="s">
        <v>4556</v>
      </c>
      <c r="AR475" s="81" t="s">
        <v>179</v>
      </c>
      <c r="AS475" s="81">
        <v>0</v>
      </c>
      <c r="AT475" s="81">
        <v>0</v>
      </c>
      <c r="AU475" s="81"/>
      <c r="AV475" s="81"/>
      <c r="AW475" s="81"/>
      <c r="AX475" s="81"/>
      <c r="AY475" s="81"/>
      <c r="AZ475" s="81"/>
      <c r="BA475" s="81"/>
      <c r="BB475" s="81"/>
    </row>
    <row r="476" spans="1:54" x14ac:dyDescent="0.35">
      <c r="A476" s="66" t="s">
        <v>532</v>
      </c>
      <c r="B476" s="66" t="s">
        <v>532</v>
      </c>
      <c r="C476" s="67"/>
      <c r="D476" s="68"/>
      <c r="E476" s="69"/>
      <c r="F476" s="70"/>
      <c r="G476" s="67"/>
      <c r="H476" s="71"/>
      <c r="I476" s="72"/>
      <c r="J476" s="72"/>
      <c r="K476" s="36"/>
      <c r="L476" s="79"/>
      <c r="M476" s="79"/>
      <c r="N476" s="74"/>
      <c r="O476" s="81" t="s">
        <v>1532</v>
      </c>
      <c r="P476" s="83">
        <v>44460.470937500002</v>
      </c>
      <c r="Q476" s="81" t="s">
        <v>1703</v>
      </c>
      <c r="R476" s="81"/>
      <c r="S476" s="81"/>
      <c r="T476" s="86" t="s">
        <v>2675</v>
      </c>
      <c r="U476" s="81" t="s">
        <v>2754</v>
      </c>
      <c r="V476" s="81" t="s">
        <v>2754</v>
      </c>
      <c r="W476" s="83">
        <v>44460.470937500002</v>
      </c>
      <c r="X476" s="89">
        <v>44460</v>
      </c>
      <c r="Y476" s="86" t="s">
        <v>3096</v>
      </c>
      <c r="Z476" s="84" t="str">
        <f>HYPERLINK("https://twitter.com/teeuhaa/status/1440274142893281295")</f>
        <v>https://twitter.com/teeuhaa/status/1440274142893281295</v>
      </c>
      <c r="AA476" s="81"/>
      <c r="AB476" s="81"/>
      <c r="AC476" s="86" t="s">
        <v>4557</v>
      </c>
      <c r="AD476" s="81"/>
      <c r="AE476" s="81" t="b">
        <v>0</v>
      </c>
      <c r="AF476" s="81">
        <v>0</v>
      </c>
      <c r="AG476" s="86" t="s">
        <v>6240</v>
      </c>
      <c r="AH476" s="81" t="b">
        <v>0</v>
      </c>
      <c r="AI476" s="81" t="s">
        <v>6479</v>
      </c>
      <c r="AJ476" s="81"/>
      <c r="AK476" s="86" t="s">
        <v>6240</v>
      </c>
      <c r="AL476" s="81" t="b">
        <v>0</v>
      </c>
      <c r="AM476" s="81">
        <v>4</v>
      </c>
      <c r="AN476" s="86" t="s">
        <v>4556</v>
      </c>
      <c r="AO476" s="86" t="s">
        <v>6503</v>
      </c>
      <c r="AP476" s="81" t="b">
        <v>0</v>
      </c>
      <c r="AQ476" s="86" t="s">
        <v>4556</v>
      </c>
      <c r="AR476" s="81" t="s">
        <v>179</v>
      </c>
      <c r="AS476" s="81">
        <v>0</v>
      </c>
      <c r="AT476" s="81">
        <v>0</v>
      </c>
      <c r="AU476" s="81"/>
      <c r="AV476" s="81"/>
      <c r="AW476" s="81"/>
      <c r="AX476" s="81"/>
      <c r="AY476" s="81"/>
      <c r="AZ476" s="81"/>
      <c r="BA476" s="81"/>
      <c r="BB476" s="81"/>
    </row>
    <row r="477" spans="1:54" x14ac:dyDescent="0.35">
      <c r="A477" s="66" t="s">
        <v>533</v>
      </c>
      <c r="B477" s="66" t="s">
        <v>1324</v>
      </c>
      <c r="C477" s="67"/>
      <c r="D477" s="68"/>
      <c r="E477" s="69"/>
      <c r="F477" s="70"/>
      <c r="G477" s="67"/>
      <c r="H477" s="71"/>
      <c r="I477" s="72"/>
      <c r="J477" s="72"/>
      <c r="K477" s="36"/>
      <c r="L477" s="79"/>
      <c r="M477" s="79"/>
      <c r="N477" s="74"/>
      <c r="O477" s="81" t="s">
        <v>1535</v>
      </c>
      <c r="P477" s="83">
        <v>44460.462488425925</v>
      </c>
      <c r="Q477" s="81" t="s">
        <v>1704</v>
      </c>
      <c r="R477" s="81"/>
      <c r="S477" s="81"/>
      <c r="T477" s="81"/>
      <c r="U477" s="81"/>
      <c r="V477" s="84" t="str">
        <f>HYPERLINK("https://pbs.twimg.com/profile_images/1338844021456703489/Jcp2n9Wb_normal.jpg")</f>
        <v>https://pbs.twimg.com/profile_images/1338844021456703489/Jcp2n9Wb_normal.jpg</v>
      </c>
      <c r="W477" s="83">
        <v>44460.462488425925</v>
      </c>
      <c r="X477" s="89">
        <v>44460</v>
      </c>
      <c r="Y477" s="86" t="s">
        <v>3097</v>
      </c>
      <c r="Z477" s="84" t="str">
        <f>HYPERLINK("https://twitter.com/masyarakatradio/status/1440271081479172099")</f>
        <v>https://twitter.com/masyarakatradio/status/1440271081479172099</v>
      </c>
      <c r="AA477" s="81"/>
      <c r="AB477" s="81"/>
      <c r="AC477" s="86" t="s">
        <v>4558</v>
      </c>
      <c r="AD477" s="86" t="s">
        <v>6033</v>
      </c>
      <c r="AE477" s="81" t="b">
        <v>0</v>
      </c>
      <c r="AF477" s="81">
        <v>7</v>
      </c>
      <c r="AG477" s="86" t="s">
        <v>6302</v>
      </c>
      <c r="AH477" s="81" t="b">
        <v>0</v>
      </c>
      <c r="AI477" s="81" t="s">
        <v>6478</v>
      </c>
      <c r="AJ477" s="81"/>
      <c r="AK477" s="86" t="s">
        <v>6240</v>
      </c>
      <c r="AL477" s="81" t="b">
        <v>0</v>
      </c>
      <c r="AM477" s="81">
        <v>1</v>
      </c>
      <c r="AN477" s="86" t="s">
        <v>6240</v>
      </c>
      <c r="AO477" s="86" t="s">
        <v>6503</v>
      </c>
      <c r="AP477" s="81" t="b">
        <v>0</v>
      </c>
      <c r="AQ477" s="86" t="s">
        <v>6033</v>
      </c>
      <c r="AR477" s="81" t="s">
        <v>179</v>
      </c>
      <c r="AS477" s="81">
        <v>0</v>
      </c>
      <c r="AT477" s="81">
        <v>0</v>
      </c>
      <c r="AU477" s="81"/>
      <c r="AV477" s="81"/>
      <c r="AW477" s="81"/>
      <c r="AX477" s="81"/>
      <c r="AY477" s="81"/>
      <c r="AZ477" s="81"/>
      <c r="BA477" s="81"/>
      <c r="BB477" s="81"/>
    </row>
    <row r="478" spans="1:54" x14ac:dyDescent="0.35">
      <c r="A478" s="66" t="s">
        <v>534</v>
      </c>
      <c r="B478" s="66" t="s">
        <v>1324</v>
      </c>
      <c r="C478" s="67"/>
      <c r="D478" s="68"/>
      <c r="E478" s="69"/>
      <c r="F478" s="70"/>
      <c r="G478" s="67"/>
      <c r="H478" s="71"/>
      <c r="I478" s="72"/>
      <c r="J478" s="72"/>
      <c r="K478" s="36"/>
      <c r="L478" s="79"/>
      <c r="M478" s="79"/>
      <c r="N478" s="74"/>
      <c r="O478" s="81" t="s">
        <v>1533</v>
      </c>
      <c r="P478" s="83">
        <v>44460.481493055559</v>
      </c>
      <c r="Q478" s="81" t="s">
        <v>1704</v>
      </c>
      <c r="R478" s="81"/>
      <c r="S478" s="81"/>
      <c r="T478" s="81"/>
      <c r="U478" s="81"/>
      <c r="V478" s="84" t="str">
        <f>HYPERLINK("https://pbs.twimg.com/profile_images/1428888419950743555/FV7XGf5o_normal.jpg")</f>
        <v>https://pbs.twimg.com/profile_images/1428888419950743555/FV7XGf5o_normal.jpg</v>
      </c>
      <c r="W478" s="83">
        <v>44460.481493055559</v>
      </c>
      <c r="X478" s="89">
        <v>44460</v>
      </c>
      <c r="Y478" s="86" t="s">
        <v>3098</v>
      </c>
      <c r="Z478" s="84" t="str">
        <f>HYPERLINK("https://twitter.com/ib_ost/status/1440277969964912645")</f>
        <v>https://twitter.com/ib_ost/status/1440277969964912645</v>
      </c>
      <c r="AA478" s="81"/>
      <c r="AB478" s="81"/>
      <c r="AC478" s="86" t="s">
        <v>4559</v>
      </c>
      <c r="AD478" s="81"/>
      <c r="AE478" s="81" t="b">
        <v>0</v>
      </c>
      <c r="AF478" s="81">
        <v>0</v>
      </c>
      <c r="AG478" s="86" t="s">
        <v>6240</v>
      </c>
      <c r="AH478" s="81" t="b">
        <v>0</v>
      </c>
      <c r="AI478" s="81" t="s">
        <v>6478</v>
      </c>
      <c r="AJ478" s="81"/>
      <c r="AK478" s="86" t="s">
        <v>6240</v>
      </c>
      <c r="AL478" s="81" t="b">
        <v>0</v>
      </c>
      <c r="AM478" s="81">
        <v>1</v>
      </c>
      <c r="AN478" s="86" t="s">
        <v>4558</v>
      </c>
      <c r="AO478" s="86" t="s">
        <v>6503</v>
      </c>
      <c r="AP478" s="81" t="b">
        <v>0</v>
      </c>
      <c r="AQ478" s="86" t="s">
        <v>4558</v>
      </c>
      <c r="AR478" s="81" t="s">
        <v>179</v>
      </c>
      <c r="AS478" s="81">
        <v>0</v>
      </c>
      <c r="AT478" s="81">
        <v>0</v>
      </c>
      <c r="AU478" s="81"/>
      <c r="AV478" s="81"/>
      <c r="AW478" s="81"/>
      <c r="AX478" s="81"/>
      <c r="AY478" s="81"/>
      <c r="AZ478" s="81"/>
      <c r="BA478" s="81"/>
      <c r="BB478" s="81"/>
    </row>
    <row r="479" spans="1:54" x14ac:dyDescent="0.35">
      <c r="A479" s="66" t="s">
        <v>533</v>
      </c>
      <c r="B479" s="66" t="s">
        <v>1341</v>
      </c>
      <c r="C479" s="67"/>
      <c r="D479" s="68"/>
      <c r="E479" s="69"/>
      <c r="F479" s="70"/>
      <c r="G479" s="67"/>
      <c r="H479" s="71"/>
      <c r="I479" s="72"/>
      <c r="J479" s="72"/>
      <c r="K479" s="36"/>
      <c r="L479" s="79"/>
      <c r="M479" s="79"/>
      <c r="N479" s="74"/>
      <c r="O479" s="81" t="s">
        <v>1535</v>
      </c>
      <c r="P479" s="83">
        <v>44460.462488425925</v>
      </c>
      <c r="Q479" s="81" t="s">
        <v>1704</v>
      </c>
      <c r="R479" s="81"/>
      <c r="S479" s="81"/>
      <c r="T479" s="81"/>
      <c r="U479" s="81"/>
      <c r="V479" s="84" t="str">
        <f>HYPERLINK("https://pbs.twimg.com/profile_images/1338844021456703489/Jcp2n9Wb_normal.jpg")</f>
        <v>https://pbs.twimg.com/profile_images/1338844021456703489/Jcp2n9Wb_normal.jpg</v>
      </c>
      <c r="W479" s="83">
        <v>44460.462488425925</v>
      </c>
      <c r="X479" s="89">
        <v>44460</v>
      </c>
      <c r="Y479" s="86" t="s">
        <v>3097</v>
      </c>
      <c r="Z479" s="84" t="str">
        <f>HYPERLINK("https://twitter.com/masyarakatradio/status/1440271081479172099")</f>
        <v>https://twitter.com/masyarakatradio/status/1440271081479172099</v>
      </c>
      <c r="AA479" s="81"/>
      <c r="AB479" s="81"/>
      <c r="AC479" s="86" t="s">
        <v>4558</v>
      </c>
      <c r="AD479" s="86" t="s">
        <v>6033</v>
      </c>
      <c r="AE479" s="81" t="b">
        <v>0</v>
      </c>
      <c r="AF479" s="81">
        <v>7</v>
      </c>
      <c r="AG479" s="86" t="s">
        <v>6302</v>
      </c>
      <c r="AH479" s="81" t="b">
        <v>0</v>
      </c>
      <c r="AI479" s="81" t="s">
        <v>6478</v>
      </c>
      <c r="AJ479" s="81"/>
      <c r="AK479" s="86" t="s">
        <v>6240</v>
      </c>
      <c r="AL479" s="81" t="b">
        <v>0</v>
      </c>
      <c r="AM479" s="81">
        <v>1</v>
      </c>
      <c r="AN479" s="86" t="s">
        <v>6240</v>
      </c>
      <c r="AO479" s="86" t="s">
        <v>6503</v>
      </c>
      <c r="AP479" s="81" t="b">
        <v>0</v>
      </c>
      <c r="AQ479" s="86" t="s">
        <v>6033</v>
      </c>
      <c r="AR479" s="81" t="s">
        <v>179</v>
      </c>
      <c r="AS479" s="81">
        <v>0</v>
      </c>
      <c r="AT479" s="81">
        <v>0</v>
      </c>
      <c r="AU479" s="81"/>
      <c r="AV479" s="81"/>
      <c r="AW479" s="81"/>
      <c r="AX479" s="81"/>
      <c r="AY479" s="81"/>
      <c r="AZ479" s="81"/>
      <c r="BA479" s="81"/>
      <c r="BB479" s="81"/>
    </row>
    <row r="480" spans="1:54" x14ac:dyDescent="0.35">
      <c r="A480" s="66" t="s">
        <v>534</v>
      </c>
      <c r="B480" s="66" t="s">
        <v>1341</v>
      </c>
      <c r="C480" s="67"/>
      <c r="D480" s="68"/>
      <c r="E480" s="69"/>
      <c r="F480" s="70"/>
      <c r="G480" s="67"/>
      <c r="H480" s="71"/>
      <c r="I480" s="72"/>
      <c r="J480" s="72"/>
      <c r="K480" s="36"/>
      <c r="L480" s="79"/>
      <c r="M480" s="79"/>
      <c r="N480" s="74"/>
      <c r="O480" s="81" t="s">
        <v>1533</v>
      </c>
      <c r="P480" s="83">
        <v>44460.481493055559</v>
      </c>
      <c r="Q480" s="81" t="s">
        <v>1704</v>
      </c>
      <c r="R480" s="81"/>
      <c r="S480" s="81"/>
      <c r="T480" s="81"/>
      <c r="U480" s="81"/>
      <c r="V480" s="84" t="str">
        <f>HYPERLINK("https://pbs.twimg.com/profile_images/1428888419950743555/FV7XGf5o_normal.jpg")</f>
        <v>https://pbs.twimg.com/profile_images/1428888419950743555/FV7XGf5o_normal.jpg</v>
      </c>
      <c r="W480" s="83">
        <v>44460.481493055559</v>
      </c>
      <c r="X480" s="89">
        <v>44460</v>
      </c>
      <c r="Y480" s="86" t="s">
        <v>3098</v>
      </c>
      <c r="Z480" s="84" t="str">
        <f>HYPERLINK("https://twitter.com/ib_ost/status/1440277969964912645")</f>
        <v>https://twitter.com/ib_ost/status/1440277969964912645</v>
      </c>
      <c r="AA480" s="81"/>
      <c r="AB480" s="81"/>
      <c r="AC480" s="86" t="s">
        <v>4559</v>
      </c>
      <c r="AD480" s="81"/>
      <c r="AE480" s="81" t="b">
        <v>0</v>
      </c>
      <c r="AF480" s="81">
        <v>0</v>
      </c>
      <c r="AG480" s="86" t="s">
        <v>6240</v>
      </c>
      <c r="AH480" s="81" t="b">
        <v>0</v>
      </c>
      <c r="AI480" s="81" t="s">
        <v>6478</v>
      </c>
      <c r="AJ480" s="81"/>
      <c r="AK480" s="86" t="s">
        <v>6240</v>
      </c>
      <c r="AL480" s="81" t="b">
        <v>0</v>
      </c>
      <c r="AM480" s="81">
        <v>1</v>
      </c>
      <c r="AN480" s="86" t="s">
        <v>4558</v>
      </c>
      <c r="AO480" s="86" t="s">
        <v>6503</v>
      </c>
      <c r="AP480" s="81" t="b">
        <v>0</v>
      </c>
      <c r="AQ480" s="86" t="s">
        <v>4558</v>
      </c>
      <c r="AR480" s="81" t="s">
        <v>179</v>
      </c>
      <c r="AS480" s="81">
        <v>0</v>
      </c>
      <c r="AT480" s="81">
        <v>0</v>
      </c>
      <c r="AU480" s="81"/>
      <c r="AV480" s="81"/>
      <c r="AW480" s="81"/>
      <c r="AX480" s="81"/>
      <c r="AY480" s="81"/>
      <c r="AZ480" s="81"/>
      <c r="BA480" s="81"/>
      <c r="BB480" s="81"/>
    </row>
    <row r="481" spans="1:54" x14ac:dyDescent="0.35">
      <c r="A481" s="66" t="s">
        <v>533</v>
      </c>
      <c r="B481" s="66" t="s">
        <v>534</v>
      </c>
      <c r="C481" s="67"/>
      <c r="D481" s="68"/>
      <c r="E481" s="69"/>
      <c r="F481" s="70"/>
      <c r="G481" s="67"/>
      <c r="H481" s="71"/>
      <c r="I481" s="72"/>
      <c r="J481" s="72"/>
      <c r="K481" s="36"/>
      <c r="L481" s="79"/>
      <c r="M481" s="79"/>
      <c r="N481" s="74"/>
      <c r="O481" s="81" t="s">
        <v>1534</v>
      </c>
      <c r="P481" s="83">
        <v>44460.462488425925</v>
      </c>
      <c r="Q481" s="81" t="s">
        <v>1704</v>
      </c>
      <c r="R481" s="81"/>
      <c r="S481" s="81"/>
      <c r="T481" s="81"/>
      <c r="U481" s="81"/>
      <c r="V481" s="84" t="str">
        <f>HYPERLINK("https://pbs.twimg.com/profile_images/1338844021456703489/Jcp2n9Wb_normal.jpg")</f>
        <v>https://pbs.twimg.com/profile_images/1338844021456703489/Jcp2n9Wb_normal.jpg</v>
      </c>
      <c r="W481" s="83">
        <v>44460.462488425925</v>
      </c>
      <c r="X481" s="89">
        <v>44460</v>
      </c>
      <c r="Y481" s="86" t="s">
        <v>3097</v>
      </c>
      <c r="Z481" s="84" t="str">
        <f>HYPERLINK("https://twitter.com/masyarakatradio/status/1440271081479172099")</f>
        <v>https://twitter.com/masyarakatradio/status/1440271081479172099</v>
      </c>
      <c r="AA481" s="81"/>
      <c r="AB481" s="81"/>
      <c r="AC481" s="86" t="s">
        <v>4558</v>
      </c>
      <c r="AD481" s="86" t="s">
        <v>6033</v>
      </c>
      <c r="AE481" s="81" t="b">
        <v>0</v>
      </c>
      <c r="AF481" s="81">
        <v>7</v>
      </c>
      <c r="AG481" s="86" t="s">
        <v>6302</v>
      </c>
      <c r="AH481" s="81" t="b">
        <v>0</v>
      </c>
      <c r="AI481" s="81" t="s">
        <v>6478</v>
      </c>
      <c r="AJ481" s="81"/>
      <c r="AK481" s="86" t="s">
        <v>6240</v>
      </c>
      <c r="AL481" s="81" t="b">
        <v>0</v>
      </c>
      <c r="AM481" s="81">
        <v>1</v>
      </c>
      <c r="AN481" s="86" t="s">
        <v>6240</v>
      </c>
      <c r="AO481" s="86" t="s">
        <v>6503</v>
      </c>
      <c r="AP481" s="81" t="b">
        <v>0</v>
      </c>
      <c r="AQ481" s="86" t="s">
        <v>6033</v>
      </c>
      <c r="AR481" s="81" t="s">
        <v>179</v>
      </c>
      <c r="AS481" s="81">
        <v>0</v>
      </c>
      <c r="AT481" s="81">
        <v>0</v>
      </c>
      <c r="AU481" s="81"/>
      <c r="AV481" s="81"/>
      <c r="AW481" s="81"/>
      <c r="AX481" s="81"/>
      <c r="AY481" s="81"/>
      <c r="AZ481" s="81"/>
      <c r="BA481" s="81"/>
      <c r="BB481" s="81"/>
    </row>
    <row r="482" spans="1:54" x14ac:dyDescent="0.35">
      <c r="A482" s="66" t="s">
        <v>534</v>
      </c>
      <c r="B482" s="66" t="s">
        <v>533</v>
      </c>
      <c r="C482" s="67"/>
      <c r="D482" s="68"/>
      <c r="E482" s="69"/>
      <c r="F482" s="70"/>
      <c r="G482" s="67"/>
      <c r="H482" s="71"/>
      <c r="I482" s="72"/>
      <c r="J482" s="72"/>
      <c r="K482" s="36"/>
      <c r="L482" s="79"/>
      <c r="M482" s="79"/>
      <c r="N482" s="74"/>
      <c r="O482" s="81" t="s">
        <v>1532</v>
      </c>
      <c r="P482" s="83">
        <v>44460.481493055559</v>
      </c>
      <c r="Q482" s="81" t="s">
        <v>1704</v>
      </c>
      <c r="R482" s="81"/>
      <c r="S482" s="81"/>
      <c r="T482" s="81"/>
      <c r="U482" s="81"/>
      <c r="V482" s="84" t="str">
        <f>HYPERLINK("https://pbs.twimg.com/profile_images/1428888419950743555/FV7XGf5o_normal.jpg")</f>
        <v>https://pbs.twimg.com/profile_images/1428888419950743555/FV7XGf5o_normal.jpg</v>
      </c>
      <c r="W482" s="83">
        <v>44460.481493055559</v>
      </c>
      <c r="X482" s="89">
        <v>44460</v>
      </c>
      <c r="Y482" s="86" t="s">
        <v>3098</v>
      </c>
      <c r="Z482" s="84" t="str">
        <f>HYPERLINK("https://twitter.com/ib_ost/status/1440277969964912645")</f>
        <v>https://twitter.com/ib_ost/status/1440277969964912645</v>
      </c>
      <c r="AA482" s="81"/>
      <c r="AB482" s="81"/>
      <c r="AC482" s="86" t="s">
        <v>4559</v>
      </c>
      <c r="AD482" s="81"/>
      <c r="AE482" s="81" t="b">
        <v>0</v>
      </c>
      <c r="AF482" s="81">
        <v>0</v>
      </c>
      <c r="AG482" s="86" t="s">
        <v>6240</v>
      </c>
      <c r="AH482" s="81" t="b">
        <v>0</v>
      </c>
      <c r="AI482" s="81" t="s">
        <v>6478</v>
      </c>
      <c r="AJ482" s="81"/>
      <c r="AK482" s="86" t="s">
        <v>6240</v>
      </c>
      <c r="AL482" s="81" t="b">
        <v>0</v>
      </c>
      <c r="AM482" s="81">
        <v>1</v>
      </c>
      <c r="AN482" s="86" t="s">
        <v>4558</v>
      </c>
      <c r="AO482" s="86" t="s">
        <v>6503</v>
      </c>
      <c r="AP482" s="81" t="b">
        <v>0</v>
      </c>
      <c r="AQ482" s="86" t="s">
        <v>4558</v>
      </c>
      <c r="AR482" s="81" t="s">
        <v>179</v>
      </c>
      <c r="AS482" s="81">
        <v>0</v>
      </c>
      <c r="AT482" s="81">
        <v>0</v>
      </c>
      <c r="AU482" s="81"/>
      <c r="AV482" s="81"/>
      <c r="AW482" s="81"/>
      <c r="AX482" s="81"/>
      <c r="AY482" s="81"/>
      <c r="AZ482" s="81"/>
      <c r="BA482" s="81"/>
      <c r="BB482" s="81"/>
    </row>
    <row r="483" spans="1:54" x14ac:dyDescent="0.35">
      <c r="A483" s="66" t="s">
        <v>535</v>
      </c>
      <c r="B483" s="66" t="s">
        <v>535</v>
      </c>
      <c r="C483" s="67"/>
      <c r="D483" s="68"/>
      <c r="E483" s="69"/>
      <c r="F483" s="70"/>
      <c r="G483" s="67"/>
      <c r="H483" s="71"/>
      <c r="I483" s="72"/>
      <c r="J483" s="72"/>
      <c r="K483" s="36"/>
      <c r="L483" s="79"/>
      <c r="M483" s="79"/>
      <c r="N483" s="74"/>
      <c r="O483" s="81" t="s">
        <v>179</v>
      </c>
      <c r="P483" s="83">
        <v>44460.482002314813</v>
      </c>
      <c r="Q483" s="81" t="s">
        <v>1705</v>
      </c>
      <c r="R483" s="81"/>
      <c r="S483" s="81"/>
      <c r="T483" s="81"/>
      <c r="U483" s="81"/>
      <c r="V483" s="84" t="str">
        <f>HYPERLINK("https://pbs.twimg.com/profile_images/1442695903052132355/OKqGGBMM_normal.jpg")</f>
        <v>https://pbs.twimg.com/profile_images/1442695903052132355/OKqGGBMM_normal.jpg</v>
      </c>
      <c r="W483" s="83">
        <v>44460.482002314813</v>
      </c>
      <c r="X483" s="89">
        <v>44460</v>
      </c>
      <c r="Y483" s="86" t="s">
        <v>3099</v>
      </c>
      <c r="Z483" s="84" t="str">
        <f>HYPERLINK("https://twitter.com/kalonginsomnia/status/1440278154690527233")</f>
        <v>https://twitter.com/kalonginsomnia/status/1440278154690527233</v>
      </c>
      <c r="AA483" s="81"/>
      <c r="AB483" s="81"/>
      <c r="AC483" s="86" t="s">
        <v>4560</v>
      </c>
      <c r="AD483" s="81"/>
      <c r="AE483" s="81" t="b">
        <v>0</v>
      </c>
      <c r="AF483" s="81">
        <v>1</v>
      </c>
      <c r="AG483" s="86" t="s">
        <v>6240</v>
      </c>
      <c r="AH483" s="81" t="b">
        <v>0</v>
      </c>
      <c r="AI483" s="81" t="s">
        <v>6478</v>
      </c>
      <c r="AJ483" s="81"/>
      <c r="AK483" s="86" t="s">
        <v>6240</v>
      </c>
      <c r="AL483" s="81" t="b">
        <v>0</v>
      </c>
      <c r="AM483" s="81">
        <v>0</v>
      </c>
      <c r="AN483" s="86" t="s">
        <v>6240</v>
      </c>
      <c r="AO483" s="86" t="s">
        <v>6503</v>
      </c>
      <c r="AP483" s="81" t="b">
        <v>0</v>
      </c>
      <c r="AQ483" s="86" t="s">
        <v>4560</v>
      </c>
      <c r="AR483" s="81" t="s">
        <v>179</v>
      </c>
      <c r="AS483" s="81">
        <v>0</v>
      </c>
      <c r="AT483" s="81">
        <v>0</v>
      </c>
      <c r="AU483" s="81"/>
      <c r="AV483" s="81"/>
      <c r="AW483" s="81"/>
      <c r="AX483" s="81"/>
      <c r="AY483" s="81"/>
      <c r="AZ483" s="81"/>
      <c r="BA483" s="81"/>
      <c r="BB483" s="81"/>
    </row>
    <row r="484" spans="1:54" x14ac:dyDescent="0.35">
      <c r="A484" s="66" t="s">
        <v>536</v>
      </c>
      <c r="B484" s="66" t="s">
        <v>536</v>
      </c>
      <c r="C484" s="67"/>
      <c r="D484" s="68"/>
      <c r="E484" s="69"/>
      <c r="F484" s="70"/>
      <c r="G484" s="67"/>
      <c r="H484" s="71"/>
      <c r="I484" s="72"/>
      <c r="J484" s="72"/>
      <c r="K484" s="36"/>
      <c r="L484" s="79"/>
      <c r="M484" s="79"/>
      <c r="N484" s="74"/>
      <c r="O484" s="81" t="s">
        <v>179</v>
      </c>
      <c r="P484" s="83">
        <v>44460.483263888891</v>
      </c>
      <c r="Q484" s="81" t="s">
        <v>1706</v>
      </c>
      <c r="R484" s="81"/>
      <c r="S484" s="81"/>
      <c r="T484" s="86" t="s">
        <v>2676</v>
      </c>
      <c r="U484" s="84" t="str">
        <f>HYPERLINK("https://pbs.twimg.com/media/E_zlwyZVQAQHUfM.jpg")</f>
        <v>https://pbs.twimg.com/media/E_zlwyZVQAQHUfM.jpg</v>
      </c>
      <c r="V484" s="84" t="str">
        <f>HYPERLINK("https://pbs.twimg.com/media/E_zlwyZVQAQHUfM.jpg")</f>
        <v>https://pbs.twimg.com/media/E_zlwyZVQAQHUfM.jpg</v>
      </c>
      <c r="W484" s="83">
        <v>44460.483263888891</v>
      </c>
      <c r="X484" s="89">
        <v>44460</v>
      </c>
      <c r="Y484" s="86" t="s">
        <v>3100</v>
      </c>
      <c r="Z484" s="84" t="str">
        <f>HYPERLINK("https://twitter.com/almahendraf/status/1440278610158383118")</f>
        <v>https://twitter.com/almahendraf/status/1440278610158383118</v>
      </c>
      <c r="AA484" s="81"/>
      <c r="AB484" s="81"/>
      <c r="AC484" s="86" t="s">
        <v>4561</v>
      </c>
      <c r="AD484" s="81"/>
      <c r="AE484" s="81" t="b">
        <v>0</v>
      </c>
      <c r="AF484" s="81">
        <v>6</v>
      </c>
      <c r="AG484" s="86" t="s">
        <v>6240</v>
      </c>
      <c r="AH484" s="81" t="b">
        <v>0</v>
      </c>
      <c r="AI484" s="81" t="s">
        <v>6478</v>
      </c>
      <c r="AJ484" s="81"/>
      <c r="AK484" s="86" t="s">
        <v>6240</v>
      </c>
      <c r="AL484" s="81" t="b">
        <v>0</v>
      </c>
      <c r="AM484" s="81">
        <v>0</v>
      </c>
      <c r="AN484" s="86" t="s">
        <v>6240</v>
      </c>
      <c r="AO484" s="86" t="s">
        <v>6503</v>
      </c>
      <c r="AP484" s="81" t="b">
        <v>0</v>
      </c>
      <c r="AQ484" s="86" t="s">
        <v>4561</v>
      </c>
      <c r="AR484" s="81" t="s">
        <v>179</v>
      </c>
      <c r="AS484" s="81">
        <v>0</v>
      </c>
      <c r="AT484" s="81">
        <v>0</v>
      </c>
      <c r="AU484" s="81"/>
      <c r="AV484" s="81"/>
      <c r="AW484" s="81"/>
      <c r="AX484" s="81"/>
      <c r="AY484" s="81"/>
      <c r="AZ484" s="81"/>
      <c r="BA484" s="81"/>
      <c r="BB484" s="81"/>
    </row>
    <row r="485" spans="1:54" x14ac:dyDescent="0.35">
      <c r="A485" s="66" t="s">
        <v>537</v>
      </c>
      <c r="B485" s="66" t="s">
        <v>537</v>
      </c>
      <c r="C485" s="67"/>
      <c r="D485" s="68"/>
      <c r="E485" s="69"/>
      <c r="F485" s="70"/>
      <c r="G485" s="67"/>
      <c r="H485" s="71"/>
      <c r="I485" s="72"/>
      <c r="J485" s="72"/>
      <c r="K485" s="36"/>
      <c r="L485" s="79"/>
      <c r="M485" s="79"/>
      <c r="N485" s="74"/>
      <c r="O485" s="81" t="s">
        <v>179</v>
      </c>
      <c r="P485" s="83">
        <v>44460.509351851855</v>
      </c>
      <c r="Q485" s="81" t="s">
        <v>1707</v>
      </c>
      <c r="R485" s="81"/>
      <c r="S485" s="81"/>
      <c r="T485" s="81"/>
      <c r="U485" s="81"/>
      <c r="V485" s="84" t="str">
        <f>HYPERLINK("https://pbs.twimg.com/profile_images/1307292160031518721/bwC5U3V__normal.jpg")</f>
        <v>https://pbs.twimg.com/profile_images/1307292160031518721/bwC5U3V__normal.jpg</v>
      </c>
      <c r="W485" s="83">
        <v>44460.509351851855</v>
      </c>
      <c r="X485" s="89">
        <v>44460</v>
      </c>
      <c r="Y485" s="86" t="s">
        <v>3101</v>
      </c>
      <c r="Z485" s="84" t="str">
        <f>HYPERLINK("https://twitter.com/niizaaar/status/1440288065965092876")</f>
        <v>https://twitter.com/niizaaar/status/1440288065965092876</v>
      </c>
      <c r="AA485" s="81"/>
      <c r="AB485" s="81"/>
      <c r="AC485" s="86" t="s">
        <v>4562</v>
      </c>
      <c r="AD485" s="81"/>
      <c r="AE485" s="81" t="b">
        <v>0</v>
      </c>
      <c r="AF485" s="81">
        <v>0</v>
      </c>
      <c r="AG485" s="86" t="s">
        <v>6240</v>
      </c>
      <c r="AH485" s="81" t="b">
        <v>0</v>
      </c>
      <c r="AI485" s="81" t="s">
        <v>6478</v>
      </c>
      <c r="AJ485" s="81"/>
      <c r="AK485" s="86" t="s">
        <v>6240</v>
      </c>
      <c r="AL485" s="81" t="b">
        <v>0</v>
      </c>
      <c r="AM485" s="81">
        <v>0</v>
      </c>
      <c r="AN485" s="86" t="s">
        <v>6240</v>
      </c>
      <c r="AO485" s="86" t="s">
        <v>6505</v>
      </c>
      <c r="AP485" s="81" t="b">
        <v>0</v>
      </c>
      <c r="AQ485" s="86" t="s">
        <v>4562</v>
      </c>
      <c r="AR485" s="81" t="s">
        <v>179</v>
      </c>
      <c r="AS485" s="81">
        <v>0</v>
      </c>
      <c r="AT485" s="81">
        <v>0</v>
      </c>
      <c r="AU485" s="81"/>
      <c r="AV485" s="81"/>
      <c r="AW485" s="81"/>
      <c r="AX485" s="81"/>
      <c r="AY485" s="81"/>
      <c r="AZ485" s="81"/>
      <c r="BA485" s="81"/>
      <c r="BB485" s="81"/>
    </row>
    <row r="486" spans="1:54" x14ac:dyDescent="0.35">
      <c r="A486" s="66" t="s">
        <v>538</v>
      </c>
      <c r="B486" s="66" t="s">
        <v>538</v>
      </c>
      <c r="C486" s="67"/>
      <c r="D486" s="68"/>
      <c r="E486" s="69"/>
      <c r="F486" s="70"/>
      <c r="G486" s="67"/>
      <c r="H486" s="71"/>
      <c r="I486" s="72"/>
      <c r="J486" s="72"/>
      <c r="K486" s="36"/>
      <c r="L486" s="79"/>
      <c r="M486" s="79"/>
      <c r="N486" s="74"/>
      <c r="O486" s="81" t="s">
        <v>179</v>
      </c>
      <c r="P486" s="83">
        <v>44460.517638888887</v>
      </c>
      <c r="Q486" s="81" t="s">
        <v>1708</v>
      </c>
      <c r="R486" s="81"/>
      <c r="S486" s="81"/>
      <c r="T486" s="81"/>
      <c r="U486" s="81"/>
      <c r="V486" s="84" t="str">
        <f>HYPERLINK("https://pbs.twimg.com/profile_images/1435910741110919175/DR1biti__normal.jpg")</f>
        <v>https://pbs.twimg.com/profile_images/1435910741110919175/DR1biti__normal.jpg</v>
      </c>
      <c r="W486" s="83">
        <v>44460.517638888887</v>
      </c>
      <c r="X486" s="89">
        <v>44460</v>
      </c>
      <c r="Y486" s="86" t="s">
        <v>3102</v>
      </c>
      <c r="Z486" s="84" t="str">
        <f>HYPERLINK("https://twitter.com/milkycocho/status/1440291068386234371")</f>
        <v>https://twitter.com/milkycocho/status/1440291068386234371</v>
      </c>
      <c r="AA486" s="81"/>
      <c r="AB486" s="81"/>
      <c r="AC486" s="86" t="s">
        <v>4563</v>
      </c>
      <c r="AD486" s="81"/>
      <c r="AE486" s="81" t="b">
        <v>0</v>
      </c>
      <c r="AF486" s="81">
        <v>0</v>
      </c>
      <c r="AG486" s="86" t="s">
        <v>6240</v>
      </c>
      <c r="AH486" s="81" t="b">
        <v>0</v>
      </c>
      <c r="AI486" s="81" t="s">
        <v>6478</v>
      </c>
      <c r="AJ486" s="81"/>
      <c r="AK486" s="86" t="s">
        <v>6240</v>
      </c>
      <c r="AL486" s="81" t="b">
        <v>0</v>
      </c>
      <c r="AM486" s="81">
        <v>0</v>
      </c>
      <c r="AN486" s="86" t="s">
        <v>6240</v>
      </c>
      <c r="AO486" s="86" t="s">
        <v>6503</v>
      </c>
      <c r="AP486" s="81" t="b">
        <v>0</v>
      </c>
      <c r="AQ486" s="86" t="s">
        <v>4563</v>
      </c>
      <c r="AR486" s="81" t="s">
        <v>179</v>
      </c>
      <c r="AS486" s="81">
        <v>0</v>
      </c>
      <c r="AT486" s="81">
        <v>0</v>
      </c>
      <c r="AU486" s="81"/>
      <c r="AV486" s="81"/>
      <c r="AW486" s="81"/>
      <c r="AX486" s="81"/>
      <c r="AY486" s="81"/>
      <c r="AZ486" s="81"/>
      <c r="BA486" s="81"/>
      <c r="BB486" s="81"/>
    </row>
    <row r="487" spans="1:54" x14ac:dyDescent="0.35">
      <c r="A487" s="66" t="s">
        <v>539</v>
      </c>
      <c r="B487" s="66" t="s">
        <v>1342</v>
      </c>
      <c r="C487" s="67"/>
      <c r="D487" s="68"/>
      <c r="E487" s="69"/>
      <c r="F487" s="70"/>
      <c r="G487" s="67"/>
      <c r="H487" s="71"/>
      <c r="I487" s="72"/>
      <c r="J487" s="72"/>
      <c r="K487" s="36"/>
      <c r="L487" s="79"/>
      <c r="M487" s="79"/>
      <c r="N487" s="74"/>
      <c r="O487" s="81" t="s">
        <v>1535</v>
      </c>
      <c r="P487" s="83">
        <v>44460.537766203706</v>
      </c>
      <c r="Q487" s="81" t="s">
        <v>1709</v>
      </c>
      <c r="R487" s="81"/>
      <c r="S487" s="81"/>
      <c r="T487" s="81"/>
      <c r="U487" s="81"/>
      <c r="V487" s="84" t="str">
        <f>HYPERLINK("https://pbs.twimg.com/profile_images/1406190476718329856/43EfPMQk_normal.jpg")</f>
        <v>https://pbs.twimg.com/profile_images/1406190476718329856/43EfPMQk_normal.jpg</v>
      </c>
      <c r="W487" s="83">
        <v>44460.537766203706</v>
      </c>
      <c r="X487" s="89">
        <v>44460</v>
      </c>
      <c r="Y487" s="86" t="s">
        <v>3103</v>
      </c>
      <c r="Z487" s="84" t="str">
        <f>HYPERLINK("https://twitter.com/anwarashburn/status/1440298360007651348")</f>
        <v>https://twitter.com/anwarashburn/status/1440298360007651348</v>
      </c>
      <c r="AA487" s="81"/>
      <c r="AB487" s="81"/>
      <c r="AC487" s="86" t="s">
        <v>4564</v>
      </c>
      <c r="AD487" s="86" t="s">
        <v>6034</v>
      </c>
      <c r="AE487" s="81" t="b">
        <v>0</v>
      </c>
      <c r="AF487" s="81">
        <v>0</v>
      </c>
      <c r="AG487" s="86" t="s">
        <v>6303</v>
      </c>
      <c r="AH487" s="81" t="b">
        <v>0</v>
      </c>
      <c r="AI487" s="81" t="s">
        <v>6478</v>
      </c>
      <c r="AJ487" s="81"/>
      <c r="AK487" s="86" t="s">
        <v>6240</v>
      </c>
      <c r="AL487" s="81" t="b">
        <v>0</v>
      </c>
      <c r="AM487" s="81">
        <v>0</v>
      </c>
      <c r="AN487" s="86" t="s">
        <v>6240</v>
      </c>
      <c r="AO487" s="86" t="s">
        <v>6503</v>
      </c>
      <c r="AP487" s="81" t="b">
        <v>0</v>
      </c>
      <c r="AQ487" s="86" t="s">
        <v>6034</v>
      </c>
      <c r="AR487" s="81" t="s">
        <v>179</v>
      </c>
      <c r="AS487" s="81">
        <v>0</v>
      </c>
      <c r="AT487" s="81">
        <v>0</v>
      </c>
      <c r="AU487" s="81"/>
      <c r="AV487" s="81"/>
      <c r="AW487" s="81"/>
      <c r="AX487" s="81"/>
      <c r="AY487" s="81"/>
      <c r="AZ487" s="81"/>
      <c r="BA487" s="81"/>
      <c r="BB487" s="81"/>
    </row>
    <row r="488" spans="1:54" x14ac:dyDescent="0.35">
      <c r="A488" s="66" t="s">
        <v>539</v>
      </c>
      <c r="B488" s="66" t="s">
        <v>1343</v>
      </c>
      <c r="C488" s="67"/>
      <c r="D488" s="68"/>
      <c r="E488" s="69"/>
      <c r="F488" s="70"/>
      <c r="G488" s="67"/>
      <c r="H488" s="71"/>
      <c r="I488" s="72"/>
      <c r="J488" s="72"/>
      <c r="K488" s="36"/>
      <c r="L488" s="79"/>
      <c r="M488" s="79"/>
      <c r="N488" s="74"/>
      <c r="O488" s="81" t="s">
        <v>1534</v>
      </c>
      <c r="P488" s="83">
        <v>44460.537766203706</v>
      </c>
      <c r="Q488" s="81" t="s">
        <v>1709</v>
      </c>
      <c r="R488" s="81"/>
      <c r="S488" s="81"/>
      <c r="T488" s="81"/>
      <c r="U488" s="81"/>
      <c r="V488" s="84" t="str">
        <f>HYPERLINK("https://pbs.twimg.com/profile_images/1406190476718329856/43EfPMQk_normal.jpg")</f>
        <v>https://pbs.twimg.com/profile_images/1406190476718329856/43EfPMQk_normal.jpg</v>
      </c>
      <c r="W488" s="83">
        <v>44460.537766203706</v>
      </c>
      <c r="X488" s="89">
        <v>44460</v>
      </c>
      <c r="Y488" s="86" t="s">
        <v>3103</v>
      </c>
      <c r="Z488" s="84" t="str">
        <f>HYPERLINK("https://twitter.com/anwarashburn/status/1440298360007651348")</f>
        <v>https://twitter.com/anwarashburn/status/1440298360007651348</v>
      </c>
      <c r="AA488" s="81"/>
      <c r="AB488" s="81"/>
      <c r="AC488" s="86" t="s">
        <v>4564</v>
      </c>
      <c r="AD488" s="86" t="s">
        <v>6034</v>
      </c>
      <c r="AE488" s="81" t="b">
        <v>0</v>
      </c>
      <c r="AF488" s="81">
        <v>0</v>
      </c>
      <c r="AG488" s="86" t="s">
        <v>6303</v>
      </c>
      <c r="AH488" s="81" t="b">
        <v>0</v>
      </c>
      <c r="AI488" s="81" t="s">
        <v>6478</v>
      </c>
      <c r="AJ488" s="81"/>
      <c r="AK488" s="86" t="s">
        <v>6240</v>
      </c>
      <c r="AL488" s="81" t="b">
        <v>0</v>
      </c>
      <c r="AM488" s="81">
        <v>0</v>
      </c>
      <c r="AN488" s="86" t="s">
        <v>6240</v>
      </c>
      <c r="AO488" s="86" t="s">
        <v>6503</v>
      </c>
      <c r="AP488" s="81" t="b">
        <v>0</v>
      </c>
      <c r="AQ488" s="86" t="s">
        <v>6034</v>
      </c>
      <c r="AR488" s="81" t="s">
        <v>179</v>
      </c>
      <c r="AS488" s="81">
        <v>0</v>
      </c>
      <c r="AT488" s="81">
        <v>0</v>
      </c>
      <c r="AU488" s="81"/>
      <c r="AV488" s="81"/>
      <c r="AW488" s="81"/>
      <c r="AX488" s="81"/>
      <c r="AY488" s="81"/>
      <c r="AZ488" s="81"/>
      <c r="BA488" s="81"/>
      <c r="BB488" s="81"/>
    </row>
    <row r="489" spans="1:54" x14ac:dyDescent="0.35">
      <c r="A489" s="66" t="s">
        <v>540</v>
      </c>
      <c r="B489" s="66" t="s">
        <v>540</v>
      </c>
      <c r="C489" s="67"/>
      <c r="D489" s="68"/>
      <c r="E489" s="69"/>
      <c r="F489" s="70"/>
      <c r="G489" s="67"/>
      <c r="H489" s="71"/>
      <c r="I489" s="72"/>
      <c r="J489" s="72"/>
      <c r="K489" s="36"/>
      <c r="L489" s="79"/>
      <c r="M489" s="79"/>
      <c r="N489" s="74"/>
      <c r="O489" s="81" t="s">
        <v>179</v>
      </c>
      <c r="P489" s="83">
        <v>44460.542824074073</v>
      </c>
      <c r="Q489" s="81" t="s">
        <v>1710</v>
      </c>
      <c r="R489" s="81"/>
      <c r="S489" s="81"/>
      <c r="T489" s="81"/>
      <c r="U489" s="81"/>
      <c r="V489" s="84" t="str">
        <f>HYPERLINK("https://pbs.twimg.com/profile_images/1352418016927993856/51hUzTUi_normal.jpg")</f>
        <v>https://pbs.twimg.com/profile_images/1352418016927993856/51hUzTUi_normal.jpg</v>
      </c>
      <c r="W489" s="83">
        <v>44460.542824074073</v>
      </c>
      <c r="X489" s="89">
        <v>44460</v>
      </c>
      <c r="Y489" s="86" t="s">
        <v>3104</v>
      </c>
      <c r="Z489" s="84" t="str">
        <f>HYPERLINK("https://twitter.com/jjkthygie/status/1440300196538163200")</f>
        <v>https://twitter.com/jjkthygie/status/1440300196538163200</v>
      </c>
      <c r="AA489" s="81"/>
      <c r="AB489" s="81"/>
      <c r="AC489" s="86" t="s">
        <v>4565</v>
      </c>
      <c r="AD489" s="81"/>
      <c r="AE489" s="81" t="b">
        <v>0</v>
      </c>
      <c r="AF489" s="81">
        <v>0</v>
      </c>
      <c r="AG489" s="86" t="s">
        <v>6240</v>
      </c>
      <c r="AH489" s="81" t="b">
        <v>0</v>
      </c>
      <c r="AI489" s="81" t="s">
        <v>6479</v>
      </c>
      <c r="AJ489" s="81"/>
      <c r="AK489" s="86" t="s">
        <v>6240</v>
      </c>
      <c r="AL489" s="81" t="b">
        <v>0</v>
      </c>
      <c r="AM489" s="81">
        <v>0</v>
      </c>
      <c r="AN489" s="86" t="s">
        <v>6240</v>
      </c>
      <c r="AO489" s="86" t="s">
        <v>6503</v>
      </c>
      <c r="AP489" s="81" t="b">
        <v>0</v>
      </c>
      <c r="AQ489" s="86" t="s">
        <v>4565</v>
      </c>
      <c r="AR489" s="81" t="s">
        <v>179</v>
      </c>
      <c r="AS489" s="81">
        <v>0</v>
      </c>
      <c r="AT489" s="81">
        <v>0</v>
      </c>
      <c r="AU489" s="81"/>
      <c r="AV489" s="81"/>
      <c r="AW489" s="81"/>
      <c r="AX489" s="81"/>
      <c r="AY489" s="81"/>
      <c r="AZ489" s="81"/>
      <c r="BA489" s="81"/>
      <c r="BB489" s="81"/>
    </row>
    <row r="490" spans="1:54" x14ac:dyDescent="0.35">
      <c r="A490" s="66" t="s">
        <v>541</v>
      </c>
      <c r="B490" s="66" t="s">
        <v>1306</v>
      </c>
      <c r="C490" s="67"/>
      <c r="D490" s="68"/>
      <c r="E490" s="69"/>
      <c r="F490" s="70"/>
      <c r="G490" s="67"/>
      <c r="H490" s="71"/>
      <c r="I490" s="72"/>
      <c r="J490" s="72"/>
      <c r="K490" s="36"/>
      <c r="L490" s="79"/>
      <c r="M490" s="79"/>
      <c r="N490" s="74"/>
      <c r="O490" s="81" t="s">
        <v>1534</v>
      </c>
      <c r="P490" s="83">
        <v>44460.554340277777</v>
      </c>
      <c r="Q490" s="81" t="s">
        <v>1711</v>
      </c>
      <c r="R490" s="81"/>
      <c r="S490" s="81"/>
      <c r="T490" s="81"/>
      <c r="U490" s="81"/>
      <c r="V490" s="84" t="str">
        <f>HYPERLINK("https://pbs.twimg.com/profile_images/1434727278970216450/L00UPvxF_normal.jpg")</f>
        <v>https://pbs.twimg.com/profile_images/1434727278970216450/L00UPvxF_normal.jpg</v>
      </c>
      <c r="W490" s="83">
        <v>44460.554340277777</v>
      </c>
      <c r="X490" s="89">
        <v>44460</v>
      </c>
      <c r="Y490" s="86" t="s">
        <v>2998</v>
      </c>
      <c r="Z490" s="84" t="str">
        <f>HYPERLINK("https://twitter.com/jekeyy1201/status/1440304366469091336")</f>
        <v>https://twitter.com/jekeyy1201/status/1440304366469091336</v>
      </c>
      <c r="AA490" s="81"/>
      <c r="AB490" s="81"/>
      <c r="AC490" s="86" t="s">
        <v>4566</v>
      </c>
      <c r="AD490" s="86" t="s">
        <v>6035</v>
      </c>
      <c r="AE490" s="81" t="b">
        <v>0</v>
      </c>
      <c r="AF490" s="81">
        <v>0</v>
      </c>
      <c r="AG490" s="86" t="s">
        <v>6304</v>
      </c>
      <c r="AH490" s="81" t="b">
        <v>0</v>
      </c>
      <c r="AI490" s="81" t="s">
        <v>6478</v>
      </c>
      <c r="AJ490" s="81"/>
      <c r="AK490" s="86" t="s">
        <v>6240</v>
      </c>
      <c r="AL490" s="81" t="b">
        <v>0</v>
      </c>
      <c r="AM490" s="81">
        <v>0</v>
      </c>
      <c r="AN490" s="86" t="s">
        <v>6240</v>
      </c>
      <c r="AO490" s="86" t="s">
        <v>6503</v>
      </c>
      <c r="AP490" s="81" t="b">
        <v>0</v>
      </c>
      <c r="AQ490" s="86" t="s">
        <v>6035</v>
      </c>
      <c r="AR490" s="81" t="s">
        <v>179</v>
      </c>
      <c r="AS490" s="81">
        <v>0</v>
      </c>
      <c r="AT490" s="81">
        <v>0</v>
      </c>
      <c r="AU490" s="81"/>
      <c r="AV490" s="81"/>
      <c r="AW490" s="81"/>
      <c r="AX490" s="81"/>
      <c r="AY490" s="81"/>
      <c r="AZ490" s="81"/>
      <c r="BA490" s="81"/>
      <c r="BB490" s="81"/>
    </row>
    <row r="491" spans="1:54" x14ac:dyDescent="0.35">
      <c r="A491" s="66" t="s">
        <v>542</v>
      </c>
      <c r="B491" s="66" t="s">
        <v>654</v>
      </c>
      <c r="C491" s="67"/>
      <c r="D491" s="68"/>
      <c r="E491" s="69"/>
      <c r="F491" s="70"/>
      <c r="G491" s="67"/>
      <c r="H491" s="71"/>
      <c r="I491" s="72"/>
      <c r="J491" s="72"/>
      <c r="K491" s="36"/>
      <c r="L491" s="79"/>
      <c r="M491" s="79"/>
      <c r="N491" s="74"/>
      <c r="O491" s="81" t="s">
        <v>1532</v>
      </c>
      <c r="P491" s="83">
        <v>44460.571875000001</v>
      </c>
      <c r="Q491" s="81" t="s">
        <v>1712</v>
      </c>
      <c r="R491" s="81"/>
      <c r="S491" s="81"/>
      <c r="T491" s="81"/>
      <c r="U491" s="84" t="str">
        <f>HYPERLINK("https://pbs.twimg.com/media/E_0AOQ-VIAM2UO2.jpg")</f>
        <v>https://pbs.twimg.com/media/E_0AOQ-VIAM2UO2.jpg</v>
      </c>
      <c r="V491" s="84" t="str">
        <f>HYPERLINK("https://pbs.twimg.com/media/E_0AOQ-VIAM2UO2.jpg")</f>
        <v>https://pbs.twimg.com/media/E_0AOQ-VIAM2UO2.jpg</v>
      </c>
      <c r="W491" s="83">
        <v>44460.571875000001</v>
      </c>
      <c r="X491" s="89">
        <v>44460</v>
      </c>
      <c r="Y491" s="86" t="s">
        <v>3105</v>
      </c>
      <c r="Z491" s="84" t="str">
        <f>HYPERLINK("https://twitter.com/dw_sardjono/status/1440310721401610242")</f>
        <v>https://twitter.com/dw_sardjono/status/1440310721401610242</v>
      </c>
      <c r="AA491" s="81"/>
      <c r="AB491" s="81"/>
      <c r="AC491" s="86" t="s">
        <v>4567</v>
      </c>
      <c r="AD491" s="81"/>
      <c r="AE491" s="81" t="b">
        <v>0</v>
      </c>
      <c r="AF491" s="81">
        <v>0</v>
      </c>
      <c r="AG491" s="86" t="s">
        <v>6240</v>
      </c>
      <c r="AH491" s="81" t="b">
        <v>0</v>
      </c>
      <c r="AI491" s="81" t="s">
        <v>6478</v>
      </c>
      <c r="AJ491" s="81"/>
      <c r="AK491" s="86" t="s">
        <v>6240</v>
      </c>
      <c r="AL491" s="81" t="b">
        <v>0</v>
      </c>
      <c r="AM491" s="81">
        <v>3</v>
      </c>
      <c r="AN491" s="86" t="s">
        <v>4694</v>
      </c>
      <c r="AO491" s="86" t="s">
        <v>6503</v>
      </c>
      <c r="AP491" s="81" t="b">
        <v>0</v>
      </c>
      <c r="AQ491" s="86" t="s">
        <v>4694</v>
      </c>
      <c r="AR491" s="81" t="s">
        <v>179</v>
      </c>
      <c r="AS491" s="81">
        <v>0</v>
      </c>
      <c r="AT491" s="81">
        <v>0</v>
      </c>
      <c r="AU491" s="81"/>
      <c r="AV491" s="81"/>
      <c r="AW491" s="81"/>
      <c r="AX491" s="81"/>
      <c r="AY491" s="81"/>
      <c r="AZ491" s="81"/>
      <c r="BA491" s="81"/>
      <c r="BB491" s="81"/>
    </row>
    <row r="492" spans="1:54" x14ac:dyDescent="0.35">
      <c r="A492" s="66" t="s">
        <v>543</v>
      </c>
      <c r="B492" s="66" t="s">
        <v>1344</v>
      </c>
      <c r="C492" s="67"/>
      <c r="D492" s="68"/>
      <c r="E492" s="69"/>
      <c r="F492" s="70"/>
      <c r="G492" s="67"/>
      <c r="H492" s="71"/>
      <c r="I492" s="72"/>
      <c r="J492" s="72"/>
      <c r="K492" s="36"/>
      <c r="L492" s="79"/>
      <c r="M492" s="79"/>
      <c r="N492" s="74"/>
      <c r="O492" s="81" t="s">
        <v>1534</v>
      </c>
      <c r="P492" s="83">
        <v>44460.574756944443</v>
      </c>
      <c r="Q492" s="81" t="s">
        <v>1713</v>
      </c>
      <c r="R492" s="81"/>
      <c r="S492" s="81"/>
      <c r="T492" s="81"/>
      <c r="U492" s="81"/>
      <c r="V492" s="84" t="str">
        <f>HYPERLINK("https://pbs.twimg.com/profile_images/1438305026963771393/hdIVGZhC_normal.jpg")</f>
        <v>https://pbs.twimg.com/profile_images/1438305026963771393/hdIVGZhC_normal.jpg</v>
      </c>
      <c r="W492" s="83">
        <v>44460.574756944443</v>
      </c>
      <c r="X492" s="89">
        <v>44460</v>
      </c>
      <c r="Y492" s="86" t="s">
        <v>3106</v>
      </c>
      <c r="Z492" s="84" t="str">
        <f>HYPERLINK("https://twitter.com/widddigidaw/status/1440311767662432268")</f>
        <v>https://twitter.com/widddigidaw/status/1440311767662432268</v>
      </c>
      <c r="AA492" s="81"/>
      <c r="AB492" s="81"/>
      <c r="AC492" s="86" t="s">
        <v>4568</v>
      </c>
      <c r="AD492" s="86" t="s">
        <v>6036</v>
      </c>
      <c r="AE492" s="81" t="b">
        <v>0</v>
      </c>
      <c r="AF492" s="81">
        <v>0</v>
      </c>
      <c r="AG492" s="86" t="s">
        <v>6305</v>
      </c>
      <c r="AH492" s="81" t="b">
        <v>0</v>
      </c>
      <c r="AI492" s="81" t="s">
        <v>6478</v>
      </c>
      <c r="AJ492" s="81"/>
      <c r="AK492" s="86" t="s">
        <v>6240</v>
      </c>
      <c r="AL492" s="81" t="b">
        <v>0</v>
      </c>
      <c r="AM492" s="81">
        <v>0</v>
      </c>
      <c r="AN492" s="86" t="s">
        <v>6240</v>
      </c>
      <c r="AO492" s="86" t="s">
        <v>6503</v>
      </c>
      <c r="AP492" s="81" t="b">
        <v>0</v>
      </c>
      <c r="AQ492" s="86" t="s">
        <v>6036</v>
      </c>
      <c r="AR492" s="81" t="s">
        <v>179</v>
      </c>
      <c r="AS492" s="81">
        <v>0</v>
      </c>
      <c r="AT492" s="81">
        <v>0</v>
      </c>
      <c r="AU492" s="81"/>
      <c r="AV492" s="81"/>
      <c r="AW492" s="81"/>
      <c r="AX492" s="81"/>
      <c r="AY492" s="81"/>
      <c r="AZ492" s="81"/>
      <c r="BA492" s="81"/>
      <c r="BB492" s="81"/>
    </row>
    <row r="493" spans="1:54" x14ac:dyDescent="0.35">
      <c r="A493" s="66" t="s">
        <v>544</v>
      </c>
      <c r="B493" s="66" t="s">
        <v>1345</v>
      </c>
      <c r="C493" s="67"/>
      <c r="D493" s="68"/>
      <c r="E493" s="69"/>
      <c r="F493" s="70"/>
      <c r="G493" s="67"/>
      <c r="H493" s="71"/>
      <c r="I493" s="72"/>
      <c r="J493" s="72"/>
      <c r="K493" s="36"/>
      <c r="L493" s="79"/>
      <c r="M493" s="79"/>
      <c r="N493" s="74"/>
      <c r="O493" s="81" t="s">
        <v>1534</v>
      </c>
      <c r="P493" s="83">
        <v>44460.581712962965</v>
      </c>
      <c r="Q493" s="81" t="s">
        <v>1714</v>
      </c>
      <c r="R493" s="81"/>
      <c r="S493" s="81"/>
      <c r="T493" s="81"/>
      <c r="U493" s="81"/>
      <c r="V493" s="84" t="str">
        <f>HYPERLINK("https://pbs.twimg.com/profile_images/1441039385663664135/GeiUM7B6_normal.png")</f>
        <v>https://pbs.twimg.com/profile_images/1441039385663664135/GeiUM7B6_normal.png</v>
      </c>
      <c r="W493" s="83">
        <v>44460.581712962965</v>
      </c>
      <c r="X493" s="89">
        <v>44460</v>
      </c>
      <c r="Y493" s="86" t="s">
        <v>3107</v>
      </c>
      <c r="Z493" s="84" t="str">
        <f>HYPERLINK("https://twitter.com/95tdoongz/status/1440314286090317825")</f>
        <v>https://twitter.com/95tdoongz/status/1440314286090317825</v>
      </c>
      <c r="AA493" s="81"/>
      <c r="AB493" s="81"/>
      <c r="AC493" s="86" t="s">
        <v>4569</v>
      </c>
      <c r="AD493" s="86" t="s">
        <v>6037</v>
      </c>
      <c r="AE493" s="81" t="b">
        <v>0</v>
      </c>
      <c r="AF493" s="81">
        <v>0</v>
      </c>
      <c r="AG493" s="86" t="s">
        <v>6306</v>
      </c>
      <c r="AH493" s="81" t="b">
        <v>0</v>
      </c>
      <c r="AI493" s="81" t="s">
        <v>6478</v>
      </c>
      <c r="AJ493" s="81"/>
      <c r="AK493" s="86" t="s">
        <v>6240</v>
      </c>
      <c r="AL493" s="81" t="b">
        <v>0</v>
      </c>
      <c r="AM493" s="81">
        <v>0</v>
      </c>
      <c r="AN493" s="86" t="s">
        <v>6240</v>
      </c>
      <c r="AO493" s="86" t="s">
        <v>6507</v>
      </c>
      <c r="AP493" s="81" t="b">
        <v>0</v>
      </c>
      <c r="AQ493" s="86" t="s">
        <v>6037</v>
      </c>
      <c r="AR493" s="81" t="s">
        <v>179</v>
      </c>
      <c r="AS493" s="81">
        <v>0</v>
      </c>
      <c r="AT493" s="81">
        <v>0</v>
      </c>
      <c r="AU493" s="81"/>
      <c r="AV493" s="81"/>
      <c r="AW493" s="81"/>
      <c r="AX493" s="81"/>
      <c r="AY493" s="81"/>
      <c r="AZ493" s="81"/>
      <c r="BA493" s="81"/>
      <c r="BB493" s="81"/>
    </row>
    <row r="494" spans="1:54" x14ac:dyDescent="0.35">
      <c r="A494" s="66" t="s">
        <v>545</v>
      </c>
      <c r="B494" s="66" t="s">
        <v>1346</v>
      </c>
      <c r="C494" s="67"/>
      <c r="D494" s="68"/>
      <c r="E494" s="69"/>
      <c r="F494" s="70"/>
      <c r="G494" s="67"/>
      <c r="H494" s="71"/>
      <c r="I494" s="72"/>
      <c r="J494" s="72"/>
      <c r="K494" s="36"/>
      <c r="L494" s="79"/>
      <c r="M494" s="79"/>
      <c r="N494" s="74"/>
      <c r="O494" s="81" t="s">
        <v>1535</v>
      </c>
      <c r="P494" s="83">
        <v>44460.581759259258</v>
      </c>
      <c r="Q494" s="81" t="s">
        <v>1715</v>
      </c>
      <c r="R494" s="84" t="str">
        <f>HYPERLINK("https://beritadiy.pikiran-rakyat.com/ekonomi/pr-702641402/bst-kemensos-tak-hanya-cair-lewat-kantor-pos-indonesia-cek-4-rekening-penyaluran-bantuan-rp600-ribu")</f>
        <v>https://beritadiy.pikiran-rakyat.com/ekonomi/pr-702641402/bst-kemensos-tak-hanya-cair-lewat-kantor-pos-indonesia-cek-4-rekening-penyaluran-bantuan-rp600-ribu</v>
      </c>
      <c r="S494" s="81" t="s">
        <v>2605</v>
      </c>
      <c r="T494" s="81"/>
      <c r="U494" s="84" t="str">
        <f>HYPERLINK("https://pbs.twimg.com/media/E_0GONcVQAw9rlZ.jpg")</f>
        <v>https://pbs.twimg.com/media/E_0GONcVQAw9rlZ.jpg</v>
      </c>
      <c r="V494" s="84" t="str">
        <f>HYPERLINK("https://pbs.twimg.com/media/E_0GONcVQAw9rlZ.jpg")</f>
        <v>https://pbs.twimg.com/media/E_0GONcVQAw9rlZ.jpg</v>
      </c>
      <c r="W494" s="83">
        <v>44460.581759259258</v>
      </c>
      <c r="X494" s="89">
        <v>44460</v>
      </c>
      <c r="Y494" s="86" t="s">
        <v>3108</v>
      </c>
      <c r="Z494" s="84" t="str">
        <f>HYPERLINK("https://twitter.com/putr4sj/status/1440314304813694992")</f>
        <v>https://twitter.com/putr4sj/status/1440314304813694992</v>
      </c>
      <c r="AA494" s="81"/>
      <c r="AB494" s="81"/>
      <c r="AC494" s="86" t="s">
        <v>4570</v>
      </c>
      <c r="AD494" s="81"/>
      <c r="AE494" s="81" t="b">
        <v>0</v>
      </c>
      <c r="AF494" s="81">
        <v>0</v>
      </c>
      <c r="AG494" s="86" t="s">
        <v>6240</v>
      </c>
      <c r="AH494" s="81" t="b">
        <v>0</v>
      </c>
      <c r="AI494" s="81" t="s">
        <v>6478</v>
      </c>
      <c r="AJ494" s="81"/>
      <c r="AK494" s="86" t="s">
        <v>6240</v>
      </c>
      <c r="AL494" s="81" t="b">
        <v>0</v>
      </c>
      <c r="AM494" s="81">
        <v>0</v>
      </c>
      <c r="AN494" s="86" t="s">
        <v>6240</v>
      </c>
      <c r="AO494" s="86" t="s">
        <v>6503</v>
      </c>
      <c r="AP494" s="81" t="b">
        <v>0</v>
      </c>
      <c r="AQ494" s="86" t="s">
        <v>4570</v>
      </c>
      <c r="AR494" s="81" t="s">
        <v>179</v>
      </c>
      <c r="AS494" s="81">
        <v>0</v>
      </c>
      <c r="AT494" s="81">
        <v>0</v>
      </c>
      <c r="AU494" s="81"/>
      <c r="AV494" s="81"/>
      <c r="AW494" s="81"/>
      <c r="AX494" s="81"/>
      <c r="AY494" s="81"/>
      <c r="AZ494" s="81"/>
      <c r="BA494" s="81"/>
      <c r="BB494" s="81"/>
    </row>
    <row r="495" spans="1:54" x14ac:dyDescent="0.35">
      <c r="A495" s="66" t="s">
        <v>546</v>
      </c>
      <c r="B495" s="66" t="s">
        <v>546</v>
      </c>
      <c r="C495" s="67"/>
      <c r="D495" s="68"/>
      <c r="E495" s="69"/>
      <c r="F495" s="70"/>
      <c r="G495" s="67"/>
      <c r="H495" s="71"/>
      <c r="I495" s="72"/>
      <c r="J495" s="72"/>
      <c r="K495" s="36"/>
      <c r="L495" s="79"/>
      <c r="M495" s="79"/>
      <c r="N495" s="74"/>
      <c r="O495" s="81" t="s">
        <v>179</v>
      </c>
      <c r="P495" s="83">
        <v>44460.592870370368</v>
      </c>
      <c r="Q495" s="81" t="s">
        <v>1716</v>
      </c>
      <c r="R495" s="84" t="str">
        <f>HYPERLINK("https://api.whatsapp.com/send?phone=60132691091")</f>
        <v>https://api.whatsapp.com/send?phone=60132691091</v>
      </c>
      <c r="S495" s="81" t="s">
        <v>2597</v>
      </c>
      <c r="T495" s="81"/>
      <c r="U495" s="84" t="str">
        <f>HYPERLINK("https://pbs.twimg.com/media/E_0J45XVkBgpW5t.jpg")</f>
        <v>https://pbs.twimg.com/media/E_0J45XVkBgpW5t.jpg</v>
      </c>
      <c r="V495" s="84" t="str">
        <f>HYPERLINK("https://pbs.twimg.com/media/E_0J45XVkBgpW5t.jpg")</f>
        <v>https://pbs.twimg.com/media/E_0J45XVkBgpW5t.jpg</v>
      </c>
      <c r="W495" s="83">
        <v>44460.592870370368</v>
      </c>
      <c r="X495" s="89">
        <v>44460</v>
      </c>
      <c r="Y495" s="86" t="s">
        <v>3109</v>
      </c>
      <c r="Z495" s="84" t="str">
        <f>HYPERLINK("https://twitter.com/mktbhbooks/status/1440318331072888852")</f>
        <v>https://twitter.com/mktbhbooks/status/1440318331072888852</v>
      </c>
      <c r="AA495" s="81"/>
      <c r="AB495" s="81"/>
      <c r="AC495" s="86" t="s">
        <v>4571</v>
      </c>
      <c r="AD495" s="81"/>
      <c r="AE495" s="81" t="b">
        <v>0</v>
      </c>
      <c r="AF495" s="81">
        <v>0</v>
      </c>
      <c r="AG495" s="86" t="s">
        <v>6240</v>
      </c>
      <c r="AH495" s="81" t="b">
        <v>0</v>
      </c>
      <c r="AI495" s="81" t="s">
        <v>6478</v>
      </c>
      <c r="AJ495" s="81"/>
      <c r="AK495" s="86" t="s">
        <v>6240</v>
      </c>
      <c r="AL495" s="81" t="b">
        <v>0</v>
      </c>
      <c r="AM495" s="81">
        <v>0</v>
      </c>
      <c r="AN495" s="86" t="s">
        <v>6240</v>
      </c>
      <c r="AO495" s="86" t="s">
        <v>6503</v>
      </c>
      <c r="AP495" s="81" t="b">
        <v>0</v>
      </c>
      <c r="AQ495" s="86" t="s">
        <v>4571</v>
      </c>
      <c r="AR495" s="81" t="s">
        <v>179</v>
      </c>
      <c r="AS495" s="81">
        <v>0</v>
      </c>
      <c r="AT495" s="81">
        <v>0</v>
      </c>
      <c r="AU495" s="81"/>
      <c r="AV495" s="81"/>
      <c r="AW495" s="81"/>
      <c r="AX495" s="81"/>
      <c r="AY495" s="81"/>
      <c r="AZ495" s="81"/>
      <c r="BA495" s="81"/>
      <c r="BB495" s="81"/>
    </row>
    <row r="496" spans="1:54" x14ac:dyDescent="0.35">
      <c r="A496" s="66" t="s">
        <v>547</v>
      </c>
      <c r="B496" s="66" t="s">
        <v>1291</v>
      </c>
      <c r="C496" s="67"/>
      <c r="D496" s="68"/>
      <c r="E496" s="69"/>
      <c r="F496" s="70"/>
      <c r="G496" s="67"/>
      <c r="H496" s="71"/>
      <c r="I496" s="72"/>
      <c r="J496" s="72"/>
      <c r="K496" s="36"/>
      <c r="L496" s="79"/>
      <c r="M496" s="79"/>
      <c r="N496" s="74"/>
      <c r="O496" s="81" t="s">
        <v>1534</v>
      </c>
      <c r="P496" s="83">
        <v>44460.614537037036</v>
      </c>
      <c r="Q496" s="81" t="s">
        <v>1717</v>
      </c>
      <c r="R496" s="81"/>
      <c r="S496" s="81"/>
      <c r="T496" s="81"/>
      <c r="U496" s="81"/>
      <c r="V496" s="84" t="str">
        <f>HYPERLINK("https://pbs.twimg.com/profile_images/1437989387069919238/liajAcnY_normal.jpg")</f>
        <v>https://pbs.twimg.com/profile_images/1437989387069919238/liajAcnY_normal.jpg</v>
      </c>
      <c r="W496" s="83">
        <v>44460.614537037036</v>
      </c>
      <c r="X496" s="89">
        <v>44460</v>
      </c>
      <c r="Y496" s="86" t="s">
        <v>3110</v>
      </c>
      <c r="Z496" s="84" t="str">
        <f>HYPERLINK("https://twitter.com/pinknjill/status/1440326182826696710")</f>
        <v>https://twitter.com/pinknjill/status/1440326182826696710</v>
      </c>
      <c r="AA496" s="81"/>
      <c r="AB496" s="81"/>
      <c r="AC496" s="86" t="s">
        <v>4572</v>
      </c>
      <c r="AD496" s="86" t="s">
        <v>6038</v>
      </c>
      <c r="AE496" s="81" t="b">
        <v>0</v>
      </c>
      <c r="AF496" s="81">
        <v>0</v>
      </c>
      <c r="AG496" s="86" t="s">
        <v>6259</v>
      </c>
      <c r="AH496" s="81" t="b">
        <v>0</v>
      </c>
      <c r="AI496" s="81" t="s">
        <v>6478</v>
      </c>
      <c r="AJ496" s="81"/>
      <c r="AK496" s="86" t="s">
        <v>6240</v>
      </c>
      <c r="AL496" s="81" t="b">
        <v>0</v>
      </c>
      <c r="AM496" s="81">
        <v>0</v>
      </c>
      <c r="AN496" s="86" t="s">
        <v>6240</v>
      </c>
      <c r="AO496" s="86" t="s">
        <v>6503</v>
      </c>
      <c r="AP496" s="81" t="b">
        <v>0</v>
      </c>
      <c r="AQ496" s="86" t="s">
        <v>6038</v>
      </c>
      <c r="AR496" s="81" t="s">
        <v>179</v>
      </c>
      <c r="AS496" s="81">
        <v>0</v>
      </c>
      <c r="AT496" s="81">
        <v>0</v>
      </c>
      <c r="AU496" s="81"/>
      <c r="AV496" s="81"/>
      <c r="AW496" s="81"/>
      <c r="AX496" s="81"/>
      <c r="AY496" s="81"/>
      <c r="AZ496" s="81"/>
      <c r="BA496" s="81"/>
      <c r="BB496" s="81"/>
    </row>
    <row r="497" spans="1:54" x14ac:dyDescent="0.35">
      <c r="A497" s="66" t="s">
        <v>548</v>
      </c>
      <c r="B497" s="66" t="s">
        <v>548</v>
      </c>
      <c r="C497" s="67"/>
      <c r="D497" s="68"/>
      <c r="E497" s="69"/>
      <c r="F497" s="70"/>
      <c r="G497" s="67"/>
      <c r="H497" s="71"/>
      <c r="I497" s="72"/>
      <c r="J497" s="72"/>
      <c r="K497" s="36"/>
      <c r="L497" s="79"/>
      <c r="M497" s="79"/>
      <c r="N497" s="74"/>
      <c r="O497" s="81" t="s">
        <v>179</v>
      </c>
      <c r="P497" s="83">
        <v>44460.639305555553</v>
      </c>
      <c r="Q497" s="81" t="s">
        <v>1718</v>
      </c>
      <c r="R497" s="81"/>
      <c r="S497" s="81"/>
      <c r="T497" s="81"/>
      <c r="U497" s="84" t="str">
        <f>HYPERLINK("https://pbs.twimg.com/tweet_video_thumb/E_0ZLz5VgAA1tJf.jpg")</f>
        <v>https://pbs.twimg.com/tweet_video_thumb/E_0ZLz5VgAA1tJf.jpg</v>
      </c>
      <c r="V497" s="84" t="str">
        <f>HYPERLINK("https://pbs.twimg.com/tweet_video_thumb/E_0ZLz5VgAA1tJf.jpg")</f>
        <v>https://pbs.twimg.com/tweet_video_thumb/E_0ZLz5VgAA1tJf.jpg</v>
      </c>
      <c r="W497" s="83">
        <v>44460.639305555553</v>
      </c>
      <c r="X497" s="89">
        <v>44460</v>
      </c>
      <c r="Y497" s="86" t="s">
        <v>3111</v>
      </c>
      <c r="Z497" s="84" t="str">
        <f>HYPERLINK("https://twitter.com/_dwinand/status/1440335156657623044")</f>
        <v>https://twitter.com/_dwinand/status/1440335156657623044</v>
      </c>
      <c r="AA497" s="81"/>
      <c r="AB497" s="81"/>
      <c r="AC497" s="86" t="s">
        <v>4573</v>
      </c>
      <c r="AD497" s="81"/>
      <c r="AE497" s="81" t="b">
        <v>0</v>
      </c>
      <c r="AF497" s="81">
        <v>0</v>
      </c>
      <c r="AG497" s="86" t="s">
        <v>6240</v>
      </c>
      <c r="AH497" s="81" t="b">
        <v>0</v>
      </c>
      <c r="AI497" s="81" t="s">
        <v>6478</v>
      </c>
      <c r="AJ497" s="81"/>
      <c r="AK497" s="86" t="s">
        <v>6240</v>
      </c>
      <c r="AL497" s="81" t="b">
        <v>0</v>
      </c>
      <c r="AM497" s="81">
        <v>0</v>
      </c>
      <c r="AN497" s="86" t="s">
        <v>6240</v>
      </c>
      <c r="AO497" s="86" t="s">
        <v>6503</v>
      </c>
      <c r="AP497" s="81" t="b">
        <v>0</v>
      </c>
      <c r="AQ497" s="86" t="s">
        <v>4573</v>
      </c>
      <c r="AR497" s="81" t="s">
        <v>179</v>
      </c>
      <c r="AS497" s="81">
        <v>0</v>
      </c>
      <c r="AT497" s="81">
        <v>0</v>
      </c>
      <c r="AU497" s="81"/>
      <c r="AV497" s="81"/>
      <c r="AW497" s="81"/>
      <c r="AX497" s="81"/>
      <c r="AY497" s="81"/>
      <c r="AZ497" s="81"/>
      <c r="BA497" s="81"/>
      <c r="BB497" s="81"/>
    </row>
    <row r="498" spans="1:54" x14ac:dyDescent="0.35">
      <c r="A498" s="66" t="s">
        <v>549</v>
      </c>
      <c r="B498" s="66" t="s">
        <v>654</v>
      </c>
      <c r="C498" s="67"/>
      <c r="D498" s="68"/>
      <c r="E498" s="69"/>
      <c r="F498" s="70"/>
      <c r="G498" s="67"/>
      <c r="H498" s="71"/>
      <c r="I498" s="72"/>
      <c r="J498" s="72"/>
      <c r="K498" s="36"/>
      <c r="L498" s="79"/>
      <c r="M498" s="79"/>
      <c r="N498" s="74"/>
      <c r="O498" s="81" t="s">
        <v>1532</v>
      </c>
      <c r="P498" s="83">
        <v>44460.651377314818</v>
      </c>
      <c r="Q498" s="81" t="s">
        <v>1712</v>
      </c>
      <c r="R498" s="81"/>
      <c r="S498" s="81"/>
      <c r="T498" s="81"/>
      <c r="U498" s="84" t="str">
        <f>HYPERLINK("https://pbs.twimg.com/media/E_0AOQ-VIAM2UO2.jpg")</f>
        <v>https://pbs.twimg.com/media/E_0AOQ-VIAM2UO2.jpg</v>
      </c>
      <c r="V498" s="84" t="str">
        <f>HYPERLINK("https://pbs.twimg.com/media/E_0AOQ-VIAM2UO2.jpg")</f>
        <v>https://pbs.twimg.com/media/E_0AOQ-VIAM2UO2.jpg</v>
      </c>
      <c r="W498" s="83">
        <v>44460.651377314818</v>
      </c>
      <c r="X498" s="89">
        <v>44460</v>
      </c>
      <c r="Y498" s="86" t="s">
        <v>3112</v>
      </c>
      <c r="Z498" s="84" t="str">
        <f>HYPERLINK("https://twitter.com/ahjoss10/status/1440339534487515145")</f>
        <v>https://twitter.com/ahjoss10/status/1440339534487515145</v>
      </c>
      <c r="AA498" s="81"/>
      <c r="AB498" s="81"/>
      <c r="AC498" s="86" t="s">
        <v>4574</v>
      </c>
      <c r="AD498" s="81"/>
      <c r="AE498" s="81" t="b">
        <v>0</v>
      </c>
      <c r="AF498" s="81">
        <v>0</v>
      </c>
      <c r="AG498" s="86" t="s">
        <v>6240</v>
      </c>
      <c r="AH498" s="81" t="b">
        <v>0</v>
      </c>
      <c r="AI498" s="81" t="s">
        <v>6478</v>
      </c>
      <c r="AJ498" s="81"/>
      <c r="AK498" s="86" t="s">
        <v>6240</v>
      </c>
      <c r="AL498" s="81" t="b">
        <v>0</v>
      </c>
      <c r="AM498" s="81">
        <v>3</v>
      </c>
      <c r="AN498" s="86" t="s">
        <v>4694</v>
      </c>
      <c r="AO498" s="86" t="s">
        <v>6507</v>
      </c>
      <c r="AP498" s="81" t="b">
        <v>0</v>
      </c>
      <c r="AQ498" s="86" t="s">
        <v>4694</v>
      </c>
      <c r="AR498" s="81" t="s">
        <v>179</v>
      </c>
      <c r="AS498" s="81">
        <v>0</v>
      </c>
      <c r="AT498" s="81">
        <v>0</v>
      </c>
      <c r="AU498" s="81"/>
      <c r="AV498" s="81"/>
      <c r="AW498" s="81"/>
      <c r="AX498" s="81"/>
      <c r="AY498" s="81"/>
      <c r="AZ498" s="81"/>
      <c r="BA498" s="81"/>
      <c r="BB498" s="81"/>
    </row>
    <row r="499" spans="1:54" x14ac:dyDescent="0.35">
      <c r="A499" s="66" t="s">
        <v>550</v>
      </c>
      <c r="B499" s="66" t="s">
        <v>550</v>
      </c>
      <c r="C499" s="67"/>
      <c r="D499" s="68"/>
      <c r="E499" s="69"/>
      <c r="F499" s="70"/>
      <c r="G499" s="67"/>
      <c r="H499" s="71"/>
      <c r="I499" s="72"/>
      <c r="J499" s="72"/>
      <c r="K499" s="36"/>
      <c r="L499" s="79"/>
      <c r="M499" s="79"/>
      <c r="N499" s="74"/>
      <c r="O499" s="81" t="s">
        <v>179</v>
      </c>
      <c r="P499" s="83">
        <v>44460.659895833334</v>
      </c>
      <c r="Q499" s="81" t="s">
        <v>1719</v>
      </c>
      <c r="R499" s="81"/>
      <c r="S499" s="81"/>
      <c r="T499" s="81"/>
      <c r="U499" s="81"/>
      <c r="V499" s="84" t="str">
        <f>HYPERLINK("https://pbs.twimg.com/profile_images/1391943082510217218/yPYW6QbY_normal.jpg")</f>
        <v>https://pbs.twimg.com/profile_images/1391943082510217218/yPYW6QbY_normal.jpg</v>
      </c>
      <c r="W499" s="83">
        <v>44460.659895833334</v>
      </c>
      <c r="X499" s="89">
        <v>44460</v>
      </c>
      <c r="Y499" s="86" t="s">
        <v>3113</v>
      </c>
      <c r="Z499" s="84" t="str">
        <f>HYPERLINK("https://twitter.com/sonbl05/status/1440342620379615233")</f>
        <v>https://twitter.com/sonbl05/status/1440342620379615233</v>
      </c>
      <c r="AA499" s="81"/>
      <c r="AB499" s="81"/>
      <c r="AC499" s="86" t="s">
        <v>4575</v>
      </c>
      <c r="AD499" s="86" t="s">
        <v>6039</v>
      </c>
      <c r="AE499" s="81" t="b">
        <v>0</v>
      </c>
      <c r="AF499" s="81">
        <v>0</v>
      </c>
      <c r="AG499" s="86" t="s">
        <v>6307</v>
      </c>
      <c r="AH499" s="81" t="b">
        <v>0</v>
      </c>
      <c r="AI499" s="81" t="s">
        <v>6478</v>
      </c>
      <c r="AJ499" s="81"/>
      <c r="AK499" s="86" t="s">
        <v>6240</v>
      </c>
      <c r="AL499" s="81" t="b">
        <v>0</v>
      </c>
      <c r="AM499" s="81">
        <v>0</v>
      </c>
      <c r="AN499" s="86" t="s">
        <v>6240</v>
      </c>
      <c r="AO499" s="86" t="s">
        <v>6503</v>
      </c>
      <c r="AP499" s="81" t="b">
        <v>0</v>
      </c>
      <c r="AQ499" s="86" t="s">
        <v>6039</v>
      </c>
      <c r="AR499" s="81" t="s">
        <v>179</v>
      </c>
      <c r="AS499" s="81">
        <v>0</v>
      </c>
      <c r="AT499" s="81">
        <v>0</v>
      </c>
      <c r="AU499" s="81"/>
      <c r="AV499" s="81"/>
      <c r="AW499" s="81"/>
      <c r="AX499" s="81"/>
      <c r="AY499" s="81"/>
      <c r="AZ499" s="81"/>
      <c r="BA499" s="81"/>
      <c r="BB499" s="81"/>
    </row>
    <row r="500" spans="1:54" x14ac:dyDescent="0.35">
      <c r="A500" s="66" t="s">
        <v>551</v>
      </c>
      <c r="B500" s="66" t="s">
        <v>1347</v>
      </c>
      <c r="C500" s="67"/>
      <c r="D500" s="68"/>
      <c r="E500" s="69"/>
      <c r="F500" s="70"/>
      <c r="G500" s="67"/>
      <c r="H500" s="71"/>
      <c r="I500" s="72"/>
      <c r="J500" s="72"/>
      <c r="K500" s="36"/>
      <c r="L500" s="79"/>
      <c r="M500" s="79"/>
      <c r="N500" s="74"/>
      <c r="O500" s="81" t="s">
        <v>1534</v>
      </c>
      <c r="P500" s="83">
        <v>44459.718148148146</v>
      </c>
      <c r="Q500" s="81" t="s">
        <v>1720</v>
      </c>
      <c r="R500" s="81"/>
      <c r="S500" s="81"/>
      <c r="T500" s="81"/>
      <c r="U500" s="81"/>
      <c r="V500" s="84" t="str">
        <f>HYPERLINK("https://pbs.twimg.com/profile_images/1418577791306457091/Av1cIVBA_normal.jpg")</f>
        <v>https://pbs.twimg.com/profile_images/1418577791306457091/Av1cIVBA_normal.jpg</v>
      </c>
      <c r="W500" s="83">
        <v>44459.718148148146</v>
      </c>
      <c r="X500" s="89">
        <v>44459</v>
      </c>
      <c r="Y500" s="86" t="s">
        <v>3114</v>
      </c>
      <c r="Z500" s="84" t="str">
        <f>HYPERLINK("https://twitter.com/jeonghaniyoo_m/status/1440001343872135168")</f>
        <v>https://twitter.com/jeonghaniyoo_m/status/1440001343872135168</v>
      </c>
      <c r="AA500" s="81"/>
      <c r="AB500" s="81"/>
      <c r="AC500" s="86" t="s">
        <v>4576</v>
      </c>
      <c r="AD500" s="86" t="s">
        <v>6040</v>
      </c>
      <c r="AE500" s="81" t="b">
        <v>0</v>
      </c>
      <c r="AF500" s="81">
        <v>0</v>
      </c>
      <c r="AG500" s="86" t="s">
        <v>6308</v>
      </c>
      <c r="AH500" s="81" t="b">
        <v>0</v>
      </c>
      <c r="AI500" s="81" t="s">
        <v>6478</v>
      </c>
      <c r="AJ500" s="81"/>
      <c r="AK500" s="86" t="s">
        <v>6240</v>
      </c>
      <c r="AL500" s="81" t="b">
        <v>0</v>
      </c>
      <c r="AM500" s="81">
        <v>0</v>
      </c>
      <c r="AN500" s="86" t="s">
        <v>6240</v>
      </c>
      <c r="AO500" s="86" t="s">
        <v>6503</v>
      </c>
      <c r="AP500" s="81" t="b">
        <v>0</v>
      </c>
      <c r="AQ500" s="86" t="s">
        <v>6040</v>
      </c>
      <c r="AR500" s="81" t="s">
        <v>179</v>
      </c>
      <c r="AS500" s="81">
        <v>0</v>
      </c>
      <c r="AT500" s="81">
        <v>0</v>
      </c>
      <c r="AU500" s="81"/>
      <c r="AV500" s="81"/>
      <c r="AW500" s="81"/>
      <c r="AX500" s="81"/>
      <c r="AY500" s="81"/>
      <c r="AZ500" s="81"/>
      <c r="BA500" s="81"/>
      <c r="BB500" s="81"/>
    </row>
    <row r="501" spans="1:54" x14ac:dyDescent="0.35">
      <c r="A501" s="66" t="s">
        <v>551</v>
      </c>
      <c r="B501" s="66" t="s">
        <v>1275</v>
      </c>
      <c r="C501" s="67"/>
      <c r="D501" s="68"/>
      <c r="E501" s="69"/>
      <c r="F501" s="70"/>
      <c r="G501" s="67"/>
      <c r="H501" s="71"/>
      <c r="I501" s="72"/>
      <c r="J501" s="72"/>
      <c r="K501" s="36"/>
      <c r="L501" s="79"/>
      <c r="M501" s="79"/>
      <c r="N501" s="74"/>
      <c r="O501" s="81" t="s">
        <v>1534</v>
      </c>
      <c r="P501" s="83">
        <v>44458.404305555552</v>
      </c>
      <c r="Q501" s="81" t="s">
        <v>1721</v>
      </c>
      <c r="R501" s="81"/>
      <c r="S501" s="81"/>
      <c r="T501" s="81"/>
      <c r="U501" s="81"/>
      <c r="V501" s="84" t="str">
        <f>HYPERLINK("https://pbs.twimg.com/profile_images/1418577791306457091/Av1cIVBA_normal.jpg")</f>
        <v>https://pbs.twimg.com/profile_images/1418577791306457091/Av1cIVBA_normal.jpg</v>
      </c>
      <c r="W501" s="83">
        <v>44458.404305555552</v>
      </c>
      <c r="X501" s="89">
        <v>44458</v>
      </c>
      <c r="Y501" s="86" t="s">
        <v>3115</v>
      </c>
      <c r="Z501" s="84" t="str">
        <f>HYPERLINK("https://twitter.com/jeonghaniyoo_m/status/1439525222428798980")</f>
        <v>https://twitter.com/jeonghaniyoo_m/status/1439525222428798980</v>
      </c>
      <c r="AA501" s="81"/>
      <c r="AB501" s="81"/>
      <c r="AC501" s="86" t="s">
        <v>4577</v>
      </c>
      <c r="AD501" s="86" t="s">
        <v>5974</v>
      </c>
      <c r="AE501" s="81" t="b">
        <v>0</v>
      </c>
      <c r="AF501" s="81">
        <v>0</v>
      </c>
      <c r="AG501" s="86" t="s">
        <v>6244</v>
      </c>
      <c r="AH501" s="81" t="b">
        <v>0</v>
      </c>
      <c r="AI501" s="81" t="s">
        <v>6478</v>
      </c>
      <c r="AJ501" s="81"/>
      <c r="AK501" s="86" t="s">
        <v>6240</v>
      </c>
      <c r="AL501" s="81" t="b">
        <v>0</v>
      </c>
      <c r="AM501" s="81">
        <v>0</v>
      </c>
      <c r="AN501" s="86" t="s">
        <v>6240</v>
      </c>
      <c r="AO501" s="86" t="s">
        <v>6505</v>
      </c>
      <c r="AP501" s="81" t="b">
        <v>0</v>
      </c>
      <c r="AQ501" s="86" t="s">
        <v>5974</v>
      </c>
      <c r="AR501" s="81" t="s">
        <v>179</v>
      </c>
      <c r="AS501" s="81">
        <v>0</v>
      </c>
      <c r="AT501" s="81">
        <v>0</v>
      </c>
      <c r="AU501" s="81"/>
      <c r="AV501" s="81"/>
      <c r="AW501" s="81"/>
      <c r="AX501" s="81"/>
      <c r="AY501" s="81"/>
      <c r="AZ501" s="81"/>
      <c r="BA501" s="81"/>
      <c r="BB501" s="81"/>
    </row>
    <row r="502" spans="1:54" x14ac:dyDescent="0.35">
      <c r="A502" s="66" t="s">
        <v>551</v>
      </c>
      <c r="B502" s="66" t="s">
        <v>1334</v>
      </c>
      <c r="C502" s="67"/>
      <c r="D502" s="68"/>
      <c r="E502" s="69"/>
      <c r="F502" s="70"/>
      <c r="G502" s="67"/>
      <c r="H502" s="71"/>
      <c r="I502" s="72"/>
      <c r="J502" s="72"/>
      <c r="K502" s="36"/>
      <c r="L502" s="79"/>
      <c r="M502" s="79"/>
      <c r="N502" s="74"/>
      <c r="O502" s="81" t="s">
        <v>1534</v>
      </c>
      <c r="P502" s="83">
        <v>44458.404583333337</v>
      </c>
      <c r="Q502" s="81" t="s">
        <v>1722</v>
      </c>
      <c r="R502" s="81"/>
      <c r="S502" s="81"/>
      <c r="T502" s="81"/>
      <c r="U502" s="81"/>
      <c r="V502" s="84" t="str">
        <f>HYPERLINK("https://pbs.twimg.com/profile_images/1418577791306457091/Av1cIVBA_normal.jpg")</f>
        <v>https://pbs.twimg.com/profile_images/1418577791306457091/Av1cIVBA_normal.jpg</v>
      </c>
      <c r="W502" s="83">
        <v>44458.404583333337</v>
      </c>
      <c r="X502" s="89">
        <v>44458</v>
      </c>
      <c r="Y502" s="86" t="s">
        <v>3116</v>
      </c>
      <c r="Z502" s="84" t="str">
        <f>HYPERLINK("https://twitter.com/jeonghaniyoo_m/status/1439525319908618244")</f>
        <v>https://twitter.com/jeonghaniyoo_m/status/1439525319908618244</v>
      </c>
      <c r="AA502" s="81"/>
      <c r="AB502" s="81"/>
      <c r="AC502" s="86" t="s">
        <v>4578</v>
      </c>
      <c r="AD502" s="86" t="s">
        <v>6041</v>
      </c>
      <c r="AE502" s="81" t="b">
        <v>0</v>
      </c>
      <c r="AF502" s="81">
        <v>0</v>
      </c>
      <c r="AG502" s="86" t="s">
        <v>6299</v>
      </c>
      <c r="AH502" s="81" t="b">
        <v>0</v>
      </c>
      <c r="AI502" s="81" t="s">
        <v>6478</v>
      </c>
      <c r="AJ502" s="81"/>
      <c r="AK502" s="86" t="s">
        <v>6240</v>
      </c>
      <c r="AL502" s="81" t="b">
        <v>0</v>
      </c>
      <c r="AM502" s="81">
        <v>0</v>
      </c>
      <c r="AN502" s="86" t="s">
        <v>6240</v>
      </c>
      <c r="AO502" s="86" t="s">
        <v>6505</v>
      </c>
      <c r="AP502" s="81" t="b">
        <v>0</v>
      </c>
      <c r="AQ502" s="86" t="s">
        <v>6041</v>
      </c>
      <c r="AR502" s="81" t="s">
        <v>179</v>
      </c>
      <c r="AS502" s="81">
        <v>0</v>
      </c>
      <c r="AT502" s="81">
        <v>0</v>
      </c>
      <c r="AU502" s="81"/>
      <c r="AV502" s="81"/>
      <c r="AW502" s="81"/>
      <c r="AX502" s="81"/>
      <c r="AY502" s="81"/>
      <c r="AZ502" s="81"/>
      <c r="BA502" s="81"/>
      <c r="BB502" s="81"/>
    </row>
    <row r="503" spans="1:54" x14ac:dyDescent="0.35">
      <c r="A503" s="66" t="s">
        <v>551</v>
      </c>
      <c r="B503" s="66" t="s">
        <v>551</v>
      </c>
      <c r="C503" s="67"/>
      <c r="D503" s="68"/>
      <c r="E503" s="69"/>
      <c r="F503" s="70"/>
      <c r="G503" s="67"/>
      <c r="H503" s="71"/>
      <c r="I503" s="72"/>
      <c r="J503" s="72"/>
      <c r="K503" s="36"/>
      <c r="L503" s="79"/>
      <c r="M503" s="79"/>
      <c r="N503" s="74"/>
      <c r="O503" s="81" t="s">
        <v>179</v>
      </c>
      <c r="P503" s="83">
        <v>44458.404756944445</v>
      </c>
      <c r="Q503" s="81" t="s">
        <v>1723</v>
      </c>
      <c r="R503" s="81"/>
      <c r="S503" s="81"/>
      <c r="T503" s="81"/>
      <c r="U503" s="81"/>
      <c r="V503" s="84" t="str">
        <f>HYPERLINK("https://pbs.twimg.com/profile_images/1418577791306457091/Av1cIVBA_normal.jpg")</f>
        <v>https://pbs.twimg.com/profile_images/1418577791306457091/Av1cIVBA_normal.jpg</v>
      </c>
      <c r="W503" s="83">
        <v>44458.404756944445</v>
      </c>
      <c r="X503" s="89">
        <v>44458</v>
      </c>
      <c r="Y503" s="86" t="s">
        <v>3117</v>
      </c>
      <c r="Z503" s="84" t="str">
        <f>HYPERLINK("https://twitter.com/jeonghaniyoo_m/status/1439525383754317824")</f>
        <v>https://twitter.com/jeonghaniyoo_m/status/1439525383754317824</v>
      </c>
      <c r="AA503" s="81"/>
      <c r="AB503" s="81"/>
      <c r="AC503" s="86" t="s">
        <v>4579</v>
      </c>
      <c r="AD503" s="86" t="s">
        <v>6042</v>
      </c>
      <c r="AE503" s="81" t="b">
        <v>0</v>
      </c>
      <c r="AF503" s="81">
        <v>0</v>
      </c>
      <c r="AG503" s="86" t="s">
        <v>6309</v>
      </c>
      <c r="AH503" s="81" t="b">
        <v>0</v>
      </c>
      <c r="AI503" s="81" t="s">
        <v>6478</v>
      </c>
      <c r="AJ503" s="81"/>
      <c r="AK503" s="86" t="s">
        <v>6240</v>
      </c>
      <c r="AL503" s="81" t="b">
        <v>0</v>
      </c>
      <c r="AM503" s="81">
        <v>0</v>
      </c>
      <c r="AN503" s="86" t="s">
        <v>6240</v>
      </c>
      <c r="AO503" s="86" t="s">
        <v>6505</v>
      </c>
      <c r="AP503" s="81" t="b">
        <v>0</v>
      </c>
      <c r="AQ503" s="86" t="s">
        <v>6042</v>
      </c>
      <c r="AR503" s="81" t="s">
        <v>179</v>
      </c>
      <c r="AS503" s="81">
        <v>0</v>
      </c>
      <c r="AT503" s="81">
        <v>0</v>
      </c>
      <c r="AU503" s="81"/>
      <c r="AV503" s="81"/>
      <c r="AW503" s="81"/>
      <c r="AX503" s="81"/>
      <c r="AY503" s="81"/>
      <c r="AZ503" s="81"/>
      <c r="BA503" s="81"/>
      <c r="BB503" s="81"/>
    </row>
    <row r="504" spans="1:54" x14ac:dyDescent="0.35">
      <c r="A504" s="66" t="s">
        <v>551</v>
      </c>
      <c r="B504" s="66" t="s">
        <v>551</v>
      </c>
      <c r="C504" s="67"/>
      <c r="D504" s="68"/>
      <c r="E504" s="69"/>
      <c r="F504" s="70"/>
      <c r="G504" s="67"/>
      <c r="H504" s="71"/>
      <c r="I504" s="72"/>
      <c r="J504" s="72"/>
      <c r="K504" s="36"/>
      <c r="L504" s="79"/>
      <c r="M504" s="79"/>
      <c r="N504" s="74"/>
      <c r="O504" s="81" t="s">
        <v>179</v>
      </c>
      <c r="P504" s="83">
        <v>44458.406412037039</v>
      </c>
      <c r="Q504" s="81" t="s">
        <v>1724</v>
      </c>
      <c r="R504" s="81"/>
      <c r="S504" s="81"/>
      <c r="T504" s="81"/>
      <c r="U504" s="81"/>
      <c r="V504" s="84" t="str">
        <f>HYPERLINK("https://pbs.twimg.com/profile_images/1418577791306457091/Av1cIVBA_normal.jpg")</f>
        <v>https://pbs.twimg.com/profile_images/1418577791306457091/Av1cIVBA_normal.jpg</v>
      </c>
      <c r="W504" s="83">
        <v>44458.406412037039</v>
      </c>
      <c r="X504" s="89">
        <v>44458</v>
      </c>
      <c r="Y504" s="86" t="s">
        <v>3118</v>
      </c>
      <c r="Z504" s="84" t="str">
        <f>HYPERLINK("https://twitter.com/jeonghaniyoo_m/status/1439525985548791813")</f>
        <v>https://twitter.com/jeonghaniyoo_m/status/1439525985548791813</v>
      </c>
      <c r="AA504" s="81"/>
      <c r="AB504" s="81"/>
      <c r="AC504" s="86" t="s">
        <v>4580</v>
      </c>
      <c r="AD504" s="81"/>
      <c r="AE504" s="81" t="b">
        <v>0</v>
      </c>
      <c r="AF504" s="81">
        <v>0</v>
      </c>
      <c r="AG504" s="86" t="s">
        <v>6240</v>
      </c>
      <c r="AH504" s="81" t="b">
        <v>0</v>
      </c>
      <c r="AI504" s="81" t="s">
        <v>6478</v>
      </c>
      <c r="AJ504" s="81"/>
      <c r="AK504" s="86" t="s">
        <v>6240</v>
      </c>
      <c r="AL504" s="81" t="b">
        <v>0</v>
      </c>
      <c r="AM504" s="81">
        <v>0</v>
      </c>
      <c r="AN504" s="86" t="s">
        <v>6240</v>
      </c>
      <c r="AO504" s="86" t="s">
        <v>6505</v>
      </c>
      <c r="AP504" s="81" t="b">
        <v>0</v>
      </c>
      <c r="AQ504" s="86" t="s">
        <v>4580</v>
      </c>
      <c r="AR504" s="81" t="s">
        <v>179</v>
      </c>
      <c r="AS504" s="81">
        <v>0</v>
      </c>
      <c r="AT504" s="81">
        <v>0</v>
      </c>
      <c r="AU504" s="81"/>
      <c r="AV504" s="81"/>
      <c r="AW504" s="81"/>
      <c r="AX504" s="81"/>
      <c r="AY504" s="81"/>
      <c r="AZ504" s="81"/>
      <c r="BA504" s="81"/>
      <c r="BB504" s="81"/>
    </row>
    <row r="505" spans="1:54" x14ac:dyDescent="0.35">
      <c r="A505" s="66" t="s">
        <v>551</v>
      </c>
      <c r="B505" s="66" t="s">
        <v>1275</v>
      </c>
      <c r="C505" s="67"/>
      <c r="D505" s="68"/>
      <c r="E505" s="69"/>
      <c r="F505" s="70"/>
      <c r="G505" s="67"/>
      <c r="H505" s="71"/>
      <c r="I505" s="72"/>
      <c r="J505" s="72"/>
      <c r="K505" s="36"/>
      <c r="L505" s="79"/>
      <c r="M505" s="79"/>
      <c r="N505" s="74"/>
      <c r="O505" s="81" t="s">
        <v>1534</v>
      </c>
      <c r="P505" s="83">
        <v>44458.573923611111</v>
      </c>
      <c r="Q505" s="81" t="s">
        <v>1725</v>
      </c>
      <c r="R505" s="81"/>
      <c r="S505" s="81"/>
      <c r="T505" s="81"/>
      <c r="U505" s="81"/>
      <c r="V505" s="84" t="str">
        <f>HYPERLINK("https://pbs.twimg.com/profile_images/1418577791306457091/Av1cIVBA_normal.jpg")</f>
        <v>https://pbs.twimg.com/profile_images/1418577791306457091/Av1cIVBA_normal.jpg</v>
      </c>
      <c r="W505" s="83">
        <v>44458.573923611111</v>
      </c>
      <c r="X505" s="89">
        <v>44458</v>
      </c>
      <c r="Y505" s="86" t="s">
        <v>3119</v>
      </c>
      <c r="Z505" s="84" t="str">
        <f>HYPERLINK("https://twitter.com/jeonghaniyoo_m/status/1439586688443899925")</f>
        <v>https://twitter.com/jeonghaniyoo_m/status/1439586688443899925</v>
      </c>
      <c r="AA505" s="81"/>
      <c r="AB505" s="81"/>
      <c r="AC505" s="86" t="s">
        <v>4581</v>
      </c>
      <c r="AD505" s="86" t="s">
        <v>6043</v>
      </c>
      <c r="AE505" s="81" t="b">
        <v>0</v>
      </c>
      <c r="AF505" s="81">
        <v>0</v>
      </c>
      <c r="AG505" s="86" t="s">
        <v>6244</v>
      </c>
      <c r="AH505" s="81" t="b">
        <v>0</v>
      </c>
      <c r="AI505" s="81" t="s">
        <v>6478</v>
      </c>
      <c r="AJ505" s="81"/>
      <c r="AK505" s="86" t="s">
        <v>6240</v>
      </c>
      <c r="AL505" s="81" t="b">
        <v>0</v>
      </c>
      <c r="AM505" s="81">
        <v>0</v>
      </c>
      <c r="AN505" s="86" t="s">
        <v>6240</v>
      </c>
      <c r="AO505" s="86" t="s">
        <v>6505</v>
      </c>
      <c r="AP505" s="81" t="b">
        <v>0</v>
      </c>
      <c r="AQ505" s="86" t="s">
        <v>6043</v>
      </c>
      <c r="AR505" s="81" t="s">
        <v>179</v>
      </c>
      <c r="AS505" s="81">
        <v>0</v>
      </c>
      <c r="AT505" s="81">
        <v>0</v>
      </c>
      <c r="AU505" s="81"/>
      <c r="AV505" s="81"/>
      <c r="AW505" s="81"/>
      <c r="AX505" s="81"/>
      <c r="AY505" s="81"/>
      <c r="AZ505" s="81"/>
      <c r="BA505" s="81"/>
      <c r="BB505" s="81"/>
    </row>
    <row r="506" spans="1:54" x14ac:dyDescent="0.35">
      <c r="A506" s="66" t="s">
        <v>551</v>
      </c>
      <c r="B506" s="66" t="s">
        <v>1348</v>
      </c>
      <c r="C506" s="67"/>
      <c r="D506" s="68"/>
      <c r="E506" s="69"/>
      <c r="F506" s="70"/>
      <c r="G506" s="67"/>
      <c r="H506" s="71"/>
      <c r="I506" s="72"/>
      <c r="J506" s="72"/>
      <c r="K506" s="36"/>
      <c r="L506" s="79"/>
      <c r="M506" s="79"/>
      <c r="N506" s="74"/>
      <c r="O506" s="81" t="s">
        <v>1534</v>
      </c>
      <c r="P506" s="83">
        <v>44459.217002314814</v>
      </c>
      <c r="Q506" s="81" t="s">
        <v>1726</v>
      </c>
      <c r="R506" s="81"/>
      <c r="S506" s="81"/>
      <c r="T506" s="81"/>
      <c r="U506" s="81"/>
      <c r="V506" s="84" t="str">
        <f>HYPERLINK("https://pbs.twimg.com/profile_images/1418577791306457091/Av1cIVBA_normal.jpg")</f>
        <v>https://pbs.twimg.com/profile_images/1418577791306457091/Av1cIVBA_normal.jpg</v>
      </c>
      <c r="W506" s="83">
        <v>44459.217002314814</v>
      </c>
      <c r="X506" s="89">
        <v>44459</v>
      </c>
      <c r="Y506" s="86" t="s">
        <v>3120</v>
      </c>
      <c r="Z506" s="84" t="str">
        <f>HYPERLINK("https://twitter.com/jeonghaniyoo_m/status/1439819732501209088")</f>
        <v>https://twitter.com/jeonghaniyoo_m/status/1439819732501209088</v>
      </c>
      <c r="AA506" s="81"/>
      <c r="AB506" s="81"/>
      <c r="AC506" s="86" t="s">
        <v>4582</v>
      </c>
      <c r="AD506" s="86" t="s">
        <v>6044</v>
      </c>
      <c r="AE506" s="81" t="b">
        <v>0</v>
      </c>
      <c r="AF506" s="81">
        <v>0</v>
      </c>
      <c r="AG506" s="86" t="s">
        <v>6310</v>
      </c>
      <c r="AH506" s="81" t="b">
        <v>0</v>
      </c>
      <c r="AI506" s="81" t="s">
        <v>6478</v>
      </c>
      <c r="AJ506" s="81"/>
      <c r="AK506" s="86" t="s">
        <v>6240</v>
      </c>
      <c r="AL506" s="81" t="b">
        <v>0</v>
      </c>
      <c r="AM506" s="81">
        <v>0</v>
      </c>
      <c r="AN506" s="86" t="s">
        <v>6240</v>
      </c>
      <c r="AO506" s="86" t="s">
        <v>6505</v>
      </c>
      <c r="AP506" s="81" t="b">
        <v>0</v>
      </c>
      <c r="AQ506" s="86" t="s">
        <v>6044</v>
      </c>
      <c r="AR506" s="81" t="s">
        <v>179</v>
      </c>
      <c r="AS506" s="81">
        <v>0</v>
      </c>
      <c r="AT506" s="81">
        <v>0</v>
      </c>
      <c r="AU506" s="81"/>
      <c r="AV506" s="81"/>
      <c r="AW506" s="81"/>
      <c r="AX506" s="81"/>
      <c r="AY506" s="81"/>
      <c r="AZ506" s="81"/>
      <c r="BA506" s="81"/>
      <c r="BB506" s="81"/>
    </row>
    <row r="507" spans="1:54" x14ac:dyDescent="0.35">
      <c r="A507" s="66" t="s">
        <v>551</v>
      </c>
      <c r="B507" s="66" t="s">
        <v>551</v>
      </c>
      <c r="C507" s="67"/>
      <c r="D507" s="68"/>
      <c r="E507" s="69"/>
      <c r="F507" s="70"/>
      <c r="G507" s="67"/>
      <c r="H507" s="71"/>
      <c r="I507" s="72"/>
      <c r="J507" s="72"/>
      <c r="K507" s="36"/>
      <c r="L507" s="79"/>
      <c r="M507" s="79"/>
      <c r="N507" s="74"/>
      <c r="O507" s="81" t="s">
        <v>179</v>
      </c>
      <c r="P507" s="83">
        <v>44459.227187500001</v>
      </c>
      <c r="Q507" s="81" t="s">
        <v>1724</v>
      </c>
      <c r="R507" s="81"/>
      <c r="S507" s="81"/>
      <c r="T507" s="81"/>
      <c r="U507" s="81"/>
      <c r="V507" s="84" t="str">
        <f>HYPERLINK("https://pbs.twimg.com/profile_images/1418577791306457091/Av1cIVBA_normal.jpg")</f>
        <v>https://pbs.twimg.com/profile_images/1418577791306457091/Av1cIVBA_normal.jpg</v>
      </c>
      <c r="W507" s="83">
        <v>44459.227187500001</v>
      </c>
      <c r="X507" s="89">
        <v>44459</v>
      </c>
      <c r="Y507" s="86" t="s">
        <v>3121</v>
      </c>
      <c r="Z507" s="84" t="str">
        <f>HYPERLINK("https://twitter.com/jeonghaniyoo_m/status/1439823425464270855")</f>
        <v>https://twitter.com/jeonghaniyoo_m/status/1439823425464270855</v>
      </c>
      <c r="AA507" s="81"/>
      <c r="AB507" s="81"/>
      <c r="AC507" s="86" t="s">
        <v>4583</v>
      </c>
      <c r="AD507" s="81"/>
      <c r="AE507" s="81" t="b">
        <v>0</v>
      </c>
      <c r="AF507" s="81">
        <v>0</v>
      </c>
      <c r="AG507" s="86" t="s">
        <v>6240</v>
      </c>
      <c r="AH507" s="81" t="b">
        <v>0</v>
      </c>
      <c r="AI507" s="81" t="s">
        <v>6478</v>
      </c>
      <c r="AJ507" s="81"/>
      <c r="AK507" s="86" t="s">
        <v>6240</v>
      </c>
      <c r="AL507" s="81" t="b">
        <v>0</v>
      </c>
      <c r="AM507" s="81">
        <v>0</v>
      </c>
      <c r="AN507" s="86" t="s">
        <v>6240</v>
      </c>
      <c r="AO507" s="86" t="s">
        <v>6505</v>
      </c>
      <c r="AP507" s="81" t="b">
        <v>0</v>
      </c>
      <c r="AQ507" s="86" t="s">
        <v>4583</v>
      </c>
      <c r="AR507" s="81" t="s">
        <v>179</v>
      </c>
      <c r="AS507" s="81">
        <v>0</v>
      </c>
      <c r="AT507" s="81">
        <v>0</v>
      </c>
      <c r="AU507" s="81"/>
      <c r="AV507" s="81"/>
      <c r="AW507" s="81"/>
      <c r="AX507" s="81"/>
      <c r="AY507" s="81"/>
      <c r="AZ507" s="81"/>
      <c r="BA507" s="81"/>
      <c r="BB507" s="81"/>
    </row>
    <row r="508" spans="1:54" x14ac:dyDescent="0.35">
      <c r="A508" s="66" t="s">
        <v>551</v>
      </c>
      <c r="B508" s="66" t="s">
        <v>1290</v>
      </c>
      <c r="C508" s="67"/>
      <c r="D508" s="68"/>
      <c r="E508" s="69"/>
      <c r="F508" s="70"/>
      <c r="G508" s="67"/>
      <c r="H508" s="71"/>
      <c r="I508" s="72"/>
      <c r="J508" s="72"/>
      <c r="K508" s="36"/>
      <c r="L508" s="79"/>
      <c r="M508" s="79"/>
      <c r="N508" s="74"/>
      <c r="O508" s="81" t="s">
        <v>1534</v>
      </c>
      <c r="P508" s="83">
        <v>44460.666307870371</v>
      </c>
      <c r="Q508" s="81" t="s">
        <v>1727</v>
      </c>
      <c r="R508" s="81"/>
      <c r="S508" s="81"/>
      <c r="T508" s="81"/>
      <c r="U508" s="81"/>
      <c r="V508" s="84" t="str">
        <f>HYPERLINK("https://pbs.twimg.com/profile_images/1418577791306457091/Av1cIVBA_normal.jpg")</f>
        <v>https://pbs.twimg.com/profile_images/1418577791306457091/Av1cIVBA_normal.jpg</v>
      </c>
      <c r="W508" s="83">
        <v>44460.666307870371</v>
      </c>
      <c r="X508" s="89">
        <v>44460</v>
      </c>
      <c r="Y508" s="86" t="s">
        <v>3122</v>
      </c>
      <c r="Z508" s="84" t="str">
        <f>HYPERLINK("https://twitter.com/jeonghaniyoo_m/status/1440344942249840640")</f>
        <v>https://twitter.com/jeonghaniyoo_m/status/1440344942249840640</v>
      </c>
      <c r="AA508" s="81"/>
      <c r="AB508" s="81"/>
      <c r="AC508" s="86" t="s">
        <v>4584</v>
      </c>
      <c r="AD508" s="86" t="s">
        <v>6045</v>
      </c>
      <c r="AE508" s="81" t="b">
        <v>0</v>
      </c>
      <c r="AF508" s="81">
        <v>0</v>
      </c>
      <c r="AG508" s="86" t="s">
        <v>6258</v>
      </c>
      <c r="AH508" s="81" t="b">
        <v>0</v>
      </c>
      <c r="AI508" s="81" t="s">
        <v>6478</v>
      </c>
      <c r="AJ508" s="81"/>
      <c r="AK508" s="86" t="s">
        <v>6240</v>
      </c>
      <c r="AL508" s="81" t="b">
        <v>0</v>
      </c>
      <c r="AM508" s="81">
        <v>0</v>
      </c>
      <c r="AN508" s="86" t="s">
        <v>6240</v>
      </c>
      <c r="AO508" s="86" t="s">
        <v>6505</v>
      </c>
      <c r="AP508" s="81" t="b">
        <v>0</v>
      </c>
      <c r="AQ508" s="86" t="s">
        <v>6045</v>
      </c>
      <c r="AR508" s="81" t="s">
        <v>179</v>
      </c>
      <c r="AS508" s="81">
        <v>0</v>
      </c>
      <c r="AT508" s="81">
        <v>0</v>
      </c>
      <c r="AU508" s="81"/>
      <c r="AV508" s="81"/>
      <c r="AW508" s="81"/>
      <c r="AX508" s="81"/>
      <c r="AY508" s="81"/>
      <c r="AZ508" s="81"/>
      <c r="BA508" s="81"/>
      <c r="BB508" s="81"/>
    </row>
    <row r="509" spans="1:54" x14ac:dyDescent="0.35">
      <c r="A509" s="66" t="s">
        <v>552</v>
      </c>
      <c r="B509" s="66" t="s">
        <v>1349</v>
      </c>
      <c r="C509" s="67"/>
      <c r="D509" s="68"/>
      <c r="E509" s="69"/>
      <c r="F509" s="70"/>
      <c r="G509" s="67"/>
      <c r="H509" s="71"/>
      <c r="I509" s="72"/>
      <c r="J509" s="72"/>
      <c r="K509" s="36"/>
      <c r="L509" s="79"/>
      <c r="M509" s="79"/>
      <c r="N509" s="74"/>
      <c r="O509" s="81" t="s">
        <v>1534</v>
      </c>
      <c r="P509" s="83">
        <v>44460.25440972222</v>
      </c>
      <c r="Q509" s="81" t="s">
        <v>1728</v>
      </c>
      <c r="R509" s="84" t="str">
        <f>HYPERLINK("https://api.whatsapp.com/send?phone=60196376053&amp;text=minibrowniesdonut")</f>
        <v>https://api.whatsapp.com/send?phone=60196376053&amp;text=minibrowniesdonut</v>
      </c>
      <c r="S509" s="81" t="s">
        <v>2597</v>
      </c>
      <c r="T509" s="81"/>
      <c r="U509" s="81"/>
      <c r="V509" s="84" t="str">
        <f>HYPERLINK("https://pbs.twimg.com/profile_images/1174350558120927232/3PqpMBwT_normal.jpg")</f>
        <v>https://pbs.twimg.com/profile_images/1174350558120927232/3PqpMBwT_normal.jpg</v>
      </c>
      <c r="W509" s="83">
        <v>44460.25440972222</v>
      </c>
      <c r="X509" s="89">
        <v>44460</v>
      </c>
      <c r="Y509" s="86" t="s">
        <v>3123</v>
      </c>
      <c r="Z509" s="84" t="str">
        <f>HYPERLINK("https://twitter.com/ateynnnn/status/1440195677804380160")</f>
        <v>https://twitter.com/ateynnnn/status/1440195677804380160</v>
      </c>
      <c r="AA509" s="81"/>
      <c r="AB509" s="81"/>
      <c r="AC509" s="86" t="s">
        <v>4585</v>
      </c>
      <c r="AD509" s="86" t="s">
        <v>6046</v>
      </c>
      <c r="AE509" s="81" t="b">
        <v>0</v>
      </c>
      <c r="AF509" s="81">
        <v>0</v>
      </c>
      <c r="AG509" s="86" t="s">
        <v>6311</v>
      </c>
      <c r="AH509" s="81" t="b">
        <v>0</v>
      </c>
      <c r="AI509" s="81" t="s">
        <v>6478</v>
      </c>
      <c r="AJ509" s="81"/>
      <c r="AK509" s="86" t="s">
        <v>6240</v>
      </c>
      <c r="AL509" s="81" t="b">
        <v>0</v>
      </c>
      <c r="AM509" s="81">
        <v>0</v>
      </c>
      <c r="AN509" s="86" t="s">
        <v>6240</v>
      </c>
      <c r="AO509" s="86" t="s">
        <v>6503</v>
      </c>
      <c r="AP509" s="81" t="b">
        <v>0</v>
      </c>
      <c r="AQ509" s="86" t="s">
        <v>6046</v>
      </c>
      <c r="AR509" s="81" t="s">
        <v>179</v>
      </c>
      <c r="AS509" s="81">
        <v>0</v>
      </c>
      <c r="AT509" s="81">
        <v>0</v>
      </c>
      <c r="AU509" s="81"/>
      <c r="AV509" s="81"/>
      <c r="AW509" s="81"/>
      <c r="AX509" s="81"/>
      <c r="AY509" s="81"/>
      <c r="AZ509" s="81"/>
      <c r="BA509" s="81"/>
      <c r="BB509" s="81"/>
    </row>
    <row r="510" spans="1:54" x14ac:dyDescent="0.35">
      <c r="A510" s="66" t="s">
        <v>552</v>
      </c>
      <c r="B510" s="66" t="s">
        <v>552</v>
      </c>
      <c r="C510" s="67"/>
      <c r="D510" s="68"/>
      <c r="E510" s="69"/>
      <c r="F510" s="70"/>
      <c r="G510" s="67"/>
      <c r="H510" s="71"/>
      <c r="I510" s="72"/>
      <c r="J510" s="72"/>
      <c r="K510" s="36"/>
      <c r="L510" s="79"/>
      <c r="M510" s="79"/>
      <c r="N510" s="74"/>
      <c r="O510" s="81" t="s">
        <v>179</v>
      </c>
      <c r="P510" s="83">
        <v>44460.682129629633</v>
      </c>
      <c r="Q510" s="81" t="s">
        <v>1729</v>
      </c>
      <c r="R510" s="81"/>
      <c r="S510" s="81"/>
      <c r="T510" s="81"/>
      <c r="U510" s="84" t="str">
        <f>HYPERLINK("https://pbs.twimg.com/media/E_0nTnQUcAIA4pj.jpg")</f>
        <v>https://pbs.twimg.com/media/E_0nTnQUcAIA4pj.jpg</v>
      </c>
      <c r="V510" s="84" t="str">
        <f>HYPERLINK("https://pbs.twimg.com/media/E_0nTnQUcAIA4pj.jpg")</f>
        <v>https://pbs.twimg.com/media/E_0nTnQUcAIA4pj.jpg</v>
      </c>
      <c r="W510" s="83">
        <v>44460.682129629633</v>
      </c>
      <c r="X510" s="89">
        <v>44460</v>
      </c>
      <c r="Y510" s="86" t="s">
        <v>3124</v>
      </c>
      <c r="Z510" s="84" t="str">
        <f>HYPERLINK("https://twitter.com/ateynnnn/status/1440350676127682576")</f>
        <v>https://twitter.com/ateynnnn/status/1440350676127682576</v>
      </c>
      <c r="AA510" s="81"/>
      <c r="AB510" s="81"/>
      <c r="AC510" s="86" t="s">
        <v>4586</v>
      </c>
      <c r="AD510" s="86" t="s">
        <v>6047</v>
      </c>
      <c r="AE510" s="81" t="b">
        <v>0</v>
      </c>
      <c r="AF510" s="81">
        <v>0</v>
      </c>
      <c r="AG510" s="86" t="s">
        <v>6312</v>
      </c>
      <c r="AH510" s="81" t="b">
        <v>0</v>
      </c>
      <c r="AI510" s="81" t="s">
        <v>6478</v>
      </c>
      <c r="AJ510" s="81"/>
      <c r="AK510" s="86" t="s">
        <v>6240</v>
      </c>
      <c r="AL510" s="81" t="b">
        <v>0</v>
      </c>
      <c r="AM510" s="81">
        <v>0</v>
      </c>
      <c r="AN510" s="86" t="s">
        <v>6240</v>
      </c>
      <c r="AO510" s="86" t="s">
        <v>6503</v>
      </c>
      <c r="AP510" s="81" t="b">
        <v>0</v>
      </c>
      <c r="AQ510" s="86" t="s">
        <v>6047</v>
      </c>
      <c r="AR510" s="81" t="s">
        <v>179</v>
      </c>
      <c r="AS510" s="81">
        <v>0</v>
      </c>
      <c r="AT510" s="81">
        <v>0</v>
      </c>
      <c r="AU510" s="81"/>
      <c r="AV510" s="81"/>
      <c r="AW510" s="81"/>
      <c r="AX510" s="81"/>
      <c r="AY510" s="81"/>
      <c r="AZ510" s="81"/>
      <c r="BA510" s="81"/>
      <c r="BB510" s="81"/>
    </row>
    <row r="511" spans="1:54" x14ac:dyDescent="0.35">
      <c r="A511" s="66" t="s">
        <v>553</v>
      </c>
      <c r="B511" s="66" t="s">
        <v>1344</v>
      </c>
      <c r="C511" s="67"/>
      <c r="D511" s="68"/>
      <c r="E511" s="69"/>
      <c r="F511" s="70"/>
      <c r="G511" s="67"/>
      <c r="H511" s="71"/>
      <c r="I511" s="72"/>
      <c r="J511" s="72"/>
      <c r="K511" s="36"/>
      <c r="L511" s="79"/>
      <c r="M511" s="79"/>
      <c r="N511" s="74"/>
      <c r="O511" s="81" t="s">
        <v>1534</v>
      </c>
      <c r="P511" s="83">
        <v>44460.682870370372</v>
      </c>
      <c r="Q511" s="81" t="s">
        <v>1730</v>
      </c>
      <c r="R511" s="81"/>
      <c r="S511" s="81"/>
      <c r="T511" s="81"/>
      <c r="U511" s="81"/>
      <c r="V511" s="84" t="str">
        <f>HYPERLINK("https://pbs.twimg.com/profile_images/1435628603857784840/QuQvsqWB_normal.jpg")</f>
        <v>https://pbs.twimg.com/profile_images/1435628603857784840/QuQvsqWB_normal.jpg</v>
      </c>
      <c r="W511" s="83">
        <v>44460.682870370372</v>
      </c>
      <c r="X511" s="89">
        <v>44460</v>
      </c>
      <c r="Y511" s="86" t="s">
        <v>3125</v>
      </c>
      <c r="Z511" s="84" t="str">
        <f>HYPERLINK("https://twitter.com/itsme0605/status/1440350944491835392")</f>
        <v>https://twitter.com/itsme0605/status/1440350944491835392</v>
      </c>
      <c r="AA511" s="81"/>
      <c r="AB511" s="81"/>
      <c r="AC511" s="86" t="s">
        <v>4587</v>
      </c>
      <c r="AD511" s="86" t="s">
        <v>6048</v>
      </c>
      <c r="AE511" s="81" t="b">
        <v>0</v>
      </c>
      <c r="AF511" s="81">
        <v>0</v>
      </c>
      <c r="AG511" s="86" t="s">
        <v>6305</v>
      </c>
      <c r="AH511" s="81" t="b">
        <v>0</v>
      </c>
      <c r="AI511" s="81" t="s">
        <v>6478</v>
      </c>
      <c r="AJ511" s="81"/>
      <c r="AK511" s="86" t="s">
        <v>6240</v>
      </c>
      <c r="AL511" s="81" t="b">
        <v>0</v>
      </c>
      <c r="AM511" s="81">
        <v>0</v>
      </c>
      <c r="AN511" s="86" t="s">
        <v>6240</v>
      </c>
      <c r="AO511" s="86" t="s">
        <v>6503</v>
      </c>
      <c r="AP511" s="81" t="b">
        <v>0</v>
      </c>
      <c r="AQ511" s="86" t="s">
        <v>6048</v>
      </c>
      <c r="AR511" s="81" t="s">
        <v>179</v>
      </c>
      <c r="AS511" s="81">
        <v>0</v>
      </c>
      <c r="AT511" s="81">
        <v>0</v>
      </c>
      <c r="AU511" s="81"/>
      <c r="AV511" s="81"/>
      <c r="AW511" s="81"/>
      <c r="AX511" s="81"/>
      <c r="AY511" s="81"/>
      <c r="AZ511" s="81"/>
      <c r="BA511" s="81"/>
      <c r="BB511" s="81"/>
    </row>
    <row r="512" spans="1:54" x14ac:dyDescent="0.35">
      <c r="A512" s="66" t="s">
        <v>554</v>
      </c>
      <c r="B512" s="66" t="s">
        <v>554</v>
      </c>
      <c r="C512" s="67"/>
      <c r="D512" s="68"/>
      <c r="E512" s="69"/>
      <c r="F512" s="70"/>
      <c r="G512" s="67"/>
      <c r="H512" s="71"/>
      <c r="I512" s="72"/>
      <c r="J512" s="72"/>
      <c r="K512" s="36"/>
      <c r="L512" s="79"/>
      <c r="M512" s="79"/>
      <c r="N512" s="74"/>
      <c r="O512" s="81" t="s">
        <v>179</v>
      </c>
      <c r="P512" s="83">
        <v>44460.716099537036</v>
      </c>
      <c r="Q512" s="81" t="s">
        <v>1731</v>
      </c>
      <c r="R512" s="84" t="str">
        <f>HYPERLINK("https://shopee.co.id/partop_sparepart.hardtop/11851170791?__classic__=1")</f>
        <v>https://shopee.co.id/partop_sparepart.hardtop/11851170791?__classic__=1</v>
      </c>
      <c r="S512" s="81" t="s">
        <v>2589</v>
      </c>
      <c r="T512" s="86" t="s">
        <v>1393</v>
      </c>
      <c r="U512" s="84" t="str">
        <f>HYPERLINK("https://pbs.twimg.com/media/E_0ygTXVEAk2nWz.jpg")</f>
        <v>https://pbs.twimg.com/media/E_0ygTXVEAk2nWz.jpg</v>
      </c>
      <c r="V512" s="84" t="str">
        <f>HYPERLINK("https://pbs.twimg.com/media/E_0ygTXVEAk2nWz.jpg")</f>
        <v>https://pbs.twimg.com/media/E_0ygTXVEAk2nWz.jpg</v>
      </c>
      <c r="W512" s="83">
        <v>44460.716099537036</v>
      </c>
      <c r="X512" s="89">
        <v>44460</v>
      </c>
      <c r="Y512" s="86" t="s">
        <v>3126</v>
      </c>
      <c r="Z512" s="84" t="str">
        <f>HYPERLINK("https://twitter.com/sparepartfjbj/status/1440362988364464135")</f>
        <v>https://twitter.com/sparepartfjbj/status/1440362988364464135</v>
      </c>
      <c r="AA512" s="81"/>
      <c r="AB512" s="81"/>
      <c r="AC512" s="86" t="s">
        <v>4588</v>
      </c>
      <c r="AD512" s="81"/>
      <c r="AE512" s="81" t="b">
        <v>0</v>
      </c>
      <c r="AF512" s="81">
        <v>0</v>
      </c>
      <c r="AG512" s="86" t="s">
        <v>6240</v>
      </c>
      <c r="AH512" s="81" t="b">
        <v>0</v>
      </c>
      <c r="AI512" s="81" t="s">
        <v>6478</v>
      </c>
      <c r="AJ512" s="81"/>
      <c r="AK512" s="86" t="s">
        <v>6240</v>
      </c>
      <c r="AL512" s="81" t="b">
        <v>0</v>
      </c>
      <c r="AM512" s="81">
        <v>0</v>
      </c>
      <c r="AN512" s="86" t="s">
        <v>6240</v>
      </c>
      <c r="AO512" s="86" t="s">
        <v>6516</v>
      </c>
      <c r="AP512" s="81" t="b">
        <v>0</v>
      </c>
      <c r="AQ512" s="86" t="s">
        <v>4588</v>
      </c>
      <c r="AR512" s="81" t="s">
        <v>179</v>
      </c>
      <c r="AS512" s="81">
        <v>0</v>
      </c>
      <c r="AT512" s="81">
        <v>0</v>
      </c>
      <c r="AU512" s="81"/>
      <c r="AV512" s="81"/>
      <c r="AW512" s="81"/>
      <c r="AX512" s="81"/>
      <c r="AY512" s="81"/>
      <c r="AZ512" s="81"/>
      <c r="BA512" s="81"/>
      <c r="BB512" s="81"/>
    </row>
    <row r="513" spans="1:54" x14ac:dyDescent="0.35">
      <c r="A513" s="66" t="s">
        <v>555</v>
      </c>
      <c r="B513" s="66" t="s">
        <v>555</v>
      </c>
      <c r="C513" s="67"/>
      <c r="D513" s="68"/>
      <c r="E513" s="69"/>
      <c r="F513" s="70"/>
      <c r="G513" s="67"/>
      <c r="H513" s="71"/>
      <c r="I513" s="72"/>
      <c r="J513" s="72"/>
      <c r="K513" s="36"/>
      <c r="L513" s="79"/>
      <c r="M513" s="79"/>
      <c r="N513" s="74"/>
      <c r="O513" s="81" t="s">
        <v>179</v>
      </c>
      <c r="P513" s="83">
        <v>44460.758310185185</v>
      </c>
      <c r="Q513" s="81" t="s">
        <v>1732</v>
      </c>
      <c r="R513" s="81"/>
      <c r="S513" s="81"/>
      <c r="T513" s="81"/>
      <c r="U513" s="81"/>
      <c r="V513" s="84" t="str">
        <f>HYPERLINK("https://pbs.twimg.com/profile_images/1442526542832148490/eoOXjXiF_normal.jpg")</f>
        <v>https://pbs.twimg.com/profile_images/1442526542832148490/eoOXjXiF_normal.jpg</v>
      </c>
      <c r="W513" s="83">
        <v>44460.758310185185</v>
      </c>
      <c r="X513" s="89">
        <v>44460</v>
      </c>
      <c r="Y513" s="86" t="s">
        <v>3127</v>
      </c>
      <c r="Z513" s="84" t="str">
        <f>HYPERLINK("https://twitter.com/0bokuto/status/1440378283279851523")</f>
        <v>https://twitter.com/0bokuto/status/1440378283279851523</v>
      </c>
      <c r="AA513" s="81"/>
      <c r="AB513" s="81"/>
      <c r="AC513" s="86" t="s">
        <v>4589</v>
      </c>
      <c r="AD513" s="86" t="s">
        <v>6049</v>
      </c>
      <c r="AE513" s="81" t="b">
        <v>0</v>
      </c>
      <c r="AF513" s="81">
        <v>0</v>
      </c>
      <c r="AG513" s="86" t="s">
        <v>6313</v>
      </c>
      <c r="AH513" s="81" t="b">
        <v>0</v>
      </c>
      <c r="AI513" s="81" t="s">
        <v>6478</v>
      </c>
      <c r="AJ513" s="81"/>
      <c r="AK513" s="86" t="s">
        <v>6240</v>
      </c>
      <c r="AL513" s="81" t="b">
        <v>0</v>
      </c>
      <c r="AM513" s="81">
        <v>0</v>
      </c>
      <c r="AN513" s="86" t="s">
        <v>6240</v>
      </c>
      <c r="AO513" s="86" t="s">
        <v>6503</v>
      </c>
      <c r="AP513" s="81" t="b">
        <v>0</v>
      </c>
      <c r="AQ513" s="86" t="s">
        <v>6049</v>
      </c>
      <c r="AR513" s="81" t="s">
        <v>179</v>
      </c>
      <c r="AS513" s="81">
        <v>0</v>
      </c>
      <c r="AT513" s="81">
        <v>0</v>
      </c>
      <c r="AU513" s="81"/>
      <c r="AV513" s="81"/>
      <c r="AW513" s="81"/>
      <c r="AX513" s="81"/>
      <c r="AY513" s="81"/>
      <c r="AZ513" s="81"/>
      <c r="BA513" s="81"/>
      <c r="BB513" s="81"/>
    </row>
    <row r="514" spans="1:54" x14ac:dyDescent="0.35">
      <c r="A514" s="66" t="s">
        <v>556</v>
      </c>
      <c r="B514" s="66" t="s">
        <v>1350</v>
      </c>
      <c r="C514" s="67"/>
      <c r="D514" s="68"/>
      <c r="E514" s="69"/>
      <c r="F514" s="70"/>
      <c r="G514" s="67"/>
      <c r="H514" s="71"/>
      <c r="I514" s="72"/>
      <c r="J514" s="72"/>
      <c r="K514" s="36"/>
      <c r="L514" s="79"/>
      <c r="M514" s="79"/>
      <c r="N514" s="74"/>
      <c r="O514" s="81" t="s">
        <v>1534</v>
      </c>
      <c r="P514" s="83">
        <v>44460.785243055558</v>
      </c>
      <c r="Q514" s="81" t="s">
        <v>1733</v>
      </c>
      <c r="R514" s="81"/>
      <c r="S514" s="81"/>
      <c r="T514" s="81"/>
      <c r="U514" s="81"/>
      <c r="V514" s="84" t="str">
        <f>HYPERLINK("https://pbs.twimg.com/profile_images/1431930510331179015/ZCb4f4hb_normal.jpg")</f>
        <v>https://pbs.twimg.com/profile_images/1431930510331179015/ZCb4f4hb_normal.jpg</v>
      </c>
      <c r="W514" s="83">
        <v>44460.785243055558</v>
      </c>
      <c r="X514" s="89">
        <v>44460</v>
      </c>
      <c r="Y514" s="86" t="s">
        <v>3128</v>
      </c>
      <c r="Z514" s="84" t="str">
        <f>HYPERLINK("https://twitter.com/julyas43/status/1440388043395846146")</f>
        <v>https://twitter.com/julyas43/status/1440388043395846146</v>
      </c>
      <c r="AA514" s="81"/>
      <c r="AB514" s="81"/>
      <c r="AC514" s="86" t="s">
        <v>4590</v>
      </c>
      <c r="AD514" s="86" t="s">
        <v>6050</v>
      </c>
      <c r="AE514" s="81" t="b">
        <v>0</v>
      </c>
      <c r="AF514" s="81">
        <v>0</v>
      </c>
      <c r="AG514" s="86" t="s">
        <v>6314</v>
      </c>
      <c r="AH514" s="81" t="b">
        <v>0</v>
      </c>
      <c r="AI514" s="81" t="s">
        <v>6478</v>
      </c>
      <c r="AJ514" s="81"/>
      <c r="AK514" s="86" t="s">
        <v>6240</v>
      </c>
      <c r="AL514" s="81" t="b">
        <v>0</v>
      </c>
      <c r="AM514" s="81">
        <v>0</v>
      </c>
      <c r="AN514" s="86" t="s">
        <v>6240</v>
      </c>
      <c r="AO514" s="86" t="s">
        <v>6503</v>
      </c>
      <c r="AP514" s="81" t="b">
        <v>0</v>
      </c>
      <c r="AQ514" s="86" t="s">
        <v>6050</v>
      </c>
      <c r="AR514" s="81" t="s">
        <v>179</v>
      </c>
      <c r="AS514" s="81">
        <v>0</v>
      </c>
      <c r="AT514" s="81">
        <v>0</v>
      </c>
      <c r="AU514" s="81"/>
      <c r="AV514" s="81"/>
      <c r="AW514" s="81"/>
      <c r="AX514" s="81"/>
      <c r="AY514" s="81"/>
      <c r="AZ514" s="81"/>
      <c r="BA514" s="81"/>
      <c r="BB514" s="81"/>
    </row>
    <row r="515" spans="1:54" x14ac:dyDescent="0.35">
      <c r="A515" s="66" t="s">
        <v>557</v>
      </c>
      <c r="B515" s="66" t="s">
        <v>1351</v>
      </c>
      <c r="C515" s="67"/>
      <c r="D515" s="68"/>
      <c r="E515" s="69"/>
      <c r="F515" s="70"/>
      <c r="G515" s="67"/>
      <c r="H515" s="71"/>
      <c r="I515" s="72"/>
      <c r="J515" s="72"/>
      <c r="K515" s="36"/>
      <c r="L515" s="79"/>
      <c r="M515" s="79"/>
      <c r="N515" s="74"/>
      <c r="O515" s="81" t="s">
        <v>1534</v>
      </c>
      <c r="P515" s="83">
        <v>44460.797812500001</v>
      </c>
      <c r="Q515" s="81" t="s">
        <v>1734</v>
      </c>
      <c r="R515" s="81"/>
      <c r="S515" s="81"/>
      <c r="T515" s="81"/>
      <c r="U515" s="81"/>
      <c r="V515" s="84" t="str">
        <f>HYPERLINK("https://pbs.twimg.com/profile_images/1433779002456502274/lJII2tLJ_normal.jpg")</f>
        <v>https://pbs.twimg.com/profile_images/1433779002456502274/lJII2tLJ_normal.jpg</v>
      </c>
      <c r="W515" s="83">
        <v>44460.797812500001</v>
      </c>
      <c r="X515" s="89">
        <v>44460</v>
      </c>
      <c r="Y515" s="86" t="s">
        <v>3129</v>
      </c>
      <c r="Z515" s="84" t="str">
        <f>HYPERLINK("https://twitter.com/h_e_qal/status/1440392600435920897")</f>
        <v>https://twitter.com/h_e_qal/status/1440392600435920897</v>
      </c>
      <c r="AA515" s="81"/>
      <c r="AB515" s="81"/>
      <c r="AC515" s="86" t="s">
        <v>4591</v>
      </c>
      <c r="AD515" s="86" t="s">
        <v>6051</v>
      </c>
      <c r="AE515" s="81" t="b">
        <v>0</v>
      </c>
      <c r="AF515" s="81">
        <v>0</v>
      </c>
      <c r="AG515" s="86" t="s">
        <v>6315</v>
      </c>
      <c r="AH515" s="81" t="b">
        <v>0</v>
      </c>
      <c r="AI515" s="81" t="s">
        <v>6478</v>
      </c>
      <c r="AJ515" s="81"/>
      <c r="AK515" s="86" t="s">
        <v>6240</v>
      </c>
      <c r="AL515" s="81" t="b">
        <v>0</v>
      </c>
      <c r="AM515" s="81">
        <v>0</v>
      </c>
      <c r="AN515" s="86" t="s">
        <v>6240</v>
      </c>
      <c r="AO515" s="86" t="s">
        <v>6503</v>
      </c>
      <c r="AP515" s="81" t="b">
        <v>0</v>
      </c>
      <c r="AQ515" s="86" t="s">
        <v>6051</v>
      </c>
      <c r="AR515" s="81" t="s">
        <v>179</v>
      </c>
      <c r="AS515" s="81">
        <v>0</v>
      </c>
      <c r="AT515" s="81">
        <v>0</v>
      </c>
      <c r="AU515" s="81"/>
      <c r="AV515" s="81"/>
      <c r="AW515" s="81"/>
      <c r="AX515" s="81"/>
      <c r="AY515" s="81"/>
      <c r="AZ515" s="81"/>
      <c r="BA515" s="81"/>
      <c r="BB515" s="81"/>
    </row>
    <row r="516" spans="1:54" x14ac:dyDescent="0.35">
      <c r="A516" s="66" t="s">
        <v>558</v>
      </c>
      <c r="B516" s="66" t="s">
        <v>558</v>
      </c>
      <c r="C516" s="67"/>
      <c r="D516" s="68"/>
      <c r="E516" s="69"/>
      <c r="F516" s="70"/>
      <c r="G516" s="67"/>
      <c r="H516" s="71"/>
      <c r="I516" s="72"/>
      <c r="J516" s="72"/>
      <c r="K516" s="36"/>
      <c r="L516" s="79"/>
      <c r="M516" s="79"/>
      <c r="N516" s="74"/>
      <c r="O516" s="81" t="s">
        <v>179</v>
      </c>
      <c r="P516" s="83">
        <v>44460.944571759261</v>
      </c>
      <c r="Q516" s="81" t="s">
        <v>1735</v>
      </c>
      <c r="R516" s="84" t="str">
        <f>HYPERLINK("https://aikerja.com/blog/lowongan-kerja-info-lowongan-kerja-pt-pos-indonesia-persero-merupakan-salah-satu-perusa-4/10821/")</f>
        <v>https://aikerja.com/blog/lowongan-kerja-info-lowongan-kerja-pt-pos-indonesia-persero-merupakan-salah-satu-perusa-4/10821/</v>
      </c>
      <c r="S516" s="81" t="s">
        <v>2606</v>
      </c>
      <c r="T516" s="81"/>
      <c r="U516" s="84" t="str">
        <f>HYPERLINK("https://pbs.twimg.com/media/E_19zjYVgAAtUVo.jpg")</f>
        <v>https://pbs.twimg.com/media/E_19zjYVgAAtUVo.jpg</v>
      </c>
      <c r="V516" s="84" t="str">
        <f>HYPERLINK("https://pbs.twimg.com/media/E_19zjYVgAAtUVo.jpg")</f>
        <v>https://pbs.twimg.com/media/E_19zjYVgAAtUVo.jpg</v>
      </c>
      <c r="W516" s="83">
        <v>44460.944571759261</v>
      </c>
      <c r="X516" s="89">
        <v>44460</v>
      </c>
      <c r="Y516" s="86" t="s">
        <v>3130</v>
      </c>
      <c r="Z516" s="84" t="str">
        <f>HYPERLINK("https://twitter.com/aikerja/status/1440445782771978245")</f>
        <v>https://twitter.com/aikerja/status/1440445782771978245</v>
      </c>
      <c r="AA516" s="81"/>
      <c r="AB516" s="81"/>
      <c r="AC516" s="86" t="s">
        <v>4592</v>
      </c>
      <c r="AD516" s="81"/>
      <c r="AE516" s="81" t="b">
        <v>0</v>
      </c>
      <c r="AF516" s="81">
        <v>0</v>
      </c>
      <c r="AG516" s="86" t="s">
        <v>6240</v>
      </c>
      <c r="AH516" s="81" t="b">
        <v>0</v>
      </c>
      <c r="AI516" s="81" t="s">
        <v>6478</v>
      </c>
      <c r="AJ516" s="81"/>
      <c r="AK516" s="86" t="s">
        <v>6240</v>
      </c>
      <c r="AL516" s="81" t="b">
        <v>0</v>
      </c>
      <c r="AM516" s="81">
        <v>0</v>
      </c>
      <c r="AN516" s="86" t="s">
        <v>6240</v>
      </c>
      <c r="AO516" s="86" t="s">
        <v>2606</v>
      </c>
      <c r="AP516" s="81" t="b">
        <v>0</v>
      </c>
      <c r="AQ516" s="86" t="s">
        <v>4592</v>
      </c>
      <c r="AR516" s="81" t="s">
        <v>179</v>
      </c>
      <c r="AS516" s="81">
        <v>0</v>
      </c>
      <c r="AT516" s="81">
        <v>0</v>
      </c>
      <c r="AU516" s="81"/>
      <c r="AV516" s="81"/>
      <c r="AW516" s="81"/>
      <c r="AX516" s="81"/>
      <c r="AY516" s="81"/>
      <c r="AZ516" s="81"/>
      <c r="BA516" s="81"/>
      <c r="BB516" s="81"/>
    </row>
    <row r="517" spans="1:54" x14ac:dyDescent="0.35">
      <c r="A517" s="66" t="s">
        <v>559</v>
      </c>
      <c r="B517" s="66" t="s">
        <v>1352</v>
      </c>
      <c r="C517" s="67"/>
      <c r="D517" s="68"/>
      <c r="E517" s="69"/>
      <c r="F517" s="70"/>
      <c r="G517" s="67"/>
      <c r="H517" s="71"/>
      <c r="I517" s="72"/>
      <c r="J517" s="72"/>
      <c r="K517" s="36"/>
      <c r="L517" s="79"/>
      <c r="M517" s="79"/>
      <c r="N517" s="74"/>
      <c r="O517" s="81" t="s">
        <v>1534</v>
      </c>
      <c r="P517" s="83">
        <v>44460.974224537036</v>
      </c>
      <c r="Q517" s="81" t="s">
        <v>1736</v>
      </c>
      <c r="R517" s="81"/>
      <c r="S517" s="81"/>
      <c r="T517" s="81"/>
      <c r="U517" s="84" t="str">
        <f>HYPERLINK("https://pbs.twimg.com/tweet_video_thumb/E_2Hkx0UYAYHV2P.jpg")</f>
        <v>https://pbs.twimg.com/tweet_video_thumb/E_2Hkx0UYAYHV2P.jpg</v>
      </c>
      <c r="V517" s="84" t="str">
        <f>HYPERLINK("https://pbs.twimg.com/tweet_video_thumb/E_2Hkx0UYAYHV2P.jpg")</f>
        <v>https://pbs.twimg.com/tweet_video_thumb/E_2Hkx0UYAYHV2P.jpg</v>
      </c>
      <c r="W517" s="83">
        <v>44460.974224537036</v>
      </c>
      <c r="X517" s="89">
        <v>44460</v>
      </c>
      <c r="Y517" s="86" t="s">
        <v>3131</v>
      </c>
      <c r="Z517" s="84" t="str">
        <f>HYPERLINK("https://twitter.com/nursyhra_/status/1440456530529185796")</f>
        <v>https://twitter.com/nursyhra_/status/1440456530529185796</v>
      </c>
      <c r="AA517" s="81"/>
      <c r="AB517" s="81"/>
      <c r="AC517" s="86" t="s">
        <v>4593</v>
      </c>
      <c r="AD517" s="86" t="s">
        <v>6052</v>
      </c>
      <c r="AE517" s="81" t="b">
        <v>0</v>
      </c>
      <c r="AF517" s="81">
        <v>0</v>
      </c>
      <c r="AG517" s="86" t="s">
        <v>6316</v>
      </c>
      <c r="AH517" s="81" t="b">
        <v>0</v>
      </c>
      <c r="AI517" s="81" t="s">
        <v>6478</v>
      </c>
      <c r="AJ517" s="81"/>
      <c r="AK517" s="86" t="s">
        <v>6240</v>
      </c>
      <c r="AL517" s="81" t="b">
        <v>0</v>
      </c>
      <c r="AM517" s="81">
        <v>0</v>
      </c>
      <c r="AN517" s="86" t="s">
        <v>6240</v>
      </c>
      <c r="AO517" s="86" t="s">
        <v>6503</v>
      </c>
      <c r="AP517" s="81" t="b">
        <v>0</v>
      </c>
      <c r="AQ517" s="86" t="s">
        <v>6052</v>
      </c>
      <c r="AR517" s="81" t="s">
        <v>179</v>
      </c>
      <c r="AS517" s="81">
        <v>0</v>
      </c>
      <c r="AT517" s="81">
        <v>0</v>
      </c>
      <c r="AU517" s="81"/>
      <c r="AV517" s="81"/>
      <c r="AW517" s="81"/>
      <c r="AX517" s="81"/>
      <c r="AY517" s="81"/>
      <c r="AZ517" s="81"/>
      <c r="BA517" s="81"/>
      <c r="BB517" s="81"/>
    </row>
    <row r="518" spans="1:54" x14ac:dyDescent="0.35">
      <c r="A518" s="66" t="s">
        <v>560</v>
      </c>
      <c r="B518" s="66" t="s">
        <v>560</v>
      </c>
      <c r="C518" s="67"/>
      <c r="D518" s="68"/>
      <c r="E518" s="69"/>
      <c r="F518" s="70"/>
      <c r="G518" s="67"/>
      <c r="H518" s="71"/>
      <c r="I518" s="72"/>
      <c r="J518" s="72"/>
      <c r="K518" s="36"/>
      <c r="L518" s="79"/>
      <c r="M518" s="79"/>
      <c r="N518" s="74"/>
      <c r="O518" s="81" t="s">
        <v>179</v>
      </c>
      <c r="P518" s="83">
        <v>44460.995740740742</v>
      </c>
      <c r="Q518" s="81" t="s">
        <v>1737</v>
      </c>
      <c r="R518" s="81"/>
      <c r="S518" s="81"/>
      <c r="T518" s="81"/>
      <c r="U518" s="84" t="str">
        <f>HYPERLINK("https://pbs.twimg.com/media/E_2Oq1YUUAEaVId.jpg")</f>
        <v>https://pbs.twimg.com/media/E_2Oq1YUUAEaVId.jpg</v>
      </c>
      <c r="V518" s="84" t="str">
        <f>HYPERLINK("https://pbs.twimg.com/media/E_2Oq1YUUAEaVId.jpg")</f>
        <v>https://pbs.twimg.com/media/E_2Oq1YUUAEaVId.jpg</v>
      </c>
      <c r="W518" s="83">
        <v>44460.995740740742</v>
      </c>
      <c r="X518" s="89">
        <v>44460</v>
      </c>
      <c r="Y518" s="86" t="s">
        <v>3132</v>
      </c>
      <c r="Z518" s="84" t="str">
        <f>HYPERLINK("https://twitter.com/asgcaseba/status/1440464326494547972")</f>
        <v>https://twitter.com/asgcaseba/status/1440464326494547972</v>
      </c>
      <c r="AA518" s="81"/>
      <c r="AB518" s="81"/>
      <c r="AC518" s="86" t="s">
        <v>4594</v>
      </c>
      <c r="AD518" s="81"/>
      <c r="AE518" s="81" t="b">
        <v>0</v>
      </c>
      <c r="AF518" s="81">
        <v>0</v>
      </c>
      <c r="AG518" s="86" t="s">
        <v>6240</v>
      </c>
      <c r="AH518" s="81" t="b">
        <v>0</v>
      </c>
      <c r="AI518" s="81" t="s">
        <v>6478</v>
      </c>
      <c r="AJ518" s="81"/>
      <c r="AK518" s="86" t="s">
        <v>6240</v>
      </c>
      <c r="AL518" s="81" t="b">
        <v>0</v>
      </c>
      <c r="AM518" s="81">
        <v>0</v>
      </c>
      <c r="AN518" s="86" t="s">
        <v>6240</v>
      </c>
      <c r="AO518" s="86" t="s">
        <v>6503</v>
      </c>
      <c r="AP518" s="81" t="b">
        <v>0</v>
      </c>
      <c r="AQ518" s="86" t="s">
        <v>4594</v>
      </c>
      <c r="AR518" s="81" t="s">
        <v>179</v>
      </c>
      <c r="AS518" s="81">
        <v>0</v>
      </c>
      <c r="AT518" s="81">
        <v>0</v>
      </c>
      <c r="AU518" s="81"/>
      <c r="AV518" s="81"/>
      <c r="AW518" s="81"/>
      <c r="AX518" s="81"/>
      <c r="AY518" s="81"/>
      <c r="AZ518" s="81"/>
      <c r="BA518" s="81"/>
      <c r="BB518" s="81"/>
    </row>
    <row r="519" spans="1:54" x14ac:dyDescent="0.35">
      <c r="A519" s="66" t="s">
        <v>561</v>
      </c>
      <c r="B519" s="66" t="s">
        <v>1353</v>
      </c>
      <c r="C519" s="67"/>
      <c r="D519" s="68"/>
      <c r="E519" s="69"/>
      <c r="F519" s="70"/>
      <c r="G519" s="67"/>
      <c r="H519" s="71"/>
      <c r="I519" s="72"/>
      <c r="J519" s="72"/>
      <c r="K519" s="36"/>
      <c r="L519" s="79"/>
      <c r="M519" s="79"/>
      <c r="N519" s="74"/>
      <c r="O519" s="81" t="s">
        <v>1534</v>
      </c>
      <c r="P519" s="83">
        <v>44461.007905092592</v>
      </c>
      <c r="Q519" s="81" t="s">
        <v>1738</v>
      </c>
      <c r="R519" s="81"/>
      <c r="S519" s="81"/>
      <c r="T519" s="81"/>
      <c r="U519" s="81"/>
      <c r="V519" s="84" t="str">
        <f>HYPERLINK("https://pbs.twimg.com/profile_images/1388370443183136768/Xi-gCM0R_normal.jpg")</f>
        <v>https://pbs.twimg.com/profile_images/1388370443183136768/Xi-gCM0R_normal.jpg</v>
      </c>
      <c r="W519" s="83">
        <v>44461.007905092592</v>
      </c>
      <c r="X519" s="89">
        <v>44461</v>
      </c>
      <c r="Y519" s="86" t="s">
        <v>3133</v>
      </c>
      <c r="Z519" s="84" t="str">
        <f>HYPERLINK("https://twitter.com/syzira/status/1440468732715753478")</f>
        <v>https://twitter.com/syzira/status/1440468732715753478</v>
      </c>
      <c r="AA519" s="81"/>
      <c r="AB519" s="81"/>
      <c r="AC519" s="86" t="s">
        <v>4595</v>
      </c>
      <c r="AD519" s="86" t="s">
        <v>6053</v>
      </c>
      <c r="AE519" s="81" t="b">
        <v>0</v>
      </c>
      <c r="AF519" s="81">
        <v>0</v>
      </c>
      <c r="AG519" s="86" t="s">
        <v>6317</v>
      </c>
      <c r="AH519" s="81" t="b">
        <v>0</v>
      </c>
      <c r="AI519" s="81" t="s">
        <v>6478</v>
      </c>
      <c r="AJ519" s="81"/>
      <c r="AK519" s="86" t="s">
        <v>6240</v>
      </c>
      <c r="AL519" s="81" t="b">
        <v>0</v>
      </c>
      <c r="AM519" s="81">
        <v>0</v>
      </c>
      <c r="AN519" s="86" t="s">
        <v>6240</v>
      </c>
      <c r="AO519" s="86" t="s">
        <v>6505</v>
      </c>
      <c r="AP519" s="81" t="b">
        <v>0</v>
      </c>
      <c r="AQ519" s="86" t="s">
        <v>6053</v>
      </c>
      <c r="AR519" s="81" t="s">
        <v>179</v>
      </c>
      <c r="AS519" s="81">
        <v>0</v>
      </c>
      <c r="AT519" s="81">
        <v>0</v>
      </c>
      <c r="AU519" s="81"/>
      <c r="AV519" s="81"/>
      <c r="AW519" s="81"/>
      <c r="AX519" s="81"/>
      <c r="AY519" s="81"/>
      <c r="AZ519" s="81"/>
      <c r="BA519" s="81"/>
      <c r="BB519" s="81"/>
    </row>
    <row r="520" spans="1:54" x14ac:dyDescent="0.35">
      <c r="A520" s="66" t="s">
        <v>561</v>
      </c>
      <c r="B520" s="66" t="s">
        <v>561</v>
      </c>
      <c r="C520" s="67"/>
      <c r="D520" s="68"/>
      <c r="E520" s="69"/>
      <c r="F520" s="70"/>
      <c r="G520" s="67"/>
      <c r="H520" s="71"/>
      <c r="I520" s="72"/>
      <c r="J520" s="72"/>
      <c r="K520" s="36"/>
      <c r="L520" s="79"/>
      <c r="M520" s="79"/>
      <c r="N520" s="74"/>
      <c r="O520" s="81" t="s">
        <v>179</v>
      </c>
      <c r="P520" s="83">
        <v>44459.345046296294</v>
      </c>
      <c r="Q520" s="81" t="s">
        <v>1625</v>
      </c>
      <c r="R520" s="81"/>
      <c r="S520" s="81"/>
      <c r="T520" s="81"/>
      <c r="U520" s="84" t="str">
        <f>HYPERLINK("https://pbs.twimg.com/media/E_tum5vVkAE_bIX.jpg")</f>
        <v>https://pbs.twimg.com/media/E_tum5vVkAE_bIX.jpg</v>
      </c>
      <c r="V520" s="84" t="str">
        <f>HYPERLINK("https://pbs.twimg.com/media/E_tum5vVkAE_bIX.jpg")</f>
        <v>https://pbs.twimg.com/media/E_tum5vVkAE_bIX.jpg</v>
      </c>
      <c r="W520" s="83">
        <v>44459.345046296294</v>
      </c>
      <c r="X520" s="89">
        <v>44459</v>
      </c>
      <c r="Y520" s="86" t="s">
        <v>3134</v>
      </c>
      <c r="Z520" s="84" t="str">
        <f>HYPERLINK("https://twitter.com/syzira/status/1439866135231426561")</f>
        <v>https://twitter.com/syzira/status/1439866135231426561</v>
      </c>
      <c r="AA520" s="81"/>
      <c r="AB520" s="81"/>
      <c r="AC520" s="86" t="s">
        <v>4596</v>
      </c>
      <c r="AD520" s="81"/>
      <c r="AE520" s="81" t="b">
        <v>0</v>
      </c>
      <c r="AF520" s="81">
        <v>2</v>
      </c>
      <c r="AG520" s="86" t="s">
        <v>6240</v>
      </c>
      <c r="AH520" s="81" t="b">
        <v>0</v>
      </c>
      <c r="AI520" s="81" t="s">
        <v>6478</v>
      </c>
      <c r="AJ520" s="81"/>
      <c r="AK520" s="86" t="s">
        <v>6240</v>
      </c>
      <c r="AL520" s="81" t="b">
        <v>0</v>
      </c>
      <c r="AM520" s="81">
        <v>3</v>
      </c>
      <c r="AN520" s="86" t="s">
        <v>6240</v>
      </c>
      <c r="AO520" s="86" t="s">
        <v>6505</v>
      </c>
      <c r="AP520" s="81" t="b">
        <v>0</v>
      </c>
      <c r="AQ520" s="86" t="s">
        <v>4596</v>
      </c>
      <c r="AR520" s="81" t="s">
        <v>179</v>
      </c>
      <c r="AS520" s="81">
        <v>0</v>
      </c>
      <c r="AT520" s="81">
        <v>0</v>
      </c>
      <c r="AU520" s="81"/>
      <c r="AV520" s="81"/>
      <c r="AW520" s="81"/>
      <c r="AX520" s="81"/>
      <c r="AY520" s="81"/>
      <c r="AZ520" s="81"/>
      <c r="BA520" s="81"/>
      <c r="BB520" s="81"/>
    </row>
    <row r="521" spans="1:54" x14ac:dyDescent="0.35">
      <c r="A521" s="66" t="s">
        <v>562</v>
      </c>
      <c r="B521" s="66" t="s">
        <v>1354</v>
      </c>
      <c r="C521" s="67"/>
      <c r="D521" s="68"/>
      <c r="E521" s="69"/>
      <c r="F521" s="70"/>
      <c r="G521" s="67"/>
      <c r="H521" s="71"/>
      <c r="I521" s="72"/>
      <c r="J521" s="72"/>
      <c r="K521" s="36"/>
      <c r="L521" s="79"/>
      <c r="M521" s="79"/>
      <c r="N521" s="74"/>
      <c r="O521" s="81" t="s">
        <v>1534</v>
      </c>
      <c r="P521" s="83">
        <v>44461.060729166667</v>
      </c>
      <c r="Q521" s="81" t="s">
        <v>1739</v>
      </c>
      <c r="R521" s="81"/>
      <c r="S521" s="81"/>
      <c r="T521" s="81"/>
      <c r="U521" s="81"/>
      <c r="V521" s="84" t="str">
        <f>HYPERLINK("https://pbs.twimg.com/profile_images/1424602642270068738/jlB6M34Y_normal.jpg")</f>
        <v>https://pbs.twimg.com/profile_images/1424602642270068738/jlB6M34Y_normal.jpg</v>
      </c>
      <c r="W521" s="83">
        <v>44461.060729166667</v>
      </c>
      <c r="X521" s="89">
        <v>44461</v>
      </c>
      <c r="Y521" s="86" t="s">
        <v>3135</v>
      </c>
      <c r="Z521" s="84" t="str">
        <f>HYPERLINK("https://twitter.com/cygyt/status/1440487876278456325")</f>
        <v>https://twitter.com/cygyt/status/1440487876278456325</v>
      </c>
      <c r="AA521" s="81"/>
      <c r="AB521" s="81"/>
      <c r="AC521" s="86" t="s">
        <v>4597</v>
      </c>
      <c r="AD521" s="86" t="s">
        <v>6054</v>
      </c>
      <c r="AE521" s="81" t="b">
        <v>0</v>
      </c>
      <c r="AF521" s="81">
        <v>0</v>
      </c>
      <c r="AG521" s="86" t="s">
        <v>6318</v>
      </c>
      <c r="AH521" s="81" t="b">
        <v>0</v>
      </c>
      <c r="AI521" s="81" t="s">
        <v>6478</v>
      </c>
      <c r="AJ521" s="81"/>
      <c r="AK521" s="86" t="s">
        <v>6240</v>
      </c>
      <c r="AL521" s="81" t="b">
        <v>0</v>
      </c>
      <c r="AM521" s="81">
        <v>0</v>
      </c>
      <c r="AN521" s="86" t="s">
        <v>6240</v>
      </c>
      <c r="AO521" s="86" t="s">
        <v>6503</v>
      </c>
      <c r="AP521" s="81" t="b">
        <v>0</v>
      </c>
      <c r="AQ521" s="86" t="s">
        <v>6054</v>
      </c>
      <c r="AR521" s="81" t="s">
        <v>179</v>
      </c>
      <c r="AS521" s="81">
        <v>0</v>
      </c>
      <c r="AT521" s="81">
        <v>0</v>
      </c>
      <c r="AU521" s="81"/>
      <c r="AV521" s="81"/>
      <c r="AW521" s="81"/>
      <c r="AX521" s="81"/>
      <c r="AY521" s="81"/>
      <c r="AZ521" s="81"/>
      <c r="BA521" s="81"/>
      <c r="BB521" s="81"/>
    </row>
    <row r="522" spans="1:54" x14ac:dyDescent="0.35">
      <c r="A522" s="66" t="s">
        <v>563</v>
      </c>
      <c r="B522" s="66" t="s">
        <v>1355</v>
      </c>
      <c r="C522" s="67"/>
      <c r="D522" s="68"/>
      <c r="E522" s="69"/>
      <c r="F522" s="70"/>
      <c r="G522" s="67"/>
      <c r="H522" s="71"/>
      <c r="I522" s="72"/>
      <c r="J522" s="72"/>
      <c r="K522" s="36"/>
      <c r="L522" s="79"/>
      <c r="M522" s="79"/>
      <c r="N522" s="74"/>
      <c r="O522" s="81" t="s">
        <v>1534</v>
      </c>
      <c r="P522" s="83">
        <v>44461.067361111112</v>
      </c>
      <c r="Q522" s="81" t="s">
        <v>1740</v>
      </c>
      <c r="R522" s="81"/>
      <c r="S522" s="81"/>
      <c r="T522" s="81"/>
      <c r="U522" s="81"/>
      <c r="V522" s="84" t="str">
        <f>HYPERLINK("https://pbs.twimg.com/profile_images/1438864497427431431/dBp44y5U_normal.jpg")</f>
        <v>https://pbs.twimg.com/profile_images/1438864497427431431/dBp44y5U_normal.jpg</v>
      </c>
      <c r="W522" s="83">
        <v>44461.067361111112</v>
      </c>
      <c r="X522" s="89">
        <v>44461</v>
      </c>
      <c r="Y522" s="86" t="s">
        <v>3136</v>
      </c>
      <c r="Z522" s="84" t="str">
        <f>HYPERLINK("https://twitter.com/shhxtty/status/1440490280344453122")</f>
        <v>https://twitter.com/shhxtty/status/1440490280344453122</v>
      </c>
      <c r="AA522" s="81"/>
      <c r="AB522" s="81"/>
      <c r="AC522" s="86" t="s">
        <v>4598</v>
      </c>
      <c r="AD522" s="86" t="s">
        <v>6055</v>
      </c>
      <c r="AE522" s="81" t="b">
        <v>0</v>
      </c>
      <c r="AF522" s="81">
        <v>0</v>
      </c>
      <c r="AG522" s="86" t="s">
        <v>6319</v>
      </c>
      <c r="AH522" s="81" t="b">
        <v>0</v>
      </c>
      <c r="AI522" s="81" t="s">
        <v>6478</v>
      </c>
      <c r="AJ522" s="81"/>
      <c r="AK522" s="86" t="s">
        <v>6240</v>
      </c>
      <c r="AL522" s="81" t="b">
        <v>0</v>
      </c>
      <c r="AM522" s="81">
        <v>0</v>
      </c>
      <c r="AN522" s="86" t="s">
        <v>6240</v>
      </c>
      <c r="AO522" s="86" t="s">
        <v>6505</v>
      </c>
      <c r="AP522" s="81" t="b">
        <v>0</v>
      </c>
      <c r="AQ522" s="86" t="s">
        <v>6055</v>
      </c>
      <c r="AR522" s="81" t="s">
        <v>179</v>
      </c>
      <c r="AS522" s="81">
        <v>0</v>
      </c>
      <c r="AT522" s="81">
        <v>0</v>
      </c>
      <c r="AU522" s="81"/>
      <c r="AV522" s="81"/>
      <c r="AW522" s="81"/>
      <c r="AX522" s="81"/>
      <c r="AY522" s="81"/>
      <c r="AZ522" s="81"/>
      <c r="BA522" s="81"/>
      <c r="BB522" s="81"/>
    </row>
    <row r="523" spans="1:54" x14ac:dyDescent="0.35">
      <c r="A523" s="66" t="s">
        <v>564</v>
      </c>
      <c r="B523" s="66" t="s">
        <v>564</v>
      </c>
      <c r="C523" s="67"/>
      <c r="D523" s="68"/>
      <c r="E523" s="69"/>
      <c r="F523" s="70"/>
      <c r="G523" s="67"/>
      <c r="H523" s="71"/>
      <c r="I523" s="72"/>
      <c r="J523" s="72"/>
      <c r="K523" s="36"/>
      <c r="L523" s="79"/>
      <c r="M523" s="79"/>
      <c r="N523" s="74"/>
      <c r="O523" s="81" t="s">
        <v>179</v>
      </c>
      <c r="P523" s="83">
        <v>44461.069120370368</v>
      </c>
      <c r="Q523" s="81" t="s">
        <v>1741</v>
      </c>
      <c r="R523" s="81"/>
      <c r="S523" s="81"/>
      <c r="T523" s="81"/>
      <c r="U523" s="81"/>
      <c r="V523" s="84" t="str">
        <f>HYPERLINK("https://pbs.twimg.com/profile_images/1437496319262683137/OA_1UDhQ_normal.jpg")</f>
        <v>https://pbs.twimg.com/profile_images/1437496319262683137/OA_1UDhQ_normal.jpg</v>
      </c>
      <c r="W523" s="83">
        <v>44461.069120370368</v>
      </c>
      <c r="X523" s="89">
        <v>44461</v>
      </c>
      <c r="Y523" s="86" t="s">
        <v>3137</v>
      </c>
      <c r="Z523" s="84" t="str">
        <f>HYPERLINK("https://twitter.com/nrnshaik19/status/1440490918461591558")</f>
        <v>https://twitter.com/nrnshaik19/status/1440490918461591558</v>
      </c>
      <c r="AA523" s="81"/>
      <c r="AB523" s="81"/>
      <c r="AC523" s="86" t="s">
        <v>4599</v>
      </c>
      <c r="AD523" s="86" t="s">
        <v>6056</v>
      </c>
      <c r="AE523" s="81" t="b">
        <v>0</v>
      </c>
      <c r="AF523" s="81">
        <v>0</v>
      </c>
      <c r="AG523" s="86" t="s">
        <v>6320</v>
      </c>
      <c r="AH523" s="81" t="b">
        <v>0</v>
      </c>
      <c r="AI523" s="81" t="s">
        <v>6478</v>
      </c>
      <c r="AJ523" s="81"/>
      <c r="AK523" s="86" t="s">
        <v>6240</v>
      </c>
      <c r="AL523" s="81" t="b">
        <v>0</v>
      </c>
      <c r="AM523" s="81">
        <v>0</v>
      </c>
      <c r="AN523" s="86" t="s">
        <v>6240</v>
      </c>
      <c r="AO523" s="86" t="s">
        <v>6503</v>
      </c>
      <c r="AP523" s="81" t="b">
        <v>0</v>
      </c>
      <c r="AQ523" s="86" t="s">
        <v>6056</v>
      </c>
      <c r="AR523" s="81" t="s">
        <v>179</v>
      </c>
      <c r="AS523" s="81">
        <v>0</v>
      </c>
      <c r="AT523" s="81">
        <v>0</v>
      </c>
      <c r="AU523" s="81"/>
      <c r="AV523" s="81"/>
      <c r="AW523" s="81"/>
      <c r="AX523" s="81"/>
      <c r="AY523" s="81"/>
      <c r="AZ523" s="81"/>
      <c r="BA523" s="81"/>
      <c r="BB523" s="81"/>
    </row>
    <row r="524" spans="1:54" x14ac:dyDescent="0.35">
      <c r="A524" s="66" t="s">
        <v>564</v>
      </c>
      <c r="B524" s="66" t="s">
        <v>564</v>
      </c>
      <c r="C524" s="67"/>
      <c r="D524" s="68"/>
      <c r="E524" s="69"/>
      <c r="F524" s="70"/>
      <c r="G524" s="67"/>
      <c r="H524" s="71"/>
      <c r="I524" s="72"/>
      <c r="J524" s="72"/>
      <c r="K524" s="36"/>
      <c r="L524" s="79"/>
      <c r="M524" s="79"/>
      <c r="N524" s="74"/>
      <c r="O524" s="81" t="s">
        <v>179</v>
      </c>
      <c r="P524" s="83">
        <v>44461.069131944445</v>
      </c>
      <c r="Q524" s="81" t="s">
        <v>1742</v>
      </c>
      <c r="R524" s="81"/>
      <c r="S524" s="81"/>
      <c r="T524" s="81"/>
      <c r="U524" s="81"/>
      <c r="V524" s="84" t="str">
        <f>HYPERLINK("https://pbs.twimg.com/profile_images/1437496319262683137/OA_1UDhQ_normal.jpg")</f>
        <v>https://pbs.twimg.com/profile_images/1437496319262683137/OA_1UDhQ_normal.jpg</v>
      </c>
      <c r="W524" s="83">
        <v>44461.069131944445</v>
      </c>
      <c r="X524" s="89">
        <v>44461</v>
      </c>
      <c r="Y524" s="86" t="s">
        <v>3138</v>
      </c>
      <c r="Z524" s="84" t="str">
        <f>HYPERLINK("https://twitter.com/nrnshaik19/status/1440490920068071428")</f>
        <v>https://twitter.com/nrnshaik19/status/1440490920068071428</v>
      </c>
      <c r="AA524" s="81"/>
      <c r="AB524" s="81"/>
      <c r="AC524" s="86" t="s">
        <v>4600</v>
      </c>
      <c r="AD524" s="86" t="s">
        <v>4599</v>
      </c>
      <c r="AE524" s="81" t="b">
        <v>0</v>
      </c>
      <c r="AF524" s="81">
        <v>0</v>
      </c>
      <c r="AG524" s="86" t="s">
        <v>6320</v>
      </c>
      <c r="AH524" s="81" t="b">
        <v>0</v>
      </c>
      <c r="AI524" s="81" t="s">
        <v>6478</v>
      </c>
      <c r="AJ524" s="81"/>
      <c r="AK524" s="86" t="s">
        <v>6240</v>
      </c>
      <c r="AL524" s="81" t="b">
        <v>0</v>
      </c>
      <c r="AM524" s="81">
        <v>0</v>
      </c>
      <c r="AN524" s="86" t="s">
        <v>6240</v>
      </c>
      <c r="AO524" s="86" t="s">
        <v>6503</v>
      </c>
      <c r="AP524" s="81" t="b">
        <v>0</v>
      </c>
      <c r="AQ524" s="86" t="s">
        <v>4599</v>
      </c>
      <c r="AR524" s="81" t="s">
        <v>179</v>
      </c>
      <c r="AS524" s="81">
        <v>0</v>
      </c>
      <c r="AT524" s="81">
        <v>0</v>
      </c>
      <c r="AU524" s="81"/>
      <c r="AV524" s="81"/>
      <c r="AW524" s="81"/>
      <c r="AX524" s="81"/>
      <c r="AY524" s="81"/>
      <c r="AZ524" s="81"/>
      <c r="BA524" s="81"/>
      <c r="BB524" s="81"/>
    </row>
    <row r="525" spans="1:54" x14ac:dyDescent="0.35">
      <c r="A525" s="66" t="s">
        <v>565</v>
      </c>
      <c r="B525" s="66" t="s">
        <v>565</v>
      </c>
      <c r="C525" s="67"/>
      <c r="D525" s="68"/>
      <c r="E525" s="69"/>
      <c r="F525" s="70"/>
      <c r="G525" s="67"/>
      <c r="H525" s="71"/>
      <c r="I525" s="72"/>
      <c r="J525" s="72"/>
      <c r="K525" s="36"/>
      <c r="L525" s="79"/>
      <c r="M525" s="79"/>
      <c r="N525" s="74"/>
      <c r="O525" s="81" t="s">
        <v>179</v>
      </c>
      <c r="P525" s="83">
        <v>44461.069768518515</v>
      </c>
      <c r="Q525" s="81" t="s">
        <v>1743</v>
      </c>
      <c r="R525" s="81"/>
      <c r="S525" s="81"/>
      <c r="T525" s="81"/>
      <c r="U525" s="81"/>
      <c r="V525" s="84" t="str">
        <f>HYPERLINK("https://pbs.twimg.com/profile_images/1439814058362892294/99UlnPHr_normal.jpg")</f>
        <v>https://pbs.twimg.com/profile_images/1439814058362892294/99UlnPHr_normal.jpg</v>
      </c>
      <c r="W525" s="83">
        <v>44461.069768518515</v>
      </c>
      <c r="X525" s="89">
        <v>44461</v>
      </c>
      <c r="Y525" s="86" t="s">
        <v>3139</v>
      </c>
      <c r="Z525" s="84" t="str">
        <f>HYPERLINK("https://twitter.com/naaabihaaa/status/1440491153174847492")</f>
        <v>https://twitter.com/naaabihaaa/status/1440491153174847492</v>
      </c>
      <c r="AA525" s="81"/>
      <c r="AB525" s="81"/>
      <c r="AC525" s="86" t="s">
        <v>4601</v>
      </c>
      <c r="AD525" s="81"/>
      <c r="AE525" s="81" t="b">
        <v>0</v>
      </c>
      <c r="AF525" s="81">
        <v>0</v>
      </c>
      <c r="AG525" s="86" t="s">
        <v>6240</v>
      </c>
      <c r="AH525" s="81" t="b">
        <v>0</v>
      </c>
      <c r="AI525" s="81" t="s">
        <v>6478</v>
      </c>
      <c r="AJ525" s="81"/>
      <c r="AK525" s="86" t="s">
        <v>6240</v>
      </c>
      <c r="AL525" s="81" t="b">
        <v>0</v>
      </c>
      <c r="AM525" s="81">
        <v>0</v>
      </c>
      <c r="AN525" s="86" t="s">
        <v>6240</v>
      </c>
      <c r="AO525" s="86" t="s">
        <v>6505</v>
      </c>
      <c r="AP525" s="81" t="b">
        <v>0</v>
      </c>
      <c r="AQ525" s="86" t="s">
        <v>4601</v>
      </c>
      <c r="AR525" s="81" t="s">
        <v>179</v>
      </c>
      <c r="AS525" s="81">
        <v>0</v>
      </c>
      <c r="AT525" s="81">
        <v>0</v>
      </c>
      <c r="AU525" s="81"/>
      <c r="AV525" s="81"/>
      <c r="AW525" s="81"/>
      <c r="AX525" s="81"/>
      <c r="AY525" s="81"/>
      <c r="AZ525" s="81"/>
      <c r="BA525" s="81"/>
      <c r="BB525" s="81"/>
    </row>
    <row r="526" spans="1:54" x14ac:dyDescent="0.35">
      <c r="A526" s="66" t="s">
        <v>566</v>
      </c>
      <c r="B526" s="66" t="s">
        <v>566</v>
      </c>
      <c r="C526" s="67"/>
      <c r="D526" s="68"/>
      <c r="E526" s="69"/>
      <c r="F526" s="70"/>
      <c r="G526" s="67"/>
      <c r="H526" s="71"/>
      <c r="I526" s="72"/>
      <c r="J526" s="72"/>
      <c r="K526" s="36"/>
      <c r="L526" s="79"/>
      <c r="M526" s="79"/>
      <c r="N526" s="74"/>
      <c r="O526" s="81" t="s">
        <v>179</v>
      </c>
      <c r="P526" s="83">
        <v>44461.0778587963</v>
      </c>
      <c r="Q526" s="81" t="s">
        <v>1744</v>
      </c>
      <c r="R526" s="81"/>
      <c r="S526" s="81"/>
      <c r="T526" s="81"/>
      <c r="U526" s="84" t="str">
        <f>HYPERLINK("https://pbs.twimg.com/media/E_2pKhvVQAAwIYD.jpg")</f>
        <v>https://pbs.twimg.com/media/E_2pKhvVQAAwIYD.jpg</v>
      </c>
      <c r="V526" s="84" t="str">
        <f>HYPERLINK("https://pbs.twimg.com/media/E_2pKhvVQAAwIYD.jpg")</f>
        <v>https://pbs.twimg.com/media/E_2pKhvVQAAwIYD.jpg</v>
      </c>
      <c r="W526" s="83">
        <v>44461.0778587963</v>
      </c>
      <c r="X526" s="89">
        <v>44461</v>
      </c>
      <c r="Y526" s="86" t="s">
        <v>3140</v>
      </c>
      <c r="Z526" s="84" t="str">
        <f>HYPERLINK("https://twitter.com/bcbanjarmasin_/status/1440494083084939264")</f>
        <v>https://twitter.com/bcbanjarmasin_/status/1440494083084939264</v>
      </c>
      <c r="AA526" s="81"/>
      <c r="AB526" s="81"/>
      <c r="AC526" s="86" t="s">
        <v>4602</v>
      </c>
      <c r="AD526" s="81"/>
      <c r="AE526" s="81" t="b">
        <v>0</v>
      </c>
      <c r="AF526" s="81">
        <v>1</v>
      </c>
      <c r="AG526" s="86" t="s">
        <v>6240</v>
      </c>
      <c r="AH526" s="81" t="b">
        <v>0</v>
      </c>
      <c r="AI526" s="81" t="s">
        <v>6478</v>
      </c>
      <c r="AJ526" s="81"/>
      <c r="AK526" s="86" t="s">
        <v>6240</v>
      </c>
      <c r="AL526" s="81" t="b">
        <v>0</v>
      </c>
      <c r="AM526" s="81">
        <v>0</v>
      </c>
      <c r="AN526" s="86" t="s">
        <v>6240</v>
      </c>
      <c r="AO526" s="86" t="s">
        <v>6507</v>
      </c>
      <c r="AP526" s="81" t="b">
        <v>0</v>
      </c>
      <c r="AQ526" s="86" t="s">
        <v>4602</v>
      </c>
      <c r="AR526" s="81" t="s">
        <v>179</v>
      </c>
      <c r="AS526" s="81">
        <v>0</v>
      </c>
      <c r="AT526" s="81">
        <v>0</v>
      </c>
      <c r="AU526" s="81"/>
      <c r="AV526" s="81"/>
      <c r="AW526" s="81"/>
      <c r="AX526" s="81"/>
      <c r="AY526" s="81"/>
      <c r="AZ526" s="81"/>
      <c r="BA526" s="81"/>
      <c r="BB526" s="81"/>
    </row>
    <row r="527" spans="1:54" x14ac:dyDescent="0.35">
      <c r="A527" s="66" t="s">
        <v>567</v>
      </c>
      <c r="B527" s="66" t="s">
        <v>1356</v>
      </c>
      <c r="C527" s="67"/>
      <c r="D527" s="68"/>
      <c r="E527" s="69"/>
      <c r="F527" s="70"/>
      <c r="G527" s="67"/>
      <c r="H527" s="71"/>
      <c r="I527" s="72"/>
      <c r="J527" s="72"/>
      <c r="K527" s="36"/>
      <c r="L527" s="79"/>
      <c r="M527" s="79"/>
      <c r="N527" s="74"/>
      <c r="O527" s="81" t="s">
        <v>1535</v>
      </c>
      <c r="P527" s="83">
        <v>44461.097384259258</v>
      </c>
      <c r="Q527" s="81" t="s">
        <v>1745</v>
      </c>
      <c r="R527" s="81"/>
      <c r="S527" s="81"/>
      <c r="T527" s="81"/>
      <c r="U527" s="81"/>
      <c r="V527" s="84" t="str">
        <f>HYPERLINK("https://pbs.twimg.com/profile_images/1346518820257636353/8HBT0lfC_normal.jpg")</f>
        <v>https://pbs.twimg.com/profile_images/1346518820257636353/8HBT0lfC_normal.jpg</v>
      </c>
      <c r="W527" s="83">
        <v>44461.097384259258</v>
      </c>
      <c r="X527" s="89">
        <v>44461</v>
      </c>
      <c r="Y527" s="86" t="s">
        <v>3141</v>
      </c>
      <c r="Z527" s="84" t="str">
        <f>HYPERLINK("https://twitter.com/kalokamubisa/status/1440501161044316165")</f>
        <v>https://twitter.com/kalokamubisa/status/1440501161044316165</v>
      </c>
      <c r="AA527" s="81"/>
      <c r="AB527" s="81"/>
      <c r="AC527" s="86" t="s">
        <v>4603</v>
      </c>
      <c r="AD527" s="86" t="s">
        <v>6057</v>
      </c>
      <c r="AE527" s="81" t="b">
        <v>0</v>
      </c>
      <c r="AF527" s="81">
        <v>0</v>
      </c>
      <c r="AG527" s="86" t="s">
        <v>6321</v>
      </c>
      <c r="AH527" s="81" t="b">
        <v>0</v>
      </c>
      <c r="AI527" s="81" t="s">
        <v>6478</v>
      </c>
      <c r="AJ527" s="81"/>
      <c r="AK527" s="86" t="s">
        <v>6240</v>
      </c>
      <c r="AL527" s="81" t="b">
        <v>0</v>
      </c>
      <c r="AM527" s="81">
        <v>0</v>
      </c>
      <c r="AN527" s="86" t="s">
        <v>6240</v>
      </c>
      <c r="AO527" s="86" t="s">
        <v>6503</v>
      </c>
      <c r="AP527" s="81" t="b">
        <v>0</v>
      </c>
      <c r="AQ527" s="86" t="s">
        <v>6057</v>
      </c>
      <c r="AR527" s="81" t="s">
        <v>179</v>
      </c>
      <c r="AS527" s="81">
        <v>0</v>
      </c>
      <c r="AT527" s="81">
        <v>0</v>
      </c>
      <c r="AU527" s="81"/>
      <c r="AV527" s="81"/>
      <c r="AW527" s="81"/>
      <c r="AX527" s="81"/>
      <c r="AY527" s="81"/>
      <c r="AZ527" s="81"/>
      <c r="BA527" s="81"/>
      <c r="BB527" s="81"/>
    </row>
    <row r="528" spans="1:54" x14ac:dyDescent="0.35">
      <c r="A528" s="66" t="s">
        <v>567</v>
      </c>
      <c r="B528" s="66" t="s">
        <v>1357</v>
      </c>
      <c r="C528" s="67"/>
      <c r="D528" s="68"/>
      <c r="E528" s="69"/>
      <c r="F528" s="70"/>
      <c r="G528" s="67"/>
      <c r="H528" s="71"/>
      <c r="I528" s="72"/>
      <c r="J528" s="72"/>
      <c r="K528" s="36"/>
      <c r="L528" s="79"/>
      <c r="M528" s="79"/>
      <c r="N528" s="74"/>
      <c r="O528" s="81" t="s">
        <v>1534</v>
      </c>
      <c r="P528" s="83">
        <v>44461.097384259258</v>
      </c>
      <c r="Q528" s="81" t="s">
        <v>1745</v>
      </c>
      <c r="R528" s="81"/>
      <c r="S528" s="81"/>
      <c r="T528" s="81"/>
      <c r="U528" s="81"/>
      <c r="V528" s="84" t="str">
        <f>HYPERLINK("https://pbs.twimg.com/profile_images/1346518820257636353/8HBT0lfC_normal.jpg")</f>
        <v>https://pbs.twimg.com/profile_images/1346518820257636353/8HBT0lfC_normal.jpg</v>
      </c>
      <c r="W528" s="83">
        <v>44461.097384259258</v>
      </c>
      <c r="X528" s="89">
        <v>44461</v>
      </c>
      <c r="Y528" s="86" t="s">
        <v>3141</v>
      </c>
      <c r="Z528" s="84" t="str">
        <f>HYPERLINK("https://twitter.com/kalokamubisa/status/1440501161044316165")</f>
        <v>https://twitter.com/kalokamubisa/status/1440501161044316165</v>
      </c>
      <c r="AA528" s="81"/>
      <c r="AB528" s="81"/>
      <c r="AC528" s="86" t="s">
        <v>4603</v>
      </c>
      <c r="AD528" s="86" t="s">
        <v>6057</v>
      </c>
      <c r="AE528" s="81" t="b">
        <v>0</v>
      </c>
      <c r="AF528" s="81">
        <v>0</v>
      </c>
      <c r="AG528" s="86" t="s">
        <v>6321</v>
      </c>
      <c r="AH528" s="81" t="b">
        <v>0</v>
      </c>
      <c r="AI528" s="81" t="s">
        <v>6478</v>
      </c>
      <c r="AJ528" s="81"/>
      <c r="AK528" s="86" t="s">
        <v>6240</v>
      </c>
      <c r="AL528" s="81" t="b">
        <v>0</v>
      </c>
      <c r="AM528" s="81">
        <v>0</v>
      </c>
      <c r="AN528" s="86" t="s">
        <v>6240</v>
      </c>
      <c r="AO528" s="86" t="s">
        <v>6503</v>
      </c>
      <c r="AP528" s="81" t="b">
        <v>0</v>
      </c>
      <c r="AQ528" s="86" t="s">
        <v>6057</v>
      </c>
      <c r="AR528" s="81" t="s">
        <v>179</v>
      </c>
      <c r="AS528" s="81">
        <v>0</v>
      </c>
      <c r="AT528" s="81">
        <v>0</v>
      </c>
      <c r="AU528" s="81"/>
      <c r="AV528" s="81"/>
      <c r="AW528" s="81"/>
      <c r="AX528" s="81"/>
      <c r="AY528" s="81"/>
      <c r="AZ528" s="81"/>
      <c r="BA528" s="81"/>
      <c r="BB528" s="81"/>
    </row>
    <row r="529" spans="1:54" x14ac:dyDescent="0.35">
      <c r="A529" s="66" t="s">
        <v>568</v>
      </c>
      <c r="B529" s="66" t="s">
        <v>1358</v>
      </c>
      <c r="C529" s="67"/>
      <c r="D529" s="68"/>
      <c r="E529" s="69"/>
      <c r="F529" s="70"/>
      <c r="G529" s="67"/>
      <c r="H529" s="71"/>
      <c r="I529" s="72"/>
      <c r="J529" s="72"/>
      <c r="K529" s="36"/>
      <c r="L529" s="79"/>
      <c r="M529" s="79"/>
      <c r="N529" s="74"/>
      <c r="O529" s="81" t="s">
        <v>1534</v>
      </c>
      <c r="P529" s="83">
        <v>44461.121666666666</v>
      </c>
      <c r="Q529" s="81" t="s">
        <v>1746</v>
      </c>
      <c r="R529" s="81"/>
      <c r="S529" s="81"/>
      <c r="T529" s="81"/>
      <c r="U529" s="81"/>
      <c r="V529" s="84" t="str">
        <f>HYPERLINK("https://pbs.twimg.com/profile_images/1415543234462248961/EAK03z4Z_normal.jpg")</f>
        <v>https://pbs.twimg.com/profile_images/1415543234462248961/EAK03z4Z_normal.jpg</v>
      </c>
      <c r="W529" s="83">
        <v>44461.121666666666</v>
      </c>
      <c r="X529" s="89">
        <v>44461</v>
      </c>
      <c r="Y529" s="86" t="s">
        <v>3142</v>
      </c>
      <c r="Z529" s="84" t="str">
        <f>HYPERLINK("https://twitter.com/awwbubuu/status/1440509958462656513")</f>
        <v>https://twitter.com/awwbubuu/status/1440509958462656513</v>
      </c>
      <c r="AA529" s="81"/>
      <c r="AB529" s="81"/>
      <c r="AC529" s="86" t="s">
        <v>4604</v>
      </c>
      <c r="AD529" s="86" t="s">
        <v>6058</v>
      </c>
      <c r="AE529" s="81" t="b">
        <v>0</v>
      </c>
      <c r="AF529" s="81">
        <v>0</v>
      </c>
      <c r="AG529" s="86" t="s">
        <v>6322</v>
      </c>
      <c r="AH529" s="81" t="b">
        <v>0</v>
      </c>
      <c r="AI529" s="81" t="s">
        <v>6478</v>
      </c>
      <c r="AJ529" s="81"/>
      <c r="AK529" s="86" t="s">
        <v>6240</v>
      </c>
      <c r="AL529" s="81" t="b">
        <v>0</v>
      </c>
      <c r="AM529" s="81">
        <v>0</v>
      </c>
      <c r="AN529" s="86" t="s">
        <v>6240</v>
      </c>
      <c r="AO529" s="86" t="s">
        <v>6503</v>
      </c>
      <c r="AP529" s="81" t="b">
        <v>0</v>
      </c>
      <c r="AQ529" s="86" t="s">
        <v>6058</v>
      </c>
      <c r="AR529" s="81" t="s">
        <v>179</v>
      </c>
      <c r="AS529" s="81">
        <v>0</v>
      </c>
      <c r="AT529" s="81">
        <v>0</v>
      </c>
      <c r="AU529" s="81"/>
      <c r="AV529" s="81"/>
      <c r="AW529" s="81"/>
      <c r="AX529" s="81"/>
      <c r="AY529" s="81"/>
      <c r="AZ529" s="81"/>
      <c r="BA529" s="81"/>
      <c r="BB529" s="81"/>
    </row>
    <row r="530" spans="1:54" x14ac:dyDescent="0.35">
      <c r="A530" s="66" t="s">
        <v>569</v>
      </c>
      <c r="B530" s="66" t="s">
        <v>569</v>
      </c>
      <c r="C530" s="67"/>
      <c r="D530" s="68"/>
      <c r="E530" s="69"/>
      <c r="F530" s="70"/>
      <c r="G530" s="67"/>
      <c r="H530" s="71"/>
      <c r="I530" s="72"/>
      <c r="J530" s="72"/>
      <c r="K530" s="36"/>
      <c r="L530" s="79"/>
      <c r="M530" s="79"/>
      <c r="N530" s="74"/>
      <c r="O530" s="81" t="s">
        <v>179</v>
      </c>
      <c r="P530" s="83">
        <v>44461.122800925928</v>
      </c>
      <c r="Q530" s="81" t="s">
        <v>1747</v>
      </c>
      <c r="R530" s="81"/>
      <c r="S530" s="81"/>
      <c r="T530" s="81"/>
      <c r="U530" s="81"/>
      <c r="V530" s="84" t="str">
        <f>HYPERLINK("https://pbs.twimg.com/profile_images/1398648102588801028/pv-PdBIf_normal.jpg")</f>
        <v>https://pbs.twimg.com/profile_images/1398648102588801028/pv-PdBIf_normal.jpg</v>
      </c>
      <c r="W530" s="83">
        <v>44461.122800925928</v>
      </c>
      <c r="X530" s="89">
        <v>44461</v>
      </c>
      <c r="Y530" s="86" t="s">
        <v>3143</v>
      </c>
      <c r="Z530" s="84" t="str">
        <f>HYPERLINK("https://twitter.com/marlyanamn/status/1440510372331487233")</f>
        <v>https://twitter.com/marlyanamn/status/1440510372331487233</v>
      </c>
      <c r="AA530" s="81"/>
      <c r="AB530" s="81"/>
      <c r="AC530" s="86" t="s">
        <v>4605</v>
      </c>
      <c r="AD530" s="86" t="s">
        <v>6059</v>
      </c>
      <c r="AE530" s="81" t="b">
        <v>0</v>
      </c>
      <c r="AF530" s="81">
        <v>0</v>
      </c>
      <c r="AG530" s="86" t="s">
        <v>6323</v>
      </c>
      <c r="AH530" s="81" t="b">
        <v>0</v>
      </c>
      <c r="AI530" s="81" t="s">
        <v>6478</v>
      </c>
      <c r="AJ530" s="81"/>
      <c r="AK530" s="86" t="s">
        <v>6240</v>
      </c>
      <c r="AL530" s="81" t="b">
        <v>0</v>
      </c>
      <c r="AM530" s="81">
        <v>0</v>
      </c>
      <c r="AN530" s="86" t="s">
        <v>6240</v>
      </c>
      <c r="AO530" s="86" t="s">
        <v>6505</v>
      </c>
      <c r="AP530" s="81" t="b">
        <v>0</v>
      </c>
      <c r="AQ530" s="86" t="s">
        <v>6059</v>
      </c>
      <c r="AR530" s="81" t="s">
        <v>179</v>
      </c>
      <c r="AS530" s="81">
        <v>0</v>
      </c>
      <c r="AT530" s="81">
        <v>0</v>
      </c>
      <c r="AU530" s="81"/>
      <c r="AV530" s="81"/>
      <c r="AW530" s="81"/>
      <c r="AX530" s="81"/>
      <c r="AY530" s="81"/>
      <c r="AZ530" s="81"/>
      <c r="BA530" s="81"/>
      <c r="BB530" s="81"/>
    </row>
    <row r="531" spans="1:54" x14ac:dyDescent="0.35">
      <c r="A531" s="66" t="s">
        <v>570</v>
      </c>
      <c r="B531" s="66" t="s">
        <v>1355</v>
      </c>
      <c r="C531" s="67"/>
      <c r="D531" s="68"/>
      <c r="E531" s="69"/>
      <c r="F531" s="70"/>
      <c r="G531" s="67"/>
      <c r="H531" s="71"/>
      <c r="I531" s="72"/>
      <c r="J531" s="72"/>
      <c r="K531" s="36"/>
      <c r="L531" s="79"/>
      <c r="M531" s="79"/>
      <c r="N531" s="74"/>
      <c r="O531" s="81" t="s">
        <v>1534</v>
      </c>
      <c r="P531" s="83">
        <v>44461.132673611108</v>
      </c>
      <c r="Q531" s="81" t="s">
        <v>1748</v>
      </c>
      <c r="R531" s="81"/>
      <c r="S531" s="81"/>
      <c r="T531" s="81"/>
      <c r="U531" s="81"/>
      <c r="V531" s="84" t="str">
        <f>HYPERLINK("https://pbs.twimg.com/profile_images/1441064834754179072/VnXcxZuJ_normal.jpg")</f>
        <v>https://pbs.twimg.com/profile_images/1441064834754179072/VnXcxZuJ_normal.jpg</v>
      </c>
      <c r="W531" s="83">
        <v>44461.132673611108</v>
      </c>
      <c r="X531" s="89">
        <v>44461</v>
      </c>
      <c r="Y531" s="86" t="s">
        <v>3144</v>
      </c>
      <c r="Z531" s="84" t="str">
        <f>HYPERLINK("https://twitter.com/sayangtravis/status/1440513947124203526")</f>
        <v>https://twitter.com/sayangtravis/status/1440513947124203526</v>
      </c>
      <c r="AA531" s="81"/>
      <c r="AB531" s="81"/>
      <c r="AC531" s="86" t="s">
        <v>4606</v>
      </c>
      <c r="AD531" s="86" t="s">
        <v>6060</v>
      </c>
      <c r="AE531" s="81" t="b">
        <v>0</v>
      </c>
      <c r="AF531" s="81">
        <v>0</v>
      </c>
      <c r="AG531" s="86" t="s">
        <v>6324</v>
      </c>
      <c r="AH531" s="81" t="b">
        <v>0</v>
      </c>
      <c r="AI531" s="81" t="s">
        <v>6478</v>
      </c>
      <c r="AJ531" s="81"/>
      <c r="AK531" s="86" t="s">
        <v>6240</v>
      </c>
      <c r="AL531" s="81" t="b">
        <v>0</v>
      </c>
      <c r="AM531" s="81">
        <v>0</v>
      </c>
      <c r="AN531" s="86" t="s">
        <v>6240</v>
      </c>
      <c r="AO531" s="86" t="s">
        <v>6505</v>
      </c>
      <c r="AP531" s="81" t="b">
        <v>0</v>
      </c>
      <c r="AQ531" s="86" t="s">
        <v>6060</v>
      </c>
      <c r="AR531" s="81" t="s">
        <v>179</v>
      </c>
      <c r="AS531" s="81">
        <v>0</v>
      </c>
      <c r="AT531" s="81">
        <v>0</v>
      </c>
      <c r="AU531" s="81"/>
      <c r="AV531" s="81"/>
      <c r="AW531" s="81"/>
      <c r="AX531" s="81"/>
      <c r="AY531" s="81"/>
      <c r="AZ531" s="81"/>
      <c r="BA531" s="81"/>
      <c r="BB531" s="81"/>
    </row>
    <row r="532" spans="1:54" x14ac:dyDescent="0.35">
      <c r="A532" s="66" t="s">
        <v>571</v>
      </c>
      <c r="B532" s="66" t="s">
        <v>571</v>
      </c>
      <c r="C532" s="67"/>
      <c r="D532" s="68"/>
      <c r="E532" s="69"/>
      <c r="F532" s="70"/>
      <c r="G532" s="67"/>
      <c r="H532" s="71"/>
      <c r="I532" s="72"/>
      <c r="J532" s="72"/>
      <c r="K532" s="36"/>
      <c r="L532" s="79"/>
      <c r="M532" s="79"/>
      <c r="N532" s="74"/>
      <c r="O532" s="81" t="s">
        <v>179</v>
      </c>
      <c r="P532" s="83">
        <v>44461.139305555553</v>
      </c>
      <c r="Q532" s="81" t="s">
        <v>1749</v>
      </c>
      <c r="R532" s="81"/>
      <c r="S532" s="81"/>
      <c r="T532" s="81"/>
      <c r="U532" s="81"/>
      <c r="V532" s="84" t="str">
        <f>HYPERLINK("https://pbs.twimg.com/profile_images/1293454066266386432/0sITGlxY_normal.jpg")</f>
        <v>https://pbs.twimg.com/profile_images/1293454066266386432/0sITGlxY_normal.jpg</v>
      </c>
      <c r="W532" s="83">
        <v>44461.139305555553</v>
      </c>
      <c r="X532" s="89">
        <v>44461</v>
      </c>
      <c r="Y532" s="86" t="s">
        <v>3145</v>
      </c>
      <c r="Z532" s="84" t="str">
        <f>HYPERLINK("https://twitter.com/ohmasgoff/status/1440516351869665282")</f>
        <v>https://twitter.com/ohmasgoff/status/1440516351869665282</v>
      </c>
      <c r="AA532" s="81"/>
      <c r="AB532" s="81"/>
      <c r="AC532" s="86" t="s">
        <v>4607</v>
      </c>
      <c r="AD532" s="81"/>
      <c r="AE532" s="81" t="b">
        <v>0</v>
      </c>
      <c r="AF532" s="81">
        <v>0</v>
      </c>
      <c r="AG532" s="86" t="s">
        <v>6240</v>
      </c>
      <c r="AH532" s="81" t="b">
        <v>0</v>
      </c>
      <c r="AI532" s="81" t="s">
        <v>6478</v>
      </c>
      <c r="AJ532" s="81"/>
      <c r="AK532" s="86" t="s">
        <v>6240</v>
      </c>
      <c r="AL532" s="81" t="b">
        <v>0</v>
      </c>
      <c r="AM532" s="81">
        <v>0</v>
      </c>
      <c r="AN532" s="86" t="s">
        <v>6240</v>
      </c>
      <c r="AO532" s="86" t="s">
        <v>6503</v>
      </c>
      <c r="AP532" s="81" t="b">
        <v>0</v>
      </c>
      <c r="AQ532" s="86" t="s">
        <v>4607</v>
      </c>
      <c r="AR532" s="81" t="s">
        <v>179</v>
      </c>
      <c r="AS532" s="81">
        <v>0</v>
      </c>
      <c r="AT532" s="81">
        <v>0</v>
      </c>
      <c r="AU532" s="81"/>
      <c r="AV532" s="81"/>
      <c r="AW532" s="81"/>
      <c r="AX532" s="81"/>
      <c r="AY532" s="81"/>
      <c r="AZ532" s="81"/>
      <c r="BA532" s="81"/>
      <c r="BB532" s="81"/>
    </row>
    <row r="533" spans="1:54" x14ac:dyDescent="0.35">
      <c r="A533" s="66" t="s">
        <v>572</v>
      </c>
      <c r="B533" s="66" t="s">
        <v>1344</v>
      </c>
      <c r="C533" s="67"/>
      <c r="D533" s="68"/>
      <c r="E533" s="69"/>
      <c r="F533" s="70"/>
      <c r="G533" s="67"/>
      <c r="H533" s="71"/>
      <c r="I533" s="72"/>
      <c r="J533" s="72"/>
      <c r="K533" s="36"/>
      <c r="L533" s="79"/>
      <c r="M533" s="79"/>
      <c r="N533" s="74"/>
      <c r="O533" s="81" t="s">
        <v>1534</v>
      </c>
      <c r="P533" s="83">
        <v>44461.14607638889</v>
      </c>
      <c r="Q533" s="81" t="s">
        <v>1750</v>
      </c>
      <c r="R533" s="81"/>
      <c r="S533" s="81"/>
      <c r="T533" s="81"/>
      <c r="U533" s="81"/>
      <c r="V533" s="84" t="str">
        <f>HYPERLINK("https://pbs.twimg.com/profile_images/1441283441299898373/rX6KTTCz_normal.jpg")</f>
        <v>https://pbs.twimg.com/profile_images/1441283441299898373/rX6KTTCz_normal.jpg</v>
      </c>
      <c r="W533" s="83">
        <v>44461.14607638889</v>
      </c>
      <c r="X533" s="89">
        <v>44461</v>
      </c>
      <c r="Y533" s="86" t="s">
        <v>3146</v>
      </c>
      <c r="Z533" s="84" t="str">
        <f>HYPERLINK("https://twitter.com/milkeuta/status/1440518805067685895")</f>
        <v>https://twitter.com/milkeuta/status/1440518805067685895</v>
      </c>
      <c r="AA533" s="81"/>
      <c r="AB533" s="81"/>
      <c r="AC533" s="86" t="s">
        <v>4608</v>
      </c>
      <c r="AD533" s="86" t="s">
        <v>6061</v>
      </c>
      <c r="AE533" s="81" t="b">
        <v>0</v>
      </c>
      <c r="AF533" s="81">
        <v>0</v>
      </c>
      <c r="AG533" s="86" t="s">
        <v>6305</v>
      </c>
      <c r="AH533" s="81" t="b">
        <v>0</v>
      </c>
      <c r="AI533" s="81" t="s">
        <v>6478</v>
      </c>
      <c r="AJ533" s="81"/>
      <c r="AK533" s="86" t="s">
        <v>6240</v>
      </c>
      <c r="AL533" s="81" t="b">
        <v>0</v>
      </c>
      <c r="AM533" s="81">
        <v>0</v>
      </c>
      <c r="AN533" s="86" t="s">
        <v>6240</v>
      </c>
      <c r="AO533" s="86" t="s">
        <v>6503</v>
      </c>
      <c r="AP533" s="81" t="b">
        <v>0</v>
      </c>
      <c r="AQ533" s="86" t="s">
        <v>6061</v>
      </c>
      <c r="AR533" s="81" t="s">
        <v>179</v>
      </c>
      <c r="AS533" s="81">
        <v>0</v>
      </c>
      <c r="AT533" s="81">
        <v>0</v>
      </c>
      <c r="AU533" s="81"/>
      <c r="AV533" s="81"/>
      <c r="AW533" s="81"/>
      <c r="AX533" s="81"/>
      <c r="AY533" s="81"/>
      <c r="AZ533" s="81"/>
      <c r="BA533" s="81"/>
      <c r="BB533" s="81"/>
    </row>
    <row r="534" spans="1:54" x14ac:dyDescent="0.35">
      <c r="A534" s="66" t="s">
        <v>573</v>
      </c>
      <c r="B534" s="66" t="s">
        <v>1359</v>
      </c>
      <c r="C534" s="67"/>
      <c r="D534" s="68"/>
      <c r="E534" s="69"/>
      <c r="F534" s="70"/>
      <c r="G534" s="67"/>
      <c r="H534" s="71"/>
      <c r="I534" s="72"/>
      <c r="J534" s="72"/>
      <c r="K534" s="36"/>
      <c r="L534" s="79"/>
      <c r="M534" s="79"/>
      <c r="N534" s="74"/>
      <c r="O534" s="81" t="s">
        <v>1534</v>
      </c>
      <c r="P534" s="83">
        <v>44461.157766203702</v>
      </c>
      <c r="Q534" s="81" t="s">
        <v>1751</v>
      </c>
      <c r="R534" s="81"/>
      <c r="S534" s="81"/>
      <c r="T534" s="81"/>
      <c r="U534" s="81"/>
      <c r="V534" s="84" t="str">
        <f>HYPERLINK("https://pbs.twimg.com/profile_images/1419256068945825792/No7oiBdK_normal.jpg")</f>
        <v>https://pbs.twimg.com/profile_images/1419256068945825792/No7oiBdK_normal.jpg</v>
      </c>
      <c r="W534" s="83">
        <v>44461.157766203702</v>
      </c>
      <c r="X534" s="89">
        <v>44461</v>
      </c>
      <c r="Y534" s="86" t="s">
        <v>3147</v>
      </c>
      <c r="Z534" s="84" t="str">
        <f>HYPERLINK("https://twitter.com/adityaraa27/status/1440523042262634504")</f>
        <v>https://twitter.com/adityaraa27/status/1440523042262634504</v>
      </c>
      <c r="AA534" s="81"/>
      <c r="AB534" s="81"/>
      <c r="AC534" s="86" t="s">
        <v>4609</v>
      </c>
      <c r="AD534" s="86" t="s">
        <v>6062</v>
      </c>
      <c r="AE534" s="81" t="b">
        <v>0</v>
      </c>
      <c r="AF534" s="81">
        <v>0</v>
      </c>
      <c r="AG534" s="86" t="s">
        <v>6325</v>
      </c>
      <c r="AH534" s="81" t="b">
        <v>0</v>
      </c>
      <c r="AI534" s="81" t="s">
        <v>6478</v>
      </c>
      <c r="AJ534" s="81"/>
      <c r="AK534" s="86" t="s">
        <v>6240</v>
      </c>
      <c r="AL534" s="81" t="b">
        <v>0</v>
      </c>
      <c r="AM534" s="81">
        <v>0</v>
      </c>
      <c r="AN534" s="86" t="s">
        <v>6240</v>
      </c>
      <c r="AO534" s="86" t="s">
        <v>6503</v>
      </c>
      <c r="AP534" s="81" t="b">
        <v>0</v>
      </c>
      <c r="AQ534" s="86" t="s">
        <v>6062</v>
      </c>
      <c r="AR534" s="81" t="s">
        <v>179</v>
      </c>
      <c r="AS534" s="81">
        <v>0</v>
      </c>
      <c r="AT534" s="81">
        <v>0</v>
      </c>
      <c r="AU534" s="81"/>
      <c r="AV534" s="81"/>
      <c r="AW534" s="81"/>
      <c r="AX534" s="81"/>
      <c r="AY534" s="81"/>
      <c r="AZ534" s="81"/>
      <c r="BA534" s="81"/>
      <c r="BB534" s="81"/>
    </row>
    <row r="535" spans="1:54" x14ac:dyDescent="0.35">
      <c r="A535" s="66" t="s">
        <v>574</v>
      </c>
      <c r="B535" s="66" t="s">
        <v>1360</v>
      </c>
      <c r="C535" s="67"/>
      <c r="D535" s="68"/>
      <c r="E535" s="69"/>
      <c r="F535" s="70"/>
      <c r="G535" s="67"/>
      <c r="H535" s="71"/>
      <c r="I535" s="72"/>
      <c r="J535" s="72"/>
      <c r="K535" s="36"/>
      <c r="L535" s="79"/>
      <c r="M535" s="79"/>
      <c r="N535" s="74"/>
      <c r="O535" s="81" t="s">
        <v>1534</v>
      </c>
      <c r="P535" s="83">
        <v>44461.251574074071</v>
      </c>
      <c r="Q535" s="81" t="s">
        <v>1752</v>
      </c>
      <c r="R535" s="81"/>
      <c r="S535" s="81"/>
      <c r="T535" s="81"/>
      <c r="U535" s="81"/>
      <c r="V535" s="84" t="str">
        <f>HYPERLINK("https://pbs.twimg.com/profile_images/1439614657644302340/zuSv9_3f_normal.jpg")</f>
        <v>https://pbs.twimg.com/profile_images/1439614657644302340/zuSv9_3f_normal.jpg</v>
      </c>
      <c r="W535" s="83">
        <v>44461.251574074071</v>
      </c>
      <c r="X535" s="89">
        <v>44461</v>
      </c>
      <c r="Y535" s="86" t="s">
        <v>3148</v>
      </c>
      <c r="Z535" s="84" t="str">
        <f>HYPERLINK("https://twitter.com/itzelworid/status/1440557036995964930")</f>
        <v>https://twitter.com/itzelworid/status/1440557036995964930</v>
      </c>
      <c r="AA535" s="81"/>
      <c r="AB535" s="81"/>
      <c r="AC535" s="86" t="s">
        <v>4610</v>
      </c>
      <c r="AD535" s="86" t="s">
        <v>6063</v>
      </c>
      <c r="AE535" s="81" t="b">
        <v>0</v>
      </c>
      <c r="AF535" s="81">
        <v>0</v>
      </c>
      <c r="AG535" s="86" t="s">
        <v>6326</v>
      </c>
      <c r="AH535" s="81" t="b">
        <v>0</v>
      </c>
      <c r="AI535" s="81" t="s">
        <v>6478</v>
      </c>
      <c r="AJ535" s="81"/>
      <c r="AK535" s="86" t="s">
        <v>6240</v>
      </c>
      <c r="AL535" s="81" t="b">
        <v>0</v>
      </c>
      <c r="AM535" s="81">
        <v>0</v>
      </c>
      <c r="AN535" s="86" t="s">
        <v>6240</v>
      </c>
      <c r="AO535" s="86" t="s">
        <v>6503</v>
      </c>
      <c r="AP535" s="81" t="b">
        <v>0</v>
      </c>
      <c r="AQ535" s="86" t="s">
        <v>6063</v>
      </c>
      <c r="AR535" s="81" t="s">
        <v>179</v>
      </c>
      <c r="AS535" s="81">
        <v>0</v>
      </c>
      <c r="AT535" s="81">
        <v>0</v>
      </c>
      <c r="AU535" s="81"/>
      <c r="AV535" s="81"/>
      <c r="AW535" s="81"/>
      <c r="AX535" s="81"/>
      <c r="AY535" s="81"/>
      <c r="AZ535" s="81"/>
      <c r="BA535" s="81"/>
      <c r="BB535" s="81"/>
    </row>
    <row r="536" spans="1:54" x14ac:dyDescent="0.35">
      <c r="A536" s="66" t="s">
        <v>575</v>
      </c>
      <c r="B536" s="66" t="s">
        <v>1361</v>
      </c>
      <c r="C536" s="67"/>
      <c r="D536" s="68"/>
      <c r="E536" s="69"/>
      <c r="F536" s="70"/>
      <c r="G536" s="67"/>
      <c r="H536" s="71"/>
      <c r="I536" s="72"/>
      <c r="J536" s="72"/>
      <c r="K536" s="36"/>
      <c r="L536" s="79"/>
      <c r="M536" s="79"/>
      <c r="N536" s="74"/>
      <c r="O536" s="81" t="s">
        <v>1534</v>
      </c>
      <c r="P536" s="83">
        <v>44461.258587962962</v>
      </c>
      <c r="Q536" s="81" t="s">
        <v>1753</v>
      </c>
      <c r="R536" s="81"/>
      <c r="S536" s="81"/>
      <c r="T536" s="81"/>
      <c r="U536" s="81"/>
      <c r="V536" s="84" t="str">
        <f>HYPERLINK("https://pbs.twimg.com/profile_images/515954317602217985/ibhCnnwC_normal.jpeg")</f>
        <v>https://pbs.twimg.com/profile_images/515954317602217985/ibhCnnwC_normal.jpeg</v>
      </c>
      <c r="W536" s="83">
        <v>44461.258587962962</v>
      </c>
      <c r="X536" s="89">
        <v>44461</v>
      </c>
      <c r="Y536" s="86" t="s">
        <v>3149</v>
      </c>
      <c r="Z536" s="84" t="str">
        <f>HYPERLINK("https://twitter.com/atshushichun/status/1440559580509925379")</f>
        <v>https://twitter.com/atshushichun/status/1440559580509925379</v>
      </c>
      <c r="AA536" s="81"/>
      <c r="AB536" s="81"/>
      <c r="AC536" s="86" t="s">
        <v>4611</v>
      </c>
      <c r="AD536" s="86" t="s">
        <v>6064</v>
      </c>
      <c r="AE536" s="81" t="b">
        <v>0</v>
      </c>
      <c r="AF536" s="81">
        <v>0</v>
      </c>
      <c r="AG536" s="86" t="s">
        <v>6327</v>
      </c>
      <c r="AH536" s="81" t="b">
        <v>0</v>
      </c>
      <c r="AI536" s="81" t="s">
        <v>6478</v>
      </c>
      <c r="AJ536" s="81"/>
      <c r="AK536" s="86" t="s">
        <v>6240</v>
      </c>
      <c r="AL536" s="81" t="b">
        <v>0</v>
      </c>
      <c r="AM536" s="81">
        <v>0</v>
      </c>
      <c r="AN536" s="86" t="s">
        <v>6240</v>
      </c>
      <c r="AO536" s="86" t="s">
        <v>6507</v>
      </c>
      <c r="AP536" s="81" t="b">
        <v>0</v>
      </c>
      <c r="AQ536" s="86" t="s">
        <v>6064</v>
      </c>
      <c r="AR536" s="81" t="s">
        <v>179</v>
      </c>
      <c r="AS536" s="81">
        <v>0</v>
      </c>
      <c r="AT536" s="81">
        <v>0</v>
      </c>
      <c r="AU536" s="81"/>
      <c r="AV536" s="81"/>
      <c r="AW536" s="81"/>
      <c r="AX536" s="81"/>
      <c r="AY536" s="81"/>
      <c r="AZ536" s="81"/>
      <c r="BA536" s="81"/>
      <c r="BB536" s="81"/>
    </row>
    <row r="537" spans="1:54" x14ac:dyDescent="0.35">
      <c r="A537" s="66" t="s">
        <v>576</v>
      </c>
      <c r="B537" s="66" t="s">
        <v>576</v>
      </c>
      <c r="C537" s="67"/>
      <c r="D537" s="68"/>
      <c r="E537" s="69"/>
      <c r="F537" s="70"/>
      <c r="G537" s="67"/>
      <c r="H537" s="71"/>
      <c r="I537" s="72"/>
      <c r="J537" s="72"/>
      <c r="K537" s="36"/>
      <c r="L537" s="79"/>
      <c r="M537" s="79"/>
      <c r="N537" s="74"/>
      <c r="O537" s="81" t="s">
        <v>179</v>
      </c>
      <c r="P537" s="83">
        <v>44461.287858796299</v>
      </c>
      <c r="Q537" s="81" t="s">
        <v>1754</v>
      </c>
      <c r="R537" s="81"/>
      <c r="S537" s="81"/>
      <c r="T537" s="81"/>
      <c r="U537" s="84" t="str">
        <f>HYPERLINK("https://pbs.twimg.com/ext_tw_video_thumb/1440569883511558152/pu/img/yc1a6YXJhTJ_jTOq.jpg")</f>
        <v>https://pbs.twimg.com/ext_tw_video_thumb/1440569883511558152/pu/img/yc1a6YXJhTJ_jTOq.jpg</v>
      </c>
      <c r="V537" s="84" t="str">
        <f>HYPERLINK("https://pbs.twimg.com/ext_tw_video_thumb/1440569883511558152/pu/img/yc1a6YXJhTJ_jTOq.jpg")</f>
        <v>https://pbs.twimg.com/ext_tw_video_thumb/1440569883511558152/pu/img/yc1a6YXJhTJ_jTOq.jpg</v>
      </c>
      <c r="W537" s="83">
        <v>44461.287858796299</v>
      </c>
      <c r="X537" s="89">
        <v>44461</v>
      </c>
      <c r="Y537" s="86" t="s">
        <v>3150</v>
      </c>
      <c r="Z537" s="84" t="str">
        <f>HYPERLINK("https://twitter.com/gopinda901/status/1440570185971236872")</f>
        <v>https://twitter.com/gopinda901/status/1440570185971236872</v>
      </c>
      <c r="AA537" s="81"/>
      <c r="AB537" s="81"/>
      <c r="AC537" s="86" t="s">
        <v>4612</v>
      </c>
      <c r="AD537" s="81"/>
      <c r="AE537" s="81" t="b">
        <v>0</v>
      </c>
      <c r="AF537" s="81">
        <v>1</v>
      </c>
      <c r="AG537" s="86" t="s">
        <v>6240</v>
      </c>
      <c r="AH537" s="81" t="b">
        <v>0</v>
      </c>
      <c r="AI537" s="81" t="s">
        <v>6478</v>
      </c>
      <c r="AJ537" s="81"/>
      <c r="AK537" s="86" t="s">
        <v>6240</v>
      </c>
      <c r="AL537" s="81" t="b">
        <v>0</v>
      </c>
      <c r="AM537" s="81">
        <v>0</v>
      </c>
      <c r="AN537" s="86" t="s">
        <v>6240</v>
      </c>
      <c r="AO537" s="86" t="s">
        <v>6503</v>
      </c>
      <c r="AP537" s="81" t="b">
        <v>0</v>
      </c>
      <c r="AQ537" s="86" t="s">
        <v>4612</v>
      </c>
      <c r="AR537" s="81" t="s">
        <v>179</v>
      </c>
      <c r="AS537" s="81">
        <v>0</v>
      </c>
      <c r="AT537" s="81">
        <v>0</v>
      </c>
      <c r="AU537" s="81"/>
      <c r="AV537" s="81"/>
      <c r="AW537" s="81"/>
      <c r="AX537" s="81"/>
      <c r="AY537" s="81"/>
      <c r="AZ537" s="81"/>
      <c r="BA537" s="81"/>
      <c r="BB537" s="81"/>
    </row>
    <row r="538" spans="1:54" x14ac:dyDescent="0.35">
      <c r="A538" s="66" t="s">
        <v>577</v>
      </c>
      <c r="B538" s="66" t="s">
        <v>1247</v>
      </c>
      <c r="C538" s="67"/>
      <c r="D538" s="68"/>
      <c r="E538" s="69"/>
      <c r="F538" s="70"/>
      <c r="G538" s="67"/>
      <c r="H538" s="71"/>
      <c r="I538" s="72"/>
      <c r="J538" s="72"/>
      <c r="K538" s="36"/>
      <c r="L538" s="79"/>
      <c r="M538" s="79"/>
      <c r="N538" s="74"/>
      <c r="O538" s="81" t="s">
        <v>1532</v>
      </c>
      <c r="P538" s="83">
        <v>44459.486041666663</v>
      </c>
      <c r="Q538" s="81" t="s">
        <v>1650</v>
      </c>
      <c r="R538" s="81"/>
      <c r="S538" s="81"/>
      <c r="T538" s="86" t="s">
        <v>2667</v>
      </c>
      <c r="U538" s="84" t="str">
        <f>HYPERLINK("https://pbs.twimg.com/media/E_ubZIHUYAESLiB.jpg")</f>
        <v>https://pbs.twimg.com/media/E_ubZIHUYAESLiB.jpg</v>
      </c>
      <c r="V538" s="84" t="str">
        <f>HYPERLINK("https://pbs.twimg.com/media/E_ubZIHUYAESLiB.jpg")</f>
        <v>https://pbs.twimg.com/media/E_ubZIHUYAESLiB.jpg</v>
      </c>
      <c r="W538" s="83">
        <v>44459.486041666663</v>
      </c>
      <c r="X538" s="89">
        <v>44459</v>
      </c>
      <c r="Y538" s="86" t="s">
        <v>3151</v>
      </c>
      <c r="Z538" s="84" t="str">
        <f>HYPERLINK("https://twitter.com/crossvinee/status/1439917230318239744")</f>
        <v>https://twitter.com/crossvinee/status/1439917230318239744</v>
      </c>
      <c r="AA538" s="81"/>
      <c r="AB538" s="81"/>
      <c r="AC538" s="86" t="s">
        <v>4613</v>
      </c>
      <c r="AD538" s="81"/>
      <c r="AE538" s="81" t="b">
        <v>0</v>
      </c>
      <c r="AF538" s="81">
        <v>0</v>
      </c>
      <c r="AG538" s="86" t="s">
        <v>6240</v>
      </c>
      <c r="AH538" s="81" t="b">
        <v>0</v>
      </c>
      <c r="AI538" s="81" t="s">
        <v>6479</v>
      </c>
      <c r="AJ538" s="81"/>
      <c r="AK538" s="86" t="s">
        <v>6240</v>
      </c>
      <c r="AL538" s="81" t="b">
        <v>0</v>
      </c>
      <c r="AM538" s="81">
        <v>27</v>
      </c>
      <c r="AN538" s="86" t="s">
        <v>5503</v>
      </c>
      <c r="AO538" s="86" t="s">
        <v>6503</v>
      </c>
      <c r="AP538" s="81" t="b">
        <v>0</v>
      </c>
      <c r="AQ538" s="86" t="s">
        <v>5503</v>
      </c>
      <c r="AR538" s="81" t="s">
        <v>179</v>
      </c>
      <c r="AS538" s="81">
        <v>0</v>
      </c>
      <c r="AT538" s="81">
        <v>0</v>
      </c>
      <c r="AU538" s="81"/>
      <c r="AV538" s="81"/>
      <c r="AW538" s="81"/>
      <c r="AX538" s="81"/>
      <c r="AY538" s="81"/>
      <c r="AZ538" s="81"/>
      <c r="BA538" s="81"/>
      <c r="BB538" s="81"/>
    </row>
    <row r="539" spans="1:54" x14ac:dyDescent="0.35">
      <c r="A539" s="66" t="s">
        <v>577</v>
      </c>
      <c r="B539" s="66" t="s">
        <v>1247</v>
      </c>
      <c r="C539" s="67"/>
      <c r="D539" s="68"/>
      <c r="E539" s="69"/>
      <c r="F539" s="70"/>
      <c r="G539" s="67"/>
      <c r="H539" s="71"/>
      <c r="I539" s="72"/>
      <c r="J539" s="72"/>
      <c r="K539" s="36"/>
      <c r="L539" s="79"/>
      <c r="M539" s="79"/>
      <c r="N539" s="74"/>
      <c r="O539" s="81" t="s">
        <v>1532</v>
      </c>
      <c r="P539" s="83">
        <v>44461.338819444441</v>
      </c>
      <c r="Q539" s="81" t="s">
        <v>1755</v>
      </c>
      <c r="R539" s="81"/>
      <c r="S539" s="81"/>
      <c r="T539" s="86" t="s">
        <v>2667</v>
      </c>
      <c r="U539" s="84" t="str">
        <f>HYPERLINK("https://pbs.twimg.com/media/E_38CFLVkAAf4fL.jpg")</f>
        <v>https://pbs.twimg.com/media/E_38CFLVkAAf4fL.jpg</v>
      </c>
      <c r="V539" s="84" t="str">
        <f>HYPERLINK("https://pbs.twimg.com/media/E_38CFLVkAAf4fL.jpg")</f>
        <v>https://pbs.twimg.com/media/E_38CFLVkAAf4fL.jpg</v>
      </c>
      <c r="W539" s="83">
        <v>44461.338819444441</v>
      </c>
      <c r="X539" s="89">
        <v>44461</v>
      </c>
      <c r="Y539" s="86" t="s">
        <v>3152</v>
      </c>
      <c r="Z539" s="84" t="str">
        <f>HYPERLINK("https://twitter.com/crossvinee/status/1440588654653566982")</f>
        <v>https://twitter.com/crossvinee/status/1440588654653566982</v>
      </c>
      <c r="AA539" s="81"/>
      <c r="AB539" s="81"/>
      <c r="AC539" s="86" t="s">
        <v>4614</v>
      </c>
      <c r="AD539" s="81"/>
      <c r="AE539" s="81" t="b">
        <v>0</v>
      </c>
      <c r="AF539" s="81">
        <v>0</v>
      </c>
      <c r="AG539" s="86" t="s">
        <v>6240</v>
      </c>
      <c r="AH539" s="81" t="b">
        <v>0</v>
      </c>
      <c r="AI539" s="81" t="s">
        <v>6479</v>
      </c>
      <c r="AJ539" s="81"/>
      <c r="AK539" s="86" t="s">
        <v>6240</v>
      </c>
      <c r="AL539" s="81" t="b">
        <v>0</v>
      </c>
      <c r="AM539" s="81">
        <v>25</v>
      </c>
      <c r="AN539" s="86" t="s">
        <v>5504</v>
      </c>
      <c r="AO539" s="86" t="s">
        <v>6503</v>
      </c>
      <c r="AP539" s="81" t="b">
        <v>0</v>
      </c>
      <c r="AQ539" s="86" t="s">
        <v>5504</v>
      </c>
      <c r="AR539" s="81" t="s">
        <v>179</v>
      </c>
      <c r="AS539" s="81">
        <v>0</v>
      </c>
      <c r="AT539" s="81">
        <v>0</v>
      </c>
      <c r="AU539" s="81"/>
      <c r="AV539" s="81"/>
      <c r="AW539" s="81"/>
      <c r="AX539" s="81"/>
      <c r="AY539" s="81"/>
      <c r="AZ539" s="81"/>
      <c r="BA539" s="81"/>
      <c r="BB539" s="81"/>
    </row>
    <row r="540" spans="1:54" x14ac:dyDescent="0.35">
      <c r="A540" s="66" t="s">
        <v>578</v>
      </c>
      <c r="B540" s="66" t="s">
        <v>1247</v>
      </c>
      <c r="C540" s="67"/>
      <c r="D540" s="68"/>
      <c r="E540" s="69"/>
      <c r="F540" s="70"/>
      <c r="G540" s="67"/>
      <c r="H540" s="71"/>
      <c r="I540" s="72"/>
      <c r="J540" s="72"/>
      <c r="K540" s="36"/>
      <c r="L540" s="79"/>
      <c r="M540" s="79"/>
      <c r="N540" s="74"/>
      <c r="O540" s="81" t="s">
        <v>1532</v>
      </c>
      <c r="P540" s="83">
        <v>44461.33935185185</v>
      </c>
      <c r="Q540" s="81" t="s">
        <v>1755</v>
      </c>
      <c r="R540" s="81"/>
      <c r="S540" s="81"/>
      <c r="T540" s="86" t="s">
        <v>2667</v>
      </c>
      <c r="U540" s="84" t="str">
        <f>HYPERLINK("https://pbs.twimg.com/media/E_38CFLVkAAf4fL.jpg")</f>
        <v>https://pbs.twimg.com/media/E_38CFLVkAAf4fL.jpg</v>
      </c>
      <c r="V540" s="84" t="str">
        <f>HYPERLINK("https://pbs.twimg.com/media/E_38CFLVkAAf4fL.jpg")</f>
        <v>https://pbs.twimg.com/media/E_38CFLVkAAf4fL.jpg</v>
      </c>
      <c r="W540" s="83">
        <v>44461.33935185185</v>
      </c>
      <c r="X540" s="89">
        <v>44461</v>
      </c>
      <c r="Y540" s="86" t="s">
        <v>3153</v>
      </c>
      <c r="Z540" s="84" t="str">
        <f>HYPERLINK("https://twitter.com/hunjisvngs/status/1440588847461453825")</f>
        <v>https://twitter.com/hunjisvngs/status/1440588847461453825</v>
      </c>
      <c r="AA540" s="81"/>
      <c r="AB540" s="81"/>
      <c r="AC540" s="86" t="s">
        <v>4615</v>
      </c>
      <c r="AD540" s="81"/>
      <c r="AE540" s="81" t="b">
        <v>0</v>
      </c>
      <c r="AF540" s="81">
        <v>0</v>
      </c>
      <c r="AG540" s="86" t="s">
        <v>6240</v>
      </c>
      <c r="AH540" s="81" t="b">
        <v>0</v>
      </c>
      <c r="AI540" s="81" t="s">
        <v>6479</v>
      </c>
      <c r="AJ540" s="81"/>
      <c r="AK540" s="86" t="s">
        <v>6240</v>
      </c>
      <c r="AL540" s="81" t="b">
        <v>0</v>
      </c>
      <c r="AM540" s="81">
        <v>25</v>
      </c>
      <c r="AN540" s="86" t="s">
        <v>5504</v>
      </c>
      <c r="AO540" s="86" t="s">
        <v>6503</v>
      </c>
      <c r="AP540" s="81" t="b">
        <v>0</v>
      </c>
      <c r="AQ540" s="86" t="s">
        <v>5504</v>
      </c>
      <c r="AR540" s="81" t="s">
        <v>179</v>
      </c>
      <c r="AS540" s="81">
        <v>0</v>
      </c>
      <c r="AT540" s="81">
        <v>0</v>
      </c>
      <c r="AU540" s="81"/>
      <c r="AV540" s="81"/>
      <c r="AW540" s="81"/>
      <c r="AX540" s="81"/>
      <c r="AY540" s="81"/>
      <c r="AZ540" s="81"/>
      <c r="BA540" s="81"/>
      <c r="BB540" s="81"/>
    </row>
    <row r="541" spans="1:54" x14ac:dyDescent="0.35">
      <c r="A541" s="66" t="s">
        <v>579</v>
      </c>
      <c r="B541" s="66" t="s">
        <v>1247</v>
      </c>
      <c r="C541" s="67"/>
      <c r="D541" s="68"/>
      <c r="E541" s="69"/>
      <c r="F541" s="70"/>
      <c r="G541" s="67"/>
      <c r="H541" s="71"/>
      <c r="I541" s="72"/>
      <c r="J541" s="72"/>
      <c r="K541" s="36"/>
      <c r="L541" s="79"/>
      <c r="M541" s="79"/>
      <c r="N541" s="74"/>
      <c r="O541" s="81" t="s">
        <v>1532</v>
      </c>
      <c r="P541" s="83">
        <v>44461.339722222219</v>
      </c>
      <c r="Q541" s="81" t="s">
        <v>1755</v>
      </c>
      <c r="R541" s="81"/>
      <c r="S541" s="81"/>
      <c r="T541" s="86" t="s">
        <v>2667</v>
      </c>
      <c r="U541" s="84" t="str">
        <f>HYPERLINK("https://pbs.twimg.com/media/E_38CFLVkAAf4fL.jpg")</f>
        <v>https://pbs.twimg.com/media/E_38CFLVkAAf4fL.jpg</v>
      </c>
      <c r="V541" s="84" t="str">
        <f>HYPERLINK("https://pbs.twimg.com/media/E_38CFLVkAAf4fL.jpg")</f>
        <v>https://pbs.twimg.com/media/E_38CFLVkAAf4fL.jpg</v>
      </c>
      <c r="W541" s="83">
        <v>44461.339722222219</v>
      </c>
      <c r="X541" s="89">
        <v>44461</v>
      </c>
      <c r="Y541" s="86" t="s">
        <v>3154</v>
      </c>
      <c r="Z541" s="84" t="str">
        <f>HYPERLINK("https://twitter.com/hyunjiyoungein/status/1440588981033312263")</f>
        <v>https://twitter.com/hyunjiyoungein/status/1440588981033312263</v>
      </c>
      <c r="AA541" s="81"/>
      <c r="AB541" s="81"/>
      <c r="AC541" s="86" t="s">
        <v>4616</v>
      </c>
      <c r="AD541" s="81"/>
      <c r="AE541" s="81" t="b">
        <v>0</v>
      </c>
      <c r="AF541" s="81">
        <v>0</v>
      </c>
      <c r="AG541" s="86" t="s">
        <v>6240</v>
      </c>
      <c r="AH541" s="81" t="b">
        <v>0</v>
      </c>
      <c r="AI541" s="81" t="s">
        <v>6479</v>
      </c>
      <c r="AJ541" s="81"/>
      <c r="AK541" s="86" t="s">
        <v>6240</v>
      </c>
      <c r="AL541" s="81" t="b">
        <v>0</v>
      </c>
      <c r="AM541" s="81">
        <v>25</v>
      </c>
      <c r="AN541" s="86" t="s">
        <v>5504</v>
      </c>
      <c r="AO541" s="86" t="s">
        <v>6503</v>
      </c>
      <c r="AP541" s="81" t="b">
        <v>0</v>
      </c>
      <c r="AQ541" s="86" t="s">
        <v>5504</v>
      </c>
      <c r="AR541" s="81" t="s">
        <v>179</v>
      </c>
      <c r="AS541" s="81">
        <v>0</v>
      </c>
      <c r="AT541" s="81">
        <v>0</v>
      </c>
      <c r="AU541" s="81"/>
      <c r="AV541" s="81"/>
      <c r="AW541" s="81"/>
      <c r="AX541" s="81"/>
      <c r="AY541" s="81"/>
      <c r="AZ541" s="81"/>
      <c r="BA541" s="81"/>
      <c r="BB541" s="81"/>
    </row>
    <row r="542" spans="1:54" x14ac:dyDescent="0.35">
      <c r="A542" s="66" t="s">
        <v>580</v>
      </c>
      <c r="B542" s="66" t="s">
        <v>1247</v>
      </c>
      <c r="C542" s="67"/>
      <c r="D542" s="68"/>
      <c r="E542" s="69"/>
      <c r="F542" s="70"/>
      <c r="G542" s="67"/>
      <c r="H542" s="71"/>
      <c r="I542" s="72"/>
      <c r="J542" s="72"/>
      <c r="K542" s="36"/>
      <c r="L542" s="79"/>
      <c r="M542" s="79"/>
      <c r="N542" s="74"/>
      <c r="O542" s="81" t="s">
        <v>1532</v>
      </c>
      <c r="P542" s="83">
        <v>44461.340370370373</v>
      </c>
      <c r="Q542" s="81" t="s">
        <v>1755</v>
      </c>
      <c r="R542" s="81"/>
      <c r="S542" s="81"/>
      <c r="T542" s="86" t="s">
        <v>2667</v>
      </c>
      <c r="U542" s="84" t="str">
        <f>HYPERLINK("https://pbs.twimg.com/media/E_38CFLVkAAf4fL.jpg")</f>
        <v>https://pbs.twimg.com/media/E_38CFLVkAAf4fL.jpg</v>
      </c>
      <c r="V542" s="84" t="str">
        <f>HYPERLINK("https://pbs.twimg.com/media/E_38CFLVkAAf4fL.jpg")</f>
        <v>https://pbs.twimg.com/media/E_38CFLVkAAf4fL.jpg</v>
      </c>
      <c r="W542" s="83">
        <v>44461.340370370373</v>
      </c>
      <c r="X542" s="89">
        <v>44461</v>
      </c>
      <c r="Y542" s="86" t="s">
        <v>3155</v>
      </c>
      <c r="Z542" s="84" t="str">
        <f>HYPERLINK("https://twitter.com/minnieeeeyey/status/1440589213615882242")</f>
        <v>https://twitter.com/minnieeeeyey/status/1440589213615882242</v>
      </c>
      <c r="AA542" s="81"/>
      <c r="AB542" s="81"/>
      <c r="AC542" s="86" t="s">
        <v>4617</v>
      </c>
      <c r="AD542" s="81"/>
      <c r="AE542" s="81" t="b">
        <v>0</v>
      </c>
      <c r="AF542" s="81">
        <v>0</v>
      </c>
      <c r="AG542" s="86" t="s">
        <v>6240</v>
      </c>
      <c r="AH542" s="81" t="b">
        <v>0</v>
      </c>
      <c r="AI542" s="81" t="s">
        <v>6479</v>
      </c>
      <c r="AJ542" s="81"/>
      <c r="AK542" s="86" t="s">
        <v>6240</v>
      </c>
      <c r="AL542" s="81" t="b">
        <v>0</v>
      </c>
      <c r="AM542" s="81">
        <v>25</v>
      </c>
      <c r="AN542" s="86" t="s">
        <v>5504</v>
      </c>
      <c r="AO542" s="86" t="s">
        <v>6503</v>
      </c>
      <c r="AP542" s="81" t="b">
        <v>0</v>
      </c>
      <c r="AQ542" s="86" t="s">
        <v>5504</v>
      </c>
      <c r="AR542" s="81" t="s">
        <v>179</v>
      </c>
      <c r="AS542" s="81">
        <v>0</v>
      </c>
      <c r="AT542" s="81">
        <v>0</v>
      </c>
      <c r="AU542" s="81"/>
      <c r="AV542" s="81"/>
      <c r="AW542" s="81"/>
      <c r="AX542" s="81"/>
      <c r="AY542" s="81"/>
      <c r="AZ542" s="81"/>
      <c r="BA542" s="81"/>
      <c r="BB542" s="81"/>
    </row>
    <row r="543" spans="1:54" x14ac:dyDescent="0.35">
      <c r="A543" s="66" t="s">
        <v>581</v>
      </c>
      <c r="B543" s="66" t="s">
        <v>581</v>
      </c>
      <c r="C543" s="67"/>
      <c r="D543" s="68"/>
      <c r="E543" s="69"/>
      <c r="F543" s="70"/>
      <c r="G543" s="67"/>
      <c r="H543" s="71"/>
      <c r="I543" s="72"/>
      <c r="J543" s="72"/>
      <c r="K543" s="36"/>
      <c r="L543" s="79"/>
      <c r="M543" s="79"/>
      <c r="N543" s="74"/>
      <c r="O543" s="81" t="s">
        <v>179</v>
      </c>
      <c r="P543" s="83">
        <v>44459.604270833333</v>
      </c>
      <c r="Q543" s="81" t="s">
        <v>1655</v>
      </c>
      <c r="R543" s="81"/>
      <c r="S543" s="81"/>
      <c r="T543" s="86" t="s">
        <v>2667</v>
      </c>
      <c r="U543" s="84" t="str">
        <f>HYPERLINK("https://pbs.twimg.com/media/E_vEDNvVIAkAnBd.jpg")</f>
        <v>https://pbs.twimg.com/media/E_vEDNvVIAkAnBd.jpg</v>
      </c>
      <c r="V543" s="84" t="str">
        <f>HYPERLINK("https://pbs.twimg.com/media/E_vEDNvVIAkAnBd.jpg")</f>
        <v>https://pbs.twimg.com/media/E_vEDNvVIAkAnBd.jpg</v>
      </c>
      <c r="W543" s="83">
        <v>44459.604270833333</v>
      </c>
      <c r="X543" s="89">
        <v>44459</v>
      </c>
      <c r="Y543" s="86" t="s">
        <v>3156</v>
      </c>
      <c r="Z543" s="84" t="str">
        <f>HYPERLINK("https://twitter.com/jiniretselling/status/1439960073187442691")</f>
        <v>https://twitter.com/jiniretselling/status/1439960073187442691</v>
      </c>
      <c r="AA543" s="81"/>
      <c r="AB543" s="81"/>
      <c r="AC543" s="86" t="s">
        <v>4618</v>
      </c>
      <c r="AD543" s="81"/>
      <c r="AE543" s="81" t="b">
        <v>0</v>
      </c>
      <c r="AF543" s="81">
        <v>6</v>
      </c>
      <c r="AG543" s="86" t="s">
        <v>6240</v>
      </c>
      <c r="AH543" s="81" t="b">
        <v>0</v>
      </c>
      <c r="AI543" s="81" t="s">
        <v>6479</v>
      </c>
      <c r="AJ543" s="81"/>
      <c r="AK543" s="86" t="s">
        <v>6240</v>
      </c>
      <c r="AL543" s="81" t="b">
        <v>0</v>
      </c>
      <c r="AM543" s="81">
        <v>10</v>
      </c>
      <c r="AN543" s="86" t="s">
        <v>6240</v>
      </c>
      <c r="AO543" s="86" t="s">
        <v>6505</v>
      </c>
      <c r="AP543" s="81" t="b">
        <v>0</v>
      </c>
      <c r="AQ543" s="86" t="s">
        <v>4618</v>
      </c>
      <c r="AR543" s="81" t="s">
        <v>179</v>
      </c>
      <c r="AS543" s="81">
        <v>0</v>
      </c>
      <c r="AT543" s="81">
        <v>0</v>
      </c>
      <c r="AU543" s="81"/>
      <c r="AV543" s="81"/>
      <c r="AW543" s="81"/>
      <c r="AX543" s="81"/>
      <c r="AY543" s="81"/>
      <c r="AZ543" s="81"/>
      <c r="BA543" s="81"/>
      <c r="BB543" s="81"/>
    </row>
    <row r="544" spans="1:54" x14ac:dyDescent="0.35">
      <c r="A544" s="66" t="s">
        <v>582</v>
      </c>
      <c r="B544" s="66" t="s">
        <v>581</v>
      </c>
      <c r="C544" s="67"/>
      <c r="D544" s="68"/>
      <c r="E544" s="69"/>
      <c r="F544" s="70"/>
      <c r="G544" s="67"/>
      <c r="H544" s="71"/>
      <c r="I544" s="72"/>
      <c r="J544" s="72"/>
      <c r="K544" s="36"/>
      <c r="L544" s="79"/>
      <c r="M544" s="79"/>
      <c r="N544" s="74"/>
      <c r="O544" s="81" t="s">
        <v>1532</v>
      </c>
      <c r="P544" s="83">
        <v>44459.760879629626</v>
      </c>
      <c r="Q544" s="81" t="s">
        <v>1655</v>
      </c>
      <c r="R544" s="81"/>
      <c r="S544" s="81"/>
      <c r="T544" s="86" t="s">
        <v>2667</v>
      </c>
      <c r="U544" s="84" t="str">
        <f>HYPERLINK("https://pbs.twimg.com/media/E_vEDNvVIAkAnBd.jpg")</f>
        <v>https://pbs.twimg.com/media/E_vEDNvVIAkAnBd.jpg</v>
      </c>
      <c r="V544" s="84" t="str">
        <f>HYPERLINK("https://pbs.twimg.com/media/E_vEDNvVIAkAnBd.jpg")</f>
        <v>https://pbs.twimg.com/media/E_vEDNvVIAkAnBd.jpg</v>
      </c>
      <c r="W544" s="83">
        <v>44459.760879629626</v>
      </c>
      <c r="X544" s="89">
        <v>44459</v>
      </c>
      <c r="Y544" s="86" t="s">
        <v>3157</v>
      </c>
      <c r="Z544" s="84" t="str">
        <f>HYPERLINK("https://twitter.com/skzstaycmchhysj/status/1440016826436513792")</f>
        <v>https://twitter.com/skzstaycmchhysj/status/1440016826436513792</v>
      </c>
      <c r="AA544" s="81"/>
      <c r="AB544" s="81"/>
      <c r="AC544" s="86" t="s">
        <v>4619</v>
      </c>
      <c r="AD544" s="81"/>
      <c r="AE544" s="81" t="b">
        <v>0</v>
      </c>
      <c r="AF544" s="81">
        <v>0</v>
      </c>
      <c r="AG544" s="86" t="s">
        <v>6240</v>
      </c>
      <c r="AH544" s="81" t="b">
        <v>0</v>
      </c>
      <c r="AI544" s="81" t="s">
        <v>6479</v>
      </c>
      <c r="AJ544" s="81"/>
      <c r="AK544" s="86" t="s">
        <v>6240</v>
      </c>
      <c r="AL544" s="81" t="b">
        <v>0</v>
      </c>
      <c r="AM544" s="81">
        <v>10</v>
      </c>
      <c r="AN544" s="86" t="s">
        <v>4618</v>
      </c>
      <c r="AO544" s="86" t="s">
        <v>6503</v>
      </c>
      <c r="AP544" s="81" t="b">
        <v>0</v>
      </c>
      <c r="AQ544" s="86" t="s">
        <v>4618</v>
      </c>
      <c r="AR544" s="81" t="s">
        <v>179</v>
      </c>
      <c r="AS544" s="81">
        <v>0</v>
      </c>
      <c r="AT544" s="81">
        <v>0</v>
      </c>
      <c r="AU544" s="81"/>
      <c r="AV544" s="81"/>
      <c r="AW544" s="81"/>
      <c r="AX544" s="81"/>
      <c r="AY544" s="81"/>
      <c r="AZ544" s="81"/>
      <c r="BA544" s="81"/>
      <c r="BB544" s="81"/>
    </row>
    <row r="545" spans="1:54" x14ac:dyDescent="0.35">
      <c r="A545" s="66" t="s">
        <v>582</v>
      </c>
      <c r="B545" s="66" t="s">
        <v>1247</v>
      </c>
      <c r="C545" s="67"/>
      <c r="D545" s="68"/>
      <c r="E545" s="69"/>
      <c r="F545" s="70"/>
      <c r="G545" s="67"/>
      <c r="H545" s="71"/>
      <c r="I545" s="72"/>
      <c r="J545" s="72"/>
      <c r="K545" s="36"/>
      <c r="L545" s="79"/>
      <c r="M545" s="79"/>
      <c r="N545" s="74"/>
      <c r="O545" s="81" t="s">
        <v>1532</v>
      </c>
      <c r="P545" s="83">
        <v>44461.340405092589</v>
      </c>
      <c r="Q545" s="81" t="s">
        <v>1755</v>
      </c>
      <c r="R545" s="81"/>
      <c r="S545" s="81"/>
      <c r="T545" s="86" t="s">
        <v>2667</v>
      </c>
      <c r="U545" s="84" t="str">
        <f>HYPERLINK("https://pbs.twimg.com/media/E_38CFLVkAAf4fL.jpg")</f>
        <v>https://pbs.twimg.com/media/E_38CFLVkAAf4fL.jpg</v>
      </c>
      <c r="V545" s="84" t="str">
        <f>HYPERLINK("https://pbs.twimg.com/media/E_38CFLVkAAf4fL.jpg")</f>
        <v>https://pbs.twimg.com/media/E_38CFLVkAAf4fL.jpg</v>
      </c>
      <c r="W545" s="83">
        <v>44461.340405092589</v>
      </c>
      <c r="X545" s="89">
        <v>44461</v>
      </c>
      <c r="Y545" s="86" t="s">
        <v>3158</v>
      </c>
      <c r="Z545" s="84" t="str">
        <f>HYPERLINK("https://twitter.com/skzstaycmchhysj/status/1440589228581142528")</f>
        <v>https://twitter.com/skzstaycmchhysj/status/1440589228581142528</v>
      </c>
      <c r="AA545" s="81"/>
      <c r="AB545" s="81"/>
      <c r="AC545" s="86" t="s">
        <v>4620</v>
      </c>
      <c r="AD545" s="81"/>
      <c r="AE545" s="81" t="b">
        <v>0</v>
      </c>
      <c r="AF545" s="81">
        <v>0</v>
      </c>
      <c r="AG545" s="86" t="s">
        <v>6240</v>
      </c>
      <c r="AH545" s="81" t="b">
        <v>0</v>
      </c>
      <c r="AI545" s="81" t="s">
        <v>6479</v>
      </c>
      <c r="AJ545" s="81"/>
      <c r="AK545" s="86" t="s">
        <v>6240</v>
      </c>
      <c r="AL545" s="81" t="b">
        <v>0</v>
      </c>
      <c r="AM545" s="81">
        <v>25</v>
      </c>
      <c r="AN545" s="86" t="s">
        <v>5504</v>
      </c>
      <c r="AO545" s="86" t="s">
        <v>6503</v>
      </c>
      <c r="AP545" s="81" t="b">
        <v>0</v>
      </c>
      <c r="AQ545" s="86" t="s">
        <v>5504</v>
      </c>
      <c r="AR545" s="81" t="s">
        <v>179</v>
      </c>
      <c r="AS545" s="81">
        <v>0</v>
      </c>
      <c r="AT545" s="81">
        <v>0</v>
      </c>
      <c r="AU545" s="81"/>
      <c r="AV545" s="81"/>
      <c r="AW545" s="81"/>
      <c r="AX545" s="81"/>
      <c r="AY545" s="81"/>
      <c r="AZ545" s="81"/>
      <c r="BA545" s="81"/>
      <c r="BB545" s="81"/>
    </row>
    <row r="546" spans="1:54" x14ac:dyDescent="0.35">
      <c r="A546" s="66" t="s">
        <v>583</v>
      </c>
      <c r="B546" s="66" t="s">
        <v>1247</v>
      </c>
      <c r="C546" s="67"/>
      <c r="D546" s="68"/>
      <c r="E546" s="69"/>
      <c r="F546" s="70"/>
      <c r="G546" s="67"/>
      <c r="H546" s="71"/>
      <c r="I546" s="72"/>
      <c r="J546" s="72"/>
      <c r="K546" s="36"/>
      <c r="L546" s="79"/>
      <c r="M546" s="79"/>
      <c r="N546" s="74"/>
      <c r="O546" s="81" t="s">
        <v>1532</v>
      </c>
      <c r="P546" s="83">
        <v>44461.340497685182</v>
      </c>
      <c r="Q546" s="81" t="s">
        <v>1755</v>
      </c>
      <c r="R546" s="81"/>
      <c r="S546" s="81"/>
      <c r="T546" s="86" t="s">
        <v>2667</v>
      </c>
      <c r="U546" s="84" t="str">
        <f>HYPERLINK("https://pbs.twimg.com/media/E_38CFLVkAAf4fL.jpg")</f>
        <v>https://pbs.twimg.com/media/E_38CFLVkAAf4fL.jpg</v>
      </c>
      <c r="V546" s="84" t="str">
        <f>HYPERLINK("https://pbs.twimg.com/media/E_38CFLVkAAf4fL.jpg")</f>
        <v>https://pbs.twimg.com/media/E_38CFLVkAAf4fL.jpg</v>
      </c>
      <c r="W546" s="83">
        <v>44461.340497685182</v>
      </c>
      <c r="X546" s="89">
        <v>44461</v>
      </c>
      <c r="Y546" s="86" t="s">
        <v>3159</v>
      </c>
      <c r="Z546" s="84" t="str">
        <f>HYPERLINK("https://twitter.com/bbokfreckkie/status/1440589263649718273")</f>
        <v>https://twitter.com/bbokfreckkie/status/1440589263649718273</v>
      </c>
      <c r="AA546" s="81"/>
      <c r="AB546" s="81"/>
      <c r="AC546" s="86" t="s">
        <v>4621</v>
      </c>
      <c r="AD546" s="81"/>
      <c r="AE546" s="81" t="b">
        <v>0</v>
      </c>
      <c r="AF546" s="81">
        <v>0</v>
      </c>
      <c r="AG546" s="86" t="s">
        <v>6240</v>
      </c>
      <c r="AH546" s="81" t="b">
        <v>0</v>
      </c>
      <c r="AI546" s="81" t="s">
        <v>6479</v>
      </c>
      <c r="AJ546" s="81"/>
      <c r="AK546" s="86" t="s">
        <v>6240</v>
      </c>
      <c r="AL546" s="81" t="b">
        <v>0</v>
      </c>
      <c r="AM546" s="81">
        <v>25</v>
      </c>
      <c r="AN546" s="86" t="s">
        <v>5504</v>
      </c>
      <c r="AO546" s="86" t="s">
        <v>6505</v>
      </c>
      <c r="AP546" s="81" t="b">
        <v>0</v>
      </c>
      <c r="AQ546" s="86" t="s">
        <v>5504</v>
      </c>
      <c r="AR546" s="81" t="s">
        <v>179</v>
      </c>
      <c r="AS546" s="81">
        <v>0</v>
      </c>
      <c r="AT546" s="81">
        <v>0</v>
      </c>
      <c r="AU546" s="81"/>
      <c r="AV546" s="81"/>
      <c r="AW546" s="81"/>
      <c r="AX546" s="81"/>
      <c r="AY546" s="81"/>
      <c r="AZ546" s="81"/>
      <c r="BA546" s="81"/>
      <c r="BB546" s="81"/>
    </row>
    <row r="547" spans="1:54" x14ac:dyDescent="0.35">
      <c r="A547" s="66" t="s">
        <v>584</v>
      </c>
      <c r="B547" s="66" t="s">
        <v>1247</v>
      </c>
      <c r="C547" s="67"/>
      <c r="D547" s="68"/>
      <c r="E547" s="69"/>
      <c r="F547" s="70"/>
      <c r="G547" s="67"/>
      <c r="H547" s="71"/>
      <c r="I547" s="72"/>
      <c r="J547" s="72"/>
      <c r="K547" s="36"/>
      <c r="L547" s="79"/>
      <c r="M547" s="79"/>
      <c r="N547" s="74"/>
      <c r="O547" s="81" t="s">
        <v>1532</v>
      </c>
      <c r="P547" s="83">
        <v>44461.341307870367</v>
      </c>
      <c r="Q547" s="81" t="s">
        <v>1755</v>
      </c>
      <c r="R547" s="81"/>
      <c r="S547" s="81"/>
      <c r="T547" s="86" t="s">
        <v>2667</v>
      </c>
      <c r="U547" s="84" t="str">
        <f>HYPERLINK("https://pbs.twimg.com/media/E_38CFLVkAAf4fL.jpg")</f>
        <v>https://pbs.twimg.com/media/E_38CFLVkAAf4fL.jpg</v>
      </c>
      <c r="V547" s="84" t="str">
        <f>HYPERLINK("https://pbs.twimg.com/media/E_38CFLVkAAf4fL.jpg")</f>
        <v>https://pbs.twimg.com/media/E_38CFLVkAAf4fL.jpg</v>
      </c>
      <c r="W547" s="83">
        <v>44461.341307870367</v>
      </c>
      <c r="X547" s="89">
        <v>44461</v>
      </c>
      <c r="Y547" s="86" t="s">
        <v>3160</v>
      </c>
      <c r="Z547" s="84" t="str">
        <f>HYPERLINK("https://twitter.com/favorskz/status/1440589554608525318")</f>
        <v>https://twitter.com/favorskz/status/1440589554608525318</v>
      </c>
      <c r="AA547" s="81"/>
      <c r="AB547" s="81"/>
      <c r="AC547" s="86" t="s">
        <v>4622</v>
      </c>
      <c r="AD547" s="81"/>
      <c r="AE547" s="81" t="b">
        <v>0</v>
      </c>
      <c r="AF547" s="81">
        <v>0</v>
      </c>
      <c r="AG547" s="86" t="s">
        <v>6240</v>
      </c>
      <c r="AH547" s="81" t="b">
        <v>0</v>
      </c>
      <c r="AI547" s="81" t="s">
        <v>6479</v>
      </c>
      <c r="AJ547" s="81"/>
      <c r="AK547" s="86" t="s">
        <v>6240</v>
      </c>
      <c r="AL547" s="81" t="b">
        <v>0</v>
      </c>
      <c r="AM547" s="81">
        <v>25</v>
      </c>
      <c r="AN547" s="86" t="s">
        <v>5504</v>
      </c>
      <c r="AO547" s="86" t="s">
        <v>6503</v>
      </c>
      <c r="AP547" s="81" t="b">
        <v>0</v>
      </c>
      <c r="AQ547" s="86" t="s">
        <v>5504</v>
      </c>
      <c r="AR547" s="81" t="s">
        <v>179</v>
      </c>
      <c r="AS547" s="81">
        <v>0</v>
      </c>
      <c r="AT547" s="81">
        <v>0</v>
      </c>
      <c r="AU547" s="81"/>
      <c r="AV547" s="81"/>
      <c r="AW547" s="81"/>
      <c r="AX547" s="81"/>
      <c r="AY547" s="81"/>
      <c r="AZ547" s="81"/>
      <c r="BA547" s="81"/>
      <c r="BB547" s="81"/>
    </row>
    <row r="548" spans="1:54" x14ac:dyDescent="0.35">
      <c r="A548" s="66" t="s">
        <v>585</v>
      </c>
      <c r="B548" s="66" t="s">
        <v>1247</v>
      </c>
      <c r="C548" s="67"/>
      <c r="D548" s="68"/>
      <c r="E548" s="69"/>
      <c r="F548" s="70"/>
      <c r="G548" s="67"/>
      <c r="H548" s="71"/>
      <c r="I548" s="72"/>
      <c r="J548" s="72"/>
      <c r="K548" s="36"/>
      <c r="L548" s="79"/>
      <c r="M548" s="79"/>
      <c r="N548" s="74"/>
      <c r="O548" s="81" t="s">
        <v>1532</v>
      </c>
      <c r="P548" s="83">
        <v>44461.34134259259</v>
      </c>
      <c r="Q548" s="81" t="s">
        <v>1755</v>
      </c>
      <c r="R548" s="81"/>
      <c r="S548" s="81"/>
      <c r="T548" s="86" t="s">
        <v>2667</v>
      </c>
      <c r="U548" s="84" t="str">
        <f>HYPERLINK("https://pbs.twimg.com/media/E_38CFLVkAAf4fL.jpg")</f>
        <v>https://pbs.twimg.com/media/E_38CFLVkAAf4fL.jpg</v>
      </c>
      <c r="V548" s="84" t="str">
        <f>HYPERLINK("https://pbs.twimg.com/media/E_38CFLVkAAf4fL.jpg")</f>
        <v>https://pbs.twimg.com/media/E_38CFLVkAAf4fL.jpg</v>
      </c>
      <c r="W548" s="83">
        <v>44461.34134259259</v>
      </c>
      <c r="X548" s="89">
        <v>44461</v>
      </c>
      <c r="Y548" s="86" t="s">
        <v>3161</v>
      </c>
      <c r="Z548" s="84" t="str">
        <f>HYPERLINK("https://twitter.com/haafiieezaa98/status/1440589567787077641")</f>
        <v>https://twitter.com/haafiieezaa98/status/1440589567787077641</v>
      </c>
      <c r="AA548" s="81"/>
      <c r="AB548" s="81"/>
      <c r="AC548" s="86" t="s">
        <v>4623</v>
      </c>
      <c r="AD548" s="81"/>
      <c r="AE548" s="81" t="b">
        <v>0</v>
      </c>
      <c r="AF548" s="81">
        <v>0</v>
      </c>
      <c r="AG548" s="86" t="s">
        <v>6240</v>
      </c>
      <c r="AH548" s="81" t="b">
        <v>0</v>
      </c>
      <c r="AI548" s="81" t="s">
        <v>6479</v>
      </c>
      <c r="AJ548" s="81"/>
      <c r="AK548" s="86" t="s">
        <v>6240</v>
      </c>
      <c r="AL548" s="81" t="b">
        <v>0</v>
      </c>
      <c r="AM548" s="81">
        <v>25</v>
      </c>
      <c r="AN548" s="86" t="s">
        <v>5504</v>
      </c>
      <c r="AO548" s="86" t="s">
        <v>6503</v>
      </c>
      <c r="AP548" s="81" t="b">
        <v>0</v>
      </c>
      <c r="AQ548" s="86" t="s">
        <v>5504</v>
      </c>
      <c r="AR548" s="81" t="s">
        <v>179</v>
      </c>
      <c r="AS548" s="81">
        <v>0</v>
      </c>
      <c r="AT548" s="81">
        <v>0</v>
      </c>
      <c r="AU548" s="81"/>
      <c r="AV548" s="81"/>
      <c r="AW548" s="81"/>
      <c r="AX548" s="81"/>
      <c r="AY548" s="81"/>
      <c r="AZ548" s="81"/>
      <c r="BA548" s="81"/>
      <c r="BB548" s="81"/>
    </row>
    <row r="549" spans="1:54" x14ac:dyDescent="0.35">
      <c r="A549" s="66" t="s">
        <v>586</v>
      </c>
      <c r="B549" s="66" t="s">
        <v>1247</v>
      </c>
      <c r="C549" s="67"/>
      <c r="D549" s="68"/>
      <c r="E549" s="69"/>
      <c r="F549" s="70"/>
      <c r="G549" s="67"/>
      <c r="H549" s="71"/>
      <c r="I549" s="72"/>
      <c r="J549" s="72"/>
      <c r="K549" s="36"/>
      <c r="L549" s="79"/>
      <c r="M549" s="79"/>
      <c r="N549" s="74"/>
      <c r="O549" s="81" t="s">
        <v>1532</v>
      </c>
      <c r="P549" s="83">
        <v>44459.485081018516</v>
      </c>
      <c r="Q549" s="81" t="s">
        <v>1650</v>
      </c>
      <c r="R549" s="81"/>
      <c r="S549" s="81"/>
      <c r="T549" s="86" t="s">
        <v>2667</v>
      </c>
      <c r="U549" s="84" t="str">
        <f>HYPERLINK("https://pbs.twimg.com/media/E_ubZIHUYAESLiB.jpg")</f>
        <v>https://pbs.twimg.com/media/E_ubZIHUYAESLiB.jpg</v>
      </c>
      <c r="V549" s="84" t="str">
        <f>HYPERLINK("https://pbs.twimg.com/media/E_ubZIHUYAESLiB.jpg")</f>
        <v>https://pbs.twimg.com/media/E_ubZIHUYAESLiB.jpg</v>
      </c>
      <c r="W549" s="83">
        <v>44459.485081018516</v>
      </c>
      <c r="X549" s="89">
        <v>44459</v>
      </c>
      <c r="Y549" s="86" t="s">
        <v>3162</v>
      </c>
      <c r="Z549" s="84" t="str">
        <f>HYPERLINK("https://twitter.com/mongmongmy/status/1439916881998082050")</f>
        <v>https://twitter.com/mongmongmy/status/1439916881998082050</v>
      </c>
      <c r="AA549" s="81"/>
      <c r="AB549" s="81"/>
      <c r="AC549" s="86" t="s">
        <v>4624</v>
      </c>
      <c r="AD549" s="81"/>
      <c r="AE549" s="81" t="b">
        <v>0</v>
      </c>
      <c r="AF549" s="81">
        <v>0</v>
      </c>
      <c r="AG549" s="86" t="s">
        <v>6240</v>
      </c>
      <c r="AH549" s="81" t="b">
        <v>0</v>
      </c>
      <c r="AI549" s="81" t="s">
        <v>6479</v>
      </c>
      <c r="AJ549" s="81"/>
      <c r="AK549" s="86" t="s">
        <v>6240</v>
      </c>
      <c r="AL549" s="81" t="b">
        <v>0</v>
      </c>
      <c r="AM549" s="81">
        <v>27</v>
      </c>
      <c r="AN549" s="86" t="s">
        <v>5503</v>
      </c>
      <c r="AO549" s="86" t="s">
        <v>6503</v>
      </c>
      <c r="AP549" s="81" t="b">
        <v>0</v>
      </c>
      <c r="AQ549" s="86" t="s">
        <v>5503</v>
      </c>
      <c r="AR549" s="81" t="s">
        <v>179</v>
      </c>
      <c r="AS549" s="81">
        <v>0</v>
      </c>
      <c r="AT549" s="81">
        <v>0</v>
      </c>
      <c r="AU549" s="81"/>
      <c r="AV549" s="81"/>
      <c r="AW549" s="81"/>
      <c r="AX549" s="81"/>
      <c r="AY549" s="81"/>
      <c r="AZ549" s="81"/>
      <c r="BA549" s="81"/>
      <c r="BB549" s="81"/>
    </row>
    <row r="550" spans="1:54" x14ac:dyDescent="0.35">
      <c r="A550" s="66" t="s">
        <v>586</v>
      </c>
      <c r="B550" s="66" t="s">
        <v>1247</v>
      </c>
      <c r="C550" s="67"/>
      <c r="D550" s="68"/>
      <c r="E550" s="69"/>
      <c r="F550" s="70"/>
      <c r="G550" s="67"/>
      <c r="H550" s="71"/>
      <c r="I550" s="72"/>
      <c r="J550" s="72"/>
      <c r="K550" s="36"/>
      <c r="L550" s="79"/>
      <c r="M550" s="79"/>
      <c r="N550" s="74"/>
      <c r="O550" s="81" t="s">
        <v>1532</v>
      </c>
      <c r="P550" s="83">
        <v>44461.341886574075</v>
      </c>
      <c r="Q550" s="81" t="s">
        <v>1755</v>
      </c>
      <c r="R550" s="81"/>
      <c r="S550" s="81"/>
      <c r="T550" s="86" t="s">
        <v>2667</v>
      </c>
      <c r="U550" s="84" t="str">
        <f>HYPERLINK("https://pbs.twimg.com/media/E_38CFLVkAAf4fL.jpg")</f>
        <v>https://pbs.twimg.com/media/E_38CFLVkAAf4fL.jpg</v>
      </c>
      <c r="V550" s="84" t="str">
        <f>HYPERLINK("https://pbs.twimg.com/media/E_38CFLVkAAf4fL.jpg")</f>
        <v>https://pbs.twimg.com/media/E_38CFLVkAAf4fL.jpg</v>
      </c>
      <c r="W550" s="83">
        <v>44461.341886574075</v>
      </c>
      <c r="X550" s="89">
        <v>44461</v>
      </c>
      <c r="Y550" s="86" t="s">
        <v>3163</v>
      </c>
      <c r="Z550" s="84" t="str">
        <f>HYPERLINK("https://twitter.com/mongmongmy/status/1440589764386639879")</f>
        <v>https://twitter.com/mongmongmy/status/1440589764386639879</v>
      </c>
      <c r="AA550" s="81"/>
      <c r="AB550" s="81"/>
      <c r="AC550" s="86" t="s">
        <v>4625</v>
      </c>
      <c r="AD550" s="81"/>
      <c r="AE550" s="81" t="b">
        <v>0</v>
      </c>
      <c r="AF550" s="81">
        <v>0</v>
      </c>
      <c r="AG550" s="86" t="s">
        <v>6240</v>
      </c>
      <c r="AH550" s="81" t="b">
        <v>0</v>
      </c>
      <c r="AI550" s="81" t="s">
        <v>6479</v>
      </c>
      <c r="AJ550" s="81"/>
      <c r="AK550" s="86" t="s">
        <v>6240</v>
      </c>
      <c r="AL550" s="81" t="b">
        <v>0</v>
      </c>
      <c r="AM550" s="81">
        <v>25</v>
      </c>
      <c r="AN550" s="86" t="s">
        <v>5504</v>
      </c>
      <c r="AO550" s="86" t="s">
        <v>6503</v>
      </c>
      <c r="AP550" s="81" t="b">
        <v>0</v>
      </c>
      <c r="AQ550" s="86" t="s">
        <v>5504</v>
      </c>
      <c r="AR550" s="81" t="s">
        <v>179</v>
      </c>
      <c r="AS550" s="81">
        <v>0</v>
      </c>
      <c r="AT550" s="81">
        <v>0</v>
      </c>
      <c r="AU550" s="81"/>
      <c r="AV550" s="81"/>
      <c r="AW550" s="81"/>
      <c r="AX550" s="81"/>
      <c r="AY550" s="81"/>
      <c r="AZ550" s="81"/>
      <c r="BA550" s="81"/>
      <c r="BB550" s="81"/>
    </row>
    <row r="551" spans="1:54" x14ac:dyDescent="0.35">
      <c r="A551" s="66" t="s">
        <v>587</v>
      </c>
      <c r="B551" s="66" t="s">
        <v>1247</v>
      </c>
      <c r="C551" s="67"/>
      <c r="D551" s="68"/>
      <c r="E551" s="69"/>
      <c r="F551" s="70"/>
      <c r="G551" s="67"/>
      <c r="H551" s="71"/>
      <c r="I551" s="72"/>
      <c r="J551" s="72"/>
      <c r="K551" s="36"/>
      <c r="L551" s="79"/>
      <c r="M551" s="79"/>
      <c r="N551" s="74"/>
      <c r="O551" s="81" t="s">
        <v>1532</v>
      </c>
      <c r="P551" s="83">
        <v>44461.342546296299</v>
      </c>
      <c r="Q551" s="81" t="s">
        <v>1755</v>
      </c>
      <c r="R551" s="81"/>
      <c r="S551" s="81"/>
      <c r="T551" s="86" t="s">
        <v>2667</v>
      </c>
      <c r="U551" s="84" t="str">
        <f>HYPERLINK("https://pbs.twimg.com/media/E_38CFLVkAAf4fL.jpg")</f>
        <v>https://pbs.twimg.com/media/E_38CFLVkAAf4fL.jpg</v>
      </c>
      <c r="V551" s="84" t="str">
        <f>HYPERLINK("https://pbs.twimg.com/media/E_38CFLVkAAf4fL.jpg")</f>
        <v>https://pbs.twimg.com/media/E_38CFLVkAAf4fL.jpg</v>
      </c>
      <c r="W551" s="83">
        <v>44461.342546296299</v>
      </c>
      <c r="X551" s="89">
        <v>44461</v>
      </c>
      <c r="Y551" s="86" t="s">
        <v>3164</v>
      </c>
      <c r="Z551" s="84" t="str">
        <f>HYPERLINK("https://twitter.com/enhanreals/status/1440590003835334664")</f>
        <v>https://twitter.com/enhanreals/status/1440590003835334664</v>
      </c>
      <c r="AA551" s="81"/>
      <c r="AB551" s="81"/>
      <c r="AC551" s="86" t="s">
        <v>4626</v>
      </c>
      <c r="AD551" s="81"/>
      <c r="AE551" s="81" t="b">
        <v>0</v>
      </c>
      <c r="AF551" s="81">
        <v>0</v>
      </c>
      <c r="AG551" s="86" t="s">
        <v>6240</v>
      </c>
      <c r="AH551" s="81" t="b">
        <v>0</v>
      </c>
      <c r="AI551" s="81" t="s">
        <v>6479</v>
      </c>
      <c r="AJ551" s="81"/>
      <c r="AK551" s="86" t="s">
        <v>6240</v>
      </c>
      <c r="AL551" s="81" t="b">
        <v>0</v>
      </c>
      <c r="AM551" s="81">
        <v>25</v>
      </c>
      <c r="AN551" s="86" t="s">
        <v>5504</v>
      </c>
      <c r="AO551" s="86" t="s">
        <v>6508</v>
      </c>
      <c r="AP551" s="81" t="b">
        <v>0</v>
      </c>
      <c r="AQ551" s="86" t="s">
        <v>5504</v>
      </c>
      <c r="AR551" s="81" t="s">
        <v>179</v>
      </c>
      <c r="AS551" s="81">
        <v>0</v>
      </c>
      <c r="AT551" s="81">
        <v>0</v>
      </c>
      <c r="AU551" s="81"/>
      <c r="AV551" s="81"/>
      <c r="AW551" s="81"/>
      <c r="AX551" s="81"/>
      <c r="AY551" s="81"/>
      <c r="AZ551" s="81"/>
      <c r="BA551" s="81"/>
      <c r="BB551" s="81"/>
    </row>
    <row r="552" spans="1:54" x14ac:dyDescent="0.35">
      <c r="A552" s="66" t="s">
        <v>588</v>
      </c>
      <c r="B552" s="66" t="s">
        <v>1247</v>
      </c>
      <c r="C552" s="67"/>
      <c r="D552" s="68"/>
      <c r="E552" s="69"/>
      <c r="F552" s="70"/>
      <c r="G552" s="67"/>
      <c r="H552" s="71"/>
      <c r="I552" s="72"/>
      <c r="J552" s="72"/>
      <c r="K552" s="36"/>
      <c r="L552" s="79"/>
      <c r="M552" s="79"/>
      <c r="N552" s="74"/>
      <c r="O552" s="81" t="s">
        <v>1532</v>
      </c>
      <c r="P552" s="83">
        <v>44461.343541666669</v>
      </c>
      <c r="Q552" s="81" t="s">
        <v>1755</v>
      </c>
      <c r="R552" s="81"/>
      <c r="S552" s="81"/>
      <c r="T552" s="86" t="s">
        <v>2667</v>
      </c>
      <c r="U552" s="84" t="str">
        <f>HYPERLINK("https://pbs.twimg.com/media/E_38CFLVkAAf4fL.jpg")</f>
        <v>https://pbs.twimg.com/media/E_38CFLVkAAf4fL.jpg</v>
      </c>
      <c r="V552" s="84" t="str">
        <f>HYPERLINK("https://pbs.twimg.com/media/E_38CFLVkAAf4fL.jpg")</f>
        <v>https://pbs.twimg.com/media/E_38CFLVkAAf4fL.jpg</v>
      </c>
      <c r="W552" s="83">
        <v>44461.343541666669</v>
      </c>
      <c r="X552" s="89">
        <v>44461</v>
      </c>
      <c r="Y552" s="86" t="s">
        <v>3165</v>
      </c>
      <c r="Z552" s="84" t="str">
        <f>HYPERLINK("https://twitter.com/ansnisnis/status/1440590366793617412")</f>
        <v>https://twitter.com/ansnisnis/status/1440590366793617412</v>
      </c>
      <c r="AA552" s="81"/>
      <c r="AB552" s="81"/>
      <c r="AC552" s="86" t="s">
        <v>4627</v>
      </c>
      <c r="AD552" s="81"/>
      <c r="AE552" s="81" t="b">
        <v>0</v>
      </c>
      <c r="AF552" s="81">
        <v>0</v>
      </c>
      <c r="AG552" s="86" t="s">
        <v>6240</v>
      </c>
      <c r="AH552" s="81" t="b">
        <v>0</v>
      </c>
      <c r="AI552" s="81" t="s">
        <v>6479</v>
      </c>
      <c r="AJ552" s="81"/>
      <c r="AK552" s="86" t="s">
        <v>6240</v>
      </c>
      <c r="AL552" s="81" t="b">
        <v>0</v>
      </c>
      <c r="AM552" s="81">
        <v>25</v>
      </c>
      <c r="AN552" s="86" t="s">
        <v>5504</v>
      </c>
      <c r="AO552" s="86" t="s">
        <v>6505</v>
      </c>
      <c r="AP552" s="81" t="b">
        <v>0</v>
      </c>
      <c r="AQ552" s="86" t="s">
        <v>5504</v>
      </c>
      <c r="AR552" s="81" t="s">
        <v>179</v>
      </c>
      <c r="AS552" s="81">
        <v>0</v>
      </c>
      <c r="AT552" s="81">
        <v>0</v>
      </c>
      <c r="AU552" s="81"/>
      <c r="AV552" s="81"/>
      <c r="AW552" s="81"/>
      <c r="AX552" s="81"/>
      <c r="AY552" s="81"/>
      <c r="AZ552" s="81"/>
      <c r="BA552" s="81"/>
      <c r="BB552" s="81"/>
    </row>
    <row r="553" spans="1:54" x14ac:dyDescent="0.35">
      <c r="A553" s="66" t="s">
        <v>589</v>
      </c>
      <c r="B553" s="66" t="s">
        <v>1247</v>
      </c>
      <c r="C553" s="67"/>
      <c r="D553" s="68"/>
      <c r="E553" s="69"/>
      <c r="F553" s="70"/>
      <c r="G553" s="67"/>
      <c r="H553" s="71"/>
      <c r="I553" s="72"/>
      <c r="J553" s="72"/>
      <c r="K553" s="36"/>
      <c r="L553" s="79"/>
      <c r="M553" s="79"/>
      <c r="N553" s="74"/>
      <c r="O553" s="81" t="s">
        <v>1532</v>
      </c>
      <c r="P553" s="83">
        <v>44461.343645833331</v>
      </c>
      <c r="Q553" s="81" t="s">
        <v>1755</v>
      </c>
      <c r="R553" s="81"/>
      <c r="S553" s="81"/>
      <c r="T553" s="86" t="s">
        <v>2667</v>
      </c>
      <c r="U553" s="84" t="str">
        <f>HYPERLINK("https://pbs.twimg.com/media/E_38CFLVkAAf4fL.jpg")</f>
        <v>https://pbs.twimg.com/media/E_38CFLVkAAf4fL.jpg</v>
      </c>
      <c r="V553" s="84" t="str">
        <f>HYPERLINK("https://pbs.twimg.com/media/E_38CFLVkAAf4fL.jpg")</f>
        <v>https://pbs.twimg.com/media/E_38CFLVkAAf4fL.jpg</v>
      </c>
      <c r="W553" s="83">
        <v>44461.343645833331</v>
      </c>
      <c r="X553" s="89">
        <v>44461</v>
      </c>
      <c r="Y553" s="86" t="s">
        <v>3166</v>
      </c>
      <c r="Z553" s="84" t="str">
        <f>HYPERLINK("https://twitter.com/abbykhai11/status/1440590402709426185")</f>
        <v>https://twitter.com/abbykhai11/status/1440590402709426185</v>
      </c>
      <c r="AA553" s="81"/>
      <c r="AB553" s="81"/>
      <c r="AC553" s="86" t="s">
        <v>4628</v>
      </c>
      <c r="AD553" s="81"/>
      <c r="AE553" s="81" t="b">
        <v>0</v>
      </c>
      <c r="AF553" s="81">
        <v>0</v>
      </c>
      <c r="AG553" s="86" t="s">
        <v>6240</v>
      </c>
      <c r="AH553" s="81" t="b">
        <v>0</v>
      </c>
      <c r="AI553" s="81" t="s">
        <v>6479</v>
      </c>
      <c r="AJ553" s="81"/>
      <c r="AK553" s="86" t="s">
        <v>6240</v>
      </c>
      <c r="AL553" s="81" t="b">
        <v>0</v>
      </c>
      <c r="AM553" s="81">
        <v>25</v>
      </c>
      <c r="AN553" s="86" t="s">
        <v>5504</v>
      </c>
      <c r="AO553" s="86" t="s">
        <v>6505</v>
      </c>
      <c r="AP553" s="81" t="b">
        <v>0</v>
      </c>
      <c r="AQ553" s="86" t="s">
        <v>5504</v>
      </c>
      <c r="AR553" s="81" t="s">
        <v>179</v>
      </c>
      <c r="AS553" s="81">
        <v>0</v>
      </c>
      <c r="AT553" s="81">
        <v>0</v>
      </c>
      <c r="AU553" s="81"/>
      <c r="AV553" s="81"/>
      <c r="AW553" s="81"/>
      <c r="AX553" s="81"/>
      <c r="AY553" s="81"/>
      <c r="AZ553" s="81"/>
      <c r="BA553" s="81"/>
      <c r="BB553" s="81"/>
    </row>
    <row r="554" spans="1:54" x14ac:dyDescent="0.35">
      <c r="A554" s="66" t="s">
        <v>590</v>
      </c>
      <c r="B554" s="66" t="s">
        <v>1247</v>
      </c>
      <c r="C554" s="67"/>
      <c r="D554" s="68"/>
      <c r="E554" s="69"/>
      <c r="F554" s="70"/>
      <c r="G554" s="67"/>
      <c r="H554" s="71"/>
      <c r="I554" s="72"/>
      <c r="J554" s="72"/>
      <c r="K554" s="36"/>
      <c r="L554" s="79"/>
      <c r="M554" s="79"/>
      <c r="N554" s="74"/>
      <c r="O554" s="81" t="s">
        <v>1532</v>
      </c>
      <c r="P554" s="83">
        <v>44461.350787037038</v>
      </c>
      <c r="Q554" s="81" t="s">
        <v>1755</v>
      </c>
      <c r="R554" s="81"/>
      <c r="S554" s="81"/>
      <c r="T554" s="86" t="s">
        <v>2667</v>
      </c>
      <c r="U554" s="84" t="str">
        <f>HYPERLINK("https://pbs.twimg.com/media/E_38CFLVkAAf4fL.jpg")</f>
        <v>https://pbs.twimg.com/media/E_38CFLVkAAf4fL.jpg</v>
      </c>
      <c r="V554" s="84" t="str">
        <f>HYPERLINK("https://pbs.twimg.com/media/E_38CFLVkAAf4fL.jpg")</f>
        <v>https://pbs.twimg.com/media/E_38CFLVkAAf4fL.jpg</v>
      </c>
      <c r="W554" s="83">
        <v>44461.350787037038</v>
      </c>
      <c r="X554" s="89">
        <v>44461</v>
      </c>
      <c r="Y554" s="86" t="s">
        <v>3167</v>
      </c>
      <c r="Z554" s="84" t="str">
        <f>HYPERLINK("https://twitter.com/nychnie/status/1440592988627898371")</f>
        <v>https://twitter.com/nychnie/status/1440592988627898371</v>
      </c>
      <c r="AA554" s="81"/>
      <c r="AB554" s="81"/>
      <c r="AC554" s="86" t="s">
        <v>4629</v>
      </c>
      <c r="AD554" s="81"/>
      <c r="AE554" s="81" t="b">
        <v>0</v>
      </c>
      <c r="AF554" s="81">
        <v>0</v>
      </c>
      <c r="AG554" s="86" t="s">
        <v>6240</v>
      </c>
      <c r="AH554" s="81" t="b">
        <v>0</v>
      </c>
      <c r="AI554" s="81" t="s">
        <v>6479</v>
      </c>
      <c r="AJ554" s="81"/>
      <c r="AK554" s="86" t="s">
        <v>6240</v>
      </c>
      <c r="AL554" s="81" t="b">
        <v>0</v>
      </c>
      <c r="AM554" s="81">
        <v>25</v>
      </c>
      <c r="AN554" s="86" t="s">
        <v>5504</v>
      </c>
      <c r="AO554" s="86" t="s">
        <v>6503</v>
      </c>
      <c r="AP554" s="81" t="b">
        <v>0</v>
      </c>
      <c r="AQ554" s="86" t="s">
        <v>5504</v>
      </c>
      <c r="AR554" s="81" t="s">
        <v>179</v>
      </c>
      <c r="AS554" s="81">
        <v>0</v>
      </c>
      <c r="AT554" s="81">
        <v>0</v>
      </c>
      <c r="AU554" s="81"/>
      <c r="AV554" s="81"/>
      <c r="AW554" s="81"/>
      <c r="AX554" s="81"/>
      <c r="AY554" s="81"/>
      <c r="AZ554" s="81"/>
      <c r="BA554" s="81"/>
      <c r="BB554" s="81"/>
    </row>
    <row r="555" spans="1:54" x14ac:dyDescent="0.35">
      <c r="A555" s="66" t="s">
        <v>591</v>
      </c>
      <c r="B555" s="66" t="s">
        <v>1247</v>
      </c>
      <c r="C555" s="67"/>
      <c r="D555" s="68"/>
      <c r="E555" s="69"/>
      <c r="F555" s="70"/>
      <c r="G555" s="67"/>
      <c r="H555" s="71"/>
      <c r="I555" s="72"/>
      <c r="J555" s="72"/>
      <c r="K555" s="36"/>
      <c r="L555" s="79"/>
      <c r="M555" s="79"/>
      <c r="N555" s="74"/>
      <c r="O555" s="81" t="s">
        <v>1532</v>
      </c>
      <c r="P555" s="83">
        <v>44461.35193287037</v>
      </c>
      <c r="Q555" s="81" t="s">
        <v>1755</v>
      </c>
      <c r="R555" s="81"/>
      <c r="S555" s="81"/>
      <c r="T555" s="86" t="s">
        <v>2667</v>
      </c>
      <c r="U555" s="84" t="str">
        <f>HYPERLINK("https://pbs.twimg.com/media/E_38CFLVkAAf4fL.jpg")</f>
        <v>https://pbs.twimg.com/media/E_38CFLVkAAf4fL.jpg</v>
      </c>
      <c r="V555" s="84" t="str">
        <f>HYPERLINK("https://pbs.twimg.com/media/E_38CFLVkAAf4fL.jpg")</f>
        <v>https://pbs.twimg.com/media/E_38CFLVkAAf4fL.jpg</v>
      </c>
      <c r="W555" s="83">
        <v>44461.35193287037</v>
      </c>
      <c r="X555" s="89">
        <v>44461</v>
      </c>
      <c r="Y555" s="86" t="s">
        <v>3168</v>
      </c>
      <c r="Z555" s="84" t="str">
        <f>HYPERLINK("https://twitter.com/14quokka/status/1440593405331980299")</f>
        <v>https://twitter.com/14quokka/status/1440593405331980299</v>
      </c>
      <c r="AA555" s="81"/>
      <c r="AB555" s="81"/>
      <c r="AC555" s="86" t="s">
        <v>4630</v>
      </c>
      <c r="AD555" s="81"/>
      <c r="AE555" s="81" t="b">
        <v>0</v>
      </c>
      <c r="AF555" s="81">
        <v>0</v>
      </c>
      <c r="AG555" s="86" t="s">
        <v>6240</v>
      </c>
      <c r="AH555" s="81" t="b">
        <v>0</v>
      </c>
      <c r="AI555" s="81" t="s">
        <v>6479</v>
      </c>
      <c r="AJ555" s="81"/>
      <c r="AK555" s="86" t="s">
        <v>6240</v>
      </c>
      <c r="AL555" s="81" t="b">
        <v>0</v>
      </c>
      <c r="AM555" s="81">
        <v>25</v>
      </c>
      <c r="AN555" s="86" t="s">
        <v>5504</v>
      </c>
      <c r="AO555" s="86" t="s">
        <v>6505</v>
      </c>
      <c r="AP555" s="81" t="b">
        <v>0</v>
      </c>
      <c r="AQ555" s="86" t="s">
        <v>5504</v>
      </c>
      <c r="AR555" s="81" t="s">
        <v>179</v>
      </c>
      <c r="AS555" s="81">
        <v>0</v>
      </c>
      <c r="AT555" s="81">
        <v>0</v>
      </c>
      <c r="AU555" s="81"/>
      <c r="AV555" s="81"/>
      <c r="AW555" s="81"/>
      <c r="AX555" s="81"/>
      <c r="AY555" s="81"/>
      <c r="AZ555" s="81"/>
      <c r="BA555" s="81"/>
      <c r="BB555" s="81"/>
    </row>
    <row r="556" spans="1:54" x14ac:dyDescent="0.35">
      <c r="A556" s="66" t="s">
        <v>592</v>
      </c>
      <c r="B556" s="66" t="s">
        <v>592</v>
      </c>
      <c r="C556" s="67"/>
      <c r="D556" s="68"/>
      <c r="E556" s="69"/>
      <c r="F556" s="70"/>
      <c r="G556" s="67"/>
      <c r="H556" s="71"/>
      <c r="I556" s="72"/>
      <c r="J556" s="72"/>
      <c r="K556" s="36"/>
      <c r="L556" s="79"/>
      <c r="M556" s="79"/>
      <c r="N556" s="74"/>
      <c r="O556" s="81" t="s">
        <v>179</v>
      </c>
      <c r="P556" s="83">
        <v>44461.352256944447</v>
      </c>
      <c r="Q556" s="81" t="s">
        <v>1756</v>
      </c>
      <c r="R556" s="81"/>
      <c r="S556" s="81"/>
      <c r="T556" s="81"/>
      <c r="U556" s="81"/>
      <c r="V556" s="84" t="str">
        <f>HYPERLINK("https://pbs.twimg.com/profile_images/1172122438814953472/yvh-MPxy_normal.jpg")</f>
        <v>https://pbs.twimg.com/profile_images/1172122438814953472/yvh-MPxy_normal.jpg</v>
      </c>
      <c r="W556" s="83">
        <v>44461.352256944447</v>
      </c>
      <c r="X556" s="89">
        <v>44461</v>
      </c>
      <c r="Y556" s="86" t="s">
        <v>3169</v>
      </c>
      <c r="Z556" s="84" t="str">
        <f>HYPERLINK("https://twitter.com/aanisnana/status/1440593522961174529")</f>
        <v>https://twitter.com/aanisnana/status/1440593522961174529</v>
      </c>
      <c r="AA556" s="81"/>
      <c r="AB556" s="81"/>
      <c r="AC556" s="86" t="s">
        <v>4631</v>
      </c>
      <c r="AD556" s="81"/>
      <c r="AE556" s="81" t="b">
        <v>0</v>
      </c>
      <c r="AF556" s="81">
        <v>1</v>
      </c>
      <c r="AG556" s="86" t="s">
        <v>6240</v>
      </c>
      <c r="AH556" s="81" t="b">
        <v>0</v>
      </c>
      <c r="AI556" s="81" t="s">
        <v>6478</v>
      </c>
      <c r="AJ556" s="81"/>
      <c r="AK556" s="86" t="s">
        <v>6240</v>
      </c>
      <c r="AL556" s="81" t="b">
        <v>0</v>
      </c>
      <c r="AM556" s="81">
        <v>0</v>
      </c>
      <c r="AN556" s="86" t="s">
        <v>6240</v>
      </c>
      <c r="AO556" s="86" t="s">
        <v>6503</v>
      </c>
      <c r="AP556" s="81" t="b">
        <v>0</v>
      </c>
      <c r="AQ556" s="86" t="s">
        <v>4631</v>
      </c>
      <c r="AR556" s="81" t="s">
        <v>179</v>
      </c>
      <c r="AS556" s="81">
        <v>0</v>
      </c>
      <c r="AT556" s="81">
        <v>0</v>
      </c>
      <c r="AU556" s="81"/>
      <c r="AV556" s="81"/>
      <c r="AW556" s="81"/>
      <c r="AX556" s="81"/>
      <c r="AY556" s="81"/>
      <c r="AZ556" s="81"/>
      <c r="BA556" s="81"/>
      <c r="BB556" s="81"/>
    </row>
    <row r="557" spans="1:54" x14ac:dyDescent="0.35">
      <c r="A557" s="66" t="s">
        <v>593</v>
      </c>
      <c r="B557" s="66" t="s">
        <v>1247</v>
      </c>
      <c r="C557" s="67"/>
      <c r="D557" s="68"/>
      <c r="E557" s="69"/>
      <c r="F557" s="70"/>
      <c r="G557" s="67"/>
      <c r="H557" s="71"/>
      <c r="I557" s="72"/>
      <c r="J557" s="72"/>
      <c r="K557" s="36"/>
      <c r="L557" s="79"/>
      <c r="M557" s="79"/>
      <c r="N557" s="74"/>
      <c r="O557" s="81" t="s">
        <v>1532</v>
      </c>
      <c r="P557" s="83">
        <v>44461.353414351855</v>
      </c>
      <c r="Q557" s="81" t="s">
        <v>1755</v>
      </c>
      <c r="R557" s="81"/>
      <c r="S557" s="81"/>
      <c r="T557" s="86" t="s">
        <v>2667</v>
      </c>
      <c r="U557" s="84" t="str">
        <f>HYPERLINK("https://pbs.twimg.com/media/E_38CFLVkAAf4fL.jpg")</f>
        <v>https://pbs.twimg.com/media/E_38CFLVkAAf4fL.jpg</v>
      </c>
      <c r="V557" s="84" t="str">
        <f>HYPERLINK("https://pbs.twimg.com/media/E_38CFLVkAAf4fL.jpg")</f>
        <v>https://pbs.twimg.com/media/E_38CFLVkAAf4fL.jpg</v>
      </c>
      <c r="W557" s="83">
        <v>44461.353414351855</v>
      </c>
      <c r="X557" s="89">
        <v>44461</v>
      </c>
      <c r="Y557" s="86" t="s">
        <v>3170</v>
      </c>
      <c r="Z557" s="84" t="str">
        <f>HYPERLINK("https://twitter.com/_hanjillipop/status/1440593941879877635")</f>
        <v>https://twitter.com/_hanjillipop/status/1440593941879877635</v>
      </c>
      <c r="AA557" s="81"/>
      <c r="AB557" s="81"/>
      <c r="AC557" s="86" t="s">
        <v>4632</v>
      </c>
      <c r="AD557" s="81"/>
      <c r="AE557" s="81" t="b">
        <v>0</v>
      </c>
      <c r="AF557" s="81">
        <v>0</v>
      </c>
      <c r="AG557" s="86" t="s">
        <v>6240</v>
      </c>
      <c r="AH557" s="81" t="b">
        <v>0</v>
      </c>
      <c r="AI557" s="81" t="s">
        <v>6479</v>
      </c>
      <c r="AJ557" s="81"/>
      <c r="AK557" s="86" t="s">
        <v>6240</v>
      </c>
      <c r="AL557" s="81" t="b">
        <v>0</v>
      </c>
      <c r="AM557" s="81">
        <v>25</v>
      </c>
      <c r="AN557" s="86" t="s">
        <v>5504</v>
      </c>
      <c r="AO557" s="86" t="s">
        <v>6503</v>
      </c>
      <c r="AP557" s="81" t="b">
        <v>0</v>
      </c>
      <c r="AQ557" s="86" t="s">
        <v>5504</v>
      </c>
      <c r="AR557" s="81" t="s">
        <v>179</v>
      </c>
      <c r="AS557" s="81">
        <v>0</v>
      </c>
      <c r="AT557" s="81">
        <v>0</v>
      </c>
      <c r="AU557" s="81"/>
      <c r="AV557" s="81"/>
      <c r="AW557" s="81"/>
      <c r="AX557" s="81"/>
      <c r="AY557" s="81"/>
      <c r="AZ557" s="81"/>
      <c r="BA557" s="81"/>
      <c r="BB557" s="81"/>
    </row>
    <row r="558" spans="1:54" x14ac:dyDescent="0.35">
      <c r="A558" s="66" t="s">
        <v>594</v>
      </c>
      <c r="B558" s="66" t="s">
        <v>594</v>
      </c>
      <c r="C558" s="67"/>
      <c r="D558" s="68"/>
      <c r="E558" s="69"/>
      <c r="F558" s="70"/>
      <c r="G558" s="67"/>
      <c r="H558" s="71"/>
      <c r="I558" s="72"/>
      <c r="J558" s="72"/>
      <c r="K558" s="36"/>
      <c r="L558" s="79"/>
      <c r="M558" s="79"/>
      <c r="N558" s="74"/>
      <c r="O558" s="81" t="s">
        <v>179</v>
      </c>
      <c r="P558" s="83">
        <v>44461.353958333333</v>
      </c>
      <c r="Q558" s="81" t="s">
        <v>1757</v>
      </c>
      <c r="R558" s="84" t="str">
        <f>HYPERLINK("https://tvstv.my/2021/09/22/mindef-rancang-bina-10-pos-imbangan-tentera-tahun-depan-hishammuddin/")</f>
        <v>https://tvstv.my/2021/09/22/mindef-rancang-bina-10-pos-imbangan-tentera-tahun-depan-hishammuddin/</v>
      </c>
      <c r="S558" s="81" t="s">
        <v>2607</v>
      </c>
      <c r="T558" s="86" t="s">
        <v>2677</v>
      </c>
      <c r="U558" s="81"/>
      <c r="V558" s="84" t="str">
        <f>HYPERLINK("https://pbs.twimg.com/profile_images/1327086189468237824/y_ES2byw_normal.jpg")</f>
        <v>https://pbs.twimg.com/profile_images/1327086189468237824/y_ES2byw_normal.jpg</v>
      </c>
      <c r="W558" s="83">
        <v>44461.353958333333</v>
      </c>
      <c r="X558" s="89">
        <v>44461</v>
      </c>
      <c r="Y558" s="86" t="s">
        <v>3171</v>
      </c>
      <c r="Z558" s="84" t="str">
        <f>HYPERLINK("https://twitter.com/tvstvmy/status/1440594138244603909")</f>
        <v>https://twitter.com/tvstvmy/status/1440594138244603909</v>
      </c>
      <c r="AA558" s="81"/>
      <c r="AB558" s="81"/>
      <c r="AC558" s="86" t="s">
        <v>4633</v>
      </c>
      <c r="AD558" s="81"/>
      <c r="AE558" s="81" t="b">
        <v>0</v>
      </c>
      <c r="AF558" s="81">
        <v>0</v>
      </c>
      <c r="AG558" s="86" t="s">
        <v>6240</v>
      </c>
      <c r="AH558" s="81" t="b">
        <v>0</v>
      </c>
      <c r="AI558" s="81" t="s">
        <v>6478</v>
      </c>
      <c r="AJ558" s="81"/>
      <c r="AK558" s="86" t="s">
        <v>6240</v>
      </c>
      <c r="AL558" s="81" t="b">
        <v>0</v>
      </c>
      <c r="AM558" s="81">
        <v>0</v>
      </c>
      <c r="AN558" s="86" t="s">
        <v>6240</v>
      </c>
      <c r="AO558" s="86" t="s">
        <v>6507</v>
      </c>
      <c r="AP558" s="81" t="b">
        <v>0</v>
      </c>
      <c r="AQ558" s="86" t="s">
        <v>4633</v>
      </c>
      <c r="AR558" s="81" t="s">
        <v>179</v>
      </c>
      <c r="AS558" s="81">
        <v>0</v>
      </c>
      <c r="AT558" s="81">
        <v>0</v>
      </c>
      <c r="AU558" s="81"/>
      <c r="AV558" s="81"/>
      <c r="AW558" s="81"/>
      <c r="AX558" s="81"/>
      <c r="AY558" s="81"/>
      <c r="AZ558" s="81"/>
      <c r="BA558" s="81"/>
      <c r="BB558" s="81"/>
    </row>
    <row r="559" spans="1:54" x14ac:dyDescent="0.35">
      <c r="A559" s="66" t="s">
        <v>595</v>
      </c>
      <c r="B559" s="66" t="s">
        <v>1247</v>
      </c>
      <c r="C559" s="67"/>
      <c r="D559" s="68"/>
      <c r="E559" s="69"/>
      <c r="F559" s="70"/>
      <c r="G559" s="67"/>
      <c r="H559" s="71"/>
      <c r="I559" s="72"/>
      <c r="J559" s="72"/>
      <c r="K559" s="36"/>
      <c r="L559" s="79"/>
      <c r="M559" s="79"/>
      <c r="N559" s="74"/>
      <c r="O559" s="81" t="s">
        <v>1532</v>
      </c>
      <c r="P559" s="83">
        <v>44461.354143518518</v>
      </c>
      <c r="Q559" s="81" t="s">
        <v>1755</v>
      </c>
      <c r="R559" s="81"/>
      <c r="S559" s="81"/>
      <c r="T559" s="86" t="s">
        <v>2667</v>
      </c>
      <c r="U559" s="84" t="str">
        <f>HYPERLINK("https://pbs.twimg.com/media/E_38CFLVkAAf4fL.jpg")</f>
        <v>https://pbs.twimg.com/media/E_38CFLVkAAf4fL.jpg</v>
      </c>
      <c r="V559" s="84" t="str">
        <f>HYPERLINK("https://pbs.twimg.com/media/E_38CFLVkAAf4fL.jpg")</f>
        <v>https://pbs.twimg.com/media/E_38CFLVkAAf4fL.jpg</v>
      </c>
      <c r="W559" s="83">
        <v>44461.354143518518</v>
      </c>
      <c r="X559" s="89">
        <v>44461</v>
      </c>
      <c r="Y559" s="86" t="s">
        <v>3172</v>
      </c>
      <c r="Z559" s="84" t="str">
        <f>HYPERLINK("https://twitter.com/prncsflwr_/status/1440594208457302027")</f>
        <v>https://twitter.com/prncsflwr_/status/1440594208457302027</v>
      </c>
      <c r="AA559" s="81"/>
      <c r="AB559" s="81"/>
      <c r="AC559" s="86" t="s">
        <v>4634</v>
      </c>
      <c r="AD559" s="81"/>
      <c r="AE559" s="81" t="b">
        <v>0</v>
      </c>
      <c r="AF559" s="81">
        <v>0</v>
      </c>
      <c r="AG559" s="86" t="s">
        <v>6240</v>
      </c>
      <c r="AH559" s="81" t="b">
        <v>0</v>
      </c>
      <c r="AI559" s="81" t="s">
        <v>6479</v>
      </c>
      <c r="AJ559" s="81"/>
      <c r="AK559" s="86" t="s">
        <v>6240</v>
      </c>
      <c r="AL559" s="81" t="b">
        <v>0</v>
      </c>
      <c r="AM559" s="81">
        <v>25</v>
      </c>
      <c r="AN559" s="86" t="s">
        <v>5504</v>
      </c>
      <c r="AO559" s="86" t="s">
        <v>6505</v>
      </c>
      <c r="AP559" s="81" t="b">
        <v>0</v>
      </c>
      <c r="AQ559" s="86" t="s">
        <v>5504</v>
      </c>
      <c r="AR559" s="81" t="s">
        <v>179</v>
      </c>
      <c r="AS559" s="81">
        <v>0</v>
      </c>
      <c r="AT559" s="81">
        <v>0</v>
      </c>
      <c r="AU559" s="81"/>
      <c r="AV559" s="81"/>
      <c r="AW559" s="81"/>
      <c r="AX559" s="81"/>
      <c r="AY559" s="81"/>
      <c r="AZ559" s="81"/>
      <c r="BA559" s="81"/>
      <c r="BB559" s="81"/>
    </row>
    <row r="560" spans="1:54" x14ac:dyDescent="0.35">
      <c r="A560" s="66" t="s">
        <v>596</v>
      </c>
      <c r="B560" s="66" t="s">
        <v>1247</v>
      </c>
      <c r="C560" s="67"/>
      <c r="D560" s="68"/>
      <c r="E560" s="69"/>
      <c r="F560" s="70"/>
      <c r="G560" s="67"/>
      <c r="H560" s="71"/>
      <c r="I560" s="72"/>
      <c r="J560" s="72"/>
      <c r="K560" s="36"/>
      <c r="L560" s="79"/>
      <c r="M560" s="79"/>
      <c r="N560" s="74"/>
      <c r="O560" s="81" t="s">
        <v>1532</v>
      </c>
      <c r="P560" s="83">
        <v>44461.359861111108</v>
      </c>
      <c r="Q560" s="81" t="s">
        <v>1755</v>
      </c>
      <c r="R560" s="81"/>
      <c r="S560" s="81"/>
      <c r="T560" s="86" t="s">
        <v>2667</v>
      </c>
      <c r="U560" s="84" t="str">
        <f>HYPERLINK("https://pbs.twimg.com/media/E_38CFLVkAAf4fL.jpg")</f>
        <v>https://pbs.twimg.com/media/E_38CFLVkAAf4fL.jpg</v>
      </c>
      <c r="V560" s="84" t="str">
        <f>HYPERLINK("https://pbs.twimg.com/media/E_38CFLVkAAf4fL.jpg")</f>
        <v>https://pbs.twimg.com/media/E_38CFLVkAAf4fL.jpg</v>
      </c>
      <c r="W560" s="83">
        <v>44461.359861111108</v>
      </c>
      <c r="X560" s="89">
        <v>44461</v>
      </c>
      <c r="Y560" s="86" t="s">
        <v>3173</v>
      </c>
      <c r="Z560" s="84" t="str">
        <f>HYPERLINK("https://twitter.com/stayawl/status/1440596277914308612")</f>
        <v>https://twitter.com/stayawl/status/1440596277914308612</v>
      </c>
      <c r="AA560" s="81"/>
      <c r="AB560" s="81"/>
      <c r="AC560" s="86" t="s">
        <v>4635</v>
      </c>
      <c r="AD560" s="81"/>
      <c r="AE560" s="81" t="b">
        <v>0</v>
      </c>
      <c r="AF560" s="81">
        <v>0</v>
      </c>
      <c r="AG560" s="86" t="s">
        <v>6240</v>
      </c>
      <c r="AH560" s="81" t="b">
        <v>0</v>
      </c>
      <c r="AI560" s="81" t="s">
        <v>6479</v>
      </c>
      <c r="AJ560" s="81"/>
      <c r="AK560" s="86" t="s">
        <v>6240</v>
      </c>
      <c r="AL560" s="81" t="b">
        <v>0</v>
      </c>
      <c r="AM560" s="81">
        <v>25</v>
      </c>
      <c r="AN560" s="86" t="s">
        <v>5504</v>
      </c>
      <c r="AO560" s="86" t="s">
        <v>6503</v>
      </c>
      <c r="AP560" s="81" t="b">
        <v>0</v>
      </c>
      <c r="AQ560" s="86" t="s">
        <v>5504</v>
      </c>
      <c r="AR560" s="81" t="s">
        <v>179</v>
      </c>
      <c r="AS560" s="81">
        <v>0</v>
      </c>
      <c r="AT560" s="81">
        <v>0</v>
      </c>
      <c r="AU560" s="81"/>
      <c r="AV560" s="81"/>
      <c r="AW560" s="81"/>
      <c r="AX560" s="81"/>
      <c r="AY560" s="81"/>
      <c r="AZ560" s="81"/>
      <c r="BA560" s="81"/>
      <c r="BB560" s="81"/>
    </row>
    <row r="561" spans="1:54" x14ac:dyDescent="0.35">
      <c r="A561" s="66" t="s">
        <v>597</v>
      </c>
      <c r="B561" s="66" t="s">
        <v>712</v>
      </c>
      <c r="C561" s="67"/>
      <c r="D561" s="68"/>
      <c r="E561" s="69"/>
      <c r="F561" s="70"/>
      <c r="G561" s="67"/>
      <c r="H561" s="71"/>
      <c r="I561" s="72"/>
      <c r="J561" s="72"/>
      <c r="K561" s="36"/>
      <c r="L561" s="79"/>
      <c r="M561" s="79"/>
      <c r="N561" s="74"/>
      <c r="O561" s="81" t="s">
        <v>1532</v>
      </c>
      <c r="P561" s="83">
        <v>44461.363622685189</v>
      </c>
      <c r="Q561" s="81" t="s">
        <v>1758</v>
      </c>
      <c r="R561" s="81"/>
      <c r="S561" s="81"/>
      <c r="T561" s="86" t="s">
        <v>2678</v>
      </c>
      <c r="U561" s="84" t="str">
        <f>HYPERLINK("https://pbs.twimg.com/media/E_4G1w0UcAYtmKg.jpg")</f>
        <v>https://pbs.twimg.com/media/E_4G1w0UcAYtmKg.jpg</v>
      </c>
      <c r="V561" s="84" t="str">
        <f>HYPERLINK("https://pbs.twimg.com/media/E_4G1w0UcAYtmKg.jpg")</f>
        <v>https://pbs.twimg.com/media/E_4G1w0UcAYtmKg.jpg</v>
      </c>
      <c r="W561" s="83">
        <v>44461.363622685189</v>
      </c>
      <c r="X561" s="89">
        <v>44461</v>
      </c>
      <c r="Y561" s="86" t="s">
        <v>3174</v>
      </c>
      <c r="Z561" s="84" t="str">
        <f>HYPERLINK("https://twitter.com/nctrting/status/1440597642833129477")</f>
        <v>https://twitter.com/nctrting/status/1440597642833129477</v>
      </c>
      <c r="AA561" s="81"/>
      <c r="AB561" s="81"/>
      <c r="AC561" s="86" t="s">
        <v>4636</v>
      </c>
      <c r="AD561" s="81"/>
      <c r="AE561" s="81" t="b">
        <v>0</v>
      </c>
      <c r="AF561" s="81">
        <v>0</v>
      </c>
      <c r="AG561" s="86" t="s">
        <v>6240</v>
      </c>
      <c r="AH561" s="81" t="b">
        <v>0</v>
      </c>
      <c r="AI561" s="81" t="s">
        <v>6479</v>
      </c>
      <c r="AJ561" s="81"/>
      <c r="AK561" s="86" t="s">
        <v>6240</v>
      </c>
      <c r="AL561" s="81" t="b">
        <v>0</v>
      </c>
      <c r="AM561" s="81">
        <v>12</v>
      </c>
      <c r="AN561" s="86" t="s">
        <v>4753</v>
      </c>
      <c r="AO561" s="86" t="s">
        <v>6503</v>
      </c>
      <c r="AP561" s="81" t="b">
        <v>0</v>
      </c>
      <c r="AQ561" s="86" t="s">
        <v>4753</v>
      </c>
      <c r="AR561" s="81" t="s">
        <v>179</v>
      </c>
      <c r="AS561" s="81">
        <v>0</v>
      </c>
      <c r="AT561" s="81">
        <v>0</v>
      </c>
      <c r="AU561" s="81"/>
      <c r="AV561" s="81"/>
      <c r="AW561" s="81"/>
      <c r="AX561" s="81"/>
      <c r="AY561" s="81"/>
      <c r="AZ561" s="81"/>
      <c r="BA561" s="81"/>
      <c r="BB561" s="81"/>
    </row>
    <row r="562" spans="1:54" x14ac:dyDescent="0.35">
      <c r="A562" s="66" t="s">
        <v>598</v>
      </c>
      <c r="B562" s="66" t="s">
        <v>712</v>
      </c>
      <c r="C562" s="67"/>
      <c r="D562" s="68"/>
      <c r="E562" s="69"/>
      <c r="F562" s="70"/>
      <c r="G562" s="67"/>
      <c r="H562" s="71"/>
      <c r="I562" s="72"/>
      <c r="J562" s="72"/>
      <c r="K562" s="36"/>
      <c r="L562" s="79"/>
      <c r="M562" s="79"/>
      <c r="N562" s="74"/>
      <c r="O562" s="81" t="s">
        <v>1532</v>
      </c>
      <c r="P562" s="83">
        <v>44461.36515046296</v>
      </c>
      <c r="Q562" s="81" t="s">
        <v>1758</v>
      </c>
      <c r="R562" s="81"/>
      <c r="S562" s="81"/>
      <c r="T562" s="86" t="s">
        <v>2678</v>
      </c>
      <c r="U562" s="84" t="str">
        <f>HYPERLINK("https://pbs.twimg.com/media/E_4G1w0UcAYtmKg.jpg")</f>
        <v>https://pbs.twimg.com/media/E_4G1w0UcAYtmKg.jpg</v>
      </c>
      <c r="V562" s="84" t="str">
        <f>HYPERLINK("https://pbs.twimg.com/media/E_4G1w0UcAYtmKg.jpg")</f>
        <v>https://pbs.twimg.com/media/E_4G1w0UcAYtmKg.jpg</v>
      </c>
      <c r="W562" s="83">
        <v>44461.36515046296</v>
      </c>
      <c r="X562" s="89">
        <v>44461</v>
      </c>
      <c r="Y562" s="86" t="s">
        <v>3175</v>
      </c>
      <c r="Z562" s="84" t="str">
        <f>HYPERLINK("https://twitter.com/myncteam/status/1440598196355416077")</f>
        <v>https://twitter.com/myncteam/status/1440598196355416077</v>
      </c>
      <c r="AA562" s="81"/>
      <c r="AB562" s="81"/>
      <c r="AC562" s="86" t="s">
        <v>4637</v>
      </c>
      <c r="AD562" s="81"/>
      <c r="AE562" s="81" t="b">
        <v>0</v>
      </c>
      <c r="AF562" s="81">
        <v>0</v>
      </c>
      <c r="AG562" s="86" t="s">
        <v>6240</v>
      </c>
      <c r="AH562" s="81" t="b">
        <v>0</v>
      </c>
      <c r="AI562" s="81" t="s">
        <v>6479</v>
      </c>
      <c r="AJ562" s="81"/>
      <c r="AK562" s="86" t="s">
        <v>6240</v>
      </c>
      <c r="AL562" s="81" t="b">
        <v>0</v>
      </c>
      <c r="AM562" s="81">
        <v>12</v>
      </c>
      <c r="AN562" s="86" t="s">
        <v>4753</v>
      </c>
      <c r="AO562" s="86" t="s">
        <v>6505</v>
      </c>
      <c r="AP562" s="81" t="b">
        <v>0</v>
      </c>
      <c r="AQ562" s="86" t="s">
        <v>4753</v>
      </c>
      <c r="AR562" s="81" t="s">
        <v>179</v>
      </c>
      <c r="AS562" s="81">
        <v>0</v>
      </c>
      <c r="AT562" s="81">
        <v>0</v>
      </c>
      <c r="AU562" s="81"/>
      <c r="AV562" s="81"/>
      <c r="AW562" s="81"/>
      <c r="AX562" s="81"/>
      <c r="AY562" s="81"/>
      <c r="AZ562" s="81"/>
      <c r="BA562" s="81"/>
      <c r="BB562" s="81"/>
    </row>
    <row r="563" spans="1:54" x14ac:dyDescent="0.35">
      <c r="A563" s="66" t="s">
        <v>599</v>
      </c>
      <c r="B563" s="66" t="s">
        <v>712</v>
      </c>
      <c r="C563" s="67"/>
      <c r="D563" s="68"/>
      <c r="E563" s="69"/>
      <c r="F563" s="70"/>
      <c r="G563" s="67"/>
      <c r="H563" s="71"/>
      <c r="I563" s="72"/>
      <c r="J563" s="72"/>
      <c r="K563" s="36"/>
      <c r="L563" s="79"/>
      <c r="M563" s="79"/>
      <c r="N563" s="74"/>
      <c r="O563" s="81" t="s">
        <v>1532</v>
      </c>
      <c r="P563" s="83">
        <v>44461.372673611113</v>
      </c>
      <c r="Q563" s="81" t="s">
        <v>1758</v>
      </c>
      <c r="R563" s="81"/>
      <c r="S563" s="81"/>
      <c r="T563" s="86" t="s">
        <v>2678</v>
      </c>
      <c r="U563" s="84" t="str">
        <f>HYPERLINK("https://pbs.twimg.com/media/E_4G1w0UcAYtmKg.jpg")</f>
        <v>https://pbs.twimg.com/media/E_4G1w0UcAYtmKg.jpg</v>
      </c>
      <c r="V563" s="84" t="str">
        <f>HYPERLINK("https://pbs.twimg.com/media/E_4G1w0UcAYtmKg.jpg")</f>
        <v>https://pbs.twimg.com/media/E_4G1w0UcAYtmKg.jpg</v>
      </c>
      <c r="W563" s="83">
        <v>44461.372673611113</v>
      </c>
      <c r="X563" s="89">
        <v>44461</v>
      </c>
      <c r="Y563" s="86" t="s">
        <v>3176</v>
      </c>
      <c r="Z563" s="84" t="str">
        <f>HYPERLINK("https://twitter.com/pasarnct/status/1440600921797390338")</f>
        <v>https://twitter.com/pasarnct/status/1440600921797390338</v>
      </c>
      <c r="AA563" s="81"/>
      <c r="AB563" s="81"/>
      <c r="AC563" s="86" t="s">
        <v>4638</v>
      </c>
      <c r="AD563" s="81"/>
      <c r="AE563" s="81" t="b">
        <v>0</v>
      </c>
      <c r="AF563" s="81">
        <v>0</v>
      </c>
      <c r="AG563" s="86" t="s">
        <v>6240</v>
      </c>
      <c r="AH563" s="81" t="b">
        <v>0</v>
      </c>
      <c r="AI563" s="81" t="s">
        <v>6479</v>
      </c>
      <c r="AJ563" s="81"/>
      <c r="AK563" s="86" t="s">
        <v>6240</v>
      </c>
      <c r="AL563" s="81" t="b">
        <v>0</v>
      </c>
      <c r="AM563" s="81">
        <v>12</v>
      </c>
      <c r="AN563" s="86" t="s">
        <v>4753</v>
      </c>
      <c r="AO563" s="86" t="s">
        <v>6503</v>
      </c>
      <c r="AP563" s="81" t="b">
        <v>0</v>
      </c>
      <c r="AQ563" s="86" t="s">
        <v>4753</v>
      </c>
      <c r="AR563" s="81" t="s">
        <v>179</v>
      </c>
      <c r="AS563" s="81">
        <v>0</v>
      </c>
      <c r="AT563" s="81">
        <v>0</v>
      </c>
      <c r="AU563" s="81"/>
      <c r="AV563" s="81"/>
      <c r="AW563" s="81"/>
      <c r="AX563" s="81"/>
      <c r="AY563" s="81"/>
      <c r="AZ563" s="81"/>
      <c r="BA563" s="81"/>
      <c r="BB563" s="81"/>
    </row>
    <row r="564" spans="1:54" x14ac:dyDescent="0.35">
      <c r="A564" s="66" t="s">
        <v>600</v>
      </c>
      <c r="B564" s="66" t="s">
        <v>712</v>
      </c>
      <c r="C564" s="67"/>
      <c r="D564" s="68"/>
      <c r="E564" s="69"/>
      <c r="F564" s="70"/>
      <c r="G564" s="67"/>
      <c r="H564" s="71"/>
      <c r="I564" s="72"/>
      <c r="J564" s="72"/>
      <c r="K564" s="36"/>
      <c r="L564" s="79"/>
      <c r="M564" s="79"/>
      <c r="N564" s="74"/>
      <c r="O564" s="81" t="s">
        <v>1532</v>
      </c>
      <c r="P564" s="83">
        <v>44461.376099537039</v>
      </c>
      <c r="Q564" s="81" t="s">
        <v>1758</v>
      </c>
      <c r="R564" s="81"/>
      <c r="S564" s="81"/>
      <c r="T564" s="86" t="s">
        <v>2678</v>
      </c>
      <c r="U564" s="84" t="str">
        <f>HYPERLINK("https://pbs.twimg.com/media/E_4G1w0UcAYtmKg.jpg")</f>
        <v>https://pbs.twimg.com/media/E_4G1w0UcAYtmKg.jpg</v>
      </c>
      <c r="V564" s="84" t="str">
        <f>HYPERLINK("https://pbs.twimg.com/media/E_4G1w0UcAYtmKg.jpg")</f>
        <v>https://pbs.twimg.com/media/E_4G1w0UcAYtmKg.jpg</v>
      </c>
      <c r="W564" s="83">
        <v>44461.376099537039</v>
      </c>
      <c r="X564" s="89">
        <v>44461</v>
      </c>
      <c r="Y564" s="86" t="s">
        <v>3177</v>
      </c>
      <c r="Z564" s="84" t="str">
        <f>HYPERLINK("https://twitter.com/elninosaurus/status/1440602161444917255")</f>
        <v>https://twitter.com/elninosaurus/status/1440602161444917255</v>
      </c>
      <c r="AA564" s="81"/>
      <c r="AB564" s="81"/>
      <c r="AC564" s="86" t="s">
        <v>4639</v>
      </c>
      <c r="AD564" s="81"/>
      <c r="AE564" s="81" t="b">
        <v>0</v>
      </c>
      <c r="AF564" s="81">
        <v>0</v>
      </c>
      <c r="AG564" s="86" t="s">
        <v>6240</v>
      </c>
      <c r="AH564" s="81" t="b">
        <v>0</v>
      </c>
      <c r="AI564" s="81" t="s">
        <v>6479</v>
      </c>
      <c r="AJ564" s="81"/>
      <c r="AK564" s="86" t="s">
        <v>6240</v>
      </c>
      <c r="AL564" s="81" t="b">
        <v>0</v>
      </c>
      <c r="AM564" s="81">
        <v>12</v>
      </c>
      <c r="AN564" s="86" t="s">
        <v>4753</v>
      </c>
      <c r="AO564" s="86" t="s">
        <v>6503</v>
      </c>
      <c r="AP564" s="81" t="b">
        <v>0</v>
      </c>
      <c r="AQ564" s="86" t="s">
        <v>4753</v>
      </c>
      <c r="AR564" s="81" t="s">
        <v>179</v>
      </c>
      <c r="AS564" s="81">
        <v>0</v>
      </c>
      <c r="AT564" s="81">
        <v>0</v>
      </c>
      <c r="AU564" s="81"/>
      <c r="AV564" s="81"/>
      <c r="AW564" s="81"/>
      <c r="AX564" s="81"/>
      <c r="AY564" s="81"/>
      <c r="AZ564" s="81"/>
      <c r="BA564" s="81"/>
      <c r="BB564" s="81"/>
    </row>
    <row r="565" spans="1:54" x14ac:dyDescent="0.35">
      <c r="A565" s="66" t="s">
        <v>601</v>
      </c>
      <c r="B565" s="66" t="s">
        <v>1274</v>
      </c>
      <c r="C565" s="67"/>
      <c r="D565" s="68"/>
      <c r="E565" s="69"/>
      <c r="F565" s="70"/>
      <c r="G565" s="67"/>
      <c r="H565" s="71"/>
      <c r="I565" s="72"/>
      <c r="J565" s="72"/>
      <c r="K565" s="36"/>
      <c r="L565" s="79"/>
      <c r="M565" s="79"/>
      <c r="N565" s="74"/>
      <c r="O565" s="81" t="s">
        <v>1534</v>
      </c>
      <c r="P565" s="83">
        <v>44461.37777777778</v>
      </c>
      <c r="Q565" s="81" t="s">
        <v>1759</v>
      </c>
      <c r="R565" s="81"/>
      <c r="S565" s="81"/>
      <c r="T565" s="81"/>
      <c r="U565" s="81"/>
      <c r="V565" s="84" t="str">
        <f>HYPERLINK("https://pbs.twimg.com/profile_images/1441398670084116482/fOwaMjMk_normal.jpg")</f>
        <v>https://pbs.twimg.com/profile_images/1441398670084116482/fOwaMjMk_normal.jpg</v>
      </c>
      <c r="W565" s="83">
        <v>44461.37777777778</v>
      </c>
      <c r="X565" s="89">
        <v>44461</v>
      </c>
      <c r="Y565" s="86" t="s">
        <v>3178</v>
      </c>
      <c r="Z565" s="84" t="str">
        <f>HYPERLINK("https://twitter.com/perikertas17/status/1440602772705984519")</f>
        <v>https://twitter.com/perikertas17/status/1440602772705984519</v>
      </c>
      <c r="AA565" s="81"/>
      <c r="AB565" s="81"/>
      <c r="AC565" s="86" t="s">
        <v>4640</v>
      </c>
      <c r="AD565" s="86" t="s">
        <v>6065</v>
      </c>
      <c r="AE565" s="81" t="b">
        <v>0</v>
      </c>
      <c r="AF565" s="81">
        <v>0</v>
      </c>
      <c r="AG565" s="86" t="s">
        <v>6243</v>
      </c>
      <c r="AH565" s="81" t="b">
        <v>0</v>
      </c>
      <c r="AI565" s="81" t="s">
        <v>6478</v>
      </c>
      <c r="AJ565" s="81"/>
      <c r="AK565" s="86" t="s">
        <v>6240</v>
      </c>
      <c r="AL565" s="81" t="b">
        <v>0</v>
      </c>
      <c r="AM565" s="81">
        <v>0</v>
      </c>
      <c r="AN565" s="86" t="s">
        <v>6240</v>
      </c>
      <c r="AO565" s="86" t="s">
        <v>6503</v>
      </c>
      <c r="AP565" s="81" t="b">
        <v>0</v>
      </c>
      <c r="AQ565" s="86" t="s">
        <v>6065</v>
      </c>
      <c r="AR565" s="81" t="s">
        <v>179</v>
      </c>
      <c r="AS565" s="81">
        <v>0</v>
      </c>
      <c r="AT565" s="81">
        <v>0</v>
      </c>
      <c r="AU565" s="81"/>
      <c r="AV565" s="81"/>
      <c r="AW565" s="81"/>
      <c r="AX565" s="81"/>
      <c r="AY565" s="81"/>
      <c r="AZ565" s="81"/>
      <c r="BA565" s="81"/>
      <c r="BB565" s="81"/>
    </row>
    <row r="566" spans="1:54" x14ac:dyDescent="0.35">
      <c r="A566" s="66" t="s">
        <v>602</v>
      </c>
      <c r="B566" s="66" t="s">
        <v>1247</v>
      </c>
      <c r="C566" s="67"/>
      <c r="D566" s="68"/>
      <c r="E566" s="69"/>
      <c r="F566" s="70"/>
      <c r="G566" s="67"/>
      <c r="H566" s="71"/>
      <c r="I566" s="72"/>
      <c r="J566" s="72"/>
      <c r="K566" s="36"/>
      <c r="L566" s="79"/>
      <c r="M566" s="79"/>
      <c r="N566" s="74"/>
      <c r="O566" s="81" t="s">
        <v>1532</v>
      </c>
      <c r="P566" s="83">
        <v>44459.523935185185</v>
      </c>
      <c r="Q566" s="81" t="s">
        <v>1650</v>
      </c>
      <c r="R566" s="81"/>
      <c r="S566" s="81"/>
      <c r="T566" s="86" t="s">
        <v>2667</v>
      </c>
      <c r="U566" s="84" t="str">
        <f>HYPERLINK("https://pbs.twimg.com/media/E_ubZIHUYAESLiB.jpg")</f>
        <v>https://pbs.twimg.com/media/E_ubZIHUYAESLiB.jpg</v>
      </c>
      <c r="V566" s="84" t="str">
        <f>HYPERLINK("https://pbs.twimg.com/media/E_ubZIHUYAESLiB.jpg")</f>
        <v>https://pbs.twimg.com/media/E_ubZIHUYAESLiB.jpg</v>
      </c>
      <c r="W566" s="83">
        <v>44459.523935185185</v>
      </c>
      <c r="X566" s="89">
        <v>44459</v>
      </c>
      <c r="Y566" s="86" t="s">
        <v>3179</v>
      </c>
      <c r="Z566" s="84" t="str">
        <f>HYPERLINK("https://twitter.com/bucinhwghyunjin/status/1439930962972852228")</f>
        <v>https://twitter.com/bucinhwghyunjin/status/1439930962972852228</v>
      </c>
      <c r="AA566" s="81"/>
      <c r="AB566" s="81"/>
      <c r="AC566" s="86" t="s">
        <v>4641</v>
      </c>
      <c r="AD566" s="81"/>
      <c r="AE566" s="81" t="b">
        <v>0</v>
      </c>
      <c r="AF566" s="81">
        <v>0</v>
      </c>
      <c r="AG566" s="86" t="s">
        <v>6240</v>
      </c>
      <c r="AH566" s="81" t="b">
        <v>0</v>
      </c>
      <c r="AI566" s="81" t="s">
        <v>6479</v>
      </c>
      <c r="AJ566" s="81"/>
      <c r="AK566" s="86" t="s">
        <v>6240</v>
      </c>
      <c r="AL566" s="81" t="b">
        <v>0</v>
      </c>
      <c r="AM566" s="81">
        <v>27</v>
      </c>
      <c r="AN566" s="86" t="s">
        <v>5503</v>
      </c>
      <c r="AO566" s="86" t="s">
        <v>6503</v>
      </c>
      <c r="AP566" s="81" t="b">
        <v>0</v>
      </c>
      <c r="AQ566" s="86" t="s">
        <v>5503</v>
      </c>
      <c r="AR566" s="81" t="s">
        <v>179</v>
      </c>
      <c r="AS566" s="81">
        <v>0</v>
      </c>
      <c r="AT566" s="81">
        <v>0</v>
      </c>
      <c r="AU566" s="81"/>
      <c r="AV566" s="81"/>
      <c r="AW566" s="81"/>
      <c r="AX566" s="81"/>
      <c r="AY566" s="81"/>
      <c r="AZ566" s="81"/>
      <c r="BA566" s="81"/>
      <c r="BB566" s="81"/>
    </row>
    <row r="567" spans="1:54" x14ac:dyDescent="0.35">
      <c r="A567" s="66" t="s">
        <v>602</v>
      </c>
      <c r="B567" s="66" t="s">
        <v>1247</v>
      </c>
      <c r="C567" s="67"/>
      <c r="D567" s="68"/>
      <c r="E567" s="69"/>
      <c r="F567" s="70"/>
      <c r="G567" s="67"/>
      <c r="H567" s="71"/>
      <c r="I567" s="72"/>
      <c r="J567" s="72"/>
      <c r="K567" s="36"/>
      <c r="L567" s="79"/>
      <c r="M567" s="79"/>
      <c r="N567" s="74"/>
      <c r="O567" s="81" t="s">
        <v>1532</v>
      </c>
      <c r="P567" s="83">
        <v>44461.382187499999</v>
      </c>
      <c r="Q567" s="81" t="s">
        <v>1755</v>
      </c>
      <c r="R567" s="81"/>
      <c r="S567" s="81"/>
      <c r="T567" s="86" t="s">
        <v>2667</v>
      </c>
      <c r="U567" s="84" t="str">
        <f>HYPERLINK("https://pbs.twimg.com/media/E_38CFLVkAAf4fL.jpg")</f>
        <v>https://pbs.twimg.com/media/E_38CFLVkAAf4fL.jpg</v>
      </c>
      <c r="V567" s="84" t="str">
        <f>HYPERLINK("https://pbs.twimg.com/media/E_38CFLVkAAf4fL.jpg")</f>
        <v>https://pbs.twimg.com/media/E_38CFLVkAAf4fL.jpg</v>
      </c>
      <c r="W567" s="83">
        <v>44461.382187499999</v>
      </c>
      <c r="X567" s="89">
        <v>44461</v>
      </c>
      <c r="Y567" s="86" t="s">
        <v>3180</v>
      </c>
      <c r="Z567" s="84" t="str">
        <f>HYPERLINK("https://twitter.com/bucinhwghyunjin/status/1440604369066463241")</f>
        <v>https://twitter.com/bucinhwghyunjin/status/1440604369066463241</v>
      </c>
      <c r="AA567" s="81"/>
      <c r="AB567" s="81"/>
      <c r="AC567" s="86" t="s">
        <v>4642</v>
      </c>
      <c r="AD567" s="81"/>
      <c r="AE567" s="81" t="b">
        <v>0</v>
      </c>
      <c r="AF567" s="81">
        <v>0</v>
      </c>
      <c r="AG567" s="86" t="s">
        <v>6240</v>
      </c>
      <c r="AH567" s="81" t="b">
        <v>0</v>
      </c>
      <c r="AI567" s="81" t="s">
        <v>6479</v>
      </c>
      <c r="AJ567" s="81"/>
      <c r="AK567" s="86" t="s">
        <v>6240</v>
      </c>
      <c r="AL567" s="81" t="b">
        <v>0</v>
      </c>
      <c r="AM567" s="81">
        <v>25</v>
      </c>
      <c r="AN567" s="86" t="s">
        <v>5504</v>
      </c>
      <c r="AO567" s="86" t="s">
        <v>6503</v>
      </c>
      <c r="AP567" s="81" t="b">
        <v>0</v>
      </c>
      <c r="AQ567" s="86" t="s">
        <v>5504</v>
      </c>
      <c r="AR567" s="81" t="s">
        <v>179</v>
      </c>
      <c r="AS567" s="81">
        <v>0</v>
      </c>
      <c r="AT567" s="81">
        <v>0</v>
      </c>
      <c r="AU567" s="81"/>
      <c r="AV567" s="81"/>
      <c r="AW567" s="81"/>
      <c r="AX567" s="81"/>
      <c r="AY567" s="81"/>
      <c r="AZ567" s="81"/>
      <c r="BA567" s="81"/>
      <c r="BB567" s="81"/>
    </row>
    <row r="568" spans="1:54" x14ac:dyDescent="0.35">
      <c r="A568" s="66" t="s">
        <v>603</v>
      </c>
      <c r="B568" s="66" t="s">
        <v>1362</v>
      </c>
      <c r="C568" s="67"/>
      <c r="D568" s="68"/>
      <c r="E568" s="69"/>
      <c r="F568" s="70"/>
      <c r="G568" s="67"/>
      <c r="H568" s="71"/>
      <c r="I568" s="72"/>
      <c r="J568" s="72"/>
      <c r="K568" s="36"/>
      <c r="L568" s="79"/>
      <c r="M568" s="79"/>
      <c r="N568" s="74"/>
      <c r="O568" s="81" t="s">
        <v>1535</v>
      </c>
      <c r="P568" s="83">
        <v>44461.383877314816</v>
      </c>
      <c r="Q568" s="81" t="s">
        <v>1760</v>
      </c>
      <c r="R568" s="81"/>
      <c r="S568" s="81"/>
      <c r="T568" s="81"/>
      <c r="U568" s="84" t="str">
        <f>HYPERLINK("https://pbs.twimg.com/media/E_4Olu-VQAgHPyP.jpg")</f>
        <v>https://pbs.twimg.com/media/E_4Olu-VQAgHPyP.jpg</v>
      </c>
      <c r="V568" s="84" t="str">
        <f>HYPERLINK("https://pbs.twimg.com/media/E_4Olu-VQAgHPyP.jpg")</f>
        <v>https://pbs.twimg.com/media/E_4Olu-VQAgHPyP.jpg</v>
      </c>
      <c r="W568" s="83">
        <v>44461.383877314816</v>
      </c>
      <c r="X568" s="89">
        <v>44461</v>
      </c>
      <c r="Y568" s="86" t="s">
        <v>3181</v>
      </c>
      <c r="Z568" s="84" t="str">
        <f>HYPERLINK("https://twitter.com/stxrslight/status/1440604980004548614")</f>
        <v>https://twitter.com/stxrslight/status/1440604980004548614</v>
      </c>
      <c r="AA568" s="81"/>
      <c r="AB568" s="81"/>
      <c r="AC568" s="86" t="s">
        <v>4643</v>
      </c>
      <c r="AD568" s="81"/>
      <c r="AE568" s="81" t="b">
        <v>0</v>
      </c>
      <c r="AF568" s="81">
        <v>0</v>
      </c>
      <c r="AG568" s="86" t="s">
        <v>6240</v>
      </c>
      <c r="AH568" s="81" t="b">
        <v>0</v>
      </c>
      <c r="AI568" s="81" t="s">
        <v>6478</v>
      </c>
      <c r="AJ568" s="81"/>
      <c r="AK568" s="86" t="s">
        <v>6240</v>
      </c>
      <c r="AL568" s="81" t="b">
        <v>0</v>
      </c>
      <c r="AM568" s="81">
        <v>0</v>
      </c>
      <c r="AN568" s="86" t="s">
        <v>6240</v>
      </c>
      <c r="AO568" s="86" t="s">
        <v>6505</v>
      </c>
      <c r="AP568" s="81" t="b">
        <v>0</v>
      </c>
      <c r="AQ568" s="86" t="s">
        <v>4643</v>
      </c>
      <c r="AR568" s="81" t="s">
        <v>179</v>
      </c>
      <c r="AS568" s="81">
        <v>0</v>
      </c>
      <c r="AT568" s="81">
        <v>0</v>
      </c>
      <c r="AU568" s="81"/>
      <c r="AV568" s="81"/>
      <c r="AW568" s="81"/>
      <c r="AX568" s="81"/>
      <c r="AY568" s="81"/>
      <c r="AZ568" s="81"/>
      <c r="BA568" s="81"/>
      <c r="BB568" s="81"/>
    </row>
    <row r="569" spans="1:54" x14ac:dyDescent="0.35">
      <c r="A569" s="66" t="s">
        <v>604</v>
      </c>
      <c r="B569" s="66" t="s">
        <v>1247</v>
      </c>
      <c r="C569" s="67"/>
      <c r="D569" s="68"/>
      <c r="E569" s="69"/>
      <c r="F569" s="70"/>
      <c r="G569" s="67"/>
      <c r="H569" s="71"/>
      <c r="I569" s="72"/>
      <c r="J569" s="72"/>
      <c r="K569" s="36"/>
      <c r="L569" s="79"/>
      <c r="M569" s="79"/>
      <c r="N569" s="74"/>
      <c r="O569" s="81" t="s">
        <v>1532</v>
      </c>
      <c r="P569" s="83">
        <v>44461.384398148148</v>
      </c>
      <c r="Q569" s="81" t="s">
        <v>1755</v>
      </c>
      <c r="R569" s="81"/>
      <c r="S569" s="81"/>
      <c r="T569" s="86" t="s">
        <v>2667</v>
      </c>
      <c r="U569" s="84" t="str">
        <f>HYPERLINK("https://pbs.twimg.com/media/E_38CFLVkAAf4fL.jpg")</f>
        <v>https://pbs.twimg.com/media/E_38CFLVkAAf4fL.jpg</v>
      </c>
      <c r="V569" s="84" t="str">
        <f>HYPERLINK("https://pbs.twimg.com/media/E_38CFLVkAAf4fL.jpg")</f>
        <v>https://pbs.twimg.com/media/E_38CFLVkAAf4fL.jpg</v>
      </c>
      <c r="W569" s="83">
        <v>44461.384398148148</v>
      </c>
      <c r="X569" s="89">
        <v>44461</v>
      </c>
      <c r="Y569" s="86" t="s">
        <v>3182</v>
      </c>
      <c r="Z569" s="84" t="str">
        <f>HYPERLINK("https://twitter.com/hohochamzzz/status/1440605172489539588")</f>
        <v>https://twitter.com/hohochamzzz/status/1440605172489539588</v>
      </c>
      <c r="AA569" s="81"/>
      <c r="AB569" s="81"/>
      <c r="AC569" s="86" t="s">
        <v>4644</v>
      </c>
      <c r="AD569" s="81"/>
      <c r="AE569" s="81" t="b">
        <v>0</v>
      </c>
      <c r="AF569" s="81">
        <v>0</v>
      </c>
      <c r="AG569" s="86" t="s">
        <v>6240</v>
      </c>
      <c r="AH569" s="81" t="b">
        <v>0</v>
      </c>
      <c r="AI569" s="81" t="s">
        <v>6479</v>
      </c>
      <c r="AJ569" s="81"/>
      <c r="AK569" s="86" t="s">
        <v>6240</v>
      </c>
      <c r="AL569" s="81" t="b">
        <v>0</v>
      </c>
      <c r="AM569" s="81">
        <v>25</v>
      </c>
      <c r="AN569" s="86" t="s">
        <v>5504</v>
      </c>
      <c r="AO569" s="86" t="s">
        <v>6503</v>
      </c>
      <c r="AP569" s="81" t="b">
        <v>0</v>
      </c>
      <c r="AQ569" s="86" t="s">
        <v>5504</v>
      </c>
      <c r="AR569" s="81" t="s">
        <v>179</v>
      </c>
      <c r="AS569" s="81">
        <v>0</v>
      </c>
      <c r="AT569" s="81">
        <v>0</v>
      </c>
      <c r="AU569" s="81"/>
      <c r="AV569" s="81"/>
      <c r="AW569" s="81"/>
      <c r="AX569" s="81"/>
      <c r="AY569" s="81"/>
      <c r="AZ569" s="81"/>
      <c r="BA569" s="81"/>
      <c r="BB569" s="81"/>
    </row>
    <row r="570" spans="1:54" x14ac:dyDescent="0.35">
      <c r="A570" s="66" t="s">
        <v>605</v>
      </c>
      <c r="B570" s="66" t="s">
        <v>712</v>
      </c>
      <c r="C570" s="67"/>
      <c r="D570" s="68"/>
      <c r="E570" s="69"/>
      <c r="F570" s="70"/>
      <c r="G570" s="67"/>
      <c r="H570" s="71"/>
      <c r="I570" s="72"/>
      <c r="J570" s="72"/>
      <c r="K570" s="36"/>
      <c r="L570" s="79"/>
      <c r="M570" s="79"/>
      <c r="N570" s="74"/>
      <c r="O570" s="81" t="s">
        <v>1532</v>
      </c>
      <c r="P570" s="83">
        <v>44461.384467592594</v>
      </c>
      <c r="Q570" s="81" t="s">
        <v>1758</v>
      </c>
      <c r="R570" s="81"/>
      <c r="S570" s="81"/>
      <c r="T570" s="86" t="s">
        <v>2678</v>
      </c>
      <c r="U570" s="84" t="str">
        <f>HYPERLINK("https://pbs.twimg.com/media/E_4G1w0UcAYtmKg.jpg")</f>
        <v>https://pbs.twimg.com/media/E_4G1w0UcAYtmKg.jpg</v>
      </c>
      <c r="V570" s="84" t="str">
        <f>HYPERLINK("https://pbs.twimg.com/media/E_4G1w0UcAYtmKg.jpg")</f>
        <v>https://pbs.twimg.com/media/E_4G1w0UcAYtmKg.jpg</v>
      </c>
      <c r="W570" s="83">
        <v>44461.384467592594</v>
      </c>
      <c r="X570" s="89">
        <v>44461</v>
      </c>
      <c r="Y570" s="86" t="s">
        <v>3183</v>
      </c>
      <c r="Z570" s="84" t="str">
        <f>HYPERLINK("https://twitter.com/sumasenyangyang/status/1440605195373666308")</f>
        <v>https://twitter.com/sumasenyangyang/status/1440605195373666308</v>
      </c>
      <c r="AA570" s="81"/>
      <c r="AB570" s="81"/>
      <c r="AC570" s="86" t="s">
        <v>4645</v>
      </c>
      <c r="AD570" s="81"/>
      <c r="AE570" s="81" t="b">
        <v>0</v>
      </c>
      <c r="AF570" s="81">
        <v>0</v>
      </c>
      <c r="AG570" s="86" t="s">
        <v>6240</v>
      </c>
      <c r="AH570" s="81" t="b">
        <v>0</v>
      </c>
      <c r="AI570" s="81" t="s">
        <v>6479</v>
      </c>
      <c r="AJ570" s="81"/>
      <c r="AK570" s="86" t="s">
        <v>6240</v>
      </c>
      <c r="AL570" s="81" t="b">
        <v>0</v>
      </c>
      <c r="AM570" s="81">
        <v>12</v>
      </c>
      <c r="AN570" s="86" t="s">
        <v>4753</v>
      </c>
      <c r="AO570" s="86" t="s">
        <v>6505</v>
      </c>
      <c r="AP570" s="81" t="b">
        <v>0</v>
      </c>
      <c r="AQ570" s="86" t="s">
        <v>4753</v>
      </c>
      <c r="AR570" s="81" t="s">
        <v>179</v>
      </c>
      <c r="AS570" s="81">
        <v>0</v>
      </c>
      <c r="AT570" s="81">
        <v>0</v>
      </c>
      <c r="AU570" s="81"/>
      <c r="AV570" s="81"/>
      <c r="AW570" s="81"/>
      <c r="AX570" s="81"/>
      <c r="AY570" s="81"/>
      <c r="AZ570" s="81"/>
      <c r="BA570" s="81"/>
      <c r="BB570" s="81"/>
    </row>
    <row r="571" spans="1:54" x14ac:dyDescent="0.35">
      <c r="A571" s="66" t="s">
        <v>606</v>
      </c>
      <c r="B571" s="66" t="s">
        <v>1247</v>
      </c>
      <c r="C571" s="67"/>
      <c r="D571" s="68"/>
      <c r="E571" s="69"/>
      <c r="F571" s="70"/>
      <c r="G571" s="67"/>
      <c r="H571" s="71"/>
      <c r="I571" s="72"/>
      <c r="J571" s="72"/>
      <c r="K571" s="36"/>
      <c r="L571" s="79"/>
      <c r="M571" s="79"/>
      <c r="N571" s="74"/>
      <c r="O571" s="81" t="s">
        <v>1532</v>
      </c>
      <c r="P571" s="83">
        <v>44461.389687499999</v>
      </c>
      <c r="Q571" s="81" t="s">
        <v>1755</v>
      </c>
      <c r="R571" s="81"/>
      <c r="S571" s="81"/>
      <c r="T571" s="86" t="s">
        <v>2667</v>
      </c>
      <c r="U571" s="84" t="str">
        <f>HYPERLINK("https://pbs.twimg.com/media/E_38CFLVkAAf4fL.jpg")</f>
        <v>https://pbs.twimg.com/media/E_38CFLVkAAf4fL.jpg</v>
      </c>
      <c r="V571" s="84" t="str">
        <f>HYPERLINK("https://pbs.twimg.com/media/E_38CFLVkAAf4fL.jpg")</f>
        <v>https://pbs.twimg.com/media/E_38CFLVkAAf4fL.jpg</v>
      </c>
      <c r="W571" s="83">
        <v>44461.389687499999</v>
      </c>
      <c r="X571" s="89">
        <v>44461</v>
      </c>
      <c r="Y571" s="86" t="s">
        <v>3184</v>
      </c>
      <c r="Z571" s="84" t="str">
        <f>HYPERLINK("https://twitter.com/piecesofhyune/status/1440607088678367238")</f>
        <v>https://twitter.com/piecesofhyune/status/1440607088678367238</v>
      </c>
      <c r="AA571" s="81"/>
      <c r="AB571" s="81"/>
      <c r="AC571" s="86" t="s">
        <v>4646</v>
      </c>
      <c r="AD571" s="81"/>
      <c r="AE571" s="81" t="b">
        <v>0</v>
      </c>
      <c r="AF571" s="81">
        <v>0</v>
      </c>
      <c r="AG571" s="86" t="s">
        <v>6240</v>
      </c>
      <c r="AH571" s="81" t="b">
        <v>0</v>
      </c>
      <c r="AI571" s="81" t="s">
        <v>6479</v>
      </c>
      <c r="AJ571" s="81"/>
      <c r="AK571" s="86" t="s">
        <v>6240</v>
      </c>
      <c r="AL571" s="81" t="b">
        <v>0</v>
      </c>
      <c r="AM571" s="81">
        <v>25</v>
      </c>
      <c r="AN571" s="86" t="s">
        <v>5504</v>
      </c>
      <c r="AO571" s="86" t="s">
        <v>6505</v>
      </c>
      <c r="AP571" s="81" t="b">
        <v>0</v>
      </c>
      <c r="AQ571" s="86" t="s">
        <v>5504</v>
      </c>
      <c r="AR571" s="81" t="s">
        <v>179</v>
      </c>
      <c r="AS571" s="81">
        <v>0</v>
      </c>
      <c r="AT571" s="81">
        <v>0</v>
      </c>
      <c r="AU571" s="81"/>
      <c r="AV571" s="81"/>
      <c r="AW571" s="81"/>
      <c r="AX571" s="81"/>
      <c r="AY571" s="81"/>
      <c r="AZ571" s="81"/>
      <c r="BA571" s="81"/>
      <c r="BB571" s="81"/>
    </row>
    <row r="572" spans="1:54" x14ac:dyDescent="0.35">
      <c r="A572" s="66" t="s">
        <v>607</v>
      </c>
      <c r="B572" s="66" t="s">
        <v>1363</v>
      </c>
      <c r="C572" s="67"/>
      <c r="D572" s="68"/>
      <c r="E572" s="69"/>
      <c r="F572" s="70"/>
      <c r="G572" s="67"/>
      <c r="H572" s="71"/>
      <c r="I572" s="72"/>
      <c r="J572" s="72"/>
      <c r="K572" s="36"/>
      <c r="L572" s="79"/>
      <c r="M572" s="79"/>
      <c r="N572" s="74"/>
      <c r="O572" s="81" t="s">
        <v>1535</v>
      </c>
      <c r="P572" s="83">
        <v>44461.395983796298</v>
      </c>
      <c r="Q572" s="81" t="s">
        <v>1761</v>
      </c>
      <c r="R572" s="81"/>
      <c r="S572" s="81"/>
      <c r="T572" s="86" t="s">
        <v>2679</v>
      </c>
      <c r="U572" s="81"/>
      <c r="V572" s="84" t="str">
        <f>HYPERLINK("https://pbs.twimg.com/profile_images/1232189480406147072/odSSTvoy_normal.jpg")</f>
        <v>https://pbs.twimg.com/profile_images/1232189480406147072/odSSTvoy_normal.jpg</v>
      </c>
      <c r="W572" s="83">
        <v>44461.395983796298</v>
      </c>
      <c r="X572" s="89">
        <v>44461</v>
      </c>
      <c r="Y572" s="86" t="s">
        <v>3185</v>
      </c>
      <c r="Z572" s="84" t="str">
        <f>HYPERLINK("https://twitter.com/wirawankrisna/status/1440609369935151113")</f>
        <v>https://twitter.com/wirawankrisna/status/1440609369935151113</v>
      </c>
      <c r="AA572" s="81"/>
      <c r="AB572" s="81"/>
      <c r="AC572" s="86" t="s">
        <v>4647</v>
      </c>
      <c r="AD572" s="81"/>
      <c r="AE572" s="81" t="b">
        <v>0</v>
      </c>
      <c r="AF572" s="81">
        <v>3</v>
      </c>
      <c r="AG572" s="86" t="s">
        <v>6240</v>
      </c>
      <c r="AH572" s="81" t="b">
        <v>0</v>
      </c>
      <c r="AI572" s="81" t="s">
        <v>6478</v>
      </c>
      <c r="AJ572" s="81"/>
      <c r="AK572" s="86" t="s">
        <v>6240</v>
      </c>
      <c r="AL572" s="81" t="b">
        <v>0</v>
      </c>
      <c r="AM572" s="81">
        <v>0</v>
      </c>
      <c r="AN572" s="86" t="s">
        <v>6240</v>
      </c>
      <c r="AO572" s="86" t="s">
        <v>6503</v>
      </c>
      <c r="AP572" s="81" t="b">
        <v>0</v>
      </c>
      <c r="AQ572" s="86" t="s">
        <v>4647</v>
      </c>
      <c r="AR572" s="81" t="s">
        <v>179</v>
      </c>
      <c r="AS572" s="81">
        <v>0</v>
      </c>
      <c r="AT572" s="81">
        <v>0</v>
      </c>
      <c r="AU572" s="81"/>
      <c r="AV572" s="81"/>
      <c r="AW572" s="81"/>
      <c r="AX572" s="81"/>
      <c r="AY572" s="81"/>
      <c r="AZ572" s="81"/>
      <c r="BA572" s="81"/>
      <c r="BB572" s="81"/>
    </row>
    <row r="573" spans="1:54" x14ac:dyDescent="0.35">
      <c r="A573" s="66" t="s">
        <v>608</v>
      </c>
      <c r="B573" s="66" t="s">
        <v>712</v>
      </c>
      <c r="C573" s="67"/>
      <c r="D573" s="68"/>
      <c r="E573" s="69"/>
      <c r="F573" s="70"/>
      <c r="G573" s="67"/>
      <c r="H573" s="71"/>
      <c r="I573" s="72"/>
      <c r="J573" s="72"/>
      <c r="K573" s="36"/>
      <c r="L573" s="79"/>
      <c r="M573" s="79"/>
      <c r="N573" s="74"/>
      <c r="O573" s="81" t="s">
        <v>1532</v>
      </c>
      <c r="P573" s="83">
        <v>44461.396620370368</v>
      </c>
      <c r="Q573" s="81" t="s">
        <v>1758</v>
      </c>
      <c r="R573" s="81"/>
      <c r="S573" s="81"/>
      <c r="T573" s="86" t="s">
        <v>2678</v>
      </c>
      <c r="U573" s="84" t="str">
        <f>HYPERLINK("https://pbs.twimg.com/media/E_4G1w0UcAYtmKg.jpg")</f>
        <v>https://pbs.twimg.com/media/E_4G1w0UcAYtmKg.jpg</v>
      </c>
      <c r="V573" s="84" t="str">
        <f>HYPERLINK("https://pbs.twimg.com/media/E_4G1w0UcAYtmKg.jpg")</f>
        <v>https://pbs.twimg.com/media/E_4G1w0UcAYtmKg.jpg</v>
      </c>
      <c r="W573" s="83">
        <v>44461.396620370368</v>
      </c>
      <c r="X573" s="89">
        <v>44461</v>
      </c>
      <c r="Y573" s="86" t="s">
        <v>3186</v>
      </c>
      <c r="Z573" s="84" t="str">
        <f>HYPERLINK("https://twitter.com/dearczennies_/status/1440609600378576906")</f>
        <v>https://twitter.com/dearczennies_/status/1440609600378576906</v>
      </c>
      <c r="AA573" s="81"/>
      <c r="AB573" s="81"/>
      <c r="AC573" s="86" t="s">
        <v>4648</v>
      </c>
      <c r="AD573" s="81"/>
      <c r="AE573" s="81" t="b">
        <v>0</v>
      </c>
      <c r="AF573" s="81">
        <v>0</v>
      </c>
      <c r="AG573" s="86" t="s">
        <v>6240</v>
      </c>
      <c r="AH573" s="81" t="b">
        <v>0</v>
      </c>
      <c r="AI573" s="81" t="s">
        <v>6479</v>
      </c>
      <c r="AJ573" s="81"/>
      <c r="AK573" s="86" t="s">
        <v>6240</v>
      </c>
      <c r="AL573" s="81" t="b">
        <v>0</v>
      </c>
      <c r="AM573" s="81">
        <v>12</v>
      </c>
      <c r="AN573" s="86" t="s">
        <v>4753</v>
      </c>
      <c r="AO573" s="86" t="s">
        <v>6503</v>
      </c>
      <c r="AP573" s="81" t="b">
        <v>0</v>
      </c>
      <c r="AQ573" s="86" t="s">
        <v>4753</v>
      </c>
      <c r="AR573" s="81" t="s">
        <v>179</v>
      </c>
      <c r="AS573" s="81">
        <v>0</v>
      </c>
      <c r="AT573" s="81">
        <v>0</v>
      </c>
      <c r="AU573" s="81"/>
      <c r="AV573" s="81"/>
      <c r="AW573" s="81"/>
      <c r="AX573" s="81"/>
      <c r="AY573" s="81"/>
      <c r="AZ573" s="81"/>
      <c r="BA573" s="81"/>
      <c r="BB573" s="81"/>
    </row>
    <row r="574" spans="1:54" x14ac:dyDescent="0.35">
      <c r="A574" s="66" t="s">
        <v>609</v>
      </c>
      <c r="B574" s="66" t="s">
        <v>609</v>
      </c>
      <c r="C574" s="67"/>
      <c r="D574" s="68"/>
      <c r="E574" s="69"/>
      <c r="F574" s="70"/>
      <c r="G574" s="67"/>
      <c r="H574" s="71"/>
      <c r="I574" s="72"/>
      <c r="J574" s="72"/>
      <c r="K574" s="36"/>
      <c r="L574" s="79"/>
      <c r="M574" s="79"/>
      <c r="N574" s="74"/>
      <c r="O574" s="81" t="s">
        <v>179</v>
      </c>
      <c r="P574" s="83">
        <v>44461.398657407408</v>
      </c>
      <c r="Q574" s="81" t="s">
        <v>1762</v>
      </c>
      <c r="R574" s="81"/>
      <c r="S574" s="81"/>
      <c r="T574" s="81"/>
      <c r="U574" s="84" t="str">
        <f>HYPERLINK("https://pbs.twimg.com/media/E_4TdkeVQAYTFIR.png")</f>
        <v>https://pbs.twimg.com/media/E_4TdkeVQAYTFIR.png</v>
      </c>
      <c r="V574" s="84" t="str">
        <f>HYPERLINK("https://pbs.twimg.com/media/E_4TdkeVQAYTFIR.png")</f>
        <v>https://pbs.twimg.com/media/E_4TdkeVQAYTFIR.png</v>
      </c>
      <c r="W574" s="83">
        <v>44461.398657407408</v>
      </c>
      <c r="X574" s="89">
        <v>44461</v>
      </c>
      <c r="Y574" s="86" t="s">
        <v>3187</v>
      </c>
      <c r="Z574" s="84" t="str">
        <f>HYPERLINK("https://twitter.com/infokuis/status/1440610336281821187")</f>
        <v>https://twitter.com/infokuis/status/1440610336281821187</v>
      </c>
      <c r="AA574" s="81"/>
      <c r="AB574" s="81"/>
      <c r="AC574" s="86" t="s">
        <v>4649</v>
      </c>
      <c r="AD574" s="81"/>
      <c r="AE574" s="81" t="b">
        <v>0</v>
      </c>
      <c r="AF574" s="81">
        <v>3</v>
      </c>
      <c r="AG574" s="86" t="s">
        <v>6240</v>
      </c>
      <c r="AH574" s="81" t="b">
        <v>0</v>
      </c>
      <c r="AI574" s="81" t="s">
        <v>6478</v>
      </c>
      <c r="AJ574" s="81"/>
      <c r="AK574" s="86" t="s">
        <v>6240</v>
      </c>
      <c r="AL574" s="81" t="b">
        <v>0</v>
      </c>
      <c r="AM574" s="81">
        <v>0</v>
      </c>
      <c r="AN574" s="86" t="s">
        <v>6240</v>
      </c>
      <c r="AO574" s="86" t="s">
        <v>6517</v>
      </c>
      <c r="AP574" s="81" t="b">
        <v>0</v>
      </c>
      <c r="AQ574" s="86" t="s">
        <v>4649</v>
      </c>
      <c r="AR574" s="81" t="s">
        <v>179</v>
      </c>
      <c r="AS574" s="81">
        <v>0</v>
      </c>
      <c r="AT574" s="81">
        <v>0</v>
      </c>
      <c r="AU574" s="81"/>
      <c r="AV574" s="81"/>
      <c r="AW574" s="81"/>
      <c r="AX574" s="81"/>
      <c r="AY574" s="81"/>
      <c r="AZ574" s="81"/>
      <c r="BA574" s="81"/>
      <c r="BB574" s="81"/>
    </row>
    <row r="575" spans="1:54" x14ac:dyDescent="0.35">
      <c r="A575" s="66" t="s">
        <v>610</v>
      </c>
      <c r="B575" s="66" t="s">
        <v>712</v>
      </c>
      <c r="C575" s="67"/>
      <c r="D575" s="68"/>
      <c r="E575" s="69"/>
      <c r="F575" s="70"/>
      <c r="G575" s="67"/>
      <c r="H575" s="71"/>
      <c r="I575" s="72"/>
      <c r="J575" s="72"/>
      <c r="K575" s="36"/>
      <c r="L575" s="79"/>
      <c r="M575" s="79"/>
      <c r="N575" s="74"/>
      <c r="O575" s="81" t="s">
        <v>1532</v>
      </c>
      <c r="P575" s="83">
        <v>44461.404444444444</v>
      </c>
      <c r="Q575" s="81" t="s">
        <v>1758</v>
      </c>
      <c r="R575" s="81"/>
      <c r="S575" s="81"/>
      <c r="T575" s="86" t="s">
        <v>2678</v>
      </c>
      <c r="U575" s="84" t="str">
        <f>HYPERLINK("https://pbs.twimg.com/media/E_4G1w0UcAYtmKg.jpg")</f>
        <v>https://pbs.twimg.com/media/E_4G1w0UcAYtmKg.jpg</v>
      </c>
      <c r="V575" s="84" t="str">
        <f>HYPERLINK("https://pbs.twimg.com/media/E_4G1w0UcAYtmKg.jpg")</f>
        <v>https://pbs.twimg.com/media/E_4G1w0UcAYtmKg.jpg</v>
      </c>
      <c r="W575" s="83">
        <v>44461.404444444444</v>
      </c>
      <c r="X575" s="89">
        <v>44461</v>
      </c>
      <c r="Y575" s="86" t="s">
        <v>3188</v>
      </c>
      <c r="Z575" s="84" t="str">
        <f>HYPERLINK("https://twitter.com/tenlee_107/status/1440612433224081408")</f>
        <v>https://twitter.com/tenlee_107/status/1440612433224081408</v>
      </c>
      <c r="AA575" s="81"/>
      <c r="AB575" s="81"/>
      <c r="AC575" s="86" t="s">
        <v>4650</v>
      </c>
      <c r="AD575" s="81"/>
      <c r="AE575" s="81" t="b">
        <v>0</v>
      </c>
      <c r="AF575" s="81">
        <v>0</v>
      </c>
      <c r="AG575" s="86" t="s">
        <v>6240</v>
      </c>
      <c r="AH575" s="81" t="b">
        <v>0</v>
      </c>
      <c r="AI575" s="81" t="s">
        <v>6479</v>
      </c>
      <c r="AJ575" s="81"/>
      <c r="AK575" s="86" t="s">
        <v>6240</v>
      </c>
      <c r="AL575" s="81" t="b">
        <v>0</v>
      </c>
      <c r="AM575" s="81">
        <v>12</v>
      </c>
      <c r="AN575" s="86" t="s">
        <v>4753</v>
      </c>
      <c r="AO575" s="86" t="s">
        <v>6505</v>
      </c>
      <c r="AP575" s="81" t="b">
        <v>0</v>
      </c>
      <c r="AQ575" s="86" t="s">
        <v>4753</v>
      </c>
      <c r="AR575" s="81" t="s">
        <v>179</v>
      </c>
      <c r="AS575" s="81">
        <v>0</v>
      </c>
      <c r="AT575" s="81">
        <v>0</v>
      </c>
      <c r="AU575" s="81"/>
      <c r="AV575" s="81"/>
      <c r="AW575" s="81"/>
      <c r="AX575" s="81"/>
      <c r="AY575" s="81"/>
      <c r="AZ575" s="81"/>
      <c r="BA575" s="81"/>
      <c r="BB575" s="81"/>
    </row>
    <row r="576" spans="1:54" x14ac:dyDescent="0.35">
      <c r="A576" s="66" t="s">
        <v>611</v>
      </c>
      <c r="B576" s="66" t="s">
        <v>611</v>
      </c>
      <c r="C576" s="67"/>
      <c r="D576" s="68"/>
      <c r="E576" s="69"/>
      <c r="F576" s="70"/>
      <c r="G576" s="67"/>
      <c r="H576" s="71"/>
      <c r="I576" s="72"/>
      <c r="J576" s="72"/>
      <c r="K576" s="36"/>
      <c r="L576" s="79"/>
      <c r="M576" s="79"/>
      <c r="N576" s="74"/>
      <c r="O576" s="81" t="s">
        <v>179</v>
      </c>
      <c r="P576" s="83">
        <v>44461.430567129632</v>
      </c>
      <c r="Q576" s="81" t="s">
        <v>1763</v>
      </c>
      <c r="R576" s="81"/>
      <c r="S576" s="81"/>
      <c r="T576" s="81"/>
      <c r="U576" s="81"/>
      <c r="V576" s="84" t="str">
        <f>HYPERLINK("https://pbs.twimg.com/profile_images/1442080863047467008/-JloLyg-_normal.jpg")</f>
        <v>https://pbs.twimg.com/profile_images/1442080863047467008/-JloLyg-_normal.jpg</v>
      </c>
      <c r="W576" s="83">
        <v>44461.430567129632</v>
      </c>
      <c r="X576" s="89">
        <v>44461</v>
      </c>
      <c r="Y576" s="86" t="s">
        <v>3189</v>
      </c>
      <c r="Z576" s="84" t="str">
        <f>HYPERLINK("https://twitter.com/matchclctte/status/1440621901609533446")</f>
        <v>https://twitter.com/matchclctte/status/1440621901609533446</v>
      </c>
      <c r="AA576" s="81"/>
      <c r="AB576" s="81"/>
      <c r="AC576" s="86" t="s">
        <v>4651</v>
      </c>
      <c r="AD576" s="86" t="s">
        <v>6066</v>
      </c>
      <c r="AE576" s="81" t="b">
        <v>0</v>
      </c>
      <c r="AF576" s="81">
        <v>0</v>
      </c>
      <c r="AG576" s="86" t="s">
        <v>6328</v>
      </c>
      <c r="AH576" s="81" t="b">
        <v>0</v>
      </c>
      <c r="AI576" s="81" t="s">
        <v>6478</v>
      </c>
      <c r="AJ576" s="81"/>
      <c r="AK576" s="86" t="s">
        <v>6240</v>
      </c>
      <c r="AL576" s="81" t="b">
        <v>0</v>
      </c>
      <c r="AM576" s="81">
        <v>0</v>
      </c>
      <c r="AN576" s="86" t="s">
        <v>6240</v>
      </c>
      <c r="AO576" s="86" t="s">
        <v>6503</v>
      </c>
      <c r="AP576" s="81" t="b">
        <v>0</v>
      </c>
      <c r="AQ576" s="86" t="s">
        <v>6066</v>
      </c>
      <c r="AR576" s="81" t="s">
        <v>179</v>
      </c>
      <c r="AS576" s="81">
        <v>0</v>
      </c>
      <c r="AT576" s="81">
        <v>0</v>
      </c>
      <c r="AU576" s="81"/>
      <c r="AV576" s="81"/>
      <c r="AW576" s="81"/>
      <c r="AX576" s="81"/>
      <c r="AY576" s="81"/>
      <c r="AZ576" s="81"/>
      <c r="BA576" s="81"/>
      <c r="BB576" s="81"/>
    </row>
    <row r="577" spans="1:54" x14ac:dyDescent="0.35">
      <c r="A577" s="66" t="s">
        <v>612</v>
      </c>
      <c r="B577" s="66" t="s">
        <v>612</v>
      </c>
      <c r="C577" s="67"/>
      <c r="D577" s="68"/>
      <c r="E577" s="69"/>
      <c r="F577" s="70"/>
      <c r="G577" s="67"/>
      <c r="H577" s="71"/>
      <c r="I577" s="72"/>
      <c r="J577" s="72"/>
      <c r="K577" s="36"/>
      <c r="L577" s="79"/>
      <c r="M577" s="79"/>
      <c r="N577" s="74"/>
      <c r="O577" s="81" t="s">
        <v>179</v>
      </c>
      <c r="P577" s="83">
        <v>44461.436064814814</v>
      </c>
      <c r="Q577" s="81" t="s">
        <v>1764</v>
      </c>
      <c r="R577" s="81"/>
      <c r="S577" s="81"/>
      <c r="T577" s="81"/>
      <c r="U577" s="84" t="str">
        <f>HYPERLINK("https://pbs.twimg.com/media/E_4fyoHVgBQjd-I.jpg")</f>
        <v>https://pbs.twimg.com/media/E_4fyoHVgBQjd-I.jpg</v>
      </c>
      <c r="V577" s="84" t="str">
        <f>HYPERLINK("https://pbs.twimg.com/media/E_4fyoHVgBQjd-I.jpg")</f>
        <v>https://pbs.twimg.com/media/E_4fyoHVgBQjd-I.jpg</v>
      </c>
      <c r="W577" s="83">
        <v>44461.436064814814</v>
      </c>
      <c r="X577" s="89">
        <v>44461</v>
      </c>
      <c r="Y577" s="86" t="s">
        <v>3190</v>
      </c>
      <c r="Z577" s="84" t="str">
        <f>HYPERLINK("https://twitter.com/shahrinazakaria/status/1440623892628869127")</f>
        <v>https://twitter.com/shahrinazakaria/status/1440623892628869127</v>
      </c>
      <c r="AA577" s="81"/>
      <c r="AB577" s="81"/>
      <c r="AC577" s="86" t="s">
        <v>4652</v>
      </c>
      <c r="AD577" s="81"/>
      <c r="AE577" s="81" t="b">
        <v>0</v>
      </c>
      <c r="AF577" s="81">
        <v>0</v>
      </c>
      <c r="AG577" s="86" t="s">
        <v>6240</v>
      </c>
      <c r="AH577" s="81" t="b">
        <v>0</v>
      </c>
      <c r="AI577" s="81" t="s">
        <v>6478</v>
      </c>
      <c r="AJ577" s="81"/>
      <c r="AK577" s="86" t="s">
        <v>6240</v>
      </c>
      <c r="AL577" s="81" t="b">
        <v>0</v>
      </c>
      <c r="AM577" s="81">
        <v>0</v>
      </c>
      <c r="AN577" s="86" t="s">
        <v>6240</v>
      </c>
      <c r="AO577" s="86" t="s">
        <v>6503</v>
      </c>
      <c r="AP577" s="81" t="b">
        <v>0</v>
      </c>
      <c r="AQ577" s="86" t="s">
        <v>4652</v>
      </c>
      <c r="AR577" s="81" t="s">
        <v>179</v>
      </c>
      <c r="AS577" s="81">
        <v>0</v>
      </c>
      <c r="AT577" s="81">
        <v>0</v>
      </c>
      <c r="AU577" s="81"/>
      <c r="AV577" s="81"/>
      <c r="AW577" s="81"/>
      <c r="AX577" s="81"/>
      <c r="AY577" s="81"/>
      <c r="AZ577" s="81"/>
      <c r="BA577" s="81"/>
      <c r="BB577" s="81"/>
    </row>
    <row r="578" spans="1:54" x14ac:dyDescent="0.35">
      <c r="A578" s="66" t="s">
        <v>613</v>
      </c>
      <c r="B578" s="66" t="s">
        <v>1364</v>
      </c>
      <c r="C578" s="67"/>
      <c r="D578" s="68"/>
      <c r="E578" s="69"/>
      <c r="F578" s="70"/>
      <c r="G578" s="67"/>
      <c r="H578" s="71"/>
      <c r="I578" s="72"/>
      <c r="J578" s="72"/>
      <c r="K578" s="36"/>
      <c r="L578" s="79"/>
      <c r="M578" s="79"/>
      <c r="N578" s="74"/>
      <c r="O578" s="81" t="s">
        <v>1535</v>
      </c>
      <c r="P578" s="83">
        <v>44461.438668981478</v>
      </c>
      <c r="Q578" s="81" t="s">
        <v>1765</v>
      </c>
      <c r="R578" s="81"/>
      <c r="S578" s="81"/>
      <c r="T578" s="81"/>
      <c r="U578" s="84" t="str">
        <f>HYPERLINK("https://pbs.twimg.com/media/E_4gphCUYAUs-Yl.jpg")</f>
        <v>https://pbs.twimg.com/media/E_4gphCUYAUs-Yl.jpg</v>
      </c>
      <c r="V578" s="84" t="str">
        <f>HYPERLINK("https://pbs.twimg.com/media/E_4gphCUYAUs-Yl.jpg")</f>
        <v>https://pbs.twimg.com/media/E_4gphCUYAUs-Yl.jpg</v>
      </c>
      <c r="W578" s="83">
        <v>44461.438668981478</v>
      </c>
      <c r="X578" s="89">
        <v>44461</v>
      </c>
      <c r="Y578" s="86" t="s">
        <v>3191</v>
      </c>
      <c r="Z578" s="84" t="str">
        <f>HYPERLINK("https://twitter.com/proxpective/status/1440624836544385031")</f>
        <v>https://twitter.com/proxpective/status/1440624836544385031</v>
      </c>
      <c r="AA578" s="81"/>
      <c r="AB578" s="81"/>
      <c r="AC578" s="86" t="s">
        <v>4653</v>
      </c>
      <c r="AD578" s="81"/>
      <c r="AE578" s="81" t="b">
        <v>0</v>
      </c>
      <c r="AF578" s="81">
        <v>0</v>
      </c>
      <c r="AG578" s="86" t="s">
        <v>6240</v>
      </c>
      <c r="AH578" s="81" t="b">
        <v>0</v>
      </c>
      <c r="AI578" s="81" t="s">
        <v>6478</v>
      </c>
      <c r="AJ578" s="81"/>
      <c r="AK578" s="86" t="s">
        <v>6240</v>
      </c>
      <c r="AL578" s="81" t="b">
        <v>0</v>
      </c>
      <c r="AM578" s="81">
        <v>0</v>
      </c>
      <c r="AN578" s="86" t="s">
        <v>6240</v>
      </c>
      <c r="AO578" s="86" t="s">
        <v>6503</v>
      </c>
      <c r="AP578" s="81" t="b">
        <v>0</v>
      </c>
      <c r="AQ578" s="86" t="s">
        <v>4653</v>
      </c>
      <c r="AR578" s="81" t="s">
        <v>179</v>
      </c>
      <c r="AS578" s="81">
        <v>0</v>
      </c>
      <c r="AT578" s="81">
        <v>0</v>
      </c>
      <c r="AU578" s="81"/>
      <c r="AV578" s="81"/>
      <c r="AW578" s="81"/>
      <c r="AX578" s="81"/>
      <c r="AY578" s="81"/>
      <c r="AZ578" s="81"/>
      <c r="BA578" s="81"/>
      <c r="BB578" s="81"/>
    </row>
    <row r="579" spans="1:54" x14ac:dyDescent="0.35">
      <c r="A579" s="66" t="s">
        <v>614</v>
      </c>
      <c r="B579" s="66" t="s">
        <v>614</v>
      </c>
      <c r="C579" s="67"/>
      <c r="D579" s="68"/>
      <c r="E579" s="69"/>
      <c r="F579" s="70"/>
      <c r="G579" s="67"/>
      <c r="H579" s="71"/>
      <c r="I579" s="72"/>
      <c r="J579" s="72"/>
      <c r="K579" s="36"/>
      <c r="L579" s="79"/>
      <c r="M579" s="79"/>
      <c r="N579" s="74"/>
      <c r="O579" s="81" t="s">
        <v>179</v>
      </c>
      <c r="P579" s="83">
        <v>44461.453796296293</v>
      </c>
      <c r="Q579" s="81" t="s">
        <v>1766</v>
      </c>
      <c r="R579" s="81"/>
      <c r="S579" s="81"/>
      <c r="T579" s="81"/>
      <c r="U579" s="81"/>
      <c r="V579" s="84" t="str">
        <f>HYPERLINK("https://pbs.twimg.com/profile_images/1439229400768122885/lNbndgsz_normal.jpg")</f>
        <v>https://pbs.twimg.com/profile_images/1439229400768122885/lNbndgsz_normal.jpg</v>
      </c>
      <c r="W579" s="83">
        <v>44461.453796296293</v>
      </c>
      <c r="X579" s="89">
        <v>44461</v>
      </c>
      <c r="Y579" s="86" t="s">
        <v>3192</v>
      </c>
      <c r="Z579" s="84" t="str">
        <f>HYPERLINK("https://twitter.com/half_moonxstars/status/1440630318310969350")</f>
        <v>https://twitter.com/half_moonxstars/status/1440630318310969350</v>
      </c>
      <c r="AA579" s="81"/>
      <c r="AB579" s="81"/>
      <c r="AC579" s="86" t="s">
        <v>4654</v>
      </c>
      <c r="AD579" s="81"/>
      <c r="AE579" s="81" t="b">
        <v>0</v>
      </c>
      <c r="AF579" s="81">
        <v>0</v>
      </c>
      <c r="AG579" s="86" t="s">
        <v>6240</v>
      </c>
      <c r="AH579" s="81" t="b">
        <v>0</v>
      </c>
      <c r="AI579" s="81" t="s">
        <v>6478</v>
      </c>
      <c r="AJ579" s="81"/>
      <c r="AK579" s="86" t="s">
        <v>6240</v>
      </c>
      <c r="AL579" s="81" t="b">
        <v>0</v>
      </c>
      <c r="AM579" s="81">
        <v>0</v>
      </c>
      <c r="AN579" s="86" t="s">
        <v>6240</v>
      </c>
      <c r="AO579" s="86" t="s">
        <v>6503</v>
      </c>
      <c r="AP579" s="81" t="b">
        <v>0</v>
      </c>
      <c r="AQ579" s="86" t="s">
        <v>4654</v>
      </c>
      <c r="AR579" s="81" t="s">
        <v>179</v>
      </c>
      <c r="AS579" s="81">
        <v>0</v>
      </c>
      <c r="AT579" s="81">
        <v>0</v>
      </c>
      <c r="AU579" s="81"/>
      <c r="AV579" s="81"/>
      <c r="AW579" s="81"/>
      <c r="AX579" s="81"/>
      <c r="AY579" s="81"/>
      <c r="AZ579" s="81"/>
      <c r="BA579" s="81"/>
      <c r="BB579" s="81"/>
    </row>
    <row r="580" spans="1:54" x14ac:dyDescent="0.35">
      <c r="A580" s="66" t="s">
        <v>615</v>
      </c>
      <c r="B580" s="66" t="s">
        <v>712</v>
      </c>
      <c r="C580" s="67"/>
      <c r="D580" s="68"/>
      <c r="E580" s="69"/>
      <c r="F580" s="70"/>
      <c r="G580" s="67"/>
      <c r="H580" s="71"/>
      <c r="I580" s="72"/>
      <c r="J580" s="72"/>
      <c r="K580" s="36"/>
      <c r="L580" s="79"/>
      <c r="M580" s="79"/>
      <c r="N580" s="74"/>
      <c r="O580" s="81" t="s">
        <v>1532</v>
      </c>
      <c r="P580" s="83">
        <v>44461.460115740738</v>
      </c>
      <c r="Q580" s="81" t="s">
        <v>1758</v>
      </c>
      <c r="R580" s="81"/>
      <c r="S580" s="81"/>
      <c r="T580" s="86" t="s">
        <v>2678</v>
      </c>
      <c r="U580" s="84" t="str">
        <f>HYPERLINK("https://pbs.twimg.com/media/E_4G1w0UcAYtmKg.jpg")</f>
        <v>https://pbs.twimg.com/media/E_4G1w0UcAYtmKg.jpg</v>
      </c>
      <c r="V580" s="84" t="str">
        <f>HYPERLINK("https://pbs.twimg.com/media/E_4G1w0UcAYtmKg.jpg")</f>
        <v>https://pbs.twimg.com/media/E_4G1w0UcAYtmKg.jpg</v>
      </c>
      <c r="W580" s="83">
        <v>44461.460115740738</v>
      </c>
      <c r="X580" s="89">
        <v>44461</v>
      </c>
      <c r="Y580" s="86" t="s">
        <v>3193</v>
      </c>
      <c r="Z580" s="84" t="str">
        <f>HYPERLINK("https://twitter.com/nctmydream_/status/1440632610334511105")</f>
        <v>https://twitter.com/nctmydream_/status/1440632610334511105</v>
      </c>
      <c r="AA580" s="81"/>
      <c r="AB580" s="81"/>
      <c r="AC580" s="86" t="s">
        <v>4655</v>
      </c>
      <c r="AD580" s="81"/>
      <c r="AE580" s="81" t="b">
        <v>0</v>
      </c>
      <c r="AF580" s="81">
        <v>0</v>
      </c>
      <c r="AG580" s="86" t="s">
        <v>6240</v>
      </c>
      <c r="AH580" s="81" t="b">
        <v>0</v>
      </c>
      <c r="AI580" s="81" t="s">
        <v>6479</v>
      </c>
      <c r="AJ580" s="81"/>
      <c r="AK580" s="86" t="s">
        <v>6240</v>
      </c>
      <c r="AL580" s="81" t="b">
        <v>0</v>
      </c>
      <c r="AM580" s="81">
        <v>12</v>
      </c>
      <c r="AN580" s="86" t="s">
        <v>4753</v>
      </c>
      <c r="AO580" s="86" t="s">
        <v>6505</v>
      </c>
      <c r="AP580" s="81" t="b">
        <v>0</v>
      </c>
      <c r="AQ580" s="86" t="s">
        <v>4753</v>
      </c>
      <c r="AR580" s="81" t="s">
        <v>179</v>
      </c>
      <c r="AS580" s="81">
        <v>0</v>
      </c>
      <c r="AT580" s="81">
        <v>0</v>
      </c>
      <c r="AU580" s="81"/>
      <c r="AV580" s="81"/>
      <c r="AW580" s="81"/>
      <c r="AX580" s="81"/>
      <c r="AY580" s="81"/>
      <c r="AZ580" s="81"/>
      <c r="BA580" s="81"/>
      <c r="BB580" s="81"/>
    </row>
    <row r="581" spans="1:54" x14ac:dyDescent="0.35">
      <c r="A581" s="66" t="s">
        <v>616</v>
      </c>
      <c r="B581" s="66" t="s">
        <v>712</v>
      </c>
      <c r="C581" s="67"/>
      <c r="D581" s="68"/>
      <c r="E581" s="69"/>
      <c r="F581" s="70"/>
      <c r="G581" s="67"/>
      <c r="H581" s="71"/>
      <c r="I581" s="72"/>
      <c r="J581" s="72"/>
      <c r="K581" s="36"/>
      <c r="L581" s="79"/>
      <c r="M581" s="79"/>
      <c r="N581" s="74"/>
      <c r="O581" s="81" t="s">
        <v>1532</v>
      </c>
      <c r="P581" s="83">
        <v>44461.462523148148</v>
      </c>
      <c r="Q581" s="81" t="s">
        <v>1758</v>
      </c>
      <c r="R581" s="81"/>
      <c r="S581" s="81"/>
      <c r="T581" s="86" t="s">
        <v>2678</v>
      </c>
      <c r="U581" s="84" t="str">
        <f>HYPERLINK("https://pbs.twimg.com/media/E_4G1w0UcAYtmKg.jpg")</f>
        <v>https://pbs.twimg.com/media/E_4G1w0UcAYtmKg.jpg</v>
      </c>
      <c r="V581" s="84" t="str">
        <f>HYPERLINK("https://pbs.twimg.com/media/E_4G1w0UcAYtmKg.jpg")</f>
        <v>https://pbs.twimg.com/media/E_4G1w0UcAYtmKg.jpg</v>
      </c>
      <c r="W581" s="83">
        <v>44461.462523148148</v>
      </c>
      <c r="X581" s="89">
        <v>44461</v>
      </c>
      <c r="Y581" s="86" t="s">
        <v>3194</v>
      </c>
      <c r="Z581" s="84" t="str">
        <f>HYPERLINK("https://twitter.com/nctmy95/status/1440633480417669127")</f>
        <v>https://twitter.com/nctmy95/status/1440633480417669127</v>
      </c>
      <c r="AA581" s="81"/>
      <c r="AB581" s="81"/>
      <c r="AC581" s="86" t="s">
        <v>4656</v>
      </c>
      <c r="AD581" s="81"/>
      <c r="AE581" s="81" t="b">
        <v>0</v>
      </c>
      <c r="AF581" s="81">
        <v>0</v>
      </c>
      <c r="AG581" s="86" t="s">
        <v>6240</v>
      </c>
      <c r="AH581" s="81" t="b">
        <v>0</v>
      </c>
      <c r="AI581" s="81" t="s">
        <v>6479</v>
      </c>
      <c r="AJ581" s="81"/>
      <c r="AK581" s="86" t="s">
        <v>6240</v>
      </c>
      <c r="AL581" s="81" t="b">
        <v>0</v>
      </c>
      <c r="AM581" s="81">
        <v>12</v>
      </c>
      <c r="AN581" s="86" t="s">
        <v>4753</v>
      </c>
      <c r="AO581" s="86" t="s">
        <v>6503</v>
      </c>
      <c r="AP581" s="81" t="b">
        <v>0</v>
      </c>
      <c r="AQ581" s="86" t="s">
        <v>4753</v>
      </c>
      <c r="AR581" s="81" t="s">
        <v>179</v>
      </c>
      <c r="AS581" s="81">
        <v>0</v>
      </c>
      <c r="AT581" s="81">
        <v>0</v>
      </c>
      <c r="AU581" s="81"/>
      <c r="AV581" s="81"/>
      <c r="AW581" s="81"/>
      <c r="AX581" s="81"/>
      <c r="AY581" s="81"/>
      <c r="AZ581" s="81"/>
      <c r="BA581" s="81"/>
      <c r="BB581" s="81"/>
    </row>
    <row r="582" spans="1:54" x14ac:dyDescent="0.35">
      <c r="A582" s="66" t="s">
        <v>617</v>
      </c>
      <c r="B582" s="66" t="s">
        <v>1283</v>
      </c>
      <c r="C582" s="67"/>
      <c r="D582" s="68"/>
      <c r="E582" s="69"/>
      <c r="F582" s="70"/>
      <c r="G582" s="67"/>
      <c r="H582" s="71"/>
      <c r="I582" s="72"/>
      <c r="J582" s="72"/>
      <c r="K582" s="36"/>
      <c r="L582" s="79"/>
      <c r="M582" s="79"/>
      <c r="N582" s="74"/>
      <c r="O582" s="81" t="s">
        <v>1535</v>
      </c>
      <c r="P582" s="83">
        <v>44461.475925925923</v>
      </c>
      <c r="Q582" s="81" t="s">
        <v>1767</v>
      </c>
      <c r="R582" s="84" t="str">
        <f>HYPERLINK("https://kerjha.com/plbn-jagoi-perkuat-kedaulatan-nkri-di-perbatasan-kalbar/")</f>
        <v>https://kerjha.com/plbn-jagoi-perkuat-kedaulatan-nkri-di-perbatasan-kalbar/</v>
      </c>
      <c r="S582" s="81" t="s">
        <v>2586</v>
      </c>
      <c r="T582" s="81"/>
      <c r="U582" s="84" t="str">
        <f>HYPERLINK("https://pbs.twimg.com/media/E_4s75PVkAIWWTI.jpg")</f>
        <v>https://pbs.twimg.com/media/E_4s75PVkAIWWTI.jpg</v>
      </c>
      <c r="V582" s="84" t="str">
        <f>HYPERLINK("https://pbs.twimg.com/media/E_4s75PVkAIWWTI.jpg")</f>
        <v>https://pbs.twimg.com/media/E_4s75PVkAIWWTI.jpg</v>
      </c>
      <c r="W582" s="83">
        <v>44461.475925925923</v>
      </c>
      <c r="X582" s="89">
        <v>44461</v>
      </c>
      <c r="Y582" s="86" t="s">
        <v>3195</v>
      </c>
      <c r="Z582" s="84" t="str">
        <f>HYPERLINK("https://twitter.com/dhinijogja/status/1440638341301432331")</f>
        <v>https://twitter.com/dhinijogja/status/1440638341301432331</v>
      </c>
      <c r="AA582" s="81"/>
      <c r="AB582" s="81"/>
      <c r="AC582" s="86" t="s">
        <v>4657</v>
      </c>
      <c r="AD582" s="81"/>
      <c r="AE582" s="81" t="b">
        <v>0</v>
      </c>
      <c r="AF582" s="81">
        <v>2</v>
      </c>
      <c r="AG582" s="86" t="s">
        <v>6240</v>
      </c>
      <c r="AH582" s="81" t="b">
        <v>0</v>
      </c>
      <c r="AI582" s="81" t="s">
        <v>6478</v>
      </c>
      <c r="AJ582" s="81"/>
      <c r="AK582" s="86" t="s">
        <v>6240</v>
      </c>
      <c r="AL582" s="81" t="b">
        <v>0</v>
      </c>
      <c r="AM582" s="81">
        <v>0</v>
      </c>
      <c r="AN582" s="86" t="s">
        <v>6240</v>
      </c>
      <c r="AO582" s="86" t="s">
        <v>6503</v>
      </c>
      <c r="AP582" s="81" t="b">
        <v>0</v>
      </c>
      <c r="AQ582" s="86" t="s">
        <v>4657</v>
      </c>
      <c r="AR582" s="81" t="s">
        <v>179</v>
      </c>
      <c r="AS582" s="81">
        <v>0</v>
      </c>
      <c r="AT582" s="81">
        <v>0</v>
      </c>
      <c r="AU582" s="81"/>
      <c r="AV582" s="81"/>
      <c r="AW582" s="81"/>
      <c r="AX582" s="81"/>
      <c r="AY582" s="81"/>
      <c r="AZ582" s="81"/>
      <c r="BA582" s="81"/>
      <c r="BB582" s="81"/>
    </row>
    <row r="583" spans="1:54" x14ac:dyDescent="0.35">
      <c r="A583" s="66" t="s">
        <v>618</v>
      </c>
      <c r="B583" s="66" t="s">
        <v>712</v>
      </c>
      <c r="C583" s="67"/>
      <c r="D583" s="68"/>
      <c r="E583" s="69"/>
      <c r="F583" s="70"/>
      <c r="G583" s="67"/>
      <c r="H583" s="71"/>
      <c r="I583" s="72"/>
      <c r="J583" s="72"/>
      <c r="K583" s="36"/>
      <c r="L583" s="79"/>
      <c r="M583" s="79"/>
      <c r="N583" s="74"/>
      <c r="O583" s="81" t="s">
        <v>1532</v>
      </c>
      <c r="P583" s="83">
        <v>44461.479687500003</v>
      </c>
      <c r="Q583" s="81" t="s">
        <v>1758</v>
      </c>
      <c r="R583" s="81"/>
      <c r="S583" s="81"/>
      <c r="T583" s="86" t="s">
        <v>2678</v>
      </c>
      <c r="U583" s="84" t="str">
        <f>HYPERLINK("https://pbs.twimg.com/media/E_4G1w0UcAYtmKg.jpg")</f>
        <v>https://pbs.twimg.com/media/E_4G1w0UcAYtmKg.jpg</v>
      </c>
      <c r="V583" s="84" t="str">
        <f>HYPERLINK("https://pbs.twimg.com/media/E_4G1w0UcAYtmKg.jpg")</f>
        <v>https://pbs.twimg.com/media/E_4G1w0UcAYtmKg.jpg</v>
      </c>
      <c r="W583" s="83">
        <v>44461.479687500003</v>
      </c>
      <c r="X583" s="89">
        <v>44461</v>
      </c>
      <c r="Y583" s="86" t="s">
        <v>3196</v>
      </c>
      <c r="Z583" s="84" t="str">
        <f>HYPERLINK("https://twitter.com/pasarnctrt/status/1440639703246458888")</f>
        <v>https://twitter.com/pasarnctrt/status/1440639703246458888</v>
      </c>
      <c r="AA583" s="81"/>
      <c r="AB583" s="81"/>
      <c r="AC583" s="86" t="s">
        <v>4658</v>
      </c>
      <c r="AD583" s="81"/>
      <c r="AE583" s="81" t="b">
        <v>0</v>
      </c>
      <c r="AF583" s="81">
        <v>0</v>
      </c>
      <c r="AG583" s="86" t="s">
        <v>6240</v>
      </c>
      <c r="AH583" s="81" t="b">
        <v>0</v>
      </c>
      <c r="AI583" s="81" t="s">
        <v>6479</v>
      </c>
      <c r="AJ583" s="81"/>
      <c r="AK583" s="86" t="s">
        <v>6240</v>
      </c>
      <c r="AL583" s="81" t="b">
        <v>0</v>
      </c>
      <c r="AM583" s="81">
        <v>12</v>
      </c>
      <c r="AN583" s="86" t="s">
        <v>4753</v>
      </c>
      <c r="AO583" s="86" t="s">
        <v>6505</v>
      </c>
      <c r="AP583" s="81" t="b">
        <v>0</v>
      </c>
      <c r="AQ583" s="86" t="s">
        <v>4753</v>
      </c>
      <c r="AR583" s="81" t="s">
        <v>179</v>
      </c>
      <c r="AS583" s="81">
        <v>0</v>
      </c>
      <c r="AT583" s="81">
        <v>0</v>
      </c>
      <c r="AU583" s="81"/>
      <c r="AV583" s="81"/>
      <c r="AW583" s="81"/>
      <c r="AX583" s="81"/>
      <c r="AY583" s="81"/>
      <c r="AZ583" s="81"/>
      <c r="BA583" s="81"/>
      <c r="BB583" s="81"/>
    </row>
    <row r="584" spans="1:54" x14ac:dyDescent="0.35">
      <c r="A584" s="66" t="s">
        <v>619</v>
      </c>
      <c r="B584" s="66" t="s">
        <v>1365</v>
      </c>
      <c r="C584" s="67"/>
      <c r="D584" s="68"/>
      <c r="E584" s="69"/>
      <c r="F584" s="70"/>
      <c r="G584" s="67"/>
      <c r="H584" s="71"/>
      <c r="I584" s="72"/>
      <c r="J584" s="72"/>
      <c r="K584" s="36"/>
      <c r="L584" s="79"/>
      <c r="M584" s="79"/>
      <c r="N584" s="74"/>
      <c r="O584" s="81" t="s">
        <v>1534</v>
      </c>
      <c r="P584" s="83">
        <v>44461.486458333333</v>
      </c>
      <c r="Q584" s="81" t="s">
        <v>1768</v>
      </c>
      <c r="R584" s="81"/>
      <c r="S584" s="81"/>
      <c r="T584" s="81"/>
      <c r="U584" s="81"/>
      <c r="V584" s="84" t="str">
        <f>HYPERLINK("https://pbs.twimg.com/profile_images/1419479199853596679/Dm5BRiYZ_normal.jpg")</f>
        <v>https://pbs.twimg.com/profile_images/1419479199853596679/Dm5BRiYZ_normal.jpg</v>
      </c>
      <c r="W584" s="83">
        <v>44461.486458333333</v>
      </c>
      <c r="X584" s="89">
        <v>44461</v>
      </c>
      <c r="Y584" s="86" t="s">
        <v>3197</v>
      </c>
      <c r="Z584" s="84" t="str">
        <f>HYPERLINK("https://twitter.com/zigichild/status/1440642155337248771")</f>
        <v>https://twitter.com/zigichild/status/1440642155337248771</v>
      </c>
      <c r="AA584" s="81"/>
      <c r="AB584" s="81"/>
      <c r="AC584" s="86" t="s">
        <v>4659</v>
      </c>
      <c r="AD584" s="86" t="s">
        <v>6067</v>
      </c>
      <c r="AE584" s="81" t="b">
        <v>0</v>
      </c>
      <c r="AF584" s="81">
        <v>0</v>
      </c>
      <c r="AG584" s="86" t="s">
        <v>6329</v>
      </c>
      <c r="AH584" s="81" t="b">
        <v>0</v>
      </c>
      <c r="AI584" s="81" t="s">
        <v>6478</v>
      </c>
      <c r="AJ584" s="81"/>
      <c r="AK584" s="86" t="s">
        <v>6240</v>
      </c>
      <c r="AL584" s="81" t="b">
        <v>0</v>
      </c>
      <c r="AM584" s="81">
        <v>0</v>
      </c>
      <c r="AN584" s="86" t="s">
        <v>6240</v>
      </c>
      <c r="AO584" s="86" t="s">
        <v>6503</v>
      </c>
      <c r="AP584" s="81" t="b">
        <v>0</v>
      </c>
      <c r="AQ584" s="86" t="s">
        <v>6067</v>
      </c>
      <c r="AR584" s="81" t="s">
        <v>179</v>
      </c>
      <c r="AS584" s="81">
        <v>0</v>
      </c>
      <c r="AT584" s="81">
        <v>0</v>
      </c>
      <c r="AU584" s="81"/>
      <c r="AV584" s="81"/>
      <c r="AW584" s="81"/>
      <c r="AX584" s="81"/>
      <c r="AY584" s="81"/>
      <c r="AZ584" s="81"/>
      <c r="BA584" s="81"/>
      <c r="BB584" s="81"/>
    </row>
    <row r="585" spans="1:54" x14ac:dyDescent="0.35">
      <c r="A585" s="66" t="s">
        <v>620</v>
      </c>
      <c r="B585" s="66" t="s">
        <v>1366</v>
      </c>
      <c r="C585" s="67"/>
      <c r="D585" s="68"/>
      <c r="E585" s="69"/>
      <c r="F585" s="70"/>
      <c r="G585" s="67"/>
      <c r="H585" s="71"/>
      <c r="I585" s="72"/>
      <c r="J585" s="72"/>
      <c r="K585" s="36"/>
      <c r="L585" s="79"/>
      <c r="M585" s="79"/>
      <c r="N585" s="74"/>
      <c r="O585" s="81" t="s">
        <v>1534</v>
      </c>
      <c r="P585" s="83">
        <v>44461.488912037035</v>
      </c>
      <c r="Q585" s="81" t="s">
        <v>1769</v>
      </c>
      <c r="R585" s="81"/>
      <c r="S585" s="81"/>
      <c r="T585" s="81"/>
      <c r="U585" s="81"/>
      <c r="V585" s="84" t="str">
        <f>HYPERLINK("https://pbs.twimg.com/profile_images/1376977612866646019/p1jnlMYL_normal.jpg")</f>
        <v>https://pbs.twimg.com/profile_images/1376977612866646019/p1jnlMYL_normal.jpg</v>
      </c>
      <c r="W585" s="83">
        <v>44461.488912037035</v>
      </c>
      <c r="X585" s="89">
        <v>44461</v>
      </c>
      <c r="Y585" s="86" t="s">
        <v>3198</v>
      </c>
      <c r="Z585" s="84" t="str">
        <f>HYPERLINK("https://twitter.com/jjeyaz/status/1440643047134416904")</f>
        <v>https://twitter.com/jjeyaz/status/1440643047134416904</v>
      </c>
      <c r="AA585" s="81"/>
      <c r="AB585" s="81"/>
      <c r="AC585" s="86" t="s">
        <v>4660</v>
      </c>
      <c r="AD585" s="86" t="s">
        <v>6068</v>
      </c>
      <c r="AE585" s="81" t="b">
        <v>0</v>
      </c>
      <c r="AF585" s="81">
        <v>1</v>
      </c>
      <c r="AG585" s="86" t="s">
        <v>6330</v>
      </c>
      <c r="AH585" s="81" t="b">
        <v>0</v>
      </c>
      <c r="AI585" s="81" t="s">
        <v>6478</v>
      </c>
      <c r="AJ585" s="81"/>
      <c r="AK585" s="86" t="s">
        <v>6240</v>
      </c>
      <c r="AL585" s="81" t="b">
        <v>0</v>
      </c>
      <c r="AM585" s="81">
        <v>0</v>
      </c>
      <c r="AN585" s="86" t="s">
        <v>6240</v>
      </c>
      <c r="AO585" s="86" t="s">
        <v>6503</v>
      </c>
      <c r="AP585" s="81" t="b">
        <v>0</v>
      </c>
      <c r="AQ585" s="86" t="s">
        <v>6068</v>
      </c>
      <c r="AR585" s="81" t="s">
        <v>179</v>
      </c>
      <c r="AS585" s="81">
        <v>0</v>
      </c>
      <c r="AT585" s="81">
        <v>0</v>
      </c>
      <c r="AU585" s="81"/>
      <c r="AV585" s="81"/>
      <c r="AW585" s="81"/>
      <c r="AX585" s="81"/>
      <c r="AY585" s="81"/>
      <c r="AZ585" s="81"/>
      <c r="BA585" s="81"/>
      <c r="BB585" s="81"/>
    </row>
    <row r="586" spans="1:54" x14ac:dyDescent="0.35">
      <c r="A586" s="66" t="s">
        <v>621</v>
      </c>
      <c r="B586" s="66" t="s">
        <v>1261</v>
      </c>
      <c r="C586" s="67"/>
      <c r="D586" s="68"/>
      <c r="E586" s="69"/>
      <c r="F586" s="70"/>
      <c r="G586" s="67"/>
      <c r="H586" s="71"/>
      <c r="I586" s="72"/>
      <c r="J586" s="72"/>
      <c r="K586" s="36"/>
      <c r="L586" s="79"/>
      <c r="M586" s="79"/>
      <c r="N586" s="74"/>
      <c r="O586" s="81" t="s">
        <v>1532</v>
      </c>
      <c r="P586" s="83">
        <v>44461.507372685184</v>
      </c>
      <c r="Q586" s="81" t="s">
        <v>1653</v>
      </c>
      <c r="R586" s="84" t="str">
        <f>HYPERLINK("https://api.whatsapp.com/send?phone=6281222353823")</f>
        <v>https://api.whatsapp.com/send?phone=6281222353823</v>
      </c>
      <c r="S586" s="81" t="s">
        <v>2597</v>
      </c>
      <c r="T586" s="81"/>
      <c r="U586" s="84" t="str">
        <f>HYPERLINK("https://pbs.twimg.com/media/E_P_XMQWYAUXeaR.jpg")</f>
        <v>https://pbs.twimg.com/media/E_P_XMQWYAUXeaR.jpg</v>
      </c>
      <c r="V586" s="84" t="str">
        <f>HYPERLINK("https://pbs.twimg.com/media/E_P_XMQWYAUXeaR.jpg")</f>
        <v>https://pbs.twimg.com/media/E_P_XMQWYAUXeaR.jpg</v>
      </c>
      <c r="W586" s="83">
        <v>44461.507372685184</v>
      </c>
      <c r="X586" s="89">
        <v>44461</v>
      </c>
      <c r="Y586" s="86" t="s">
        <v>3199</v>
      </c>
      <c r="Z586" s="84" t="str">
        <f>HYPERLINK("https://twitter.com/nblnndf/status/1440649736592113673")</f>
        <v>https://twitter.com/nblnndf/status/1440649736592113673</v>
      </c>
      <c r="AA586" s="81"/>
      <c r="AB586" s="81"/>
      <c r="AC586" s="86" t="s">
        <v>4661</v>
      </c>
      <c r="AD586" s="81"/>
      <c r="AE586" s="81" t="b">
        <v>0</v>
      </c>
      <c r="AF586" s="81">
        <v>0</v>
      </c>
      <c r="AG586" s="86" t="s">
        <v>6240</v>
      </c>
      <c r="AH586" s="81" t="b">
        <v>0</v>
      </c>
      <c r="AI586" s="81" t="s">
        <v>6478</v>
      </c>
      <c r="AJ586" s="81"/>
      <c r="AK586" s="86" t="s">
        <v>6240</v>
      </c>
      <c r="AL586" s="81" t="b">
        <v>0</v>
      </c>
      <c r="AM586" s="81">
        <v>49</v>
      </c>
      <c r="AN586" s="86" t="s">
        <v>5526</v>
      </c>
      <c r="AO586" s="86" t="s">
        <v>6505</v>
      </c>
      <c r="AP586" s="81" t="b">
        <v>0</v>
      </c>
      <c r="AQ586" s="86" t="s">
        <v>5526</v>
      </c>
      <c r="AR586" s="81" t="s">
        <v>179</v>
      </c>
      <c r="AS586" s="81">
        <v>0</v>
      </c>
      <c r="AT586" s="81">
        <v>0</v>
      </c>
      <c r="AU586" s="81"/>
      <c r="AV586" s="81"/>
      <c r="AW586" s="81"/>
      <c r="AX586" s="81"/>
      <c r="AY586" s="81"/>
      <c r="AZ586" s="81"/>
      <c r="BA586" s="81"/>
      <c r="BB586" s="81"/>
    </row>
    <row r="587" spans="1:54" x14ac:dyDescent="0.35">
      <c r="A587" s="66" t="s">
        <v>622</v>
      </c>
      <c r="B587" s="66" t="s">
        <v>622</v>
      </c>
      <c r="C587" s="67"/>
      <c r="D587" s="68"/>
      <c r="E587" s="69"/>
      <c r="F587" s="70"/>
      <c r="G587" s="67"/>
      <c r="H587" s="71"/>
      <c r="I587" s="72"/>
      <c r="J587" s="72"/>
      <c r="K587" s="36"/>
      <c r="L587" s="79"/>
      <c r="M587" s="79"/>
      <c r="N587" s="74"/>
      <c r="O587" s="81" t="s">
        <v>179</v>
      </c>
      <c r="P587" s="83">
        <v>44461.507581018515</v>
      </c>
      <c r="Q587" s="81" t="s">
        <v>1770</v>
      </c>
      <c r="R587" s="81"/>
      <c r="S587" s="81"/>
      <c r="T587" s="81"/>
      <c r="U587" s="81"/>
      <c r="V587" s="84" t="str">
        <f>HYPERLINK("https://pbs.twimg.com/profile_images/1431240005360369668/tcSrO4St_normal.jpg")</f>
        <v>https://pbs.twimg.com/profile_images/1431240005360369668/tcSrO4St_normal.jpg</v>
      </c>
      <c r="W587" s="83">
        <v>44461.507581018515</v>
      </c>
      <c r="X587" s="89">
        <v>44461</v>
      </c>
      <c r="Y587" s="86" t="s">
        <v>3200</v>
      </c>
      <c r="Z587" s="84" t="str">
        <f>HYPERLINK("https://twitter.com/fuznalaela/status/1440649809476546565")</f>
        <v>https://twitter.com/fuznalaela/status/1440649809476546565</v>
      </c>
      <c r="AA587" s="81"/>
      <c r="AB587" s="81"/>
      <c r="AC587" s="86" t="s">
        <v>4662</v>
      </c>
      <c r="AD587" s="81"/>
      <c r="AE587" s="81" t="b">
        <v>0</v>
      </c>
      <c r="AF587" s="81">
        <v>0</v>
      </c>
      <c r="AG587" s="86" t="s">
        <v>6240</v>
      </c>
      <c r="AH587" s="81" t="b">
        <v>0</v>
      </c>
      <c r="AI587" s="81" t="s">
        <v>6478</v>
      </c>
      <c r="AJ587" s="81"/>
      <c r="AK587" s="86" t="s">
        <v>6240</v>
      </c>
      <c r="AL587" s="81" t="b">
        <v>0</v>
      </c>
      <c r="AM587" s="81">
        <v>0</v>
      </c>
      <c r="AN587" s="86" t="s">
        <v>6240</v>
      </c>
      <c r="AO587" s="86" t="s">
        <v>6505</v>
      </c>
      <c r="AP587" s="81" t="b">
        <v>0</v>
      </c>
      <c r="AQ587" s="86" t="s">
        <v>4662</v>
      </c>
      <c r="AR587" s="81" t="s">
        <v>179</v>
      </c>
      <c r="AS587" s="81">
        <v>0</v>
      </c>
      <c r="AT587" s="81">
        <v>0</v>
      </c>
      <c r="AU587" s="81"/>
      <c r="AV587" s="81"/>
      <c r="AW587" s="81"/>
      <c r="AX587" s="81"/>
      <c r="AY587" s="81"/>
      <c r="AZ587" s="81"/>
      <c r="BA587" s="81"/>
      <c r="BB587" s="81"/>
    </row>
    <row r="588" spans="1:54" x14ac:dyDescent="0.35">
      <c r="A588" s="66" t="s">
        <v>623</v>
      </c>
      <c r="B588" s="66" t="s">
        <v>712</v>
      </c>
      <c r="C588" s="67"/>
      <c r="D588" s="68"/>
      <c r="E588" s="69"/>
      <c r="F588" s="70"/>
      <c r="G588" s="67"/>
      <c r="H588" s="71"/>
      <c r="I588" s="72"/>
      <c r="J588" s="72"/>
      <c r="K588" s="36"/>
      <c r="L588" s="79"/>
      <c r="M588" s="79"/>
      <c r="N588" s="74"/>
      <c r="O588" s="81" t="s">
        <v>1532</v>
      </c>
      <c r="P588" s="83">
        <v>44461.516689814816</v>
      </c>
      <c r="Q588" s="81" t="s">
        <v>1758</v>
      </c>
      <c r="R588" s="81"/>
      <c r="S588" s="81"/>
      <c r="T588" s="86" t="s">
        <v>2678</v>
      </c>
      <c r="U588" s="84" t="str">
        <f>HYPERLINK("https://pbs.twimg.com/media/E_4G1w0UcAYtmKg.jpg")</f>
        <v>https://pbs.twimg.com/media/E_4G1w0UcAYtmKg.jpg</v>
      </c>
      <c r="V588" s="84" t="str">
        <f>HYPERLINK("https://pbs.twimg.com/media/E_4G1w0UcAYtmKg.jpg")</f>
        <v>https://pbs.twimg.com/media/E_4G1w0UcAYtmKg.jpg</v>
      </c>
      <c r="W588" s="83">
        <v>44461.516689814816</v>
      </c>
      <c r="X588" s="89">
        <v>44461</v>
      </c>
      <c r="Y588" s="86" t="s">
        <v>3201</v>
      </c>
      <c r="Z588" s="84" t="str">
        <f>HYPERLINK("https://twitter.com/lem0n4de_sh0p/status/1440653112016982019")</f>
        <v>https://twitter.com/lem0n4de_sh0p/status/1440653112016982019</v>
      </c>
      <c r="AA588" s="81"/>
      <c r="AB588" s="81"/>
      <c r="AC588" s="86" t="s">
        <v>4663</v>
      </c>
      <c r="AD588" s="81"/>
      <c r="AE588" s="81" t="b">
        <v>0</v>
      </c>
      <c r="AF588" s="81">
        <v>0</v>
      </c>
      <c r="AG588" s="86" t="s">
        <v>6240</v>
      </c>
      <c r="AH588" s="81" t="b">
        <v>0</v>
      </c>
      <c r="AI588" s="81" t="s">
        <v>6479</v>
      </c>
      <c r="AJ588" s="81"/>
      <c r="AK588" s="86" t="s">
        <v>6240</v>
      </c>
      <c r="AL588" s="81" t="b">
        <v>0</v>
      </c>
      <c r="AM588" s="81">
        <v>12</v>
      </c>
      <c r="AN588" s="86" t="s">
        <v>4753</v>
      </c>
      <c r="AO588" s="86" t="s">
        <v>6505</v>
      </c>
      <c r="AP588" s="81" t="b">
        <v>0</v>
      </c>
      <c r="AQ588" s="86" t="s">
        <v>4753</v>
      </c>
      <c r="AR588" s="81" t="s">
        <v>179</v>
      </c>
      <c r="AS588" s="81">
        <v>0</v>
      </c>
      <c r="AT588" s="81">
        <v>0</v>
      </c>
      <c r="AU588" s="81"/>
      <c r="AV588" s="81"/>
      <c r="AW588" s="81"/>
      <c r="AX588" s="81"/>
      <c r="AY588" s="81"/>
      <c r="AZ588" s="81"/>
      <c r="BA588" s="81"/>
      <c r="BB588" s="81"/>
    </row>
    <row r="589" spans="1:54" x14ac:dyDescent="0.35">
      <c r="A589" s="66" t="s">
        <v>624</v>
      </c>
      <c r="B589" s="66" t="s">
        <v>1283</v>
      </c>
      <c r="C589" s="67"/>
      <c r="D589" s="68"/>
      <c r="E589" s="69"/>
      <c r="F589" s="70"/>
      <c r="G589" s="67"/>
      <c r="H589" s="71"/>
      <c r="I589" s="72"/>
      <c r="J589" s="72"/>
      <c r="K589" s="36"/>
      <c r="L589" s="79"/>
      <c r="M589" s="79"/>
      <c r="N589" s="74"/>
      <c r="O589" s="81" t="s">
        <v>1533</v>
      </c>
      <c r="P589" s="83">
        <v>44461.550069444442</v>
      </c>
      <c r="Q589" s="81" t="s">
        <v>1771</v>
      </c>
      <c r="R589" s="84" t="str">
        <f>HYPERLINK("https://kerjha.com/plbn-jagoi-perkuat-kedaulatan-nkri-di-perbatasan-kalbar/")</f>
        <v>https://kerjha.com/plbn-jagoi-perkuat-kedaulatan-nkri-di-perbatasan-kalbar/</v>
      </c>
      <c r="S589" s="81" t="s">
        <v>2586</v>
      </c>
      <c r="T589" s="81"/>
      <c r="U589" s="81"/>
      <c r="V589" s="84" t="str">
        <f>HYPERLINK("https://pbs.twimg.com/profile_images/1338685347803189249/4PJxT9lZ_normal.jpg")</f>
        <v>https://pbs.twimg.com/profile_images/1338685347803189249/4PJxT9lZ_normal.jpg</v>
      </c>
      <c r="W589" s="83">
        <v>44461.550069444442</v>
      </c>
      <c r="X589" s="89">
        <v>44461</v>
      </c>
      <c r="Y589" s="86" t="s">
        <v>3202</v>
      </c>
      <c r="Z589" s="84" t="str">
        <f>HYPERLINK("https://twitter.com/ilusikmu/status/1440665207026507788")</f>
        <v>https://twitter.com/ilusikmu/status/1440665207026507788</v>
      </c>
      <c r="AA589" s="81"/>
      <c r="AB589" s="81"/>
      <c r="AC589" s="86" t="s">
        <v>4664</v>
      </c>
      <c r="AD589" s="81"/>
      <c r="AE589" s="81" t="b">
        <v>0</v>
      </c>
      <c r="AF589" s="81">
        <v>0</v>
      </c>
      <c r="AG589" s="86" t="s">
        <v>6240</v>
      </c>
      <c r="AH589" s="81" t="b">
        <v>0</v>
      </c>
      <c r="AI589" s="81" t="s">
        <v>6478</v>
      </c>
      <c r="AJ589" s="81"/>
      <c r="AK589" s="86" t="s">
        <v>6240</v>
      </c>
      <c r="AL589" s="81" t="b">
        <v>0</v>
      </c>
      <c r="AM589" s="81">
        <v>5</v>
      </c>
      <c r="AN589" s="86" t="s">
        <v>5287</v>
      </c>
      <c r="AO589" s="86" t="s">
        <v>6503</v>
      </c>
      <c r="AP589" s="81" t="b">
        <v>0</v>
      </c>
      <c r="AQ589" s="86" t="s">
        <v>5287</v>
      </c>
      <c r="AR589" s="81" t="s">
        <v>179</v>
      </c>
      <c r="AS589" s="81">
        <v>0</v>
      </c>
      <c r="AT589" s="81">
        <v>0</v>
      </c>
      <c r="AU589" s="81"/>
      <c r="AV589" s="81"/>
      <c r="AW589" s="81"/>
      <c r="AX589" s="81"/>
      <c r="AY589" s="81"/>
      <c r="AZ589" s="81"/>
      <c r="BA589" s="81"/>
      <c r="BB589" s="81"/>
    </row>
    <row r="590" spans="1:54" x14ac:dyDescent="0.35">
      <c r="A590" s="66" t="s">
        <v>624</v>
      </c>
      <c r="B590" s="66" t="s">
        <v>1108</v>
      </c>
      <c r="C590" s="67"/>
      <c r="D590" s="68"/>
      <c r="E590" s="69"/>
      <c r="F590" s="70"/>
      <c r="G590" s="67"/>
      <c r="H590" s="71"/>
      <c r="I590" s="72"/>
      <c r="J590" s="72"/>
      <c r="K590" s="36"/>
      <c r="L590" s="79"/>
      <c r="M590" s="79"/>
      <c r="N590" s="74"/>
      <c r="O590" s="81" t="s">
        <v>1532</v>
      </c>
      <c r="P590" s="83">
        <v>44461.550069444442</v>
      </c>
      <c r="Q590" s="81" t="s">
        <v>1771</v>
      </c>
      <c r="R590" s="84" t="str">
        <f>HYPERLINK("https://kerjha.com/plbn-jagoi-perkuat-kedaulatan-nkri-di-perbatasan-kalbar/")</f>
        <v>https://kerjha.com/plbn-jagoi-perkuat-kedaulatan-nkri-di-perbatasan-kalbar/</v>
      </c>
      <c r="S590" s="81" t="s">
        <v>2586</v>
      </c>
      <c r="T590" s="81"/>
      <c r="U590" s="81"/>
      <c r="V590" s="84" t="str">
        <f>HYPERLINK("https://pbs.twimg.com/profile_images/1338685347803189249/4PJxT9lZ_normal.jpg")</f>
        <v>https://pbs.twimg.com/profile_images/1338685347803189249/4PJxT9lZ_normal.jpg</v>
      </c>
      <c r="W590" s="83">
        <v>44461.550069444442</v>
      </c>
      <c r="X590" s="89">
        <v>44461</v>
      </c>
      <c r="Y590" s="86" t="s">
        <v>3202</v>
      </c>
      <c r="Z590" s="84" t="str">
        <f>HYPERLINK("https://twitter.com/ilusikmu/status/1440665207026507788")</f>
        <v>https://twitter.com/ilusikmu/status/1440665207026507788</v>
      </c>
      <c r="AA590" s="81"/>
      <c r="AB590" s="81"/>
      <c r="AC590" s="86" t="s">
        <v>4664</v>
      </c>
      <c r="AD590" s="81"/>
      <c r="AE590" s="81" t="b">
        <v>0</v>
      </c>
      <c r="AF590" s="81">
        <v>0</v>
      </c>
      <c r="AG590" s="86" t="s">
        <v>6240</v>
      </c>
      <c r="AH590" s="81" t="b">
        <v>0</v>
      </c>
      <c r="AI590" s="81" t="s">
        <v>6478</v>
      </c>
      <c r="AJ590" s="81"/>
      <c r="AK590" s="86" t="s">
        <v>6240</v>
      </c>
      <c r="AL590" s="81" t="b">
        <v>0</v>
      </c>
      <c r="AM590" s="81">
        <v>5</v>
      </c>
      <c r="AN590" s="86" t="s">
        <v>5287</v>
      </c>
      <c r="AO590" s="86" t="s">
        <v>6503</v>
      </c>
      <c r="AP590" s="81" t="b">
        <v>0</v>
      </c>
      <c r="AQ590" s="86" t="s">
        <v>5287</v>
      </c>
      <c r="AR590" s="81" t="s">
        <v>179</v>
      </c>
      <c r="AS590" s="81">
        <v>0</v>
      </c>
      <c r="AT590" s="81">
        <v>0</v>
      </c>
      <c r="AU590" s="81"/>
      <c r="AV590" s="81"/>
      <c r="AW590" s="81"/>
      <c r="AX590" s="81"/>
      <c r="AY590" s="81"/>
      <c r="AZ590" s="81"/>
      <c r="BA590" s="81"/>
      <c r="BB590" s="81"/>
    </row>
    <row r="591" spans="1:54" x14ac:dyDescent="0.35">
      <c r="A591" s="66" t="s">
        <v>625</v>
      </c>
      <c r="B591" s="66" t="s">
        <v>1283</v>
      </c>
      <c r="C591" s="67"/>
      <c r="D591" s="68"/>
      <c r="E591" s="69"/>
      <c r="F591" s="70"/>
      <c r="G591" s="67"/>
      <c r="H591" s="71"/>
      <c r="I591" s="72"/>
      <c r="J591" s="72"/>
      <c r="K591" s="36"/>
      <c r="L591" s="79"/>
      <c r="M591" s="79"/>
      <c r="N591" s="74"/>
      <c r="O591" s="81" t="s">
        <v>1533</v>
      </c>
      <c r="P591" s="83">
        <v>44461.554976851854</v>
      </c>
      <c r="Q591" s="81" t="s">
        <v>1771</v>
      </c>
      <c r="R591" s="84" t="str">
        <f>HYPERLINK("https://kerjha.com/plbn-jagoi-perkuat-kedaulatan-nkri-di-perbatasan-kalbar/")</f>
        <v>https://kerjha.com/plbn-jagoi-perkuat-kedaulatan-nkri-di-perbatasan-kalbar/</v>
      </c>
      <c r="S591" s="81" t="s">
        <v>2586</v>
      </c>
      <c r="T591" s="81"/>
      <c r="U591" s="81"/>
      <c r="V591" s="84" t="str">
        <f>HYPERLINK("https://pbs.twimg.com/profile_images/1338896059595071490/saNLRk6r_normal.jpg")</f>
        <v>https://pbs.twimg.com/profile_images/1338896059595071490/saNLRk6r_normal.jpg</v>
      </c>
      <c r="W591" s="83">
        <v>44461.554976851854</v>
      </c>
      <c r="X591" s="89">
        <v>44461</v>
      </c>
      <c r="Y591" s="86" t="s">
        <v>3203</v>
      </c>
      <c r="Z591" s="84" t="str">
        <f>HYPERLINK("https://twitter.com/sunyibiar/status/1440666987848351744")</f>
        <v>https://twitter.com/sunyibiar/status/1440666987848351744</v>
      </c>
      <c r="AA591" s="81"/>
      <c r="AB591" s="81"/>
      <c r="AC591" s="86" t="s">
        <v>4665</v>
      </c>
      <c r="AD591" s="81"/>
      <c r="AE591" s="81" t="b">
        <v>0</v>
      </c>
      <c r="AF591" s="81">
        <v>0</v>
      </c>
      <c r="AG591" s="86" t="s">
        <v>6240</v>
      </c>
      <c r="AH591" s="81" t="b">
        <v>0</v>
      </c>
      <c r="AI591" s="81" t="s">
        <v>6478</v>
      </c>
      <c r="AJ591" s="81"/>
      <c r="AK591" s="86" t="s">
        <v>6240</v>
      </c>
      <c r="AL591" s="81" t="b">
        <v>0</v>
      </c>
      <c r="AM591" s="81">
        <v>5</v>
      </c>
      <c r="AN591" s="86" t="s">
        <v>5287</v>
      </c>
      <c r="AO591" s="86" t="s">
        <v>6503</v>
      </c>
      <c r="AP591" s="81" t="b">
        <v>0</v>
      </c>
      <c r="AQ591" s="86" t="s">
        <v>5287</v>
      </c>
      <c r="AR591" s="81" t="s">
        <v>179</v>
      </c>
      <c r="AS591" s="81">
        <v>0</v>
      </c>
      <c r="AT591" s="81">
        <v>0</v>
      </c>
      <c r="AU591" s="81"/>
      <c r="AV591" s="81"/>
      <c r="AW591" s="81"/>
      <c r="AX591" s="81"/>
      <c r="AY591" s="81"/>
      <c r="AZ591" s="81"/>
      <c r="BA591" s="81"/>
      <c r="BB591" s="81"/>
    </row>
    <row r="592" spans="1:54" x14ac:dyDescent="0.35">
      <c r="A592" s="66" t="s">
        <v>625</v>
      </c>
      <c r="B592" s="66" t="s">
        <v>1108</v>
      </c>
      <c r="C592" s="67"/>
      <c r="D592" s="68"/>
      <c r="E592" s="69"/>
      <c r="F592" s="70"/>
      <c r="G592" s="67"/>
      <c r="H592" s="71"/>
      <c r="I592" s="72"/>
      <c r="J592" s="72"/>
      <c r="K592" s="36"/>
      <c r="L592" s="79"/>
      <c r="M592" s="79"/>
      <c r="N592" s="74"/>
      <c r="O592" s="81" t="s">
        <v>1532</v>
      </c>
      <c r="P592" s="83">
        <v>44461.554976851854</v>
      </c>
      <c r="Q592" s="81" t="s">
        <v>1771</v>
      </c>
      <c r="R592" s="84" t="str">
        <f>HYPERLINK("https://kerjha.com/plbn-jagoi-perkuat-kedaulatan-nkri-di-perbatasan-kalbar/")</f>
        <v>https://kerjha.com/plbn-jagoi-perkuat-kedaulatan-nkri-di-perbatasan-kalbar/</v>
      </c>
      <c r="S592" s="81" t="s">
        <v>2586</v>
      </c>
      <c r="T592" s="81"/>
      <c r="U592" s="81"/>
      <c r="V592" s="84" t="str">
        <f>HYPERLINK("https://pbs.twimg.com/profile_images/1338896059595071490/saNLRk6r_normal.jpg")</f>
        <v>https://pbs.twimg.com/profile_images/1338896059595071490/saNLRk6r_normal.jpg</v>
      </c>
      <c r="W592" s="83">
        <v>44461.554976851854</v>
      </c>
      <c r="X592" s="89">
        <v>44461</v>
      </c>
      <c r="Y592" s="86" t="s">
        <v>3203</v>
      </c>
      <c r="Z592" s="84" t="str">
        <f>HYPERLINK("https://twitter.com/sunyibiar/status/1440666987848351744")</f>
        <v>https://twitter.com/sunyibiar/status/1440666987848351744</v>
      </c>
      <c r="AA592" s="81"/>
      <c r="AB592" s="81"/>
      <c r="AC592" s="86" t="s">
        <v>4665</v>
      </c>
      <c r="AD592" s="81"/>
      <c r="AE592" s="81" t="b">
        <v>0</v>
      </c>
      <c r="AF592" s="81">
        <v>0</v>
      </c>
      <c r="AG592" s="86" t="s">
        <v>6240</v>
      </c>
      <c r="AH592" s="81" t="b">
        <v>0</v>
      </c>
      <c r="AI592" s="81" t="s">
        <v>6478</v>
      </c>
      <c r="AJ592" s="81"/>
      <c r="AK592" s="86" t="s">
        <v>6240</v>
      </c>
      <c r="AL592" s="81" t="b">
        <v>0</v>
      </c>
      <c r="AM592" s="81">
        <v>5</v>
      </c>
      <c r="AN592" s="86" t="s">
        <v>5287</v>
      </c>
      <c r="AO592" s="86" t="s">
        <v>6503</v>
      </c>
      <c r="AP592" s="81" t="b">
        <v>0</v>
      </c>
      <c r="AQ592" s="86" t="s">
        <v>5287</v>
      </c>
      <c r="AR592" s="81" t="s">
        <v>179</v>
      </c>
      <c r="AS592" s="81">
        <v>0</v>
      </c>
      <c r="AT592" s="81">
        <v>0</v>
      </c>
      <c r="AU592" s="81"/>
      <c r="AV592" s="81"/>
      <c r="AW592" s="81"/>
      <c r="AX592" s="81"/>
      <c r="AY592" s="81"/>
      <c r="AZ592" s="81"/>
      <c r="BA592" s="81"/>
      <c r="BB592" s="81"/>
    </row>
    <row r="593" spans="1:54" x14ac:dyDescent="0.35">
      <c r="A593" s="66" t="s">
        <v>626</v>
      </c>
      <c r="B593" s="66" t="s">
        <v>1283</v>
      </c>
      <c r="C593" s="67"/>
      <c r="D593" s="68"/>
      <c r="E593" s="69"/>
      <c r="F593" s="70"/>
      <c r="G593" s="67"/>
      <c r="H593" s="71"/>
      <c r="I593" s="72"/>
      <c r="J593" s="72"/>
      <c r="K593" s="36"/>
      <c r="L593" s="79"/>
      <c r="M593" s="79"/>
      <c r="N593" s="74"/>
      <c r="O593" s="81" t="s">
        <v>1533</v>
      </c>
      <c r="P593" s="83">
        <v>44461.565613425926</v>
      </c>
      <c r="Q593" s="81" t="s">
        <v>1771</v>
      </c>
      <c r="R593" s="84" t="str">
        <f>HYPERLINK("https://kerjha.com/plbn-jagoi-perkuat-kedaulatan-nkri-di-perbatasan-kalbar/")</f>
        <v>https://kerjha.com/plbn-jagoi-perkuat-kedaulatan-nkri-di-perbatasan-kalbar/</v>
      </c>
      <c r="S593" s="81" t="s">
        <v>2586</v>
      </c>
      <c r="T593" s="81"/>
      <c r="U593" s="81"/>
      <c r="V593" s="84" t="str">
        <f>HYPERLINK("https://pbs.twimg.com/profile_images/1440383771581157376/42MolmeB_normal.jpg")</f>
        <v>https://pbs.twimg.com/profile_images/1440383771581157376/42MolmeB_normal.jpg</v>
      </c>
      <c r="W593" s="83">
        <v>44461.565613425926</v>
      </c>
      <c r="X593" s="89">
        <v>44461</v>
      </c>
      <c r="Y593" s="86" t="s">
        <v>3204</v>
      </c>
      <c r="Z593" s="84" t="str">
        <f>HYPERLINK("https://twitter.com/winkiwinki_/status/1440670842573115396")</f>
        <v>https://twitter.com/winkiwinki_/status/1440670842573115396</v>
      </c>
      <c r="AA593" s="81"/>
      <c r="AB593" s="81"/>
      <c r="AC593" s="86" t="s">
        <v>4666</v>
      </c>
      <c r="AD593" s="81"/>
      <c r="AE593" s="81" t="b">
        <v>0</v>
      </c>
      <c r="AF593" s="81">
        <v>0</v>
      </c>
      <c r="AG593" s="86" t="s">
        <v>6240</v>
      </c>
      <c r="AH593" s="81" t="b">
        <v>0</v>
      </c>
      <c r="AI593" s="81" t="s">
        <v>6478</v>
      </c>
      <c r="AJ593" s="81"/>
      <c r="AK593" s="86" t="s">
        <v>6240</v>
      </c>
      <c r="AL593" s="81" t="b">
        <v>0</v>
      </c>
      <c r="AM593" s="81">
        <v>5</v>
      </c>
      <c r="AN593" s="86" t="s">
        <v>5287</v>
      </c>
      <c r="AO593" s="86" t="s">
        <v>6503</v>
      </c>
      <c r="AP593" s="81" t="b">
        <v>0</v>
      </c>
      <c r="AQ593" s="86" t="s">
        <v>5287</v>
      </c>
      <c r="AR593" s="81" t="s">
        <v>179</v>
      </c>
      <c r="AS593" s="81">
        <v>0</v>
      </c>
      <c r="AT593" s="81">
        <v>0</v>
      </c>
      <c r="AU593" s="81"/>
      <c r="AV593" s="81"/>
      <c r="AW593" s="81"/>
      <c r="AX593" s="81"/>
      <c r="AY593" s="81"/>
      <c r="AZ593" s="81"/>
      <c r="BA593" s="81"/>
      <c r="BB593" s="81"/>
    </row>
    <row r="594" spans="1:54" x14ac:dyDescent="0.35">
      <c r="A594" s="66" t="s">
        <v>626</v>
      </c>
      <c r="B594" s="66" t="s">
        <v>1108</v>
      </c>
      <c r="C594" s="67"/>
      <c r="D594" s="68"/>
      <c r="E594" s="69"/>
      <c r="F594" s="70"/>
      <c r="G594" s="67"/>
      <c r="H594" s="71"/>
      <c r="I594" s="72"/>
      <c r="J594" s="72"/>
      <c r="K594" s="36"/>
      <c r="L594" s="79"/>
      <c r="M594" s="79"/>
      <c r="N594" s="74"/>
      <c r="O594" s="81" t="s">
        <v>1532</v>
      </c>
      <c r="P594" s="83">
        <v>44461.565613425926</v>
      </c>
      <c r="Q594" s="81" t="s">
        <v>1771</v>
      </c>
      <c r="R594" s="84" t="str">
        <f>HYPERLINK("https://kerjha.com/plbn-jagoi-perkuat-kedaulatan-nkri-di-perbatasan-kalbar/")</f>
        <v>https://kerjha.com/plbn-jagoi-perkuat-kedaulatan-nkri-di-perbatasan-kalbar/</v>
      </c>
      <c r="S594" s="81" t="s">
        <v>2586</v>
      </c>
      <c r="T594" s="81"/>
      <c r="U594" s="81"/>
      <c r="V594" s="84" t="str">
        <f>HYPERLINK("https://pbs.twimg.com/profile_images/1440383771581157376/42MolmeB_normal.jpg")</f>
        <v>https://pbs.twimg.com/profile_images/1440383771581157376/42MolmeB_normal.jpg</v>
      </c>
      <c r="W594" s="83">
        <v>44461.565613425926</v>
      </c>
      <c r="X594" s="89">
        <v>44461</v>
      </c>
      <c r="Y594" s="86" t="s">
        <v>3204</v>
      </c>
      <c r="Z594" s="84" t="str">
        <f>HYPERLINK("https://twitter.com/winkiwinki_/status/1440670842573115396")</f>
        <v>https://twitter.com/winkiwinki_/status/1440670842573115396</v>
      </c>
      <c r="AA594" s="81"/>
      <c r="AB594" s="81"/>
      <c r="AC594" s="86" t="s">
        <v>4666</v>
      </c>
      <c r="AD594" s="81"/>
      <c r="AE594" s="81" t="b">
        <v>0</v>
      </c>
      <c r="AF594" s="81">
        <v>0</v>
      </c>
      <c r="AG594" s="86" t="s">
        <v>6240</v>
      </c>
      <c r="AH594" s="81" t="b">
        <v>0</v>
      </c>
      <c r="AI594" s="81" t="s">
        <v>6478</v>
      </c>
      <c r="AJ594" s="81"/>
      <c r="AK594" s="86" t="s">
        <v>6240</v>
      </c>
      <c r="AL594" s="81" t="b">
        <v>0</v>
      </c>
      <c r="AM594" s="81">
        <v>5</v>
      </c>
      <c r="AN594" s="86" t="s">
        <v>5287</v>
      </c>
      <c r="AO594" s="86" t="s">
        <v>6503</v>
      </c>
      <c r="AP594" s="81" t="b">
        <v>0</v>
      </c>
      <c r="AQ594" s="86" t="s">
        <v>5287</v>
      </c>
      <c r="AR594" s="81" t="s">
        <v>179</v>
      </c>
      <c r="AS594" s="81">
        <v>0</v>
      </c>
      <c r="AT594" s="81">
        <v>0</v>
      </c>
      <c r="AU594" s="81"/>
      <c r="AV594" s="81"/>
      <c r="AW594" s="81"/>
      <c r="AX594" s="81"/>
      <c r="AY594" s="81"/>
      <c r="AZ594" s="81"/>
      <c r="BA594" s="81"/>
      <c r="BB594" s="81"/>
    </row>
    <row r="595" spans="1:54" x14ac:dyDescent="0.35">
      <c r="A595" s="66" t="s">
        <v>627</v>
      </c>
      <c r="B595" s="66" t="s">
        <v>1283</v>
      </c>
      <c r="C595" s="67"/>
      <c r="D595" s="68"/>
      <c r="E595" s="69"/>
      <c r="F595" s="70"/>
      <c r="G595" s="67"/>
      <c r="H595" s="71"/>
      <c r="I595" s="72"/>
      <c r="J595" s="72"/>
      <c r="K595" s="36"/>
      <c r="L595" s="79"/>
      <c r="M595" s="79"/>
      <c r="N595" s="74"/>
      <c r="O595" s="81" t="s">
        <v>1533</v>
      </c>
      <c r="P595" s="83">
        <v>44461.568865740737</v>
      </c>
      <c r="Q595" s="81" t="s">
        <v>1771</v>
      </c>
      <c r="R595" s="84" t="str">
        <f>HYPERLINK("https://kerjha.com/plbn-jagoi-perkuat-kedaulatan-nkri-di-perbatasan-kalbar/")</f>
        <v>https://kerjha.com/plbn-jagoi-perkuat-kedaulatan-nkri-di-perbatasan-kalbar/</v>
      </c>
      <c r="S595" s="81" t="s">
        <v>2586</v>
      </c>
      <c r="T595" s="81"/>
      <c r="U595" s="81"/>
      <c r="V595" s="84" t="str">
        <f>HYPERLINK("https://pbs.twimg.com/profile_images/1440384293126107139/JsAtWATB_normal.jpg")</f>
        <v>https://pbs.twimg.com/profile_images/1440384293126107139/JsAtWATB_normal.jpg</v>
      </c>
      <c r="W595" s="83">
        <v>44461.568865740737</v>
      </c>
      <c r="X595" s="89">
        <v>44461</v>
      </c>
      <c r="Y595" s="86" t="s">
        <v>3205</v>
      </c>
      <c r="Z595" s="84" t="str">
        <f>HYPERLINK("https://twitter.com/intanint/status/1440672019939426321")</f>
        <v>https://twitter.com/intanint/status/1440672019939426321</v>
      </c>
      <c r="AA595" s="81"/>
      <c r="AB595" s="81"/>
      <c r="AC595" s="86" t="s">
        <v>4667</v>
      </c>
      <c r="AD595" s="81"/>
      <c r="AE595" s="81" t="b">
        <v>0</v>
      </c>
      <c r="AF595" s="81">
        <v>0</v>
      </c>
      <c r="AG595" s="86" t="s">
        <v>6240</v>
      </c>
      <c r="AH595" s="81" t="b">
        <v>0</v>
      </c>
      <c r="AI595" s="81" t="s">
        <v>6478</v>
      </c>
      <c r="AJ595" s="81"/>
      <c r="AK595" s="86" t="s">
        <v>6240</v>
      </c>
      <c r="AL595" s="81" t="b">
        <v>0</v>
      </c>
      <c r="AM595" s="81">
        <v>5</v>
      </c>
      <c r="AN595" s="86" t="s">
        <v>5287</v>
      </c>
      <c r="AO595" s="86" t="s">
        <v>6503</v>
      </c>
      <c r="AP595" s="81" t="b">
        <v>0</v>
      </c>
      <c r="AQ595" s="86" t="s">
        <v>5287</v>
      </c>
      <c r="AR595" s="81" t="s">
        <v>179</v>
      </c>
      <c r="AS595" s="81">
        <v>0</v>
      </c>
      <c r="AT595" s="81">
        <v>0</v>
      </c>
      <c r="AU595" s="81"/>
      <c r="AV595" s="81"/>
      <c r="AW595" s="81"/>
      <c r="AX595" s="81"/>
      <c r="AY595" s="81"/>
      <c r="AZ595" s="81"/>
      <c r="BA595" s="81"/>
      <c r="BB595" s="81"/>
    </row>
    <row r="596" spans="1:54" x14ac:dyDescent="0.35">
      <c r="A596" s="66" t="s">
        <v>627</v>
      </c>
      <c r="B596" s="66" t="s">
        <v>1108</v>
      </c>
      <c r="C596" s="67"/>
      <c r="D596" s="68"/>
      <c r="E596" s="69"/>
      <c r="F596" s="70"/>
      <c r="G596" s="67"/>
      <c r="H596" s="71"/>
      <c r="I596" s="72"/>
      <c r="J596" s="72"/>
      <c r="K596" s="36"/>
      <c r="L596" s="79"/>
      <c r="M596" s="79"/>
      <c r="N596" s="74"/>
      <c r="O596" s="81" t="s">
        <v>1532</v>
      </c>
      <c r="P596" s="83">
        <v>44461.568865740737</v>
      </c>
      <c r="Q596" s="81" t="s">
        <v>1771</v>
      </c>
      <c r="R596" s="84" t="str">
        <f>HYPERLINK("https://kerjha.com/plbn-jagoi-perkuat-kedaulatan-nkri-di-perbatasan-kalbar/")</f>
        <v>https://kerjha.com/plbn-jagoi-perkuat-kedaulatan-nkri-di-perbatasan-kalbar/</v>
      </c>
      <c r="S596" s="81" t="s">
        <v>2586</v>
      </c>
      <c r="T596" s="81"/>
      <c r="U596" s="81"/>
      <c r="V596" s="84" t="str">
        <f>HYPERLINK("https://pbs.twimg.com/profile_images/1440384293126107139/JsAtWATB_normal.jpg")</f>
        <v>https://pbs.twimg.com/profile_images/1440384293126107139/JsAtWATB_normal.jpg</v>
      </c>
      <c r="W596" s="83">
        <v>44461.568865740737</v>
      </c>
      <c r="X596" s="89">
        <v>44461</v>
      </c>
      <c r="Y596" s="86" t="s">
        <v>3205</v>
      </c>
      <c r="Z596" s="84" t="str">
        <f>HYPERLINK("https://twitter.com/intanint/status/1440672019939426321")</f>
        <v>https://twitter.com/intanint/status/1440672019939426321</v>
      </c>
      <c r="AA596" s="81"/>
      <c r="AB596" s="81"/>
      <c r="AC596" s="86" t="s">
        <v>4667</v>
      </c>
      <c r="AD596" s="81"/>
      <c r="AE596" s="81" t="b">
        <v>0</v>
      </c>
      <c r="AF596" s="81">
        <v>0</v>
      </c>
      <c r="AG596" s="86" t="s">
        <v>6240</v>
      </c>
      <c r="AH596" s="81" t="b">
        <v>0</v>
      </c>
      <c r="AI596" s="81" t="s">
        <v>6478</v>
      </c>
      <c r="AJ596" s="81"/>
      <c r="AK596" s="86" t="s">
        <v>6240</v>
      </c>
      <c r="AL596" s="81" t="b">
        <v>0</v>
      </c>
      <c r="AM596" s="81">
        <v>5</v>
      </c>
      <c r="AN596" s="86" t="s">
        <v>5287</v>
      </c>
      <c r="AO596" s="86" t="s">
        <v>6503</v>
      </c>
      <c r="AP596" s="81" t="b">
        <v>0</v>
      </c>
      <c r="AQ596" s="86" t="s">
        <v>5287</v>
      </c>
      <c r="AR596" s="81" t="s">
        <v>179</v>
      </c>
      <c r="AS596" s="81">
        <v>0</v>
      </c>
      <c r="AT596" s="81">
        <v>0</v>
      </c>
      <c r="AU596" s="81"/>
      <c r="AV596" s="81"/>
      <c r="AW596" s="81"/>
      <c r="AX596" s="81"/>
      <c r="AY596" s="81"/>
      <c r="AZ596" s="81"/>
      <c r="BA596" s="81"/>
      <c r="BB596" s="81"/>
    </row>
    <row r="597" spans="1:54" x14ac:dyDescent="0.35">
      <c r="A597" s="66" t="s">
        <v>628</v>
      </c>
      <c r="B597" s="66" t="s">
        <v>1367</v>
      </c>
      <c r="C597" s="67"/>
      <c r="D597" s="68"/>
      <c r="E597" s="69"/>
      <c r="F597" s="70"/>
      <c r="G597" s="67"/>
      <c r="H597" s="71"/>
      <c r="I597" s="72"/>
      <c r="J597" s="72"/>
      <c r="K597" s="36"/>
      <c r="L597" s="79"/>
      <c r="M597" s="79"/>
      <c r="N597" s="74"/>
      <c r="O597" s="81" t="s">
        <v>1534</v>
      </c>
      <c r="P597" s="83">
        <v>44461.616562499999</v>
      </c>
      <c r="Q597" s="81" t="s">
        <v>1772</v>
      </c>
      <c r="R597" s="81"/>
      <c r="S597" s="81"/>
      <c r="T597" s="81"/>
      <c r="U597" s="81"/>
      <c r="V597" s="84" t="str">
        <f>HYPERLINK("https://pbs.twimg.com/profile_images/1441468342108262407/v90SNLJl_normal.jpg")</f>
        <v>https://pbs.twimg.com/profile_images/1441468342108262407/v90SNLJl_normal.jpg</v>
      </c>
      <c r="W597" s="83">
        <v>44461.616562499999</v>
      </c>
      <c r="X597" s="89">
        <v>44461</v>
      </c>
      <c r="Y597" s="86" t="s">
        <v>3206</v>
      </c>
      <c r="Z597" s="84" t="str">
        <f>HYPERLINK("https://twitter.com/_mintcholatte/status/1440689304481660933")</f>
        <v>https://twitter.com/_mintcholatte/status/1440689304481660933</v>
      </c>
      <c r="AA597" s="81"/>
      <c r="AB597" s="81"/>
      <c r="AC597" s="86" t="s">
        <v>4668</v>
      </c>
      <c r="AD597" s="86" t="s">
        <v>6069</v>
      </c>
      <c r="AE597" s="81" t="b">
        <v>0</v>
      </c>
      <c r="AF597" s="81">
        <v>0</v>
      </c>
      <c r="AG597" s="86" t="s">
        <v>6331</v>
      </c>
      <c r="AH597" s="81" t="b">
        <v>0</v>
      </c>
      <c r="AI597" s="81" t="s">
        <v>6478</v>
      </c>
      <c r="AJ597" s="81"/>
      <c r="AK597" s="86" t="s">
        <v>6240</v>
      </c>
      <c r="AL597" s="81" t="b">
        <v>0</v>
      </c>
      <c r="AM597" s="81">
        <v>0</v>
      </c>
      <c r="AN597" s="86" t="s">
        <v>6240</v>
      </c>
      <c r="AO597" s="86" t="s">
        <v>6507</v>
      </c>
      <c r="AP597" s="81" t="b">
        <v>0</v>
      </c>
      <c r="AQ597" s="86" t="s">
        <v>6069</v>
      </c>
      <c r="AR597" s="81" t="s">
        <v>179</v>
      </c>
      <c r="AS597" s="81">
        <v>0</v>
      </c>
      <c r="AT597" s="81">
        <v>0</v>
      </c>
      <c r="AU597" s="81"/>
      <c r="AV597" s="81"/>
      <c r="AW597" s="81"/>
      <c r="AX597" s="81"/>
      <c r="AY597" s="81"/>
      <c r="AZ597" s="81"/>
      <c r="BA597" s="81"/>
      <c r="BB597" s="81"/>
    </row>
    <row r="598" spans="1:54" x14ac:dyDescent="0.35">
      <c r="A598" s="66" t="s">
        <v>629</v>
      </c>
      <c r="B598" s="66" t="s">
        <v>629</v>
      </c>
      <c r="C598" s="67"/>
      <c r="D598" s="68"/>
      <c r="E598" s="69"/>
      <c r="F598" s="70"/>
      <c r="G598" s="67"/>
      <c r="H598" s="71"/>
      <c r="I598" s="72"/>
      <c r="J598" s="72"/>
      <c r="K598" s="36"/>
      <c r="L598" s="79"/>
      <c r="M598" s="79"/>
      <c r="N598" s="74"/>
      <c r="O598" s="81" t="s">
        <v>179</v>
      </c>
      <c r="P598" s="83">
        <v>44461.620509259257</v>
      </c>
      <c r="Q598" s="81" t="s">
        <v>1773</v>
      </c>
      <c r="R598" s="81"/>
      <c r="S598" s="81"/>
      <c r="T598" s="81"/>
      <c r="U598" s="81"/>
      <c r="V598" s="84" t="str">
        <f>HYPERLINK("https://pbs.twimg.com/profile_images/1397531388312653830/Dr3w03Yw_normal.jpg")</f>
        <v>https://pbs.twimg.com/profile_images/1397531388312653830/Dr3w03Yw_normal.jpg</v>
      </c>
      <c r="W598" s="83">
        <v>44461.620509259257</v>
      </c>
      <c r="X598" s="89">
        <v>44461</v>
      </c>
      <c r="Y598" s="86" t="s">
        <v>3207</v>
      </c>
      <c r="Z598" s="84" t="str">
        <f>HYPERLINK("https://twitter.com/azrnazol/status/1440690734978383878")</f>
        <v>https://twitter.com/azrnazol/status/1440690734978383878</v>
      </c>
      <c r="AA598" s="81"/>
      <c r="AB598" s="81"/>
      <c r="AC598" s="86" t="s">
        <v>4669</v>
      </c>
      <c r="AD598" s="81"/>
      <c r="AE598" s="81" t="b">
        <v>0</v>
      </c>
      <c r="AF598" s="81">
        <v>0</v>
      </c>
      <c r="AG598" s="86" t="s">
        <v>6240</v>
      </c>
      <c r="AH598" s="81" t="b">
        <v>0</v>
      </c>
      <c r="AI598" s="81" t="s">
        <v>6478</v>
      </c>
      <c r="AJ598" s="81"/>
      <c r="AK598" s="86" t="s">
        <v>6240</v>
      </c>
      <c r="AL598" s="81" t="b">
        <v>0</v>
      </c>
      <c r="AM598" s="81">
        <v>0</v>
      </c>
      <c r="AN598" s="86" t="s">
        <v>6240</v>
      </c>
      <c r="AO598" s="86" t="s">
        <v>6505</v>
      </c>
      <c r="AP598" s="81" t="b">
        <v>0</v>
      </c>
      <c r="AQ598" s="86" t="s">
        <v>4669</v>
      </c>
      <c r="AR598" s="81" t="s">
        <v>179</v>
      </c>
      <c r="AS598" s="81">
        <v>0</v>
      </c>
      <c r="AT598" s="81">
        <v>0</v>
      </c>
      <c r="AU598" s="81"/>
      <c r="AV598" s="81"/>
      <c r="AW598" s="81"/>
      <c r="AX598" s="81"/>
      <c r="AY598" s="81"/>
      <c r="AZ598" s="81"/>
      <c r="BA598" s="81"/>
      <c r="BB598" s="81"/>
    </row>
    <row r="599" spans="1:54" x14ac:dyDescent="0.35">
      <c r="A599" s="66" t="s">
        <v>630</v>
      </c>
      <c r="B599" s="66" t="s">
        <v>630</v>
      </c>
      <c r="C599" s="67"/>
      <c r="D599" s="68"/>
      <c r="E599" s="69"/>
      <c r="F599" s="70"/>
      <c r="G599" s="67"/>
      <c r="H599" s="71"/>
      <c r="I599" s="72"/>
      <c r="J599" s="72"/>
      <c r="K599" s="36"/>
      <c r="L599" s="79"/>
      <c r="M599" s="79"/>
      <c r="N599" s="74"/>
      <c r="O599" s="81" t="s">
        <v>179</v>
      </c>
      <c r="P599" s="83">
        <v>44461.640833333331</v>
      </c>
      <c r="Q599" s="81" t="s">
        <v>1774</v>
      </c>
      <c r="R599" s="84" t="str">
        <f>HYPERLINK("https://www.lokersumatera.com/2021/09/kantor-pos-30000-palembang.html#.YUtKQkjZynM.twitter")</f>
        <v>https://www.lokersumatera.com/2021/09/kantor-pos-30000-palembang.html#.YUtKQkjZynM.twitter</v>
      </c>
      <c r="S599" s="81" t="s">
        <v>2608</v>
      </c>
      <c r="T599" s="86" t="s">
        <v>2680</v>
      </c>
      <c r="U599" s="81"/>
      <c r="V599" s="84" t="str">
        <f>HYPERLINK("https://pbs.twimg.com/profile_images/1044596314292420608/UyByhG0l_normal.jpg")</f>
        <v>https://pbs.twimg.com/profile_images/1044596314292420608/UyByhG0l_normal.jpg</v>
      </c>
      <c r="W599" s="83">
        <v>44461.640833333331</v>
      </c>
      <c r="X599" s="89">
        <v>44461</v>
      </c>
      <c r="Y599" s="86" t="s">
        <v>3208</v>
      </c>
      <c r="Z599" s="84" t="str">
        <f>HYPERLINK("https://twitter.com/lokersumatera1/status/1440698098880106498")</f>
        <v>https://twitter.com/lokersumatera1/status/1440698098880106498</v>
      </c>
      <c r="AA599" s="81"/>
      <c r="AB599" s="81"/>
      <c r="AC599" s="86" t="s">
        <v>4670</v>
      </c>
      <c r="AD599" s="81"/>
      <c r="AE599" s="81" t="b">
        <v>0</v>
      </c>
      <c r="AF599" s="81">
        <v>0</v>
      </c>
      <c r="AG599" s="86" t="s">
        <v>6240</v>
      </c>
      <c r="AH599" s="81" t="b">
        <v>0</v>
      </c>
      <c r="AI599" s="81" t="s">
        <v>6478</v>
      </c>
      <c r="AJ599" s="81"/>
      <c r="AK599" s="86" t="s">
        <v>6240</v>
      </c>
      <c r="AL599" s="81" t="b">
        <v>0</v>
      </c>
      <c r="AM599" s="81">
        <v>0</v>
      </c>
      <c r="AN599" s="86" t="s">
        <v>6240</v>
      </c>
      <c r="AO599" s="86" t="s">
        <v>6507</v>
      </c>
      <c r="AP599" s="81" t="b">
        <v>0</v>
      </c>
      <c r="AQ599" s="86" t="s">
        <v>4670</v>
      </c>
      <c r="AR599" s="81" t="s">
        <v>179</v>
      </c>
      <c r="AS599" s="81">
        <v>0</v>
      </c>
      <c r="AT599" s="81">
        <v>0</v>
      </c>
      <c r="AU599" s="81"/>
      <c r="AV599" s="81"/>
      <c r="AW599" s="81"/>
      <c r="AX599" s="81"/>
      <c r="AY599" s="81"/>
      <c r="AZ599" s="81"/>
      <c r="BA599" s="81"/>
      <c r="BB599" s="81"/>
    </row>
    <row r="600" spans="1:54" x14ac:dyDescent="0.35">
      <c r="A600" s="66" t="s">
        <v>631</v>
      </c>
      <c r="B600" s="66" t="s">
        <v>632</v>
      </c>
      <c r="C600" s="67"/>
      <c r="D600" s="68"/>
      <c r="E600" s="69"/>
      <c r="F600" s="70"/>
      <c r="G600" s="67"/>
      <c r="H600" s="71"/>
      <c r="I600" s="72"/>
      <c r="J600" s="72"/>
      <c r="K600" s="36"/>
      <c r="L600" s="79"/>
      <c r="M600" s="79"/>
      <c r="N600" s="74"/>
      <c r="O600" s="81" t="s">
        <v>1535</v>
      </c>
      <c r="P600" s="83">
        <v>44461.649699074071</v>
      </c>
      <c r="Q600" s="81" t="s">
        <v>1775</v>
      </c>
      <c r="R600" s="81"/>
      <c r="S600" s="81"/>
      <c r="T600" s="81"/>
      <c r="U600" s="81"/>
      <c r="V600" s="84" t="str">
        <f>HYPERLINK("https://pbs.twimg.com/profile_images/1433728859971588097/k8ltPHcu_normal.jpg")</f>
        <v>https://pbs.twimg.com/profile_images/1433728859971588097/k8ltPHcu_normal.jpg</v>
      </c>
      <c r="W600" s="83">
        <v>44461.649699074071</v>
      </c>
      <c r="X600" s="89">
        <v>44461</v>
      </c>
      <c r="Y600" s="86" t="s">
        <v>3209</v>
      </c>
      <c r="Z600" s="84" t="str">
        <f>HYPERLINK("https://twitter.com/ateezmart/status/1440701314099335177")</f>
        <v>https://twitter.com/ateezmart/status/1440701314099335177</v>
      </c>
      <c r="AA600" s="81"/>
      <c r="AB600" s="81"/>
      <c r="AC600" s="86" t="s">
        <v>4671</v>
      </c>
      <c r="AD600" s="81"/>
      <c r="AE600" s="81" t="b">
        <v>0</v>
      </c>
      <c r="AF600" s="81">
        <v>0</v>
      </c>
      <c r="AG600" s="86" t="s">
        <v>6240</v>
      </c>
      <c r="AH600" s="81" t="b">
        <v>0</v>
      </c>
      <c r="AI600" s="81" t="s">
        <v>6478</v>
      </c>
      <c r="AJ600" s="81"/>
      <c r="AK600" s="86" t="s">
        <v>6240</v>
      </c>
      <c r="AL600" s="81" t="b">
        <v>0</v>
      </c>
      <c r="AM600" s="81">
        <v>0</v>
      </c>
      <c r="AN600" s="86" t="s">
        <v>6240</v>
      </c>
      <c r="AO600" s="86" t="s">
        <v>631</v>
      </c>
      <c r="AP600" s="81" t="b">
        <v>0</v>
      </c>
      <c r="AQ600" s="86" t="s">
        <v>4671</v>
      </c>
      <c r="AR600" s="81" t="s">
        <v>179</v>
      </c>
      <c r="AS600" s="81">
        <v>0</v>
      </c>
      <c r="AT600" s="81">
        <v>0</v>
      </c>
      <c r="AU600" s="81"/>
      <c r="AV600" s="81"/>
      <c r="AW600" s="81"/>
      <c r="AX600" s="81"/>
      <c r="AY600" s="81"/>
      <c r="AZ600" s="81"/>
      <c r="BA600" s="81"/>
      <c r="BB600" s="81"/>
    </row>
    <row r="601" spans="1:54" x14ac:dyDescent="0.35">
      <c r="A601" s="66" t="s">
        <v>632</v>
      </c>
      <c r="B601" s="66" t="s">
        <v>632</v>
      </c>
      <c r="C601" s="67"/>
      <c r="D601" s="68"/>
      <c r="E601" s="69"/>
      <c r="F601" s="70"/>
      <c r="G601" s="67"/>
      <c r="H601" s="71"/>
      <c r="I601" s="72"/>
      <c r="J601" s="72"/>
      <c r="K601" s="36"/>
      <c r="L601" s="79"/>
      <c r="M601" s="79"/>
      <c r="N601" s="74"/>
      <c r="O601" s="81" t="s">
        <v>179</v>
      </c>
      <c r="P601" s="83">
        <v>44461.655694444446</v>
      </c>
      <c r="Q601" s="81" t="s">
        <v>1776</v>
      </c>
      <c r="R601" s="81"/>
      <c r="S601" s="81"/>
      <c r="T601" s="81"/>
      <c r="U601" s="81"/>
      <c r="V601" s="84" t="str">
        <f>HYPERLINK("https://pbs.twimg.com/profile_images/1441633267858374661/MQ7I8cKY_normal.jpg")</f>
        <v>https://pbs.twimg.com/profile_images/1441633267858374661/MQ7I8cKY_normal.jpg</v>
      </c>
      <c r="W601" s="83">
        <v>44461.655694444446</v>
      </c>
      <c r="X601" s="89">
        <v>44461</v>
      </c>
      <c r="Y601" s="86" t="s">
        <v>3210</v>
      </c>
      <c r="Z601" s="84" t="str">
        <f>HYPERLINK("https://twitter.com/seoulutionid/status/1440703485222158339")</f>
        <v>https://twitter.com/seoulutionid/status/1440703485222158339</v>
      </c>
      <c r="AA601" s="81"/>
      <c r="AB601" s="81"/>
      <c r="AC601" s="86" t="s">
        <v>4672</v>
      </c>
      <c r="AD601" s="81"/>
      <c r="AE601" s="81" t="b">
        <v>0</v>
      </c>
      <c r="AF601" s="81">
        <v>0</v>
      </c>
      <c r="AG601" s="86" t="s">
        <v>6240</v>
      </c>
      <c r="AH601" s="81" t="b">
        <v>0</v>
      </c>
      <c r="AI601" s="81" t="s">
        <v>6479</v>
      </c>
      <c r="AJ601" s="81"/>
      <c r="AK601" s="86" t="s">
        <v>6240</v>
      </c>
      <c r="AL601" s="81" t="b">
        <v>0</v>
      </c>
      <c r="AM601" s="81">
        <v>2</v>
      </c>
      <c r="AN601" s="86" t="s">
        <v>6240</v>
      </c>
      <c r="AO601" s="86" t="s">
        <v>6505</v>
      </c>
      <c r="AP601" s="81" t="b">
        <v>0</v>
      </c>
      <c r="AQ601" s="86" t="s">
        <v>4672</v>
      </c>
      <c r="AR601" s="81" t="s">
        <v>179</v>
      </c>
      <c r="AS601" s="81">
        <v>0</v>
      </c>
      <c r="AT601" s="81">
        <v>0</v>
      </c>
      <c r="AU601" s="81"/>
      <c r="AV601" s="81"/>
      <c r="AW601" s="81"/>
      <c r="AX601" s="81"/>
      <c r="AY601" s="81"/>
      <c r="AZ601" s="81"/>
      <c r="BA601" s="81"/>
      <c r="BB601" s="81"/>
    </row>
    <row r="602" spans="1:54" x14ac:dyDescent="0.35">
      <c r="A602" s="66" t="s">
        <v>633</v>
      </c>
      <c r="B602" s="66" t="s">
        <v>632</v>
      </c>
      <c r="C602" s="67"/>
      <c r="D602" s="68"/>
      <c r="E602" s="69"/>
      <c r="F602" s="70"/>
      <c r="G602" s="67"/>
      <c r="H602" s="71"/>
      <c r="I602" s="72"/>
      <c r="J602" s="72"/>
      <c r="K602" s="36"/>
      <c r="L602" s="79"/>
      <c r="M602" s="79"/>
      <c r="N602" s="74"/>
      <c r="O602" s="81" t="s">
        <v>1532</v>
      </c>
      <c r="P602" s="83">
        <v>44461.659930555557</v>
      </c>
      <c r="Q602" s="81" t="s">
        <v>1776</v>
      </c>
      <c r="R602" s="81"/>
      <c r="S602" s="81"/>
      <c r="T602" s="81"/>
      <c r="U602" s="81"/>
      <c r="V602" s="84" t="str">
        <f>HYPERLINK("https://pbs.twimg.com/profile_images/1442484423731994634/IctUIVZB_normal.jpg")</f>
        <v>https://pbs.twimg.com/profile_images/1442484423731994634/IctUIVZB_normal.jpg</v>
      </c>
      <c r="W602" s="83">
        <v>44461.659930555557</v>
      </c>
      <c r="X602" s="89">
        <v>44461</v>
      </c>
      <c r="Y602" s="86" t="s">
        <v>3211</v>
      </c>
      <c r="Z602" s="84" t="str">
        <f>HYPERLINK("https://twitter.com/fallinstaar/status/1440705019452399621")</f>
        <v>https://twitter.com/fallinstaar/status/1440705019452399621</v>
      </c>
      <c r="AA602" s="81"/>
      <c r="AB602" s="81"/>
      <c r="AC602" s="86" t="s">
        <v>4673</v>
      </c>
      <c r="AD602" s="81"/>
      <c r="AE602" s="81" t="b">
        <v>0</v>
      </c>
      <c r="AF602" s="81">
        <v>0</v>
      </c>
      <c r="AG602" s="86" t="s">
        <v>6240</v>
      </c>
      <c r="AH602" s="81" t="b">
        <v>0</v>
      </c>
      <c r="AI602" s="81" t="s">
        <v>6479</v>
      </c>
      <c r="AJ602" s="81"/>
      <c r="AK602" s="86" t="s">
        <v>6240</v>
      </c>
      <c r="AL602" s="81" t="b">
        <v>0</v>
      </c>
      <c r="AM602" s="81">
        <v>2</v>
      </c>
      <c r="AN602" s="86" t="s">
        <v>4672</v>
      </c>
      <c r="AO602" s="86" t="s">
        <v>6503</v>
      </c>
      <c r="AP602" s="81" t="b">
        <v>0</v>
      </c>
      <c r="AQ602" s="86" t="s">
        <v>4672</v>
      </c>
      <c r="AR602" s="81" t="s">
        <v>179</v>
      </c>
      <c r="AS602" s="81">
        <v>0</v>
      </c>
      <c r="AT602" s="81">
        <v>0</v>
      </c>
      <c r="AU602" s="81"/>
      <c r="AV602" s="81"/>
      <c r="AW602" s="81"/>
      <c r="AX602" s="81"/>
      <c r="AY602" s="81"/>
      <c r="AZ602" s="81"/>
      <c r="BA602" s="81"/>
      <c r="BB602" s="81"/>
    </row>
    <row r="603" spans="1:54" x14ac:dyDescent="0.35">
      <c r="A603" s="66" t="s">
        <v>634</v>
      </c>
      <c r="B603" s="66" t="s">
        <v>1368</v>
      </c>
      <c r="C603" s="67"/>
      <c r="D603" s="68"/>
      <c r="E603" s="69"/>
      <c r="F603" s="70"/>
      <c r="G603" s="67"/>
      <c r="H603" s="71"/>
      <c r="I603" s="72"/>
      <c r="J603" s="72"/>
      <c r="K603" s="36"/>
      <c r="L603" s="79"/>
      <c r="M603" s="79"/>
      <c r="N603" s="74"/>
      <c r="O603" s="81" t="s">
        <v>1534</v>
      </c>
      <c r="P603" s="83">
        <v>44461.670578703706</v>
      </c>
      <c r="Q603" s="81" t="s">
        <v>1777</v>
      </c>
      <c r="R603" s="81"/>
      <c r="S603" s="81"/>
      <c r="T603" s="81"/>
      <c r="U603" s="81"/>
      <c r="V603" s="84" t="str">
        <f>HYPERLINK("https://pbs.twimg.com/profile_images/1436759668529848323/N0WLHnkt_normal.jpg")</f>
        <v>https://pbs.twimg.com/profile_images/1436759668529848323/N0WLHnkt_normal.jpg</v>
      </c>
      <c r="W603" s="83">
        <v>44461.670578703706</v>
      </c>
      <c r="X603" s="89">
        <v>44461</v>
      </c>
      <c r="Y603" s="86" t="s">
        <v>3212</v>
      </c>
      <c r="Z603" s="84" t="str">
        <f>HYPERLINK("https://twitter.com/leeehovo/status/1440708877738135553")</f>
        <v>https://twitter.com/leeehovo/status/1440708877738135553</v>
      </c>
      <c r="AA603" s="81"/>
      <c r="AB603" s="81"/>
      <c r="AC603" s="86" t="s">
        <v>4674</v>
      </c>
      <c r="AD603" s="86" t="s">
        <v>6070</v>
      </c>
      <c r="AE603" s="81" t="b">
        <v>0</v>
      </c>
      <c r="AF603" s="81">
        <v>0</v>
      </c>
      <c r="AG603" s="86" t="s">
        <v>6332</v>
      </c>
      <c r="AH603" s="81" t="b">
        <v>0</v>
      </c>
      <c r="AI603" s="81" t="s">
        <v>6478</v>
      </c>
      <c r="AJ603" s="81"/>
      <c r="AK603" s="86" t="s">
        <v>6240</v>
      </c>
      <c r="AL603" s="81" t="b">
        <v>0</v>
      </c>
      <c r="AM603" s="81">
        <v>0</v>
      </c>
      <c r="AN603" s="86" t="s">
        <v>6240</v>
      </c>
      <c r="AO603" s="86" t="s">
        <v>6503</v>
      </c>
      <c r="AP603" s="81" t="b">
        <v>0</v>
      </c>
      <c r="AQ603" s="86" t="s">
        <v>6070</v>
      </c>
      <c r="AR603" s="81" t="s">
        <v>179</v>
      </c>
      <c r="AS603" s="81">
        <v>0</v>
      </c>
      <c r="AT603" s="81">
        <v>0</v>
      </c>
      <c r="AU603" s="81"/>
      <c r="AV603" s="81"/>
      <c r="AW603" s="81"/>
      <c r="AX603" s="81"/>
      <c r="AY603" s="81"/>
      <c r="AZ603" s="81"/>
      <c r="BA603" s="81"/>
      <c r="BB603" s="81"/>
    </row>
    <row r="604" spans="1:54" x14ac:dyDescent="0.35">
      <c r="A604" s="66" t="s">
        <v>635</v>
      </c>
      <c r="B604" s="66" t="s">
        <v>1369</v>
      </c>
      <c r="C604" s="67"/>
      <c r="D604" s="68"/>
      <c r="E604" s="69"/>
      <c r="F604" s="70"/>
      <c r="G604" s="67"/>
      <c r="H604" s="71"/>
      <c r="I604" s="72"/>
      <c r="J604" s="72"/>
      <c r="K604" s="36"/>
      <c r="L604" s="79"/>
      <c r="M604" s="79"/>
      <c r="N604" s="74"/>
      <c r="O604" s="81" t="s">
        <v>1534</v>
      </c>
      <c r="P604" s="83">
        <v>44461.70585648148</v>
      </c>
      <c r="Q604" s="81" t="s">
        <v>1778</v>
      </c>
      <c r="R604" s="81"/>
      <c r="S604" s="81"/>
      <c r="T604" s="81"/>
      <c r="U604" s="81"/>
      <c r="V604" s="84" t="str">
        <f>HYPERLINK("https://pbs.twimg.com/profile_images/1426185626093711360/WqAlXKfW_normal.jpg")</f>
        <v>https://pbs.twimg.com/profile_images/1426185626093711360/WqAlXKfW_normal.jpg</v>
      </c>
      <c r="W604" s="83">
        <v>44461.70585648148</v>
      </c>
      <c r="X604" s="89">
        <v>44461</v>
      </c>
      <c r="Y604" s="86" t="s">
        <v>3213</v>
      </c>
      <c r="Z604" s="84" t="str">
        <f>HYPERLINK("https://twitter.com/jaerimcoty/status/1440721662626783237")</f>
        <v>https://twitter.com/jaerimcoty/status/1440721662626783237</v>
      </c>
      <c r="AA604" s="81"/>
      <c r="AB604" s="81"/>
      <c r="AC604" s="86" t="s">
        <v>4675</v>
      </c>
      <c r="AD604" s="86" t="s">
        <v>6071</v>
      </c>
      <c r="AE604" s="81" t="b">
        <v>0</v>
      </c>
      <c r="AF604" s="81">
        <v>0</v>
      </c>
      <c r="AG604" s="86" t="s">
        <v>6333</v>
      </c>
      <c r="AH604" s="81" t="b">
        <v>0</v>
      </c>
      <c r="AI604" s="81" t="s">
        <v>6478</v>
      </c>
      <c r="AJ604" s="81"/>
      <c r="AK604" s="86" t="s">
        <v>6240</v>
      </c>
      <c r="AL604" s="81" t="b">
        <v>0</v>
      </c>
      <c r="AM604" s="81">
        <v>0</v>
      </c>
      <c r="AN604" s="86" t="s">
        <v>6240</v>
      </c>
      <c r="AO604" s="86" t="s">
        <v>6503</v>
      </c>
      <c r="AP604" s="81" t="b">
        <v>0</v>
      </c>
      <c r="AQ604" s="86" t="s">
        <v>6071</v>
      </c>
      <c r="AR604" s="81" t="s">
        <v>179</v>
      </c>
      <c r="AS604" s="81">
        <v>0</v>
      </c>
      <c r="AT604" s="81">
        <v>0</v>
      </c>
      <c r="AU604" s="81"/>
      <c r="AV604" s="81"/>
      <c r="AW604" s="81"/>
      <c r="AX604" s="81"/>
      <c r="AY604" s="81"/>
      <c r="AZ604" s="81"/>
      <c r="BA604" s="81"/>
      <c r="BB604" s="81"/>
    </row>
    <row r="605" spans="1:54" x14ac:dyDescent="0.35">
      <c r="A605" s="66" t="s">
        <v>636</v>
      </c>
      <c r="B605" s="66" t="s">
        <v>636</v>
      </c>
      <c r="C605" s="67"/>
      <c r="D605" s="68"/>
      <c r="E605" s="69"/>
      <c r="F605" s="70"/>
      <c r="G605" s="67"/>
      <c r="H605" s="71"/>
      <c r="I605" s="72"/>
      <c r="J605" s="72"/>
      <c r="K605" s="36"/>
      <c r="L605" s="79"/>
      <c r="M605" s="79"/>
      <c r="N605" s="74"/>
      <c r="O605" s="81" t="s">
        <v>179</v>
      </c>
      <c r="P605" s="83">
        <v>44461.736851851849</v>
      </c>
      <c r="Q605" s="81" t="s">
        <v>1779</v>
      </c>
      <c r="R605" s="84" t="str">
        <f>HYPERLINK("https://www.benarnews.org/malay/berita/my-tentera-poskawalan-indonesia-210922-09222021133758.html")</f>
        <v>https://www.benarnews.org/malay/berita/my-tentera-poskawalan-indonesia-210922-09222021133758.html</v>
      </c>
      <c r="S605" s="81" t="s">
        <v>2609</v>
      </c>
      <c r="T605" s="81"/>
      <c r="U605" s="81"/>
      <c r="V605" s="84" t="str">
        <f>HYPERLINK("https://pbs.twimg.com/profile_images/574998826378899456/t0tccmD4_normal.jpeg")</f>
        <v>https://pbs.twimg.com/profile_images/574998826378899456/t0tccmD4_normal.jpeg</v>
      </c>
      <c r="W605" s="83">
        <v>44461.736851851849</v>
      </c>
      <c r="X605" s="89">
        <v>44461</v>
      </c>
      <c r="Y605" s="86" t="s">
        <v>3214</v>
      </c>
      <c r="Z605" s="84" t="str">
        <f>HYPERLINK("https://twitter.com/benarmalay/status/1440732896881299466")</f>
        <v>https://twitter.com/benarmalay/status/1440732896881299466</v>
      </c>
      <c r="AA605" s="81"/>
      <c r="AB605" s="81"/>
      <c r="AC605" s="86" t="s">
        <v>4676</v>
      </c>
      <c r="AD605" s="81"/>
      <c r="AE605" s="81" t="b">
        <v>0</v>
      </c>
      <c r="AF605" s="81">
        <v>1</v>
      </c>
      <c r="AG605" s="86" t="s">
        <v>6240</v>
      </c>
      <c r="AH605" s="81" t="b">
        <v>0</v>
      </c>
      <c r="AI605" s="81" t="s">
        <v>6478</v>
      </c>
      <c r="AJ605" s="81"/>
      <c r="AK605" s="86" t="s">
        <v>6240</v>
      </c>
      <c r="AL605" s="81" t="b">
        <v>0</v>
      </c>
      <c r="AM605" s="81">
        <v>0</v>
      </c>
      <c r="AN605" s="86" t="s">
        <v>6240</v>
      </c>
      <c r="AO605" s="86" t="s">
        <v>6512</v>
      </c>
      <c r="AP605" s="81" t="b">
        <v>0</v>
      </c>
      <c r="AQ605" s="86" t="s">
        <v>4676</v>
      </c>
      <c r="AR605" s="81" t="s">
        <v>179</v>
      </c>
      <c r="AS605" s="81">
        <v>0</v>
      </c>
      <c r="AT605" s="81">
        <v>0</v>
      </c>
      <c r="AU605" s="81"/>
      <c r="AV605" s="81"/>
      <c r="AW605" s="81"/>
      <c r="AX605" s="81"/>
      <c r="AY605" s="81"/>
      <c r="AZ605" s="81"/>
      <c r="BA605" s="81"/>
      <c r="BB605" s="81"/>
    </row>
    <row r="606" spans="1:54" x14ac:dyDescent="0.35">
      <c r="A606" s="66" t="s">
        <v>637</v>
      </c>
      <c r="B606" s="66" t="s">
        <v>637</v>
      </c>
      <c r="C606" s="67"/>
      <c r="D606" s="68"/>
      <c r="E606" s="69"/>
      <c r="F606" s="70"/>
      <c r="G606" s="67"/>
      <c r="H606" s="71"/>
      <c r="I606" s="72"/>
      <c r="J606" s="72"/>
      <c r="K606" s="36"/>
      <c r="L606" s="79"/>
      <c r="M606" s="79"/>
      <c r="N606" s="74"/>
      <c r="O606" s="81" t="s">
        <v>179</v>
      </c>
      <c r="P606" s="83">
        <v>44461.879699074074</v>
      </c>
      <c r="Q606" s="81" t="s">
        <v>1780</v>
      </c>
      <c r="R606" s="84" t="str">
        <f>HYPERLINK("https://twitter.com/wolfiecindy/status/1424315637615190019")</f>
        <v>https://twitter.com/wolfiecindy/status/1424315637615190019</v>
      </c>
      <c r="S606" s="81" t="s">
        <v>2588</v>
      </c>
      <c r="T606" s="81"/>
      <c r="U606" s="81"/>
      <c r="V606" s="84" t="str">
        <f>HYPERLINK("https://pbs.twimg.com/profile_images/626777192786227201/fKqIfUxU_normal.png")</f>
        <v>https://pbs.twimg.com/profile_images/626777192786227201/fKqIfUxU_normal.png</v>
      </c>
      <c r="W606" s="83">
        <v>44461.879699074074</v>
      </c>
      <c r="X606" s="89">
        <v>44461</v>
      </c>
      <c r="Y606" s="86" t="s">
        <v>3215</v>
      </c>
      <c r="Z606" s="84" t="str">
        <f>HYPERLINK("https://twitter.com/cristykatt/status/1440784661676916740")</f>
        <v>https://twitter.com/cristykatt/status/1440784661676916740</v>
      </c>
      <c r="AA606" s="81"/>
      <c r="AB606" s="81"/>
      <c r="AC606" s="86" t="s">
        <v>4677</v>
      </c>
      <c r="AD606" s="81"/>
      <c r="AE606" s="81" t="b">
        <v>0</v>
      </c>
      <c r="AF606" s="81">
        <v>0</v>
      </c>
      <c r="AG606" s="86" t="s">
        <v>6240</v>
      </c>
      <c r="AH606" s="81" t="b">
        <v>1</v>
      </c>
      <c r="AI606" s="81" t="s">
        <v>6484</v>
      </c>
      <c r="AJ606" s="81"/>
      <c r="AK606" s="86" t="s">
        <v>6496</v>
      </c>
      <c r="AL606" s="81" t="b">
        <v>0</v>
      </c>
      <c r="AM606" s="81">
        <v>0</v>
      </c>
      <c r="AN606" s="86" t="s">
        <v>6240</v>
      </c>
      <c r="AO606" s="86" t="s">
        <v>6507</v>
      </c>
      <c r="AP606" s="81" t="b">
        <v>0</v>
      </c>
      <c r="AQ606" s="86" t="s">
        <v>4677</v>
      </c>
      <c r="AR606" s="81" t="s">
        <v>179</v>
      </c>
      <c r="AS606" s="81">
        <v>0</v>
      </c>
      <c r="AT606" s="81">
        <v>0</v>
      </c>
      <c r="AU606" s="81"/>
      <c r="AV606" s="81"/>
      <c r="AW606" s="81"/>
      <c r="AX606" s="81"/>
      <c r="AY606" s="81"/>
      <c r="AZ606" s="81"/>
      <c r="BA606" s="81"/>
      <c r="BB606" s="81"/>
    </row>
    <row r="607" spans="1:54" x14ac:dyDescent="0.35">
      <c r="A607" s="66" t="s">
        <v>638</v>
      </c>
      <c r="B607" s="66" t="s">
        <v>928</v>
      </c>
      <c r="C607" s="67"/>
      <c r="D607" s="68"/>
      <c r="E607" s="69"/>
      <c r="F607" s="70"/>
      <c r="G607" s="67"/>
      <c r="H607" s="71"/>
      <c r="I607" s="72"/>
      <c r="J607" s="72"/>
      <c r="K607" s="36"/>
      <c r="L607" s="79"/>
      <c r="M607" s="79"/>
      <c r="N607" s="74"/>
      <c r="O607" s="81" t="s">
        <v>1532</v>
      </c>
      <c r="P607" s="83">
        <v>44461.917523148149</v>
      </c>
      <c r="Q607" s="81" t="s">
        <v>1781</v>
      </c>
      <c r="R607" s="81"/>
      <c r="S607" s="81"/>
      <c r="T607" s="86" t="s">
        <v>2681</v>
      </c>
      <c r="U607" s="84" t="str">
        <f>HYPERLINK("https://pbs.twimg.com/media/E_6-KvyVgAA0Zfe.jpg")</f>
        <v>https://pbs.twimg.com/media/E_6-KvyVgAA0Zfe.jpg</v>
      </c>
      <c r="V607" s="84" t="str">
        <f>HYPERLINK("https://pbs.twimg.com/media/E_6-KvyVgAA0Zfe.jpg")</f>
        <v>https://pbs.twimg.com/media/E_6-KvyVgAA0Zfe.jpg</v>
      </c>
      <c r="W607" s="83">
        <v>44461.917523148149</v>
      </c>
      <c r="X607" s="89">
        <v>44461</v>
      </c>
      <c r="Y607" s="86" t="s">
        <v>3216</v>
      </c>
      <c r="Z607" s="84" t="str">
        <f>HYPERLINK("https://twitter.com/alifpribadi/status/1440798369287344129")</f>
        <v>https://twitter.com/alifpribadi/status/1440798369287344129</v>
      </c>
      <c r="AA607" s="81"/>
      <c r="AB607" s="81"/>
      <c r="AC607" s="86" t="s">
        <v>4678</v>
      </c>
      <c r="AD607" s="81"/>
      <c r="AE607" s="81" t="b">
        <v>0</v>
      </c>
      <c r="AF607" s="81">
        <v>0</v>
      </c>
      <c r="AG607" s="86" t="s">
        <v>6240</v>
      </c>
      <c r="AH607" s="81" t="b">
        <v>0</v>
      </c>
      <c r="AI607" s="81" t="s">
        <v>6479</v>
      </c>
      <c r="AJ607" s="81"/>
      <c r="AK607" s="86" t="s">
        <v>6240</v>
      </c>
      <c r="AL607" s="81" t="b">
        <v>0</v>
      </c>
      <c r="AM607" s="81">
        <v>71</v>
      </c>
      <c r="AN607" s="86" t="s">
        <v>5039</v>
      </c>
      <c r="AO607" s="86" t="s">
        <v>6503</v>
      </c>
      <c r="AP607" s="81" t="b">
        <v>0</v>
      </c>
      <c r="AQ607" s="86" t="s">
        <v>5039</v>
      </c>
      <c r="AR607" s="81" t="s">
        <v>179</v>
      </c>
      <c r="AS607" s="81">
        <v>0</v>
      </c>
      <c r="AT607" s="81">
        <v>0</v>
      </c>
      <c r="AU607" s="81"/>
      <c r="AV607" s="81"/>
      <c r="AW607" s="81"/>
      <c r="AX607" s="81"/>
      <c r="AY607" s="81"/>
      <c r="AZ607" s="81"/>
      <c r="BA607" s="81"/>
      <c r="BB607" s="81"/>
    </row>
    <row r="608" spans="1:54" x14ac:dyDescent="0.35">
      <c r="A608" s="66" t="s">
        <v>639</v>
      </c>
      <c r="B608" s="66" t="s">
        <v>1370</v>
      </c>
      <c r="C608" s="67"/>
      <c r="D608" s="68"/>
      <c r="E608" s="69"/>
      <c r="F608" s="70"/>
      <c r="G608" s="67"/>
      <c r="H608" s="71"/>
      <c r="I608" s="72"/>
      <c r="J608" s="72"/>
      <c r="K608" s="36"/>
      <c r="L608" s="79"/>
      <c r="M608" s="79"/>
      <c r="N608" s="74"/>
      <c r="O608" s="81" t="s">
        <v>1535</v>
      </c>
      <c r="P608" s="83">
        <v>44461.91988425926</v>
      </c>
      <c r="Q608" s="81" t="s">
        <v>1782</v>
      </c>
      <c r="R608" s="81"/>
      <c r="S608" s="81"/>
      <c r="T608" s="81"/>
      <c r="U608" s="81"/>
      <c r="V608" s="84" t="str">
        <f>HYPERLINK("https://pbs.twimg.com/profile_images/1424821713833889802/x2OevzwF_normal.jpg")</f>
        <v>https://pbs.twimg.com/profile_images/1424821713833889802/x2OevzwF_normal.jpg</v>
      </c>
      <c r="W608" s="83">
        <v>44461.91988425926</v>
      </c>
      <c r="X608" s="89">
        <v>44461</v>
      </c>
      <c r="Y608" s="86" t="s">
        <v>3217</v>
      </c>
      <c r="Z608" s="84" t="str">
        <f>HYPERLINK("https://twitter.com/pra_dypta/status/1440799225235656705")</f>
        <v>https://twitter.com/pra_dypta/status/1440799225235656705</v>
      </c>
      <c r="AA608" s="81"/>
      <c r="AB608" s="81"/>
      <c r="AC608" s="86" t="s">
        <v>4679</v>
      </c>
      <c r="AD608" s="86" t="s">
        <v>5039</v>
      </c>
      <c r="AE608" s="81" t="b">
        <v>0</v>
      </c>
      <c r="AF608" s="81">
        <v>1</v>
      </c>
      <c r="AG608" s="86" t="s">
        <v>6334</v>
      </c>
      <c r="AH608" s="81" t="b">
        <v>0</v>
      </c>
      <c r="AI608" s="81" t="s">
        <v>6478</v>
      </c>
      <c r="AJ608" s="81"/>
      <c r="AK608" s="86" t="s">
        <v>6240</v>
      </c>
      <c r="AL608" s="81" t="b">
        <v>0</v>
      </c>
      <c r="AM608" s="81">
        <v>0</v>
      </c>
      <c r="AN608" s="86" t="s">
        <v>6240</v>
      </c>
      <c r="AO608" s="86" t="s">
        <v>6503</v>
      </c>
      <c r="AP608" s="81" t="b">
        <v>0</v>
      </c>
      <c r="AQ608" s="86" t="s">
        <v>5039</v>
      </c>
      <c r="AR608" s="81" t="s">
        <v>179</v>
      </c>
      <c r="AS608" s="81">
        <v>0</v>
      </c>
      <c r="AT608" s="81">
        <v>0</v>
      </c>
      <c r="AU608" s="81"/>
      <c r="AV608" s="81"/>
      <c r="AW608" s="81"/>
      <c r="AX608" s="81"/>
      <c r="AY608" s="81"/>
      <c r="AZ608" s="81"/>
      <c r="BA608" s="81"/>
      <c r="BB608" s="81"/>
    </row>
    <row r="609" spans="1:54" x14ac:dyDescent="0.35">
      <c r="A609" s="66" t="s">
        <v>639</v>
      </c>
      <c r="B609" s="66" t="s">
        <v>1371</v>
      </c>
      <c r="C609" s="67"/>
      <c r="D609" s="68"/>
      <c r="E609" s="69"/>
      <c r="F609" s="70"/>
      <c r="G609" s="67"/>
      <c r="H609" s="71"/>
      <c r="I609" s="72"/>
      <c r="J609" s="72"/>
      <c r="K609" s="36"/>
      <c r="L609" s="79"/>
      <c r="M609" s="79"/>
      <c r="N609" s="74"/>
      <c r="O609" s="81" t="s">
        <v>1535</v>
      </c>
      <c r="P609" s="83">
        <v>44461.91988425926</v>
      </c>
      <c r="Q609" s="81" t="s">
        <v>1782</v>
      </c>
      <c r="R609" s="81"/>
      <c r="S609" s="81"/>
      <c r="T609" s="81"/>
      <c r="U609" s="81"/>
      <c r="V609" s="84" t="str">
        <f>HYPERLINK("https://pbs.twimg.com/profile_images/1424821713833889802/x2OevzwF_normal.jpg")</f>
        <v>https://pbs.twimg.com/profile_images/1424821713833889802/x2OevzwF_normal.jpg</v>
      </c>
      <c r="W609" s="83">
        <v>44461.91988425926</v>
      </c>
      <c r="X609" s="89">
        <v>44461</v>
      </c>
      <c r="Y609" s="86" t="s">
        <v>3217</v>
      </c>
      <c r="Z609" s="84" t="str">
        <f>HYPERLINK("https://twitter.com/pra_dypta/status/1440799225235656705")</f>
        <v>https://twitter.com/pra_dypta/status/1440799225235656705</v>
      </c>
      <c r="AA609" s="81"/>
      <c r="AB609" s="81"/>
      <c r="AC609" s="86" t="s">
        <v>4679</v>
      </c>
      <c r="AD609" s="86" t="s">
        <v>5039</v>
      </c>
      <c r="AE609" s="81" t="b">
        <v>0</v>
      </c>
      <c r="AF609" s="81">
        <v>1</v>
      </c>
      <c r="AG609" s="86" t="s">
        <v>6334</v>
      </c>
      <c r="AH609" s="81" t="b">
        <v>0</v>
      </c>
      <c r="AI609" s="81" t="s">
        <v>6478</v>
      </c>
      <c r="AJ609" s="81"/>
      <c r="AK609" s="86" t="s">
        <v>6240</v>
      </c>
      <c r="AL609" s="81" t="b">
        <v>0</v>
      </c>
      <c r="AM609" s="81">
        <v>0</v>
      </c>
      <c r="AN609" s="86" t="s">
        <v>6240</v>
      </c>
      <c r="AO609" s="86" t="s">
        <v>6503</v>
      </c>
      <c r="AP609" s="81" t="b">
        <v>0</v>
      </c>
      <c r="AQ609" s="86" t="s">
        <v>5039</v>
      </c>
      <c r="AR609" s="81" t="s">
        <v>179</v>
      </c>
      <c r="AS609" s="81">
        <v>0</v>
      </c>
      <c r="AT609" s="81">
        <v>0</v>
      </c>
      <c r="AU609" s="81"/>
      <c r="AV609" s="81"/>
      <c r="AW609" s="81"/>
      <c r="AX609" s="81"/>
      <c r="AY609" s="81"/>
      <c r="AZ609" s="81"/>
      <c r="BA609" s="81"/>
      <c r="BB609" s="81"/>
    </row>
    <row r="610" spans="1:54" x14ac:dyDescent="0.35">
      <c r="A610" s="66" t="s">
        <v>639</v>
      </c>
      <c r="B610" s="66" t="s">
        <v>1372</v>
      </c>
      <c r="C610" s="67"/>
      <c r="D610" s="68"/>
      <c r="E610" s="69"/>
      <c r="F610" s="70"/>
      <c r="G610" s="67"/>
      <c r="H610" s="71"/>
      <c r="I610" s="72"/>
      <c r="J610" s="72"/>
      <c r="K610" s="36"/>
      <c r="L610" s="79"/>
      <c r="M610" s="79"/>
      <c r="N610" s="74"/>
      <c r="O610" s="81" t="s">
        <v>1535</v>
      </c>
      <c r="P610" s="83">
        <v>44461.91988425926</v>
      </c>
      <c r="Q610" s="81" t="s">
        <v>1782</v>
      </c>
      <c r="R610" s="81"/>
      <c r="S610" s="81"/>
      <c r="T610" s="81"/>
      <c r="U610" s="81"/>
      <c r="V610" s="84" t="str">
        <f>HYPERLINK("https://pbs.twimg.com/profile_images/1424821713833889802/x2OevzwF_normal.jpg")</f>
        <v>https://pbs.twimg.com/profile_images/1424821713833889802/x2OevzwF_normal.jpg</v>
      </c>
      <c r="W610" s="83">
        <v>44461.91988425926</v>
      </c>
      <c r="X610" s="89">
        <v>44461</v>
      </c>
      <c r="Y610" s="86" t="s">
        <v>3217</v>
      </c>
      <c r="Z610" s="84" t="str">
        <f>HYPERLINK("https://twitter.com/pra_dypta/status/1440799225235656705")</f>
        <v>https://twitter.com/pra_dypta/status/1440799225235656705</v>
      </c>
      <c r="AA610" s="81"/>
      <c r="AB610" s="81"/>
      <c r="AC610" s="86" t="s">
        <v>4679</v>
      </c>
      <c r="AD610" s="86" t="s">
        <v>5039</v>
      </c>
      <c r="AE610" s="81" t="b">
        <v>0</v>
      </c>
      <c r="AF610" s="81">
        <v>1</v>
      </c>
      <c r="AG610" s="86" t="s">
        <v>6334</v>
      </c>
      <c r="AH610" s="81" t="b">
        <v>0</v>
      </c>
      <c r="AI610" s="81" t="s">
        <v>6478</v>
      </c>
      <c r="AJ610" s="81"/>
      <c r="AK610" s="86" t="s">
        <v>6240</v>
      </c>
      <c r="AL610" s="81" t="b">
        <v>0</v>
      </c>
      <c r="AM610" s="81">
        <v>0</v>
      </c>
      <c r="AN610" s="86" t="s">
        <v>6240</v>
      </c>
      <c r="AO610" s="86" t="s">
        <v>6503</v>
      </c>
      <c r="AP610" s="81" t="b">
        <v>0</v>
      </c>
      <c r="AQ610" s="86" t="s">
        <v>5039</v>
      </c>
      <c r="AR610" s="81" t="s">
        <v>179</v>
      </c>
      <c r="AS610" s="81">
        <v>0</v>
      </c>
      <c r="AT610" s="81">
        <v>0</v>
      </c>
      <c r="AU610" s="81"/>
      <c r="AV610" s="81"/>
      <c r="AW610" s="81"/>
      <c r="AX610" s="81"/>
      <c r="AY610" s="81"/>
      <c r="AZ610" s="81"/>
      <c r="BA610" s="81"/>
      <c r="BB610" s="81"/>
    </row>
    <row r="611" spans="1:54" x14ac:dyDescent="0.35">
      <c r="A611" s="66" t="s">
        <v>639</v>
      </c>
      <c r="B611" s="66" t="s">
        <v>1373</v>
      </c>
      <c r="C611" s="67"/>
      <c r="D611" s="68"/>
      <c r="E611" s="69"/>
      <c r="F611" s="70"/>
      <c r="G611" s="67"/>
      <c r="H611" s="71"/>
      <c r="I611" s="72"/>
      <c r="J611" s="72"/>
      <c r="K611" s="36"/>
      <c r="L611" s="79"/>
      <c r="M611" s="79"/>
      <c r="N611" s="74"/>
      <c r="O611" s="81" t="s">
        <v>1535</v>
      </c>
      <c r="P611" s="83">
        <v>44461.91988425926</v>
      </c>
      <c r="Q611" s="81" t="s">
        <v>1782</v>
      </c>
      <c r="R611" s="81"/>
      <c r="S611" s="81"/>
      <c r="T611" s="81"/>
      <c r="U611" s="81"/>
      <c r="V611" s="84" t="str">
        <f>HYPERLINK("https://pbs.twimg.com/profile_images/1424821713833889802/x2OevzwF_normal.jpg")</f>
        <v>https://pbs.twimg.com/profile_images/1424821713833889802/x2OevzwF_normal.jpg</v>
      </c>
      <c r="W611" s="83">
        <v>44461.91988425926</v>
      </c>
      <c r="X611" s="89">
        <v>44461</v>
      </c>
      <c r="Y611" s="86" t="s">
        <v>3217</v>
      </c>
      <c r="Z611" s="84" t="str">
        <f>HYPERLINK("https://twitter.com/pra_dypta/status/1440799225235656705")</f>
        <v>https://twitter.com/pra_dypta/status/1440799225235656705</v>
      </c>
      <c r="AA611" s="81"/>
      <c r="AB611" s="81"/>
      <c r="AC611" s="86" t="s">
        <v>4679</v>
      </c>
      <c r="AD611" s="86" t="s">
        <v>5039</v>
      </c>
      <c r="AE611" s="81" t="b">
        <v>0</v>
      </c>
      <c r="AF611" s="81">
        <v>1</v>
      </c>
      <c r="AG611" s="86" t="s">
        <v>6334</v>
      </c>
      <c r="AH611" s="81" t="b">
        <v>0</v>
      </c>
      <c r="AI611" s="81" t="s">
        <v>6478</v>
      </c>
      <c r="AJ611" s="81"/>
      <c r="AK611" s="86" t="s">
        <v>6240</v>
      </c>
      <c r="AL611" s="81" t="b">
        <v>0</v>
      </c>
      <c r="AM611" s="81">
        <v>0</v>
      </c>
      <c r="AN611" s="86" t="s">
        <v>6240</v>
      </c>
      <c r="AO611" s="86" t="s">
        <v>6503</v>
      </c>
      <c r="AP611" s="81" t="b">
        <v>0</v>
      </c>
      <c r="AQ611" s="86" t="s">
        <v>5039</v>
      </c>
      <c r="AR611" s="81" t="s">
        <v>179</v>
      </c>
      <c r="AS611" s="81">
        <v>0</v>
      </c>
      <c r="AT611" s="81">
        <v>0</v>
      </c>
      <c r="AU611" s="81"/>
      <c r="AV611" s="81"/>
      <c r="AW611" s="81"/>
      <c r="AX611" s="81"/>
      <c r="AY611" s="81"/>
      <c r="AZ611" s="81"/>
      <c r="BA611" s="81"/>
      <c r="BB611" s="81"/>
    </row>
    <row r="612" spans="1:54" x14ac:dyDescent="0.35">
      <c r="A612" s="66" t="s">
        <v>639</v>
      </c>
      <c r="B612" s="66" t="s">
        <v>1268</v>
      </c>
      <c r="C612" s="67"/>
      <c r="D612" s="68"/>
      <c r="E612" s="69"/>
      <c r="F612" s="70"/>
      <c r="G612" s="67"/>
      <c r="H612" s="71"/>
      <c r="I612" s="72"/>
      <c r="J612" s="72"/>
      <c r="K612" s="36"/>
      <c r="L612" s="79"/>
      <c r="M612" s="79"/>
      <c r="N612" s="74"/>
      <c r="O612" s="81" t="s">
        <v>1535</v>
      </c>
      <c r="P612" s="83">
        <v>44461.91988425926</v>
      </c>
      <c r="Q612" s="81" t="s">
        <v>1782</v>
      </c>
      <c r="R612" s="81"/>
      <c r="S612" s="81"/>
      <c r="T612" s="81"/>
      <c r="U612" s="81"/>
      <c r="V612" s="84" t="str">
        <f>HYPERLINK("https://pbs.twimg.com/profile_images/1424821713833889802/x2OevzwF_normal.jpg")</f>
        <v>https://pbs.twimg.com/profile_images/1424821713833889802/x2OevzwF_normal.jpg</v>
      </c>
      <c r="W612" s="83">
        <v>44461.91988425926</v>
      </c>
      <c r="X612" s="89">
        <v>44461</v>
      </c>
      <c r="Y612" s="86" t="s">
        <v>3217</v>
      </c>
      <c r="Z612" s="84" t="str">
        <f>HYPERLINK("https://twitter.com/pra_dypta/status/1440799225235656705")</f>
        <v>https://twitter.com/pra_dypta/status/1440799225235656705</v>
      </c>
      <c r="AA612" s="81"/>
      <c r="AB612" s="81"/>
      <c r="AC612" s="86" t="s">
        <v>4679</v>
      </c>
      <c r="AD612" s="86" t="s">
        <v>5039</v>
      </c>
      <c r="AE612" s="81" t="b">
        <v>0</v>
      </c>
      <c r="AF612" s="81">
        <v>1</v>
      </c>
      <c r="AG612" s="86" t="s">
        <v>6334</v>
      </c>
      <c r="AH612" s="81" t="b">
        <v>0</v>
      </c>
      <c r="AI612" s="81" t="s">
        <v>6478</v>
      </c>
      <c r="AJ612" s="81"/>
      <c r="AK612" s="86" t="s">
        <v>6240</v>
      </c>
      <c r="AL612" s="81" t="b">
        <v>0</v>
      </c>
      <c r="AM612" s="81">
        <v>0</v>
      </c>
      <c r="AN612" s="86" t="s">
        <v>6240</v>
      </c>
      <c r="AO612" s="86" t="s">
        <v>6503</v>
      </c>
      <c r="AP612" s="81" t="b">
        <v>0</v>
      </c>
      <c r="AQ612" s="86" t="s">
        <v>5039</v>
      </c>
      <c r="AR612" s="81" t="s">
        <v>179</v>
      </c>
      <c r="AS612" s="81">
        <v>0</v>
      </c>
      <c r="AT612" s="81">
        <v>0</v>
      </c>
      <c r="AU612" s="81"/>
      <c r="AV612" s="81"/>
      <c r="AW612" s="81"/>
      <c r="AX612" s="81"/>
      <c r="AY612" s="81"/>
      <c r="AZ612" s="81"/>
      <c r="BA612" s="81"/>
      <c r="BB612" s="81"/>
    </row>
    <row r="613" spans="1:54" x14ac:dyDescent="0.35">
      <c r="A613" s="66" t="s">
        <v>639</v>
      </c>
      <c r="B613" s="66" t="s">
        <v>928</v>
      </c>
      <c r="C613" s="67"/>
      <c r="D613" s="68"/>
      <c r="E613" s="69"/>
      <c r="F613" s="70"/>
      <c r="G613" s="67"/>
      <c r="H613" s="71"/>
      <c r="I613" s="72"/>
      <c r="J613" s="72"/>
      <c r="K613" s="36"/>
      <c r="L613" s="79"/>
      <c r="M613" s="79"/>
      <c r="N613" s="74"/>
      <c r="O613" s="81" t="s">
        <v>1534</v>
      </c>
      <c r="P613" s="83">
        <v>44461.91988425926</v>
      </c>
      <c r="Q613" s="81" t="s">
        <v>1782</v>
      </c>
      <c r="R613" s="81"/>
      <c r="S613" s="81"/>
      <c r="T613" s="81"/>
      <c r="U613" s="81"/>
      <c r="V613" s="84" t="str">
        <f>HYPERLINK("https://pbs.twimg.com/profile_images/1424821713833889802/x2OevzwF_normal.jpg")</f>
        <v>https://pbs.twimg.com/profile_images/1424821713833889802/x2OevzwF_normal.jpg</v>
      </c>
      <c r="W613" s="83">
        <v>44461.91988425926</v>
      </c>
      <c r="X613" s="89">
        <v>44461</v>
      </c>
      <c r="Y613" s="86" t="s">
        <v>3217</v>
      </c>
      <c r="Z613" s="84" t="str">
        <f>HYPERLINK("https://twitter.com/pra_dypta/status/1440799225235656705")</f>
        <v>https://twitter.com/pra_dypta/status/1440799225235656705</v>
      </c>
      <c r="AA613" s="81"/>
      <c r="AB613" s="81"/>
      <c r="AC613" s="86" t="s">
        <v>4679</v>
      </c>
      <c r="AD613" s="86" t="s">
        <v>5039</v>
      </c>
      <c r="AE613" s="81" t="b">
        <v>0</v>
      </c>
      <c r="AF613" s="81">
        <v>1</v>
      </c>
      <c r="AG613" s="86" t="s">
        <v>6334</v>
      </c>
      <c r="AH613" s="81" t="b">
        <v>0</v>
      </c>
      <c r="AI613" s="81" t="s">
        <v>6478</v>
      </c>
      <c r="AJ613" s="81"/>
      <c r="AK613" s="86" t="s">
        <v>6240</v>
      </c>
      <c r="AL613" s="81" t="b">
        <v>0</v>
      </c>
      <c r="AM613" s="81">
        <v>0</v>
      </c>
      <c r="AN613" s="86" t="s">
        <v>6240</v>
      </c>
      <c r="AO613" s="86" t="s">
        <v>6503</v>
      </c>
      <c r="AP613" s="81" t="b">
        <v>0</v>
      </c>
      <c r="AQ613" s="86" t="s">
        <v>5039</v>
      </c>
      <c r="AR613" s="81" t="s">
        <v>179</v>
      </c>
      <c r="AS613" s="81">
        <v>0</v>
      </c>
      <c r="AT613" s="81">
        <v>0</v>
      </c>
      <c r="AU613" s="81"/>
      <c r="AV613" s="81"/>
      <c r="AW613" s="81"/>
      <c r="AX613" s="81"/>
      <c r="AY613" s="81"/>
      <c r="AZ613" s="81"/>
      <c r="BA613" s="81"/>
      <c r="BB613" s="81"/>
    </row>
    <row r="614" spans="1:54" x14ac:dyDescent="0.35">
      <c r="A614" s="66" t="s">
        <v>640</v>
      </c>
      <c r="B614" s="66" t="s">
        <v>928</v>
      </c>
      <c r="C614" s="67"/>
      <c r="D614" s="68"/>
      <c r="E614" s="69"/>
      <c r="F614" s="70"/>
      <c r="G614" s="67"/>
      <c r="H614" s="71"/>
      <c r="I614" s="72"/>
      <c r="J614" s="72"/>
      <c r="K614" s="36"/>
      <c r="L614" s="79"/>
      <c r="M614" s="79"/>
      <c r="N614" s="74"/>
      <c r="O614" s="81" t="s">
        <v>1532</v>
      </c>
      <c r="P614" s="83">
        <v>44461.928495370368</v>
      </c>
      <c r="Q614" s="81" t="s">
        <v>1781</v>
      </c>
      <c r="R614" s="81"/>
      <c r="S614" s="81"/>
      <c r="T614" s="86" t="s">
        <v>2681</v>
      </c>
      <c r="U614" s="84" t="str">
        <f>HYPERLINK("https://pbs.twimg.com/media/E_6-KvyVgAA0Zfe.jpg")</f>
        <v>https://pbs.twimg.com/media/E_6-KvyVgAA0Zfe.jpg</v>
      </c>
      <c r="V614" s="84" t="str">
        <f>HYPERLINK("https://pbs.twimg.com/media/E_6-KvyVgAA0Zfe.jpg")</f>
        <v>https://pbs.twimg.com/media/E_6-KvyVgAA0Zfe.jpg</v>
      </c>
      <c r="W614" s="83">
        <v>44461.928495370368</v>
      </c>
      <c r="X614" s="89">
        <v>44461</v>
      </c>
      <c r="Y614" s="86" t="s">
        <v>3218</v>
      </c>
      <c r="Z614" s="84" t="str">
        <f>HYPERLINK("https://twitter.com/junaidi_afif/status/1440802344514383880")</f>
        <v>https://twitter.com/junaidi_afif/status/1440802344514383880</v>
      </c>
      <c r="AA614" s="81"/>
      <c r="AB614" s="81"/>
      <c r="AC614" s="86" t="s">
        <v>4680</v>
      </c>
      <c r="AD614" s="81"/>
      <c r="AE614" s="81" t="b">
        <v>0</v>
      </c>
      <c r="AF614" s="81">
        <v>0</v>
      </c>
      <c r="AG614" s="86" t="s">
        <v>6240</v>
      </c>
      <c r="AH614" s="81" t="b">
        <v>0</v>
      </c>
      <c r="AI614" s="81" t="s">
        <v>6479</v>
      </c>
      <c r="AJ614" s="81"/>
      <c r="AK614" s="86" t="s">
        <v>6240</v>
      </c>
      <c r="AL614" s="81" t="b">
        <v>0</v>
      </c>
      <c r="AM614" s="81">
        <v>71</v>
      </c>
      <c r="AN614" s="86" t="s">
        <v>5039</v>
      </c>
      <c r="AO614" s="86" t="s">
        <v>6503</v>
      </c>
      <c r="AP614" s="81" t="b">
        <v>0</v>
      </c>
      <c r="AQ614" s="86" t="s">
        <v>5039</v>
      </c>
      <c r="AR614" s="81" t="s">
        <v>179</v>
      </c>
      <c r="AS614" s="81">
        <v>0</v>
      </c>
      <c r="AT614" s="81">
        <v>0</v>
      </c>
      <c r="AU614" s="81"/>
      <c r="AV614" s="81"/>
      <c r="AW614" s="81"/>
      <c r="AX614" s="81"/>
      <c r="AY614" s="81"/>
      <c r="AZ614" s="81"/>
      <c r="BA614" s="81"/>
      <c r="BB614" s="81"/>
    </row>
    <row r="615" spans="1:54" x14ac:dyDescent="0.35">
      <c r="A615" s="66" t="s">
        <v>641</v>
      </c>
      <c r="B615" s="66" t="s">
        <v>928</v>
      </c>
      <c r="C615" s="67"/>
      <c r="D615" s="68"/>
      <c r="E615" s="69"/>
      <c r="F615" s="70"/>
      <c r="G615" s="67"/>
      <c r="H615" s="71"/>
      <c r="I615" s="72"/>
      <c r="J615" s="72"/>
      <c r="K615" s="36"/>
      <c r="L615" s="79"/>
      <c r="M615" s="79"/>
      <c r="N615" s="74"/>
      <c r="O615" s="81" t="s">
        <v>1532</v>
      </c>
      <c r="P615" s="83">
        <v>44461.941076388888</v>
      </c>
      <c r="Q615" s="81" t="s">
        <v>1781</v>
      </c>
      <c r="R615" s="81"/>
      <c r="S615" s="81"/>
      <c r="T615" s="86" t="s">
        <v>2681</v>
      </c>
      <c r="U615" s="84" t="str">
        <f>HYPERLINK("https://pbs.twimg.com/media/E_6-KvyVgAA0Zfe.jpg")</f>
        <v>https://pbs.twimg.com/media/E_6-KvyVgAA0Zfe.jpg</v>
      </c>
      <c r="V615" s="84" t="str">
        <f>HYPERLINK("https://pbs.twimg.com/media/E_6-KvyVgAA0Zfe.jpg")</f>
        <v>https://pbs.twimg.com/media/E_6-KvyVgAA0Zfe.jpg</v>
      </c>
      <c r="W615" s="83">
        <v>44461.941076388888</v>
      </c>
      <c r="X615" s="89">
        <v>44461</v>
      </c>
      <c r="Y615" s="86" t="s">
        <v>3219</v>
      </c>
      <c r="Z615" s="84" t="str">
        <f>HYPERLINK("https://twitter.com/muhammad_akbarr/status/1440806905123786756")</f>
        <v>https://twitter.com/muhammad_akbarr/status/1440806905123786756</v>
      </c>
      <c r="AA615" s="81"/>
      <c r="AB615" s="81"/>
      <c r="AC615" s="86" t="s">
        <v>4681</v>
      </c>
      <c r="AD615" s="81"/>
      <c r="AE615" s="81" t="b">
        <v>0</v>
      </c>
      <c r="AF615" s="81">
        <v>0</v>
      </c>
      <c r="AG615" s="86" t="s">
        <v>6240</v>
      </c>
      <c r="AH615" s="81" t="b">
        <v>0</v>
      </c>
      <c r="AI615" s="81" t="s">
        <v>6479</v>
      </c>
      <c r="AJ615" s="81"/>
      <c r="AK615" s="86" t="s">
        <v>6240</v>
      </c>
      <c r="AL615" s="81" t="b">
        <v>0</v>
      </c>
      <c r="AM615" s="81">
        <v>71</v>
      </c>
      <c r="AN615" s="86" t="s">
        <v>5039</v>
      </c>
      <c r="AO615" s="86" t="s">
        <v>6503</v>
      </c>
      <c r="AP615" s="81" t="b">
        <v>0</v>
      </c>
      <c r="AQ615" s="86" t="s">
        <v>5039</v>
      </c>
      <c r="AR615" s="81" t="s">
        <v>179</v>
      </c>
      <c r="AS615" s="81">
        <v>0</v>
      </c>
      <c r="AT615" s="81">
        <v>0</v>
      </c>
      <c r="AU615" s="81"/>
      <c r="AV615" s="81"/>
      <c r="AW615" s="81"/>
      <c r="AX615" s="81"/>
      <c r="AY615" s="81"/>
      <c r="AZ615" s="81"/>
      <c r="BA615" s="81"/>
      <c r="BB615" s="81"/>
    </row>
    <row r="616" spans="1:54" x14ac:dyDescent="0.35">
      <c r="A616" s="66" t="s">
        <v>642</v>
      </c>
      <c r="B616" s="66" t="s">
        <v>928</v>
      </c>
      <c r="C616" s="67"/>
      <c r="D616" s="68"/>
      <c r="E616" s="69"/>
      <c r="F616" s="70"/>
      <c r="G616" s="67"/>
      <c r="H616" s="71"/>
      <c r="I616" s="72"/>
      <c r="J616" s="72"/>
      <c r="K616" s="36"/>
      <c r="L616" s="79"/>
      <c r="M616" s="79"/>
      <c r="N616" s="74"/>
      <c r="O616" s="81" t="s">
        <v>1532</v>
      </c>
      <c r="P616" s="83">
        <v>44461.941527777781</v>
      </c>
      <c r="Q616" s="81" t="s">
        <v>1781</v>
      </c>
      <c r="R616" s="81"/>
      <c r="S616" s="81"/>
      <c r="T616" s="86" t="s">
        <v>2681</v>
      </c>
      <c r="U616" s="84" t="str">
        <f>HYPERLINK("https://pbs.twimg.com/media/E_6-KvyVgAA0Zfe.jpg")</f>
        <v>https://pbs.twimg.com/media/E_6-KvyVgAA0Zfe.jpg</v>
      </c>
      <c r="V616" s="84" t="str">
        <f>HYPERLINK("https://pbs.twimg.com/media/E_6-KvyVgAA0Zfe.jpg")</f>
        <v>https://pbs.twimg.com/media/E_6-KvyVgAA0Zfe.jpg</v>
      </c>
      <c r="W616" s="83">
        <v>44461.941527777781</v>
      </c>
      <c r="X616" s="89">
        <v>44461</v>
      </c>
      <c r="Y616" s="86" t="s">
        <v>3220</v>
      </c>
      <c r="Z616" s="84" t="str">
        <f>HYPERLINK("https://twitter.com/riduch/status/1440807065987870721")</f>
        <v>https://twitter.com/riduch/status/1440807065987870721</v>
      </c>
      <c r="AA616" s="81"/>
      <c r="AB616" s="81"/>
      <c r="AC616" s="86" t="s">
        <v>4682</v>
      </c>
      <c r="AD616" s="81"/>
      <c r="AE616" s="81" t="b">
        <v>0</v>
      </c>
      <c r="AF616" s="81">
        <v>0</v>
      </c>
      <c r="AG616" s="86" t="s">
        <v>6240</v>
      </c>
      <c r="AH616" s="81" t="b">
        <v>0</v>
      </c>
      <c r="AI616" s="81" t="s">
        <v>6479</v>
      </c>
      <c r="AJ616" s="81"/>
      <c r="AK616" s="86" t="s">
        <v>6240</v>
      </c>
      <c r="AL616" s="81" t="b">
        <v>0</v>
      </c>
      <c r="AM616" s="81">
        <v>71</v>
      </c>
      <c r="AN616" s="86" t="s">
        <v>5039</v>
      </c>
      <c r="AO616" s="86" t="s">
        <v>6507</v>
      </c>
      <c r="AP616" s="81" t="b">
        <v>0</v>
      </c>
      <c r="AQ616" s="86" t="s">
        <v>5039</v>
      </c>
      <c r="AR616" s="81" t="s">
        <v>179</v>
      </c>
      <c r="AS616" s="81">
        <v>0</v>
      </c>
      <c r="AT616" s="81">
        <v>0</v>
      </c>
      <c r="AU616" s="81"/>
      <c r="AV616" s="81"/>
      <c r="AW616" s="81"/>
      <c r="AX616" s="81"/>
      <c r="AY616" s="81"/>
      <c r="AZ616" s="81"/>
      <c r="BA616" s="81"/>
      <c r="BB616" s="81"/>
    </row>
    <row r="617" spans="1:54" x14ac:dyDescent="0.35">
      <c r="A617" s="66" t="s">
        <v>643</v>
      </c>
      <c r="B617" s="66" t="s">
        <v>928</v>
      </c>
      <c r="C617" s="67"/>
      <c r="D617" s="68"/>
      <c r="E617" s="69"/>
      <c r="F617" s="70"/>
      <c r="G617" s="67"/>
      <c r="H617" s="71"/>
      <c r="I617" s="72"/>
      <c r="J617" s="72"/>
      <c r="K617" s="36"/>
      <c r="L617" s="79"/>
      <c r="M617" s="79"/>
      <c r="N617" s="74"/>
      <c r="O617" s="81" t="s">
        <v>1535</v>
      </c>
      <c r="P617" s="83">
        <v>44461.942858796298</v>
      </c>
      <c r="Q617" s="81" t="s">
        <v>1783</v>
      </c>
      <c r="R617" s="81"/>
      <c r="S617" s="81"/>
      <c r="T617" s="86" t="s">
        <v>2681</v>
      </c>
      <c r="U617" s="84" t="str">
        <f>HYPERLINK("https://pbs.twimg.com/media/E_6-KvyVgAA0Zfe.jpg")</f>
        <v>https://pbs.twimg.com/media/E_6-KvyVgAA0Zfe.jpg</v>
      </c>
      <c r="V617" s="84" t="str">
        <f>HYPERLINK("https://pbs.twimg.com/media/E_6-KvyVgAA0Zfe.jpg")</f>
        <v>https://pbs.twimg.com/media/E_6-KvyVgAA0Zfe.jpg</v>
      </c>
      <c r="W617" s="83">
        <v>44461.942858796298</v>
      </c>
      <c r="X617" s="89">
        <v>44461</v>
      </c>
      <c r="Y617" s="86" t="s">
        <v>3221</v>
      </c>
      <c r="Z617" s="84" t="str">
        <f>HYPERLINK("https://twitter.com/fajar_bdmn/status/1440807548370653188")</f>
        <v>https://twitter.com/fajar_bdmn/status/1440807548370653188</v>
      </c>
      <c r="AA617" s="81"/>
      <c r="AB617" s="81"/>
      <c r="AC617" s="86" t="s">
        <v>4683</v>
      </c>
      <c r="AD617" s="81"/>
      <c r="AE617" s="81" t="b">
        <v>0</v>
      </c>
      <c r="AF617" s="81">
        <v>0</v>
      </c>
      <c r="AG617" s="86" t="s">
        <v>6240</v>
      </c>
      <c r="AH617" s="81" t="b">
        <v>0</v>
      </c>
      <c r="AI617" s="81" t="s">
        <v>6479</v>
      </c>
      <c r="AJ617" s="81"/>
      <c r="AK617" s="86" t="s">
        <v>6240</v>
      </c>
      <c r="AL617" s="81" t="b">
        <v>0</v>
      </c>
      <c r="AM617" s="81">
        <v>0</v>
      </c>
      <c r="AN617" s="86" t="s">
        <v>6240</v>
      </c>
      <c r="AO617" s="86" t="s">
        <v>6518</v>
      </c>
      <c r="AP617" s="81" t="b">
        <v>0</v>
      </c>
      <c r="AQ617" s="86" t="s">
        <v>4683</v>
      </c>
      <c r="AR617" s="81" t="s">
        <v>179</v>
      </c>
      <c r="AS617" s="81">
        <v>0</v>
      </c>
      <c r="AT617" s="81">
        <v>0</v>
      </c>
      <c r="AU617" s="81"/>
      <c r="AV617" s="81"/>
      <c r="AW617" s="81"/>
      <c r="AX617" s="81"/>
      <c r="AY617" s="81"/>
      <c r="AZ617" s="81"/>
      <c r="BA617" s="81"/>
      <c r="BB617" s="81"/>
    </row>
    <row r="618" spans="1:54" x14ac:dyDescent="0.35">
      <c r="A618" s="66" t="s">
        <v>644</v>
      </c>
      <c r="B618" s="66" t="s">
        <v>928</v>
      </c>
      <c r="C618" s="67"/>
      <c r="D618" s="68"/>
      <c r="E618" s="69"/>
      <c r="F618" s="70"/>
      <c r="G618" s="67"/>
      <c r="H618" s="71"/>
      <c r="I618" s="72"/>
      <c r="J618" s="72"/>
      <c r="K618" s="36"/>
      <c r="L618" s="79"/>
      <c r="M618" s="79"/>
      <c r="N618" s="74"/>
      <c r="O618" s="81" t="s">
        <v>1532</v>
      </c>
      <c r="P618" s="83">
        <v>44461.943032407406</v>
      </c>
      <c r="Q618" s="81" t="s">
        <v>1781</v>
      </c>
      <c r="R618" s="81"/>
      <c r="S618" s="81"/>
      <c r="T618" s="86" t="s">
        <v>2681</v>
      </c>
      <c r="U618" s="84" t="str">
        <f>HYPERLINK("https://pbs.twimg.com/media/E_6-KvyVgAA0Zfe.jpg")</f>
        <v>https://pbs.twimg.com/media/E_6-KvyVgAA0Zfe.jpg</v>
      </c>
      <c r="V618" s="84" t="str">
        <f>HYPERLINK("https://pbs.twimg.com/media/E_6-KvyVgAA0Zfe.jpg")</f>
        <v>https://pbs.twimg.com/media/E_6-KvyVgAA0Zfe.jpg</v>
      </c>
      <c r="W618" s="83">
        <v>44461.943032407406</v>
      </c>
      <c r="X618" s="89">
        <v>44461</v>
      </c>
      <c r="Y618" s="86" t="s">
        <v>3222</v>
      </c>
      <c r="Z618" s="84" t="str">
        <f>HYPERLINK("https://twitter.com/ahmaadzulfikar/status/1440807611696226307")</f>
        <v>https://twitter.com/ahmaadzulfikar/status/1440807611696226307</v>
      </c>
      <c r="AA618" s="81"/>
      <c r="AB618" s="81"/>
      <c r="AC618" s="86" t="s">
        <v>4684</v>
      </c>
      <c r="AD618" s="81"/>
      <c r="AE618" s="81" t="b">
        <v>0</v>
      </c>
      <c r="AF618" s="81">
        <v>0</v>
      </c>
      <c r="AG618" s="86" t="s">
        <v>6240</v>
      </c>
      <c r="AH618" s="81" t="b">
        <v>0</v>
      </c>
      <c r="AI618" s="81" t="s">
        <v>6479</v>
      </c>
      <c r="AJ618" s="81"/>
      <c r="AK618" s="86" t="s">
        <v>6240</v>
      </c>
      <c r="AL618" s="81" t="b">
        <v>0</v>
      </c>
      <c r="AM618" s="81">
        <v>71</v>
      </c>
      <c r="AN618" s="86" t="s">
        <v>5039</v>
      </c>
      <c r="AO618" s="86" t="s">
        <v>6505</v>
      </c>
      <c r="AP618" s="81" t="b">
        <v>0</v>
      </c>
      <c r="AQ618" s="86" t="s">
        <v>5039</v>
      </c>
      <c r="AR618" s="81" t="s">
        <v>179</v>
      </c>
      <c r="AS618" s="81">
        <v>0</v>
      </c>
      <c r="AT618" s="81">
        <v>0</v>
      </c>
      <c r="AU618" s="81"/>
      <c r="AV618" s="81"/>
      <c r="AW618" s="81"/>
      <c r="AX618" s="81"/>
      <c r="AY618" s="81"/>
      <c r="AZ618" s="81"/>
      <c r="BA618" s="81"/>
      <c r="BB618" s="81"/>
    </row>
    <row r="619" spans="1:54" x14ac:dyDescent="0.35">
      <c r="A619" s="66" t="s">
        <v>645</v>
      </c>
      <c r="B619" s="66" t="s">
        <v>928</v>
      </c>
      <c r="C619" s="67"/>
      <c r="D619" s="68"/>
      <c r="E619" s="69"/>
      <c r="F619" s="70"/>
      <c r="G619" s="67"/>
      <c r="H619" s="71"/>
      <c r="I619" s="72"/>
      <c r="J619" s="72"/>
      <c r="K619" s="36"/>
      <c r="L619" s="79"/>
      <c r="M619" s="79"/>
      <c r="N619" s="74"/>
      <c r="O619" s="81" t="s">
        <v>1532</v>
      </c>
      <c r="P619" s="83">
        <v>44461.947511574072</v>
      </c>
      <c r="Q619" s="81" t="s">
        <v>1781</v>
      </c>
      <c r="R619" s="81"/>
      <c r="S619" s="81"/>
      <c r="T619" s="86" t="s">
        <v>2681</v>
      </c>
      <c r="U619" s="84" t="str">
        <f>HYPERLINK("https://pbs.twimg.com/media/E_6-KvyVgAA0Zfe.jpg")</f>
        <v>https://pbs.twimg.com/media/E_6-KvyVgAA0Zfe.jpg</v>
      </c>
      <c r="V619" s="84" t="str">
        <f>HYPERLINK("https://pbs.twimg.com/media/E_6-KvyVgAA0Zfe.jpg")</f>
        <v>https://pbs.twimg.com/media/E_6-KvyVgAA0Zfe.jpg</v>
      </c>
      <c r="W619" s="83">
        <v>44461.947511574072</v>
      </c>
      <c r="X619" s="89">
        <v>44461</v>
      </c>
      <c r="Y619" s="86" t="s">
        <v>3223</v>
      </c>
      <c r="Z619" s="84" t="str">
        <f>HYPERLINK("https://twitter.com/sarfd/status/1440809237605613582")</f>
        <v>https://twitter.com/sarfd/status/1440809237605613582</v>
      </c>
      <c r="AA619" s="81"/>
      <c r="AB619" s="81"/>
      <c r="AC619" s="86" t="s">
        <v>4685</v>
      </c>
      <c r="AD619" s="81"/>
      <c r="AE619" s="81" t="b">
        <v>0</v>
      </c>
      <c r="AF619" s="81">
        <v>0</v>
      </c>
      <c r="AG619" s="86" t="s">
        <v>6240</v>
      </c>
      <c r="AH619" s="81" t="b">
        <v>0</v>
      </c>
      <c r="AI619" s="81" t="s">
        <v>6479</v>
      </c>
      <c r="AJ619" s="81"/>
      <c r="AK619" s="86" t="s">
        <v>6240</v>
      </c>
      <c r="AL619" s="81" t="b">
        <v>0</v>
      </c>
      <c r="AM619" s="81">
        <v>71</v>
      </c>
      <c r="AN619" s="86" t="s">
        <v>5039</v>
      </c>
      <c r="AO619" s="86" t="s">
        <v>6505</v>
      </c>
      <c r="AP619" s="81" t="b">
        <v>0</v>
      </c>
      <c r="AQ619" s="86" t="s">
        <v>5039</v>
      </c>
      <c r="AR619" s="81" t="s">
        <v>179</v>
      </c>
      <c r="AS619" s="81">
        <v>0</v>
      </c>
      <c r="AT619" s="81">
        <v>0</v>
      </c>
      <c r="AU619" s="81"/>
      <c r="AV619" s="81"/>
      <c r="AW619" s="81"/>
      <c r="AX619" s="81"/>
      <c r="AY619" s="81"/>
      <c r="AZ619" s="81"/>
      <c r="BA619" s="81"/>
      <c r="BB619" s="81"/>
    </row>
    <row r="620" spans="1:54" x14ac:dyDescent="0.35">
      <c r="A620" s="66" t="s">
        <v>646</v>
      </c>
      <c r="B620" s="66" t="s">
        <v>928</v>
      </c>
      <c r="C620" s="67"/>
      <c r="D620" s="68"/>
      <c r="E620" s="69"/>
      <c r="F620" s="70"/>
      <c r="G620" s="67"/>
      <c r="H620" s="71"/>
      <c r="I620" s="72"/>
      <c r="J620" s="72"/>
      <c r="K620" s="36"/>
      <c r="L620" s="79"/>
      <c r="M620" s="79"/>
      <c r="N620" s="74"/>
      <c r="O620" s="81" t="s">
        <v>1532</v>
      </c>
      <c r="P620" s="83">
        <v>44461.947557870371</v>
      </c>
      <c r="Q620" s="81" t="s">
        <v>1781</v>
      </c>
      <c r="R620" s="81"/>
      <c r="S620" s="81"/>
      <c r="T620" s="86" t="s">
        <v>2681</v>
      </c>
      <c r="U620" s="84" t="str">
        <f>HYPERLINK("https://pbs.twimg.com/media/E_6-KvyVgAA0Zfe.jpg")</f>
        <v>https://pbs.twimg.com/media/E_6-KvyVgAA0Zfe.jpg</v>
      </c>
      <c r="V620" s="84" t="str">
        <f>HYPERLINK("https://pbs.twimg.com/media/E_6-KvyVgAA0Zfe.jpg")</f>
        <v>https://pbs.twimg.com/media/E_6-KvyVgAA0Zfe.jpg</v>
      </c>
      <c r="W620" s="83">
        <v>44461.947557870371</v>
      </c>
      <c r="X620" s="89">
        <v>44461</v>
      </c>
      <c r="Y620" s="86" t="s">
        <v>3224</v>
      </c>
      <c r="Z620" s="84" t="str">
        <f>HYPERLINK("https://twitter.com/robygessyromany/status/1440809251308376069")</f>
        <v>https://twitter.com/robygessyromany/status/1440809251308376069</v>
      </c>
      <c r="AA620" s="81"/>
      <c r="AB620" s="81"/>
      <c r="AC620" s="86" t="s">
        <v>4686</v>
      </c>
      <c r="AD620" s="81"/>
      <c r="AE620" s="81" t="b">
        <v>0</v>
      </c>
      <c r="AF620" s="81">
        <v>0</v>
      </c>
      <c r="AG620" s="86" t="s">
        <v>6240</v>
      </c>
      <c r="AH620" s="81" t="b">
        <v>0</v>
      </c>
      <c r="AI620" s="81" t="s">
        <v>6479</v>
      </c>
      <c r="AJ620" s="81"/>
      <c r="AK620" s="86" t="s">
        <v>6240</v>
      </c>
      <c r="AL620" s="81" t="b">
        <v>0</v>
      </c>
      <c r="AM620" s="81">
        <v>71</v>
      </c>
      <c r="AN620" s="86" t="s">
        <v>5039</v>
      </c>
      <c r="AO620" s="86" t="s">
        <v>6503</v>
      </c>
      <c r="AP620" s="81" t="b">
        <v>0</v>
      </c>
      <c r="AQ620" s="86" t="s">
        <v>5039</v>
      </c>
      <c r="AR620" s="81" t="s">
        <v>179</v>
      </c>
      <c r="AS620" s="81">
        <v>0</v>
      </c>
      <c r="AT620" s="81">
        <v>0</v>
      </c>
      <c r="AU620" s="81"/>
      <c r="AV620" s="81"/>
      <c r="AW620" s="81"/>
      <c r="AX620" s="81"/>
      <c r="AY620" s="81"/>
      <c r="AZ620" s="81"/>
      <c r="BA620" s="81"/>
      <c r="BB620" s="81"/>
    </row>
    <row r="621" spans="1:54" x14ac:dyDescent="0.35">
      <c r="A621" s="66" t="s">
        <v>647</v>
      </c>
      <c r="B621" s="66" t="s">
        <v>928</v>
      </c>
      <c r="C621" s="67"/>
      <c r="D621" s="68"/>
      <c r="E621" s="69"/>
      <c r="F621" s="70"/>
      <c r="G621" s="67"/>
      <c r="H621" s="71"/>
      <c r="I621" s="72"/>
      <c r="J621" s="72"/>
      <c r="K621" s="36"/>
      <c r="L621" s="79"/>
      <c r="M621" s="79"/>
      <c r="N621" s="74"/>
      <c r="O621" s="81" t="s">
        <v>1532</v>
      </c>
      <c r="P621" s="83">
        <v>44461.947893518518</v>
      </c>
      <c r="Q621" s="81" t="s">
        <v>1781</v>
      </c>
      <c r="R621" s="81"/>
      <c r="S621" s="81"/>
      <c r="T621" s="86" t="s">
        <v>2681</v>
      </c>
      <c r="U621" s="84" t="str">
        <f>HYPERLINK("https://pbs.twimg.com/media/E_6-KvyVgAA0Zfe.jpg")</f>
        <v>https://pbs.twimg.com/media/E_6-KvyVgAA0Zfe.jpg</v>
      </c>
      <c r="V621" s="84" t="str">
        <f>HYPERLINK("https://pbs.twimg.com/media/E_6-KvyVgAA0Zfe.jpg")</f>
        <v>https://pbs.twimg.com/media/E_6-KvyVgAA0Zfe.jpg</v>
      </c>
      <c r="W621" s="83">
        <v>44461.947893518518</v>
      </c>
      <c r="X621" s="89">
        <v>44461</v>
      </c>
      <c r="Y621" s="86" t="s">
        <v>3225</v>
      </c>
      <c r="Z621" s="84" t="str">
        <f>HYPERLINK("https://twitter.com/syarifiirvan/status/1440809375166128138")</f>
        <v>https://twitter.com/syarifiirvan/status/1440809375166128138</v>
      </c>
      <c r="AA621" s="81"/>
      <c r="AB621" s="81"/>
      <c r="AC621" s="86" t="s">
        <v>4687</v>
      </c>
      <c r="AD621" s="81"/>
      <c r="AE621" s="81" t="b">
        <v>0</v>
      </c>
      <c r="AF621" s="81">
        <v>0</v>
      </c>
      <c r="AG621" s="86" t="s">
        <v>6240</v>
      </c>
      <c r="AH621" s="81" t="b">
        <v>0</v>
      </c>
      <c r="AI621" s="81" t="s">
        <v>6479</v>
      </c>
      <c r="AJ621" s="81"/>
      <c r="AK621" s="86" t="s">
        <v>6240</v>
      </c>
      <c r="AL621" s="81" t="b">
        <v>0</v>
      </c>
      <c r="AM621" s="81">
        <v>71</v>
      </c>
      <c r="AN621" s="86" t="s">
        <v>5039</v>
      </c>
      <c r="AO621" s="86" t="s">
        <v>6503</v>
      </c>
      <c r="AP621" s="81" t="b">
        <v>0</v>
      </c>
      <c r="AQ621" s="86" t="s">
        <v>5039</v>
      </c>
      <c r="AR621" s="81" t="s">
        <v>179</v>
      </c>
      <c r="AS621" s="81">
        <v>0</v>
      </c>
      <c r="AT621" s="81">
        <v>0</v>
      </c>
      <c r="AU621" s="81"/>
      <c r="AV621" s="81"/>
      <c r="AW621" s="81"/>
      <c r="AX621" s="81"/>
      <c r="AY621" s="81"/>
      <c r="AZ621" s="81"/>
      <c r="BA621" s="81"/>
      <c r="BB621" s="81"/>
    </row>
    <row r="622" spans="1:54" x14ac:dyDescent="0.35">
      <c r="A622" s="66" t="s">
        <v>648</v>
      </c>
      <c r="B622" s="66" t="s">
        <v>928</v>
      </c>
      <c r="C622" s="67"/>
      <c r="D622" s="68"/>
      <c r="E622" s="69"/>
      <c r="F622" s="70"/>
      <c r="G622" s="67"/>
      <c r="H622" s="71"/>
      <c r="I622" s="72"/>
      <c r="J622" s="72"/>
      <c r="K622" s="36"/>
      <c r="L622" s="79"/>
      <c r="M622" s="79"/>
      <c r="N622" s="74"/>
      <c r="O622" s="81" t="s">
        <v>1532</v>
      </c>
      <c r="P622" s="83">
        <v>44461.948599537034</v>
      </c>
      <c r="Q622" s="81" t="s">
        <v>1781</v>
      </c>
      <c r="R622" s="81"/>
      <c r="S622" s="81"/>
      <c r="T622" s="86" t="s">
        <v>2681</v>
      </c>
      <c r="U622" s="84" t="str">
        <f>HYPERLINK("https://pbs.twimg.com/media/E_6-KvyVgAA0Zfe.jpg")</f>
        <v>https://pbs.twimg.com/media/E_6-KvyVgAA0Zfe.jpg</v>
      </c>
      <c r="V622" s="84" t="str">
        <f>HYPERLINK("https://pbs.twimg.com/media/E_6-KvyVgAA0Zfe.jpg")</f>
        <v>https://pbs.twimg.com/media/E_6-KvyVgAA0Zfe.jpg</v>
      </c>
      <c r="W622" s="83">
        <v>44461.948599537034</v>
      </c>
      <c r="X622" s="89">
        <v>44461</v>
      </c>
      <c r="Y622" s="86" t="s">
        <v>3226</v>
      </c>
      <c r="Z622" s="84" t="str">
        <f>HYPERLINK("https://twitter.com/krisnapraditya2/status/1440809631861776392")</f>
        <v>https://twitter.com/krisnapraditya2/status/1440809631861776392</v>
      </c>
      <c r="AA622" s="81"/>
      <c r="AB622" s="81"/>
      <c r="AC622" s="86" t="s">
        <v>4688</v>
      </c>
      <c r="AD622" s="81"/>
      <c r="AE622" s="81" t="b">
        <v>0</v>
      </c>
      <c r="AF622" s="81">
        <v>0</v>
      </c>
      <c r="AG622" s="86" t="s">
        <v>6240</v>
      </c>
      <c r="AH622" s="81" t="b">
        <v>0</v>
      </c>
      <c r="AI622" s="81" t="s">
        <v>6479</v>
      </c>
      <c r="AJ622" s="81"/>
      <c r="AK622" s="86" t="s">
        <v>6240</v>
      </c>
      <c r="AL622" s="81" t="b">
        <v>0</v>
      </c>
      <c r="AM622" s="81">
        <v>71</v>
      </c>
      <c r="AN622" s="86" t="s">
        <v>5039</v>
      </c>
      <c r="AO622" s="86" t="s">
        <v>6503</v>
      </c>
      <c r="AP622" s="81" t="b">
        <v>0</v>
      </c>
      <c r="AQ622" s="86" t="s">
        <v>5039</v>
      </c>
      <c r="AR622" s="81" t="s">
        <v>179</v>
      </c>
      <c r="AS622" s="81">
        <v>0</v>
      </c>
      <c r="AT622" s="81">
        <v>0</v>
      </c>
      <c r="AU622" s="81"/>
      <c r="AV622" s="81"/>
      <c r="AW622" s="81"/>
      <c r="AX622" s="81"/>
      <c r="AY622" s="81"/>
      <c r="AZ622" s="81"/>
      <c r="BA622" s="81"/>
      <c r="BB622" s="81"/>
    </row>
    <row r="623" spans="1:54" x14ac:dyDescent="0.35">
      <c r="A623" s="66" t="s">
        <v>649</v>
      </c>
      <c r="B623" s="66" t="s">
        <v>928</v>
      </c>
      <c r="C623" s="67"/>
      <c r="D623" s="68"/>
      <c r="E623" s="69"/>
      <c r="F623" s="70"/>
      <c r="G623" s="67"/>
      <c r="H623" s="71"/>
      <c r="I623" s="72"/>
      <c r="J623" s="72"/>
      <c r="K623" s="36"/>
      <c r="L623" s="79"/>
      <c r="M623" s="79"/>
      <c r="N623" s="74"/>
      <c r="O623" s="81" t="s">
        <v>1532</v>
      </c>
      <c r="P623" s="83">
        <v>44461.951643518521</v>
      </c>
      <c r="Q623" s="81" t="s">
        <v>1781</v>
      </c>
      <c r="R623" s="81"/>
      <c r="S623" s="81"/>
      <c r="T623" s="86" t="s">
        <v>2681</v>
      </c>
      <c r="U623" s="84" t="str">
        <f>HYPERLINK("https://pbs.twimg.com/media/E_6-KvyVgAA0Zfe.jpg")</f>
        <v>https://pbs.twimg.com/media/E_6-KvyVgAA0Zfe.jpg</v>
      </c>
      <c r="V623" s="84" t="str">
        <f>HYPERLINK("https://pbs.twimg.com/media/E_6-KvyVgAA0Zfe.jpg")</f>
        <v>https://pbs.twimg.com/media/E_6-KvyVgAA0Zfe.jpg</v>
      </c>
      <c r="W623" s="83">
        <v>44461.951643518521</v>
      </c>
      <c r="X623" s="89">
        <v>44461</v>
      </c>
      <c r="Y623" s="86" t="s">
        <v>3227</v>
      </c>
      <c r="Z623" s="84" t="str">
        <f>HYPERLINK("https://twitter.com/captainfaried/status/1440810731612487683")</f>
        <v>https://twitter.com/captainfaried/status/1440810731612487683</v>
      </c>
      <c r="AA623" s="81"/>
      <c r="AB623" s="81"/>
      <c r="AC623" s="86" t="s">
        <v>4689</v>
      </c>
      <c r="AD623" s="81"/>
      <c r="AE623" s="81" t="b">
        <v>0</v>
      </c>
      <c r="AF623" s="81">
        <v>0</v>
      </c>
      <c r="AG623" s="86" t="s">
        <v>6240</v>
      </c>
      <c r="AH623" s="81" t="b">
        <v>0</v>
      </c>
      <c r="AI623" s="81" t="s">
        <v>6479</v>
      </c>
      <c r="AJ623" s="81"/>
      <c r="AK623" s="86" t="s">
        <v>6240</v>
      </c>
      <c r="AL623" s="81" t="b">
        <v>0</v>
      </c>
      <c r="AM623" s="81">
        <v>71</v>
      </c>
      <c r="AN623" s="86" t="s">
        <v>5039</v>
      </c>
      <c r="AO623" s="86" t="s">
        <v>6503</v>
      </c>
      <c r="AP623" s="81" t="b">
        <v>0</v>
      </c>
      <c r="AQ623" s="86" t="s">
        <v>5039</v>
      </c>
      <c r="AR623" s="81" t="s">
        <v>179</v>
      </c>
      <c r="AS623" s="81">
        <v>0</v>
      </c>
      <c r="AT623" s="81">
        <v>0</v>
      </c>
      <c r="AU623" s="81"/>
      <c r="AV623" s="81"/>
      <c r="AW623" s="81"/>
      <c r="AX623" s="81"/>
      <c r="AY623" s="81"/>
      <c r="AZ623" s="81"/>
      <c r="BA623" s="81"/>
      <c r="BB623" s="81"/>
    </row>
    <row r="624" spans="1:54" x14ac:dyDescent="0.35">
      <c r="A624" s="66" t="s">
        <v>650</v>
      </c>
      <c r="B624" s="66" t="s">
        <v>928</v>
      </c>
      <c r="C624" s="67"/>
      <c r="D624" s="68"/>
      <c r="E624" s="69"/>
      <c r="F624" s="70"/>
      <c r="G624" s="67"/>
      <c r="H624" s="71"/>
      <c r="I624" s="72"/>
      <c r="J624" s="72"/>
      <c r="K624" s="36"/>
      <c r="L624" s="79"/>
      <c r="M624" s="79"/>
      <c r="N624" s="74"/>
      <c r="O624" s="81" t="s">
        <v>1532</v>
      </c>
      <c r="P624" s="83">
        <v>44461.964537037034</v>
      </c>
      <c r="Q624" s="81" t="s">
        <v>1781</v>
      </c>
      <c r="R624" s="81"/>
      <c r="S624" s="81"/>
      <c r="T624" s="86" t="s">
        <v>2681</v>
      </c>
      <c r="U624" s="84" t="str">
        <f>HYPERLINK("https://pbs.twimg.com/media/E_6-KvyVgAA0Zfe.jpg")</f>
        <v>https://pbs.twimg.com/media/E_6-KvyVgAA0Zfe.jpg</v>
      </c>
      <c r="V624" s="84" t="str">
        <f>HYPERLINK("https://pbs.twimg.com/media/E_6-KvyVgAA0Zfe.jpg")</f>
        <v>https://pbs.twimg.com/media/E_6-KvyVgAA0Zfe.jpg</v>
      </c>
      <c r="W624" s="83">
        <v>44461.964537037034</v>
      </c>
      <c r="X624" s="89">
        <v>44461</v>
      </c>
      <c r="Y624" s="86" t="s">
        <v>3228</v>
      </c>
      <c r="Z624" s="84" t="str">
        <f>HYPERLINK("https://twitter.com/sonnarutoluffy/status/1440815407464476675")</f>
        <v>https://twitter.com/sonnarutoluffy/status/1440815407464476675</v>
      </c>
      <c r="AA624" s="81"/>
      <c r="AB624" s="81"/>
      <c r="AC624" s="86" t="s">
        <v>4690</v>
      </c>
      <c r="AD624" s="81"/>
      <c r="AE624" s="81" t="b">
        <v>0</v>
      </c>
      <c r="AF624" s="81">
        <v>0</v>
      </c>
      <c r="AG624" s="86" t="s">
        <v>6240</v>
      </c>
      <c r="AH624" s="81" t="b">
        <v>0</v>
      </c>
      <c r="AI624" s="81" t="s">
        <v>6479</v>
      </c>
      <c r="AJ624" s="81"/>
      <c r="AK624" s="86" t="s">
        <v>6240</v>
      </c>
      <c r="AL624" s="81" t="b">
        <v>0</v>
      </c>
      <c r="AM624" s="81">
        <v>71</v>
      </c>
      <c r="AN624" s="86" t="s">
        <v>5039</v>
      </c>
      <c r="AO624" s="86" t="s">
        <v>6503</v>
      </c>
      <c r="AP624" s="81" t="b">
        <v>0</v>
      </c>
      <c r="AQ624" s="86" t="s">
        <v>5039</v>
      </c>
      <c r="AR624" s="81" t="s">
        <v>179</v>
      </c>
      <c r="AS624" s="81">
        <v>0</v>
      </c>
      <c r="AT624" s="81">
        <v>0</v>
      </c>
      <c r="AU624" s="81"/>
      <c r="AV624" s="81"/>
      <c r="AW624" s="81"/>
      <c r="AX624" s="81"/>
      <c r="AY624" s="81"/>
      <c r="AZ624" s="81"/>
      <c r="BA624" s="81"/>
      <c r="BB624" s="81"/>
    </row>
    <row r="625" spans="1:54" x14ac:dyDescent="0.35">
      <c r="A625" s="66" t="s">
        <v>651</v>
      </c>
      <c r="B625" s="66" t="s">
        <v>928</v>
      </c>
      <c r="C625" s="67"/>
      <c r="D625" s="68"/>
      <c r="E625" s="69"/>
      <c r="F625" s="70"/>
      <c r="G625" s="67"/>
      <c r="H625" s="71"/>
      <c r="I625" s="72"/>
      <c r="J625" s="72"/>
      <c r="K625" s="36"/>
      <c r="L625" s="79"/>
      <c r="M625" s="79"/>
      <c r="N625" s="74"/>
      <c r="O625" s="81" t="s">
        <v>1532</v>
      </c>
      <c r="P625" s="83">
        <v>44461.966249999998</v>
      </c>
      <c r="Q625" s="81" t="s">
        <v>1781</v>
      </c>
      <c r="R625" s="81"/>
      <c r="S625" s="81"/>
      <c r="T625" s="86" t="s">
        <v>2681</v>
      </c>
      <c r="U625" s="84" t="str">
        <f>HYPERLINK("https://pbs.twimg.com/media/E_6-KvyVgAA0Zfe.jpg")</f>
        <v>https://pbs.twimg.com/media/E_6-KvyVgAA0Zfe.jpg</v>
      </c>
      <c r="V625" s="84" t="str">
        <f>HYPERLINK("https://pbs.twimg.com/media/E_6-KvyVgAA0Zfe.jpg")</f>
        <v>https://pbs.twimg.com/media/E_6-KvyVgAA0Zfe.jpg</v>
      </c>
      <c r="W625" s="83">
        <v>44461.966249999998</v>
      </c>
      <c r="X625" s="89">
        <v>44461</v>
      </c>
      <c r="Y625" s="86" t="s">
        <v>3229</v>
      </c>
      <c r="Z625" s="84" t="str">
        <f>HYPERLINK("https://twitter.com/cindercells/status/1440816025943957505")</f>
        <v>https://twitter.com/cindercells/status/1440816025943957505</v>
      </c>
      <c r="AA625" s="81"/>
      <c r="AB625" s="81"/>
      <c r="AC625" s="86" t="s">
        <v>4691</v>
      </c>
      <c r="AD625" s="81"/>
      <c r="AE625" s="81" t="b">
        <v>0</v>
      </c>
      <c r="AF625" s="81">
        <v>0</v>
      </c>
      <c r="AG625" s="86" t="s">
        <v>6240</v>
      </c>
      <c r="AH625" s="81" t="b">
        <v>0</v>
      </c>
      <c r="AI625" s="81" t="s">
        <v>6479</v>
      </c>
      <c r="AJ625" s="81"/>
      <c r="AK625" s="86" t="s">
        <v>6240</v>
      </c>
      <c r="AL625" s="81" t="b">
        <v>0</v>
      </c>
      <c r="AM625" s="81">
        <v>71</v>
      </c>
      <c r="AN625" s="86" t="s">
        <v>5039</v>
      </c>
      <c r="AO625" s="86" t="s">
        <v>6505</v>
      </c>
      <c r="AP625" s="81" t="b">
        <v>0</v>
      </c>
      <c r="AQ625" s="86" t="s">
        <v>5039</v>
      </c>
      <c r="AR625" s="81" t="s">
        <v>179</v>
      </c>
      <c r="AS625" s="81">
        <v>0</v>
      </c>
      <c r="AT625" s="81">
        <v>0</v>
      </c>
      <c r="AU625" s="81"/>
      <c r="AV625" s="81"/>
      <c r="AW625" s="81"/>
      <c r="AX625" s="81"/>
      <c r="AY625" s="81"/>
      <c r="AZ625" s="81"/>
      <c r="BA625" s="81"/>
      <c r="BB625" s="81"/>
    </row>
    <row r="626" spans="1:54" x14ac:dyDescent="0.35">
      <c r="A626" s="66" t="s">
        <v>652</v>
      </c>
      <c r="B626" s="66" t="s">
        <v>928</v>
      </c>
      <c r="C626" s="67"/>
      <c r="D626" s="68"/>
      <c r="E626" s="69"/>
      <c r="F626" s="70"/>
      <c r="G626" s="67"/>
      <c r="H626" s="71"/>
      <c r="I626" s="72"/>
      <c r="J626" s="72"/>
      <c r="K626" s="36"/>
      <c r="L626" s="79"/>
      <c r="M626" s="79"/>
      <c r="N626" s="74"/>
      <c r="O626" s="81" t="s">
        <v>1532</v>
      </c>
      <c r="P626" s="83">
        <v>44461.968541666669</v>
      </c>
      <c r="Q626" s="81" t="s">
        <v>1781</v>
      </c>
      <c r="R626" s="81"/>
      <c r="S626" s="81"/>
      <c r="T626" s="86" t="s">
        <v>2681</v>
      </c>
      <c r="U626" s="84" t="str">
        <f>HYPERLINK("https://pbs.twimg.com/media/E_6-KvyVgAA0Zfe.jpg")</f>
        <v>https://pbs.twimg.com/media/E_6-KvyVgAA0Zfe.jpg</v>
      </c>
      <c r="V626" s="84" t="str">
        <f>HYPERLINK("https://pbs.twimg.com/media/E_6-KvyVgAA0Zfe.jpg")</f>
        <v>https://pbs.twimg.com/media/E_6-KvyVgAA0Zfe.jpg</v>
      </c>
      <c r="W626" s="83">
        <v>44461.968541666669</v>
      </c>
      <c r="X626" s="89">
        <v>44461</v>
      </c>
      <c r="Y626" s="86" t="s">
        <v>3230</v>
      </c>
      <c r="Z626" s="84" t="str">
        <f>HYPERLINK("https://twitter.com/pojhur/status/1440816856994963456")</f>
        <v>https://twitter.com/pojhur/status/1440816856994963456</v>
      </c>
      <c r="AA626" s="81"/>
      <c r="AB626" s="81"/>
      <c r="AC626" s="86" t="s">
        <v>4692</v>
      </c>
      <c r="AD626" s="81"/>
      <c r="AE626" s="81" t="b">
        <v>0</v>
      </c>
      <c r="AF626" s="81">
        <v>0</v>
      </c>
      <c r="AG626" s="86" t="s">
        <v>6240</v>
      </c>
      <c r="AH626" s="81" t="b">
        <v>0</v>
      </c>
      <c r="AI626" s="81" t="s">
        <v>6479</v>
      </c>
      <c r="AJ626" s="81"/>
      <c r="AK626" s="86" t="s">
        <v>6240</v>
      </c>
      <c r="AL626" s="81" t="b">
        <v>0</v>
      </c>
      <c r="AM626" s="81">
        <v>71</v>
      </c>
      <c r="AN626" s="86" t="s">
        <v>5039</v>
      </c>
      <c r="AO626" s="86" t="s">
        <v>6503</v>
      </c>
      <c r="AP626" s="81" t="b">
        <v>0</v>
      </c>
      <c r="AQ626" s="86" t="s">
        <v>5039</v>
      </c>
      <c r="AR626" s="81" t="s">
        <v>179</v>
      </c>
      <c r="AS626" s="81">
        <v>0</v>
      </c>
      <c r="AT626" s="81">
        <v>0</v>
      </c>
      <c r="AU626" s="81"/>
      <c r="AV626" s="81"/>
      <c r="AW626" s="81"/>
      <c r="AX626" s="81"/>
      <c r="AY626" s="81"/>
      <c r="AZ626" s="81"/>
      <c r="BA626" s="81"/>
      <c r="BB626" s="81"/>
    </row>
    <row r="627" spans="1:54" x14ac:dyDescent="0.35">
      <c r="A627" s="66" t="s">
        <v>653</v>
      </c>
      <c r="B627" s="66" t="s">
        <v>928</v>
      </c>
      <c r="C627" s="67"/>
      <c r="D627" s="68"/>
      <c r="E627" s="69"/>
      <c r="F627" s="70"/>
      <c r="G627" s="67"/>
      <c r="H627" s="71"/>
      <c r="I627" s="72"/>
      <c r="J627" s="72"/>
      <c r="K627" s="36"/>
      <c r="L627" s="79"/>
      <c r="M627" s="79"/>
      <c r="N627" s="74"/>
      <c r="O627" s="81" t="s">
        <v>1532</v>
      </c>
      <c r="P627" s="83">
        <v>44461.969166666669</v>
      </c>
      <c r="Q627" s="81" t="s">
        <v>1781</v>
      </c>
      <c r="R627" s="81"/>
      <c r="S627" s="81"/>
      <c r="T627" s="86" t="s">
        <v>2681</v>
      </c>
      <c r="U627" s="84" t="str">
        <f>HYPERLINK("https://pbs.twimg.com/media/E_6-KvyVgAA0Zfe.jpg")</f>
        <v>https://pbs.twimg.com/media/E_6-KvyVgAA0Zfe.jpg</v>
      </c>
      <c r="V627" s="84" t="str">
        <f>HYPERLINK("https://pbs.twimg.com/media/E_6-KvyVgAA0Zfe.jpg")</f>
        <v>https://pbs.twimg.com/media/E_6-KvyVgAA0Zfe.jpg</v>
      </c>
      <c r="W627" s="83">
        <v>44461.969166666669</v>
      </c>
      <c r="X627" s="89">
        <v>44461</v>
      </c>
      <c r="Y627" s="86" t="s">
        <v>3231</v>
      </c>
      <c r="Z627" s="84" t="str">
        <f>HYPERLINK("https://twitter.com/dawifezi2/status/1440817084376645633")</f>
        <v>https://twitter.com/dawifezi2/status/1440817084376645633</v>
      </c>
      <c r="AA627" s="81"/>
      <c r="AB627" s="81"/>
      <c r="AC627" s="86" t="s">
        <v>4693</v>
      </c>
      <c r="AD627" s="81"/>
      <c r="AE627" s="81" t="b">
        <v>0</v>
      </c>
      <c r="AF627" s="81">
        <v>0</v>
      </c>
      <c r="AG627" s="86" t="s">
        <v>6240</v>
      </c>
      <c r="AH627" s="81" t="b">
        <v>0</v>
      </c>
      <c r="AI627" s="81" t="s">
        <v>6479</v>
      </c>
      <c r="AJ627" s="81"/>
      <c r="AK627" s="86" t="s">
        <v>6240</v>
      </c>
      <c r="AL627" s="81" t="b">
        <v>0</v>
      </c>
      <c r="AM627" s="81">
        <v>71</v>
      </c>
      <c r="AN627" s="86" t="s">
        <v>5039</v>
      </c>
      <c r="AO627" s="86" t="s">
        <v>6503</v>
      </c>
      <c r="AP627" s="81" t="b">
        <v>0</v>
      </c>
      <c r="AQ627" s="86" t="s">
        <v>5039</v>
      </c>
      <c r="AR627" s="81" t="s">
        <v>179</v>
      </c>
      <c r="AS627" s="81">
        <v>0</v>
      </c>
      <c r="AT627" s="81">
        <v>0</v>
      </c>
      <c r="AU627" s="81"/>
      <c r="AV627" s="81"/>
      <c r="AW627" s="81"/>
      <c r="AX627" s="81"/>
      <c r="AY627" s="81"/>
      <c r="AZ627" s="81"/>
      <c r="BA627" s="81"/>
      <c r="BB627" s="81"/>
    </row>
    <row r="628" spans="1:54" x14ac:dyDescent="0.35">
      <c r="A628" s="66" t="s">
        <v>654</v>
      </c>
      <c r="B628" s="66" t="s">
        <v>654</v>
      </c>
      <c r="C628" s="67"/>
      <c r="D628" s="68"/>
      <c r="E628" s="69"/>
      <c r="F628" s="70"/>
      <c r="G628" s="67"/>
      <c r="H628" s="71"/>
      <c r="I628" s="72"/>
      <c r="J628" s="72"/>
      <c r="K628" s="36"/>
      <c r="L628" s="79"/>
      <c r="M628" s="79"/>
      <c r="N628" s="74"/>
      <c r="O628" s="81" t="s">
        <v>179</v>
      </c>
      <c r="P628" s="83">
        <v>44460.563587962963</v>
      </c>
      <c r="Q628" s="81" t="s">
        <v>1712</v>
      </c>
      <c r="R628" s="81"/>
      <c r="S628" s="81"/>
      <c r="T628" s="81"/>
      <c r="U628" s="84" t="str">
        <f>HYPERLINK("https://pbs.twimg.com/media/E_0AOQ-VIAM2UO2.jpg")</f>
        <v>https://pbs.twimg.com/media/E_0AOQ-VIAM2UO2.jpg</v>
      </c>
      <c r="V628" s="84" t="str">
        <f>HYPERLINK("https://pbs.twimg.com/media/E_0AOQ-VIAM2UO2.jpg")</f>
        <v>https://pbs.twimg.com/media/E_0AOQ-VIAM2UO2.jpg</v>
      </c>
      <c r="W628" s="83">
        <v>44460.563587962963</v>
      </c>
      <c r="X628" s="89">
        <v>44460</v>
      </c>
      <c r="Y628" s="86" t="s">
        <v>3232</v>
      </c>
      <c r="Z628" s="84" t="str">
        <f>HYPERLINK("https://twitter.com/andrifigfarm/status/1440307720297463811")</f>
        <v>https://twitter.com/andrifigfarm/status/1440307720297463811</v>
      </c>
      <c r="AA628" s="81"/>
      <c r="AB628" s="81"/>
      <c r="AC628" s="86" t="s">
        <v>4694</v>
      </c>
      <c r="AD628" s="81"/>
      <c r="AE628" s="81" t="b">
        <v>0</v>
      </c>
      <c r="AF628" s="81">
        <v>12</v>
      </c>
      <c r="AG628" s="86" t="s">
        <v>6240</v>
      </c>
      <c r="AH628" s="81" t="b">
        <v>0</v>
      </c>
      <c r="AI628" s="81" t="s">
        <v>6478</v>
      </c>
      <c r="AJ628" s="81"/>
      <c r="AK628" s="86" t="s">
        <v>6240</v>
      </c>
      <c r="AL628" s="81" t="b">
        <v>0</v>
      </c>
      <c r="AM628" s="81">
        <v>3</v>
      </c>
      <c r="AN628" s="86" t="s">
        <v>6240</v>
      </c>
      <c r="AO628" s="86" t="s">
        <v>6503</v>
      </c>
      <c r="AP628" s="81" t="b">
        <v>0</v>
      </c>
      <c r="AQ628" s="86" t="s">
        <v>4694</v>
      </c>
      <c r="AR628" s="81" t="s">
        <v>179</v>
      </c>
      <c r="AS628" s="81">
        <v>0</v>
      </c>
      <c r="AT628" s="81">
        <v>0</v>
      </c>
      <c r="AU628" s="81"/>
      <c r="AV628" s="81"/>
      <c r="AW628" s="81"/>
      <c r="AX628" s="81"/>
      <c r="AY628" s="81"/>
      <c r="AZ628" s="81"/>
      <c r="BA628" s="81"/>
      <c r="BB628" s="81"/>
    </row>
    <row r="629" spans="1:54" x14ac:dyDescent="0.35">
      <c r="A629" s="66" t="s">
        <v>655</v>
      </c>
      <c r="B629" s="66" t="s">
        <v>654</v>
      </c>
      <c r="C629" s="67"/>
      <c r="D629" s="68"/>
      <c r="E629" s="69"/>
      <c r="F629" s="70"/>
      <c r="G629" s="67"/>
      <c r="H629" s="71"/>
      <c r="I629" s="72"/>
      <c r="J629" s="72"/>
      <c r="K629" s="36"/>
      <c r="L629" s="79"/>
      <c r="M629" s="79"/>
      <c r="N629" s="74"/>
      <c r="O629" s="81" t="s">
        <v>1532</v>
      </c>
      <c r="P629" s="83">
        <v>44461.970520833333</v>
      </c>
      <c r="Q629" s="81" t="s">
        <v>1712</v>
      </c>
      <c r="R629" s="81"/>
      <c r="S629" s="81"/>
      <c r="T629" s="81"/>
      <c r="U629" s="84" t="str">
        <f>HYPERLINK("https://pbs.twimg.com/media/E_0AOQ-VIAM2UO2.jpg")</f>
        <v>https://pbs.twimg.com/media/E_0AOQ-VIAM2UO2.jpg</v>
      </c>
      <c r="V629" s="84" t="str">
        <f>HYPERLINK("https://pbs.twimg.com/media/E_0AOQ-VIAM2UO2.jpg")</f>
        <v>https://pbs.twimg.com/media/E_0AOQ-VIAM2UO2.jpg</v>
      </c>
      <c r="W629" s="83">
        <v>44461.970520833333</v>
      </c>
      <c r="X629" s="89">
        <v>44461</v>
      </c>
      <c r="Y629" s="86" t="s">
        <v>3233</v>
      </c>
      <c r="Z629" s="84" t="str">
        <f>HYPERLINK("https://twitter.com/_iansyah/status/1440817573231136768")</f>
        <v>https://twitter.com/_iansyah/status/1440817573231136768</v>
      </c>
      <c r="AA629" s="81"/>
      <c r="AB629" s="81"/>
      <c r="AC629" s="86" t="s">
        <v>4695</v>
      </c>
      <c r="AD629" s="81"/>
      <c r="AE629" s="81" t="b">
        <v>0</v>
      </c>
      <c r="AF629" s="81">
        <v>0</v>
      </c>
      <c r="AG629" s="86" t="s">
        <v>6240</v>
      </c>
      <c r="AH629" s="81" t="b">
        <v>0</v>
      </c>
      <c r="AI629" s="81" t="s">
        <v>6478</v>
      </c>
      <c r="AJ629" s="81"/>
      <c r="AK629" s="86" t="s">
        <v>6240</v>
      </c>
      <c r="AL629" s="81" t="b">
        <v>0</v>
      </c>
      <c r="AM629" s="81">
        <v>3</v>
      </c>
      <c r="AN629" s="86" t="s">
        <v>4694</v>
      </c>
      <c r="AO629" s="86" t="s">
        <v>6503</v>
      </c>
      <c r="AP629" s="81" t="b">
        <v>0</v>
      </c>
      <c r="AQ629" s="86" t="s">
        <v>4694</v>
      </c>
      <c r="AR629" s="81" t="s">
        <v>179</v>
      </c>
      <c r="AS629" s="81">
        <v>0</v>
      </c>
      <c r="AT629" s="81">
        <v>0</v>
      </c>
      <c r="AU629" s="81"/>
      <c r="AV629" s="81"/>
      <c r="AW629" s="81"/>
      <c r="AX629" s="81"/>
      <c r="AY629" s="81"/>
      <c r="AZ629" s="81"/>
      <c r="BA629" s="81"/>
      <c r="BB629" s="81"/>
    </row>
    <row r="630" spans="1:54" x14ac:dyDescent="0.35">
      <c r="A630" s="66" t="s">
        <v>656</v>
      </c>
      <c r="B630" s="66" t="s">
        <v>928</v>
      </c>
      <c r="C630" s="67"/>
      <c r="D630" s="68"/>
      <c r="E630" s="69"/>
      <c r="F630" s="70"/>
      <c r="G630" s="67"/>
      <c r="H630" s="71"/>
      <c r="I630" s="72"/>
      <c r="J630" s="72"/>
      <c r="K630" s="36"/>
      <c r="L630" s="79"/>
      <c r="M630" s="79"/>
      <c r="N630" s="74"/>
      <c r="O630" s="81" t="s">
        <v>1532</v>
      </c>
      <c r="P630" s="83">
        <v>44461.972581018519</v>
      </c>
      <c r="Q630" s="81" t="s">
        <v>1781</v>
      </c>
      <c r="R630" s="81"/>
      <c r="S630" s="81"/>
      <c r="T630" s="86" t="s">
        <v>2681</v>
      </c>
      <c r="U630" s="84" t="str">
        <f>HYPERLINK("https://pbs.twimg.com/media/E_6-KvyVgAA0Zfe.jpg")</f>
        <v>https://pbs.twimg.com/media/E_6-KvyVgAA0Zfe.jpg</v>
      </c>
      <c r="V630" s="84" t="str">
        <f>HYPERLINK("https://pbs.twimg.com/media/E_6-KvyVgAA0Zfe.jpg")</f>
        <v>https://pbs.twimg.com/media/E_6-KvyVgAA0Zfe.jpg</v>
      </c>
      <c r="W630" s="83">
        <v>44461.972581018519</v>
      </c>
      <c r="X630" s="89">
        <v>44461</v>
      </c>
      <c r="Y630" s="86" t="s">
        <v>3234</v>
      </c>
      <c r="Z630" s="84" t="str">
        <f>HYPERLINK("https://twitter.com/sosistdamn1/status/1440818320974835717")</f>
        <v>https://twitter.com/sosistdamn1/status/1440818320974835717</v>
      </c>
      <c r="AA630" s="81"/>
      <c r="AB630" s="81"/>
      <c r="AC630" s="86" t="s">
        <v>4696</v>
      </c>
      <c r="AD630" s="81"/>
      <c r="AE630" s="81" t="b">
        <v>0</v>
      </c>
      <c r="AF630" s="81">
        <v>0</v>
      </c>
      <c r="AG630" s="86" t="s">
        <v>6240</v>
      </c>
      <c r="AH630" s="81" t="b">
        <v>0</v>
      </c>
      <c r="AI630" s="81" t="s">
        <v>6479</v>
      </c>
      <c r="AJ630" s="81"/>
      <c r="AK630" s="86" t="s">
        <v>6240</v>
      </c>
      <c r="AL630" s="81" t="b">
        <v>0</v>
      </c>
      <c r="AM630" s="81">
        <v>71</v>
      </c>
      <c r="AN630" s="86" t="s">
        <v>5039</v>
      </c>
      <c r="AO630" s="86" t="s">
        <v>6505</v>
      </c>
      <c r="AP630" s="81" t="b">
        <v>0</v>
      </c>
      <c r="AQ630" s="86" t="s">
        <v>5039</v>
      </c>
      <c r="AR630" s="81" t="s">
        <v>179</v>
      </c>
      <c r="AS630" s="81">
        <v>0</v>
      </c>
      <c r="AT630" s="81">
        <v>0</v>
      </c>
      <c r="AU630" s="81"/>
      <c r="AV630" s="81"/>
      <c r="AW630" s="81"/>
      <c r="AX630" s="81"/>
      <c r="AY630" s="81"/>
      <c r="AZ630" s="81"/>
      <c r="BA630" s="81"/>
      <c r="BB630" s="81"/>
    </row>
    <row r="631" spans="1:54" x14ac:dyDescent="0.35">
      <c r="A631" s="66" t="s">
        <v>657</v>
      </c>
      <c r="B631" s="66" t="s">
        <v>928</v>
      </c>
      <c r="C631" s="67"/>
      <c r="D631" s="68"/>
      <c r="E631" s="69"/>
      <c r="F631" s="70"/>
      <c r="G631" s="67"/>
      <c r="H631" s="71"/>
      <c r="I631" s="72"/>
      <c r="J631" s="72"/>
      <c r="K631" s="36"/>
      <c r="L631" s="79"/>
      <c r="M631" s="79"/>
      <c r="N631" s="74"/>
      <c r="O631" s="81" t="s">
        <v>1532</v>
      </c>
      <c r="P631" s="83">
        <v>44461.990659722222</v>
      </c>
      <c r="Q631" s="81" t="s">
        <v>1781</v>
      </c>
      <c r="R631" s="81"/>
      <c r="S631" s="81"/>
      <c r="T631" s="86" t="s">
        <v>2681</v>
      </c>
      <c r="U631" s="84" t="str">
        <f>HYPERLINK("https://pbs.twimg.com/media/E_6-KvyVgAA0Zfe.jpg")</f>
        <v>https://pbs.twimg.com/media/E_6-KvyVgAA0Zfe.jpg</v>
      </c>
      <c r="V631" s="84" t="str">
        <f>HYPERLINK("https://pbs.twimg.com/media/E_6-KvyVgAA0Zfe.jpg")</f>
        <v>https://pbs.twimg.com/media/E_6-KvyVgAA0Zfe.jpg</v>
      </c>
      <c r="W631" s="83">
        <v>44461.990659722222</v>
      </c>
      <c r="X631" s="89">
        <v>44461</v>
      </c>
      <c r="Y631" s="86" t="s">
        <v>3235</v>
      </c>
      <c r="Z631" s="84" t="str">
        <f>HYPERLINK("https://twitter.com/titanjerami/status/1440824870950948869")</f>
        <v>https://twitter.com/titanjerami/status/1440824870950948869</v>
      </c>
      <c r="AA631" s="81"/>
      <c r="AB631" s="81"/>
      <c r="AC631" s="86" t="s">
        <v>4697</v>
      </c>
      <c r="AD631" s="81"/>
      <c r="AE631" s="81" t="b">
        <v>0</v>
      </c>
      <c r="AF631" s="81">
        <v>0</v>
      </c>
      <c r="AG631" s="86" t="s">
        <v>6240</v>
      </c>
      <c r="AH631" s="81" t="b">
        <v>0</v>
      </c>
      <c r="AI631" s="81" t="s">
        <v>6479</v>
      </c>
      <c r="AJ631" s="81"/>
      <c r="AK631" s="86" t="s">
        <v>6240</v>
      </c>
      <c r="AL631" s="81" t="b">
        <v>0</v>
      </c>
      <c r="AM631" s="81">
        <v>71</v>
      </c>
      <c r="AN631" s="86" t="s">
        <v>5039</v>
      </c>
      <c r="AO631" s="86" t="s">
        <v>6503</v>
      </c>
      <c r="AP631" s="81" t="b">
        <v>0</v>
      </c>
      <c r="AQ631" s="86" t="s">
        <v>5039</v>
      </c>
      <c r="AR631" s="81" t="s">
        <v>179</v>
      </c>
      <c r="AS631" s="81">
        <v>0</v>
      </c>
      <c r="AT631" s="81">
        <v>0</v>
      </c>
      <c r="AU631" s="81"/>
      <c r="AV631" s="81"/>
      <c r="AW631" s="81"/>
      <c r="AX631" s="81"/>
      <c r="AY631" s="81"/>
      <c r="AZ631" s="81"/>
      <c r="BA631" s="81"/>
      <c r="BB631" s="81"/>
    </row>
    <row r="632" spans="1:54" x14ac:dyDescent="0.35">
      <c r="A632" s="66" t="s">
        <v>658</v>
      </c>
      <c r="B632" s="66" t="s">
        <v>928</v>
      </c>
      <c r="C632" s="67"/>
      <c r="D632" s="68"/>
      <c r="E632" s="69"/>
      <c r="F632" s="70"/>
      <c r="G632" s="67"/>
      <c r="H632" s="71"/>
      <c r="I632" s="72"/>
      <c r="J632" s="72"/>
      <c r="K632" s="36"/>
      <c r="L632" s="79"/>
      <c r="M632" s="79"/>
      <c r="N632" s="74"/>
      <c r="O632" s="81" t="s">
        <v>1532</v>
      </c>
      <c r="P632" s="83">
        <v>44461.993518518517</v>
      </c>
      <c r="Q632" s="81" t="s">
        <v>1781</v>
      </c>
      <c r="R632" s="81"/>
      <c r="S632" s="81"/>
      <c r="T632" s="86" t="s">
        <v>2681</v>
      </c>
      <c r="U632" s="84" t="str">
        <f>HYPERLINK("https://pbs.twimg.com/media/E_6-KvyVgAA0Zfe.jpg")</f>
        <v>https://pbs.twimg.com/media/E_6-KvyVgAA0Zfe.jpg</v>
      </c>
      <c r="V632" s="84" t="str">
        <f>HYPERLINK("https://pbs.twimg.com/media/E_6-KvyVgAA0Zfe.jpg")</f>
        <v>https://pbs.twimg.com/media/E_6-KvyVgAA0Zfe.jpg</v>
      </c>
      <c r="W632" s="83">
        <v>44461.993518518517</v>
      </c>
      <c r="X632" s="89">
        <v>44461</v>
      </c>
      <c r="Y632" s="86" t="s">
        <v>3236</v>
      </c>
      <c r="Z632" s="84" t="str">
        <f>HYPERLINK("https://twitter.com/rian2290/status/1440825908462452748")</f>
        <v>https://twitter.com/rian2290/status/1440825908462452748</v>
      </c>
      <c r="AA632" s="81"/>
      <c r="AB632" s="81"/>
      <c r="AC632" s="86" t="s">
        <v>4698</v>
      </c>
      <c r="AD632" s="81"/>
      <c r="AE632" s="81" t="b">
        <v>0</v>
      </c>
      <c r="AF632" s="81">
        <v>0</v>
      </c>
      <c r="AG632" s="86" t="s">
        <v>6240</v>
      </c>
      <c r="AH632" s="81" t="b">
        <v>0</v>
      </c>
      <c r="AI632" s="81" t="s">
        <v>6479</v>
      </c>
      <c r="AJ632" s="81"/>
      <c r="AK632" s="86" t="s">
        <v>6240</v>
      </c>
      <c r="AL632" s="81" t="b">
        <v>0</v>
      </c>
      <c r="AM632" s="81">
        <v>71</v>
      </c>
      <c r="AN632" s="86" t="s">
        <v>5039</v>
      </c>
      <c r="AO632" s="86" t="s">
        <v>6503</v>
      </c>
      <c r="AP632" s="81" t="b">
        <v>0</v>
      </c>
      <c r="AQ632" s="86" t="s">
        <v>5039</v>
      </c>
      <c r="AR632" s="81" t="s">
        <v>179</v>
      </c>
      <c r="AS632" s="81">
        <v>0</v>
      </c>
      <c r="AT632" s="81">
        <v>0</v>
      </c>
      <c r="AU632" s="81"/>
      <c r="AV632" s="81"/>
      <c r="AW632" s="81"/>
      <c r="AX632" s="81"/>
      <c r="AY632" s="81"/>
      <c r="AZ632" s="81"/>
      <c r="BA632" s="81"/>
      <c r="BB632" s="81"/>
    </row>
    <row r="633" spans="1:54" x14ac:dyDescent="0.35">
      <c r="A633" s="66" t="s">
        <v>659</v>
      </c>
      <c r="B633" s="66" t="s">
        <v>928</v>
      </c>
      <c r="C633" s="67"/>
      <c r="D633" s="68"/>
      <c r="E633" s="69"/>
      <c r="F633" s="70"/>
      <c r="G633" s="67"/>
      <c r="H633" s="71"/>
      <c r="I633" s="72"/>
      <c r="J633" s="72"/>
      <c r="K633" s="36"/>
      <c r="L633" s="79"/>
      <c r="M633" s="79"/>
      <c r="N633" s="74"/>
      <c r="O633" s="81" t="s">
        <v>1532</v>
      </c>
      <c r="P633" s="83">
        <v>44461.993831018517</v>
      </c>
      <c r="Q633" s="81" t="s">
        <v>1781</v>
      </c>
      <c r="R633" s="81"/>
      <c r="S633" s="81"/>
      <c r="T633" s="86" t="s">
        <v>2681</v>
      </c>
      <c r="U633" s="84" t="str">
        <f>HYPERLINK("https://pbs.twimg.com/media/E_6-KvyVgAA0Zfe.jpg")</f>
        <v>https://pbs.twimg.com/media/E_6-KvyVgAA0Zfe.jpg</v>
      </c>
      <c r="V633" s="84" t="str">
        <f>HYPERLINK("https://pbs.twimg.com/media/E_6-KvyVgAA0Zfe.jpg")</f>
        <v>https://pbs.twimg.com/media/E_6-KvyVgAA0Zfe.jpg</v>
      </c>
      <c r="W633" s="83">
        <v>44461.993831018517</v>
      </c>
      <c r="X633" s="89">
        <v>44461</v>
      </c>
      <c r="Y633" s="86" t="s">
        <v>3237</v>
      </c>
      <c r="Z633" s="84" t="str">
        <f>HYPERLINK("https://twitter.com/ndhan_rom/status/1440826019879915525")</f>
        <v>https://twitter.com/ndhan_rom/status/1440826019879915525</v>
      </c>
      <c r="AA633" s="81"/>
      <c r="AB633" s="81"/>
      <c r="AC633" s="86" t="s">
        <v>4699</v>
      </c>
      <c r="AD633" s="81"/>
      <c r="AE633" s="81" t="b">
        <v>0</v>
      </c>
      <c r="AF633" s="81">
        <v>0</v>
      </c>
      <c r="AG633" s="86" t="s">
        <v>6240</v>
      </c>
      <c r="AH633" s="81" t="b">
        <v>0</v>
      </c>
      <c r="AI633" s="81" t="s">
        <v>6479</v>
      </c>
      <c r="AJ633" s="81"/>
      <c r="AK633" s="86" t="s">
        <v>6240</v>
      </c>
      <c r="AL633" s="81" t="b">
        <v>0</v>
      </c>
      <c r="AM633" s="81">
        <v>71</v>
      </c>
      <c r="AN633" s="86" t="s">
        <v>5039</v>
      </c>
      <c r="AO633" s="86" t="s">
        <v>6503</v>
      </c>
      <c r="AP633" s="81" t="b">
        <v>0</v>
      </c>
      <c r="AQ633" s="86" t="s">
        <v>5039</v>
      </c>
      <c r="AR633" s="81" t="s">
        <v>179</v>
      </c>
      <c r="AS633" s="81">
        <v>0</v>
      </c>
      <c r="AT633" s="81">
        <v>0</v>
      </c>
      <c r="AU633" s="81"/>
      <c r="AV633" s="81"/>
      <c r="AW633" s="81"/>
      <c r="AX633" s="81"/>
      <c r="AY633" s="81"/>
      <c r="AZ633" s="81"/>
      <c r="BA633" s="81"/>
      <c r="BB633" s="81"/>
    </row>
    <row r="634" spans="1:54" x14ac:dyDescent="0.35">
      <c r="A634" s="66" t="s">
        <v>660</v>
      </c>
      <c r="B634" s="66" t="s">
        <v>928</v>
      </c>
      <c r="C634" s="67"/>
      <c r="D634" s="68"/>
      <c r="E634" s="69"/>
      <c r="F634" s="70"/>
      <c r="G634" s="67"/>
      <c r="H634" s="71"/>
      <c r="I634" s="72"/>
      <c r="J634" s="72"/>
      <c r="K634" s="36"/>
      <c r="L634" s="79"/>
      <c r="M634" s="79"/>
      <c r="N634" s="74"/>
      <c r="O634" s="81" t="s">
        <v>1532</v>
      </c>
      <c r="P634" s="83">
        <v>44461.999409722222</v>
      </c>
      <c r="Q634" s="81" t="s">
        <v>1781</v>
      </c>
      <c r="R634" s="81"/>
      <c r="S634" s="81"/>
      <c r="T634" s="86" t="s">
        <v>2681</v>
      </c>
      <c r="U634" s="84" t="str">
        <f>HYPERLINK("https://pbs.twimg.com/media/E_6-KvyVgAA0Zfe.jpg")</f>
        <v>https://pbs.twimg.com/media/E_6-KvyVgAA0Zfe.jpg</v>
      </c>
      <c r="V634" s="84" t="str">
        <f>HYPERLINK("https://pbs.twimg.com/media/E_6-KvyVgAA0Zfe.jpg")</f>
        <v>https://pbs.twimg.com/media/E_6-KvyVgAA0Zfe.jpg</v>
      </c>
      <c r="W634" s="83">
        <v>44461.999409722222</v>
      </c>
      <c r="X634" s="89">
        <v>44461</v>
      </c>
      <c r="Y634" s="86" t="s">
        <v>3238</v>
      </c>
      <c r="Z634" s="84" t="str">
        <f>HYPERLINK("https://twitter.com/kharisma_juve/status/1440828041563807750")</f>
        <v>https://twitter.com/kharisma_juve/status/1440828041563807750</v>
      </c>
      <c r="AA634" s="81"/>
      <c r="AB634" s="81"/>
      <c r="AC634" s="86" t="s">
        <v>4700</v>
      </c>
      <c r="AD634" s="81"/>
      <c r="AE634" s="81" t="b">
        <v>0</v>
      </c>
      <c r="AF634" s="81">
        <v>0</v>
      </c>
      <c r="AG634" s="86" t="s">
        <v>6240</v>
      </c>
      <c r="AH634" s="81" t="b">
        <v>0</v>
      </c>
      <c r="AI634" s="81" t="s">
        <v>6479</v>
      </c>
      <c r="AJ634" s="81"/>
      <c r="AK634" s="86" t="s">
        <v>6240</v>
      </c>
      <c r="AL634" s="81" t="b">
        <v>0</v>
      </c>
      <c r="AM634" s="81">
        <v>71</v>
      </c>
      <c r="AN634" s="86" t="s">
        <v>5039</v>
      </c>
      <c r="AO634" s="86" t="s">
        <v>6503</v>
      </c>
      <c r="AP634" s="81" t="b">
        <v>0</v>
      </c>
      <c r="AQ634" s="86" t="s">
        <v>5039</v>
      </c>
      <c r="AR634" s="81" t="s">
        <v>179</v>
      </c>
      <c r="AS634" s="81">
        <v>0</v>
      </c>
      <c r="AT634" s="81">
        <v>0</v>
      </c>
      <c r="AU634" s="81"/>
      <c r="AV634" s="81"/>
      <c r="AW634" s="81"/>
      <c r="AX634" s="81"/>
      <c r="AY634" s="81"/>
      <c r="AZ634" s="81"/>
      <c r="BA634" s="81"/>
      <c r="BB634" s="81"/>
    </row>
    <row r="635" spans="1:54" x14ac:dyDescent="0.35">
      <c r="A635" s="66" t="s">
        <v>661</v>
      </c>
      <c r="B635" s="66" t="s">
        <v>928</v>
      </c>
      <c r="C635" s="67"/>
      <c r="D635" s="68"/>
      <c r="E635" s="69"/>
      <c r="F635" s="70"/>
      <c r="G635" s="67"/>
      <c r="H635" s="71"/>
      <c r="I635" s="72"/>
      <c r="J635" s="72"/>
      <c r="K635" s="36"/>
      <c r="L635" s="79"/>
      <c r="M635" s="79"/>
      <c r="N635" s="74"/>
      <c r="O635" s="81" t="s">
        <v>1532</v>
      </c>
      <c r="P635" s="83">
        <v>44462.006736111114</v>
      </c>
      <c r="Q635" s="81" t="s">
        <v>1781</v>
      </c>
      <c r="R635" s="81"/>
      <c r="S635" s="81"/>
      <c r="T635" s="86" t="s">
        <v>2681</v>
      </c>
      <c r="U635" s="84" t="str">
        <f>HYPERLINK("https://pbs.twimg.com/media/E_6-KvyVgAA0Zfe.jpg")</f>
        <v>https://pbs.twimg.com/media/E_6-KvyVgAA0Zfe.jpg</v>
      </c>
      <c r="V635" s="84" t="str">
        <f>HYPERLINK("https://pbs.twimg.com/media/E_6-KvyVgAA0Zfe.jpg")</f>
        <v>https://pbs.twimg.com/media/E_6-KvyVgAA0Zfe.jpg</v>
      </c>
      <c r="W635" s="83">
        <v>44462.006736111114</v>
      </c>
      <c r="X635" s="89">
        <v>44462</v>
      </c>
      <c r="Y635" s="86" t="s">
        <v>3239</v>
      </c>
      <c r="Z635" s="84" t="str">
        <f>HYPERLINK("https://twitter.com/sandiagnelli/status/1440830697606844421")</f>
        <v>https://twitter.com/sandiagnelli/status/1440830697606844421</v>
      </c>
      <c r="AA635" s="81"/>
      <c r="AB635" s="81"/>
      <c r="AC635" s="86" t="s">
        <v>4701</v>
      </c>
      <c r="AD635" s="81"/>
      <c r="AE635" s="81" t="b">
        <v>0</v>
      </c>
      <c r="AF635" s="81">
        <v>0</v>
      </c>
      <c r="AG635" s="86" t="s">
        <v>6240</v>
      </c>
      <c r="AH635" s="81" t="b">
        <v>0</v>
      </c>
      <c r="AI635" s="81" t="s">
        <v>6479</v>
      </c>
      <c r="AJ635" s="81"/>
      <c r="AK635" s="86" t="s">
        <v>6240</v>
      </c>
      <c r="AL635" s="81" t="b">
        <v>0</v>
      </c>
      <c r="AM635" s="81">
        <v>71</v>
      </c>
      <c r="AN635" s="86" t="s">
        <v>5039</v>
      </c>
      <c r="AO635" s="86" t="s">
        <v>6503</v>
      </c>
      <c r="AP635" s="81" t="b">
        <v>0</v>
      </c>
      <c r="AQ635" s="86" t="s">
        <v>5039</v>
      </c>
      <c r="AR635" s="81" t="s">
        <v>179</v>
      </c>
      <c r="AS635" s="81">
        <v>0</v>
      </c>
      <c r="AT635" s="81">
        <v>0</v>
      </c>
      <c r="AU635" s="81"/>
      <c r="AV635" s="81"/>
      <c r="AW635" s="81"/>
      <c r="AX635" s="81"/>
      <c r="AY635" s="81"/>
      <c r="AZ635" s="81"/>
      <c r="BA635" s="81"/>
      <c r="BB635" s="81"/>
    </row>
    <row r="636" spans="1:54" x14ac:dyDescent="0.35">
      <c r="A636" s="66" t="s">
        <v>662</v>
      </c>
      <c r="B636" s="66" t="s">
        <v>928</v>
      </c>
      <c r="C636" s="67"/>
      <c r="D636" s="68"/>
      <c r="E636" s="69"/>
      <c r="F636" s="70"/>
      <c r="G636" s="67"/>
      <c r="H636" s="71"/>
      <c r="I636" s="72"/>
      <c r="J636" s="72"/>
      <c r="K636" s="36"/>
      <c r="L636" s="79"/>
      <c r="M636" s="79"/>
      <c r="N636" s="74"/>
      <c r="O636" s="81" t="s">
        <v>1532</v>
      </c>
      <c r="P636" s="83">
        <v>44462.010185185187</v>
      </c>
      <c r="Q636" s="81" t="s">
        <v>1781</v>
      </c>
      <c r="R636" s="81"/>
      <c r="S636" s="81"/>
      <c r="T636" s="86" t="s">
        <v>2681</v>
      </c>
      <c r="U636" s="84" t="str">
        <f>HYPERLINK("https://pbs.twimg.com/media/E_6-KvyVgAA0Zfe.jpg")</f>
        <v>https://pbs.twimg.com/media/E_6-KvyVgAA0Zfe.jpg</v>
      </c>
      <c r="V636" s="84" t="str">
        <f>HYPERLINK("https://pbs.twimg.com/media/E_6-KvyVgAA0Zfe.jpg")</f>
        <v>https://pbs.twimg.com/media/E_6-KvyVgAA0Zfe.jpg</v>
      </c>
      <c r="W636" s="83">
        <v>44462.010185185187</v>
      </c>
      <c r="X636" s="89">
        <v>44462</v>
      </c>
      <c r="Y636" s="86" t="s">
        <v>3240</v>
      </c>
      <c r="Z636" s="84" t="str">
        <f>HYPERLINK("https://twitter.com/hcnaramas_/status/1440831948226654211")</f>
        <v>https://twitter.com/hcnaramas_/status/1440831948226654211</v>
      </c>
      <c r="AA636" s="81"/>
      <c r="AB636" s="81"/>
      <c r="AC636" s="86" t="s">
        <v>4702</v>
      </c>
      <c r="AD636" s="81"/>
      <c r="AE636" s="81" t="b">
        <v>0</v>
      </c>
      <c r="AF636" s="81">
        <v>0</v>
      </c>
      <c r="AG636" s="86" t="s">
        <v>6240</v>
      </c>
      <c r="AH636" s="81" t="b">
        <v>0</v>
      </c>
      <c r="AI636" s="81" t="s">
        <v>6479</v>
      </c>
      <c r="AJ636" s="81"/>
      <c r="AK636" s="86" t="s">
        <v>6240</v>
      </c>
      <c r="AL636" s="81" t="b">
        <v>0</v>
      </c>
      <c r="AM636" s="81">
        <v>71</v>
      </c>
      <c r="AN636" s="86" t="s">
        <v>5039</v>
      </c>
      <c r="AO636" s="86" t="s">
        <v>6503</v>
      </c>
      <c r="AP636" s="81" t="b">
        <v>0</v>
      </c>
      <c r="AQ636" s="86" t="s">
        <v>5039</v>
      </c>
      <c r="AR636" s="81" t="s">
        <v>179</v>
      </c>
      <c r="AS636" s="81">
        <v>0</v>
      </c>
      <c r="AT636" s="81">
        <v>0</v>
      </c>
      <c r="AU636" s="81"/>
      <c r="AV636" s="81"/>
      <c r="AW636" s="81"/>
      <c r="AX636" s="81"/>
      <c r="AY636" s="81"/>
      <c r="AZ636" s="81"/>
      <c r="BA636" s="81"/>
      <c r="BB636" s="81"/>
    </row>
    <row r="637" spans="1:54" x14ac:dyDescent="0.35">
      <c r="A637" s="66" t="s">
        <v>663</v>
      </c>
      <c r="B637" s="66" t="s">
        <v>928</v>
      </c>
      <c r="C637" s="67"/>
      <c r="D637" s="68"/>
      <c r="E637" s="69"/>
      <c r="F637" s="70"/>
      <c r="G637" s="67"/>
      <c r="H637" s="71"/>
      <c r="I637" s="72"/>
      <c r="J637" s="72"/>
      <c r="K637" s="36"/>
      <c r="L637" s="79"/>
      <c r="M637" s="79"/>
      <c r="N637" s="74"/>
      <c r="O637" s="81" t="s">
        <v>1532</v>
      </c>
      <c r="P637" s="83">
        <v>44462.010752314818</v>
      </c>
      <c r="Q637" s="81" t="s">
        <v>1781</v>
      </c>
      <c r="R637" s="81"/>
      <c r="S637" s="81"/>
      <c r="T637" s="86" t="s">
        <v>2681</v>
      </c>
      <c r="U637" s="84" t="str">
        <f>HYPERLINK("https://pbs.twimg.com/media/E_6-KvyVgAA0Zfe.jpg")</f>
        <v>https://pbs.twimg.com/media/E_6-KvyVgAA0Zfe.jpg</v>
      </c>
      <c r="V637" s="84" t="str">
        <f>HYPERLINK("https://pbs.twimg.com/media/E_6-KvyVgAA0Zfe.jpg")</f>
        <v>https://pbs.twimg.com/media/E_6-KvyVgAA0Zfe.jpg</v>
      </c>
      <c r="W637" s="83">
        <v>44462.010752314818</v>
      </c>
      <c r="X637" s="89">
        <v>44462</v>
      </c>
      <c r="Y637" s="86" t="s">
        <v>3241</v>
      </c>
      <c r="Z637" s="84" t="str">
        <f>HYPERLINK("https://twitter.com/danuarya_p/status/1440832155274276864")</f>
        <v>https://twitter.com/danuarya_p/status/1440832155274276864</v>
      </c>
      <c r="AA637" s="81"/>
      <c r="AB637" s="81"/>
      <c r="AC637" s="86" t="s">
        <v>4703</v>
      </c>
      <c r="AD637" s="81"/>
      <c r="AE637" s="81" t="b">
        <v>0</v>
      </c>
      <c r="AF637" s="81">
        <v>0</v>
      </c>
      <c r="AG637" s="86" t="s">
        <v>6240</v>
      </c>
      <c r="AH637" s="81" t="b">
        <v>0</v>
      </c>
      <c r="AI637" s="81" t="s">
        <v>6479</v>
      </c>
      <c r="AJ637" s="81"/>
      <c r="AK637" s="86" t="s">
        <v>6240</v>
      </c>
      <c r="AL637" s="81" t="b">
        <v>0</v>
      </c>
      <c r="AM637" s="81">
        <v>71</v>
      </c>
      <c r="AN637" s="86" t="s">
        <v>5039</v>
      </c>
      <c r="AO637" s="86" t="s">
        <v>6503</v>
      </c>
      <c r="AP637" s="81" t="b">
        <v>0</v>
      </c>
      <c r="AQ637" s="86" t="s">
        <v>5039</v>
      </c>
      <c r="AR637" s="81" t="s">
        <v>179</v>
      </c>
      <c r="AS637" s="81">
        <v>0</v>
      </c>
      <c r="AT637" s="81">
        <v>0</v>
      </c>
      <c r="AU637" s="81"/>
      <c r="AV637" s="81"/>
      <c r="AW637" s="81"/>
      <c r="AX637" s="81"/>
      <c r="AY637" s="81"/>
      <c r="AZ637" s="81"/>
      <c r="BA637" s="81"/>
      <c r="BB637" s="81"/>
    </row>
    <row r="638" spans="1:54" x14ac:dyDescent="0.35">
      <c r="A638" s="66" t="s">
        <v>664</v>
      </c>
      <c r="B638" s="66" t="s">
        <v>928</v>
      </c>
      <c r="C638" s="67"/>
      <c r="D638" s="68"/>
      <c r="E638" s="69"/>
      <c r="F638" s="70"/>
      <c r="G638" s="67"/>
      <c r="H638" s="71"/>
      <c r="I638" s="72"/>
      <c r="J638" s="72"/>
      <c r="K638" s="36"/>
      <c r="L638" s="79"/>
      <c r="M638" s="79"/>
      <c r="N638" s="74"/>
      <c r="O638" s="81" t="s">
        <v>1532</v>
      </c>
      <c r="P638" s="83">
        <v>44462.011099537034</v>
      </c>
      <c r="Q638" s="81" t="s">
        <v>1781</v>
      </c>
      <c r="R638" s="81"/>
      <c r="S638" s="81"/>
      <c r="T638" s="86" t="s">
        <v>2681</v>
      </c>
      <c r="U638" s="84" t="str">
        <f>HYPERLINK("https://pbs.twimg.com/media/E_6-KvyVgAA0Zfe.jpg")</f>
        <v>https://pbs.twimg.com/media/E_6-KvyVgAA0Zfe.jpg</v>
      </c>
      <c r="V638" s="84" t="str">
        <f>HYPERLINK("https://pbs.twimg.com/media/E_6-KvyVgAA0Zfe.jpg")</f>
        <v>https://pbs.twimg.com/media/E_6-KvyVgAA0Zfe.jpg</v>
      </c>
      <c r="W638" s="83">
        <v>44462.011099537034</v>
      </c>
      <c r="X638" s="89">
        <v>44462</v>
      </c>
      <c r="Y638" s="86" t="s">
        <v>3242</v>
      </c>
      <c r="Z638" s="84" t="str">
        <f>HYPERLINK("https://twitter.com/mfajriyansyah/status/1440832279736061953")</f>
        <v>https://twitter.com/mfajriyansyah/status/1440832279736061953</v>
      </c>
      <c r="AA638" s="81"/>
      <c r="AB638" s="81"/>
      <c r="AC638" s="86" t="s">
        <v>4704</v>
      </c>
      <c r="AD638" s="81"/>
      <c r="AE638" s="81" t="b">
        <v>0</v>
      </c>
      <c r="AF638" s="81">
        <v>0</v>
      </c>
      <c r="AG638" s="86" t="s">
        <v>6240</v>
      </c>
      <c r="AH638" s="81" t="b">
        <v>0</v>
      </c>
      <c r="AI638" s="81" t="s">
        <v>6479</v>
      </c>
      <c r="AJ638" s="81"/>
      <c r="AK638" s="86" t="s">
        <v>6240</v>
      </c>
      <c r="AL638" s="81" t="b">
        <v>0</v>
      </c>
      <c r="AM638" s="81">
        <v>71</v>
      </c>
      <c r="AN638" s="86" t="s">
        <v>5039</v>
      </c>
      <c r="AO638" s="86" t="s">
        <v>6503</v>
      </c>
      <c r="AP638" s="81" t="b">
        <v>0</v>
      </c>
      <c r="AQ638" s="86" t="s">
        <v>5039</v>
      </c>
      <c r="AR638" s="81" t="s">
        <v>179</v>
      </c>
      <c r="AS638" s="81">
        <v>0</v>
      </c>
      <c r="AT638" s="81">
        <v>0</v>
      </c>
      <c r="AU638" s="81"/>
      <c r="AV638" s="81"/>
      <c r="AW638" s="81"/>
      <c r="AX638" s="81"/>
      <c r="AY638" s="81"/>
      <c r="AZ638" s="81"/>
      <c r="BA638" s="81"/>
      <c r="BB638" s="81"/>
    </row>
    <row r="639" spans="1:54" x14ac:dyDescent="0.35">
      <c r="A639" s="66" t="s">
        <v>665</v>
      </c>
      <c r="B639" s="66" t="s">
        <v>928</v>
      </c>
      <c r="C639" s="67"/>
      <c r="D639" s="68"/>
      <c r="E639" s="69"/>
      <c r="F639" s="70"/>
      <c r="G639" s="67"/>
      <c r="H639" s="71"/>
      <c r="I639" s="72"/>
      <c r="J639" s="72"/>
      <c r="K639" s="36"/>
      <c r="L639" s="79"/>
      <c r="M639" s="79"/>
      <c r="N639" s="74"/>
      <c r="O639" s="81" t="s">
        <v>1532</v>
      </c>
      <c r="P639" s="83">
        <v>44462.011817129627</v>
      </c>
      <c r="Q639" s="81" t="s">
        <v>1781</v>
      </c>
      <c r="R639" s="81"/>
      <c r="S639" s="81"/>
      <c r="T639" s="86" t="s">
        <v>2681</v>
      </c>
      <c r="U639" s="84" t="str">
        <f>HYPERLINK("https://pbs.twimg.com/media/E_6-KvyVgAA0Zfe.jpg")</f>
        <v>https://pbs.twimg.com/media/E_6-KvyVgAA0Zfe.jpg</v>
      </c>
      <c r="V639" s="84" t="str">
        <f>HYPERLINK("https://pbs.twimg.com/media/E_6-KvyVgAA0Zfe.jpg")</f>
        <v>https://pbs.twimg.com/media/E_6-KvyVgAA0Zfe.jpg</v>
      </c>
      <c r="W639" s="83">
        <v>44462.011817129627</v>
      </c>
      <c r="X639" s="89">
        <v>44462</v>
      </c>
      <c r="Y639" s="86" t="s">
        <v>3243</v>
      </c>
      <c r="Z639" s="84" t="str">
        <f>HYPERLINK("https://twitter.com/__elbeh/status/1440832539757727745")</f>
        <v>https://twitter.com/__elbeh/status/1440832539757727745</v>
      </c>
      <c r="AA639" s="81"/>
      <c r="AB639" s="81"/>
      <c r="AC639" s="86" t="s">
        <v>4705</v>
      </c>
      <c r="AD639" s="81"/>
      <c r="AE639" s="81" t="b">
        <v>0</v>
      </c>
      <c r="AF639" s="81">
        <v>0</v>
      </c>
      <c r="AG639" s="86" t="s">
        <v>6240</v>
      </c>
      <c r="AH639" s="81" t="b">
        <v>0</v>
      </c>
      <c r="AI639" s="81" t="s">
        <v>6479</v>
      </c>
      <c r="AJ639" s="81"/>
      <c r="AK639" s="86" t="s">
        <v>6240</v>
      </c>
      <c r="AL639" s="81" t="b">
        <v>0</v>
      </c>
      <c r="AM639" s="81">
        <v>71</v>
      </c>
      <c r="AN639" s="86" t="s">
        <v>5039</v>
      </c>
      <c r="AO639" s="86" t="s">
        <v>6507</v>
      </c>
      <c r="AP639" s="81" t="b">
        <v>0</v>
      </c>
      <c r="AQ639" s="86" t="s">
        <v>5039</v>
      </c>
      <c r="AR639" s="81" t="s">
        <v>179</v>
      </c>
      <c r="AS639" s="81">
        <v>0</v>
      </c>
      <c r="AT639" s="81">
        <v>0</v>
      </c>
      <c r="AU639" s="81"/>
      <c r="AV639" s="81"/>
      <c r="AW639" s="81"/>
      <c r="AX639" s="81"/>
      <c r="AY639" s="81"/>
      <c r="AZ639" s="81"/>
      <c r="BA639" s="81"/>
      <c r="BB639" s="81"/>
    </row>
    <row r="640" spans="1:54" x14ac:dyDescent="0.35">
      <c r="A640" s="66" t="s">
        <v>666</v>
      </c>
      <c r="B640" s="66" t="s">
        <v>928</v>
      </c>
      <c r="C640" s="67"/>
      <c r="D640" s="68"/>
      <c r="E640" s="69"/>
      <c r="F640" s="70"/>
      <c r="G640" s="67"/>
      <c r="H640" s="71"/>
      <c r="I640" s="72"/>
      <c r="J640" s="72"/>
      <c r="K640" s="36"/>
      <c r="L640" s="79"/>
      <c r="M640" s="79"/>
      <c r="N640" s="74"/>
      <c r="O640" s="81" t="s">
        <v>1532</v>
      </c>
      <c r="P640" s="83">
        <v>44462.016851851855</v>
      </c>
      <c r="Q640" s="81" t="s">
        <v>1781</v>
      </c>
      <c r="R640" s="81"/>
      <c r="S640" s="81"/>
      <c r="T640" s="86" t="s">
        <v>2681</v>
      </c>
      <c r="U640" s="84" t="str">
        <f>HYPERLINK("https://pbs.twimg.com/media/E_6-KvyVgAA0Zfe.jpg")</f>
        <v>https://pbs.twimg.com/media/E_6-KvyVgAA0Zfe.jpg</v>
      </c>
      <c r="V640" s="84" t="str">
        <f>HYPERLINK("https://pbs.twimg.com/media/E_6-KvyVgAA0Zfe.jpg")</f>
        <v>https://pbs.twimg.com/media/E_6-KvyVgAA0Zfe.jpg</v>
      </c>
      <c r="W640" s="83">
        <v>44462.016851851855</v>
      </c>
      <c r="X640" s="89">
        <v>44462</v>
      </c>
      <c r="Y640" s="86" t="s">
        <v>3244</v>
      </c>
      <c r="Z640" s="84" t="str">
        <f>HYPERLINK("https://twitter.com/yourbabetonight/status/1440834365815017473")</f>
        <v>https://twitter.com/yourbabetonight/status/1440834365815017473</v>
      </c>
      <c r="AA640" s="81"/>
      <c r="AB640" s="81"/>
      <c r="AC640" s="86" t="s">
        <v>4706</v>
      </c>
      <c r="AD640" s="81"/>
      <c r="AE640" s="81" t="b">
        <v>0</v>
      </c>
      <c r="AF640" s="81">
        <v>0</v>
      </c>
      <c r="AG640" s="86" t="s">
        <v>6240</v>
      </c>
      <c r="AH640" s="81" t="b">
        <v>0</v>
      </c>
      <c r="AI640" s="81" t="s">
        <v>6479</v>
      </c>
      <c r="AJ640" s="81"/>
      <c r="AK640" s="86" t="s">
        <v>6240</v>
      </c>
      <c r="AL640" s="81" t="b">
        <v>0</v>
      </c>
      <c r="AM640" s="81">
        <v>71</v>
      </c>
      <c r="AN640" s="86" t="s">
        <v>5039</v>
      </c>
      <c r="AO640" s="86" t="s">
        <v>6503</v>
      </c>
      <c r="AP640" s="81" t="b">
        <v>0</v>
      </c>
      <c r="AQ640" s="86" t="s">
        <v>5039</v>
      </c>
      <c r="AR640" s="81" t="s">
        <v>179</v>
      </c>
      <c r="AS640" s="81">
        <v>0</v>
      </c>
      <c r="AT640" s="81">
        <v>0</v>
      </c>
      <c r="AU640" s="81"/>
      <c r="AV640" s="81"/>
      <c r="AW640" s="81"/>
      <c r="AX640" s="81"/>
      <c r="AY640" s="81"/>
      <c r="AZ640" s="81"/>
      <c r="BA640" s="81"/>
      <c r="BB640" s="81"/>
    </row>
    <row r="641" spans="1:54" x14ac:dyDescent="0.35">
      <c r="A641" s="66" t="s">
        <v>667</v>
      </c>
      <c r="B641" s="66" t="s">
        <v>667</v>
      </c>
      <c r="C641" s="67"/>
      <c r="D641" s="68"/>
      <c r="E641" s="69"/>
      <c r="F641" s="70"/>
      <c r="G641" s="67"/>
      <c r="H641" s="71"/>
      <c r="I641" s="72"/>
      <c r="J641" s="72"/>
      <c r="K641" s="36"/>
      <c r="L641" s="79"/>
      <c r="M641" s="79"/>
      <c r="N641" s="74"/>
      <c r="O641" s="81" t="s">
        <v>179</v>
      </c>
      <c r="P641" s="83">
        <v>44462.018460648149</v>
      </c>
      <c r="Q641" s="81" t="s">
        <v>1784</v>
      </c>
      <c r="R641" s="81"/>
      <c r="S641" s="81"/>
      <c r="T641" s="81"/>
      <c r="U641" s="81"/>
      <c r="V641" s="84" t="str">
        <f>HYPERLINK("https://pbs.twimg.com/profile_images/1437943571877826563/b68ib-IB_normal.jpg")</f>
        <v>https://pbs.twimg.com/profile_images/1437943571877826563/b68ib-IB_normal.jpg</v>
      </c>
      <c r="W641" s="83">
        <v>44462.018460648149</v>
      </c>
      <c r="X641" s="89">
        <v>44462</v>
      </c>
      <c r="Y641" s="86" t="s">
        <v>3245</v>
      </c>
      <c r="Z641" s="84" t="str">
        <f>HYPERLINK("https://twitter.com/25yuyun/status/1440834947380432896")</f>
        <v>https://twitter.com/25yuyun/status/1440834947380432896</v>
      </c>
      <c r="AA641" s="81"/>
      <c r="AB641" s="81"/>
      <c r="AC641" s="86" t="s">
        <v>4707</v>
      </c>
      <c r="AD641" s="81"/>
      <c r="AE641" s="81" t="b">
        <v>0</v>
      </c>
      <c r="AF641" s="81">
        <v>14</v>
      </c>
      <c r="AG641" s="86" t="s">
        <v>6240</v>
      </c>
      <c r="AH641" s="81" t="b">
        <v>0</v>
      </c>
      <c r="AI641" s="81" t="s">
        <v>6478</v>
      </c>
      <c r="AJ641" s="81"/>
      <c r="AK641" s="86" t="s">
        <v>6240</v>
      </c>
      <c r="AL641" s="81" t="b">
        <v>0</v>
      </c>
      <c r="AM641" s="81">
        <v>0</v>
      </c>
      <c r="AN641" s="86" t="s">
        <v>6240</v>
      </c>
      <c r="AO641" s="86" t="s">
        <v>6507</v>
      </c>
      <c r="AP641" s="81" t="b">
        <v>0</v>
      </c>
      <c r="AQ641" s="86" t="s">
        <v>4707</v>
      </c>
      <c r="AR641" s="81" t="s">
        <v>179</v>
      </c>
      <c r="AS641" s="81">
        <v>0</v>
      </c>
      <c r="AT641" s="81">
        <v>0</v>
      </c>
      <c r="AU641" s="81"/>
      <c r="AV641" s="81"/>
      <c r="AW641" s="81"/>
      <c r="AX641" s="81"/>
      <c r="AY641" s="81"/>
      <c r="AZ641" s="81"/>
      <c r="BA641" s="81"/>
      <c r="BB641" s="81"/>
    </row>
    <row r="642" spans="1:54" x14ac:dyDescent="0.35">
      <c r="A642" s="66" t="s">
        <v>668</v>
      </c>
      <c r="B642" s="66" t="s">
        <v>928</v>
      </c>
      <c r="C642" s="67"/>
      <c r="D642" s="68"/>
      <c r="E642" s="69"/>
      <c r="F642" s="70"/>
      <c r="G642" s="67"/>
      <c r="H642" s="71"/>
      <c r="I642" s="72"/>
      <c r="J642" s="72"/>
      <c r="K642" s="36"/>
      <c r="L642" s="79"/>
      <c r="M642" s="79"/>
      <c r="N642" s="74"/>
      <c r="O642" s="81" t="s">
        <v>1532</v>
      </c>
      <c r="P642" s="83">
        <v>44462.027465277781</v>
      </c>
      <c r="Q642" s="81" t="s">
        <v>1781</v>
      </c>
      <c r="R642" s="81"/>
      <c r="S642" s="81"/>
      <c r="T642" s="86" t="s">
        <v>2681</v>
      </c>
      <c r="U642" s="84" t="str">
        <f>HYPERLINK("https://pbs.twimg.com/media/E_6-KvyVgAA0Zfe.jpg")</f>
        <v>https://pbs.twimg.com/media/E_6-KvyVgAA0Zfe.jpg</v>
      </c>
      <c r="V642" s="84" t="str">
        <f>HYPERLINK("https://pbs.twimg.com/media/E_6-KvyVgAA0Zfe.jpg")</f>
        <v>https://pbs.twimg.com/media/E_6-KvyVgAA0Zfe.jpg</v>
      </c>
      <c r="W642" s="83">
        <v>44462.027465277781</v>
      </c>
      <c r="X642" s="89">
        <v>44462</v>
      </c>
      <c r="Y642" s="86" t="s">
        <v>3246</v>
      </c>
      <c r="Z642" s="84" t="str">
        <f>HYPERLINK("https://twitter.com/gandalah/status/1440838208820944900")</f>
        <v>https://twitter.com/gandalah/status/1440838208820944900</v>
      </c>
      <c r="AA642" s="81"/>
      <c r="AB642" s="81"/>
      <c r="AC642" s="86" t="s">
        <v>4708</v>
      </c>
      <c r="AD642" s="81"/>
      <c r="AE642" s="81" t="b">
        <v>0</v>
      </c>
      <c r="AF642" s="81">
        <v>0</v>
      </c>
      <c r="AG642" s="86" t="s">
        <v>6240</v>
      </c>
      <c r="AH642" s="81" t="b">
        <v>0</v>
      </c>
      <c r="AI642" s="81" t="s">
        <v>6479</v>
      </c>
      <c r="AJ642" s="81"/>
      <c r="AK642" s="86" t="s">
        <v>6240</v>
      </c>
      <c r="AL642" s="81" t="b">
        <v>0</v>
      </c>
      <c r="AM642" s="81">
        <v>71</v>
      </c>
      <c r="AN642" s="86" t="s">
        <v>5039</v>
      </c>
      <c r="AO642" s="86" t="s">
        <v>6505</v>
      </c>
      <c r="AP642" s="81" t="b">
        <v>0</v>
      </c>
      <c r="AQ642" s="86" t="s">
        <v>5039</v>
      </c>
      <c r="AR642" s="81" t="s">
        <v>179</v>
      </c>
      <c r="AS642" s="81">
        <v>0</v>
      </c>
      <c r="AT642" s="81">
        <v>0</v>
      </c>
      <c r="AU642" s="81"/>
      <c r="AV642" s="81"/>
      <c r="AW642" s="81"/>
      <c r="AX642" s="81"/>
      <c r="AY642" s="81"/>
      <c r="AZ642" s="81"/>
      <c r="BA642" s="81"/>
      <c r="BB642" s="81"/>
    </row>
    <row r="643" spans="1:54" x14ac:dyDescent="0.35">
      <c r="A643" s="66" t="s">
        <v>669</v>
      </c>
      <c r="B643" s="66" t="s">
        <v>928</v>
      </c>
      <c r="C643" s="67"/>
      <c r="D643" s="68"/>
      <c r="E643" s="69"/>
      <c r="F643" s="70"/>
      <c r="G643" s="67"/>
      <c r="H643" s="71"/>
      <c r="I643" s="72"/>
      <c r="J643" s="72"/>
      <c r="K643" s="36"/>
      <c r="L643" s="79"/>
      <c r="M643" s="79"/>
      <c r="N643" s="74"/>
      <c r="O643" s="81" t="s">
        <v>1532</v>
      </c>
      <c r="P643" s="83">
        <v>44462.033564814818</v>
      </c>
      <c r="Q643" s="81" t="s">
        <v>1781</v>
      </c>
      <c r="R643" s="81"/>
      <c r="S643" s="81"/>
      <c r="T643" s="86" t="s">
        <v>2681</v>
      </c>
      <c r="U643" s="84" t="str">
        <f>HYPERLINK("https://pbs.twimg.com/media/E_6-KvyVgAA0Zfe.jpg")</f>
        <v>https://pbs.twimg.com/media/E_6-KvyVgAA0Zfe.jpg</v>
      </c>
      <c r="V643" s="84" t="str">
        <f>HYPERLINK("https://pbs.twimg.com/media/E_6-KvyVgAA0Zfe.jpg")</f>
        <v>https://pbs.twimg.com/media/E_6-KvyVgAA0Zfe.jpg</v>
      </c>
      <c r="W643" s="83">
        <v>44462.033564814818</v>
      </c>
      <c r="X643" s="89">
        <v>44462</v>
      </c>
      <c r="Y643" s="86" t="s">
        <v>3247</v>
      </c>
      <c r="Z643" s="84" t="str">
        <f>HYPERLINK("https://twitter.com/zanpaqu07/status/1440840422683660294")</f>
        <v>https://twitter.com/zanpaqu07/status/1440840422683660294</v>
      </c>
      <c r="AA643" s="81"/>
      <c r="AB643" s="81"/>
      <c r="AC643" s="86" t="s">
        <v>4709</v>
      </c>
      <c r="AD643" s="81"/>
      <c r="AE643" s="81" t="b">
        <v>0</v>
      </c>
      <c r="AF643" s="81">
        <v>0</v>
      </c>
      <c r="AG643" s="86" t="s">
        <v>6240</v>
      </c>
      <c r="AH643" s="81" t="b">
        <v>0</v>
      </c>
      <c r="AI643" s="81" t="s">
        <v>6479</v>
      </c>
      <c r="AJ643" s="81"/>
      <c r="AK643" s="86" t="s">
        <v>6240</v>
      </c>
      <c r="AL643" s="81" t="b">
        <v>0</v>
      </c>
      <c r="AM643" s="81">
        <v>71</v>
      </c>
      <c r="AN643" s="86" t="s">
        <v>5039</v>
      </c>
      <c r="AO643" s="86" t="s">
        <v>6503</v>
      </c>
      <c r="AP643" s="81" t="b">
        <v>0</v>
      </c>
      <c r="AQ643" s="86" t="s">
        <v>5039</v>
      </c>
      <c r="AR643" s="81" t="s">
        <v>179</v>
      </c>
      <c r="AS643" s="81">
        <v>0</v>
      </c>
      <c r="AT643" s="81">
        <v>0</v>
      </c>
      <c r="AU643" s="81"/>
      <c r="AV643" s="81"/>
      <c r="AW643" s="81"/>
      <c r="AX643" s="81"/>
      <c r="AY643" s="81"/>
      <c r="AZ643" s="81"/>
      <c r="BA643" s="81"/>
      <c r="BB643" s="81"/>
    </row>
    <row r="644" spans="1:54" x14ac:dyDescent="0.35">
      <c r="A644" s="66" t="s">
        <v>670</v>
      </c>
      <c r="B644" s="66" t="s">
        <v>928</v>
      </c>
      <c r="C644" s="67"/>
      <c r="D644" s="68"/>
      <c r="E644" s="69"/>
      <c r="F644" s="70"/>
      <c r="G644" s="67"/>
      <c r="H644" s="71"/>
      <c r="I644" s="72"/>
      <c r="J644" s="72"/>
      <c r="K644" s="36"/>
      <c r="L644" s="79"/>
      <c r="M644" s="79"/>
      <c r="N644" s="74"/>
      <c r="O644" s="81" t="s">
        <v>1532</v>
      </c>
      <c r="P644" s="83">
        <v>44462.034270833334</v>
      </c>
      <c r="Q644" s="81" t="s">
        <v>1781</v>
      </c>
      <c r="R644" s="81"/>
      <c r="S644" s="81"/>
      <c r="T644" s="86" t="s">
        <v>2681</v>
      </c>
      <c r="U644" s="84" t="str">
        <f>HYPERLINK("https://pbs.twimg.com/media/E_6-KvyVgAA0Zfe.jpg")</f>
        <v>https://pbs.twimg.com/media/E_6-KvyVgAA0Zfe.jpg</v>
      </c>
      <c r="V644" s="84" t="str">
        <f>HYPERLINK("https://pbs.twimg.com/media/E_6-KvyVgAA0Zfe.jpg")</f>
        <v>https://pbs.twimg.com/media/E_6-KvyVgAA0Zfe.jpg</v>
      </c>
      <c r="W644" s="83">
        <v>44462.034270833334</v>
      </c>
      <c r="X644" s="89">
        <v>44462</v>
      </c>
      <c r="Y644" s="86" t="s">
        <v>3248</v>
      </c>
      <c r="Z644" s="84" t="str">
        <f>HYPERLINK("https://twitter.com/artshs10/status/1440840676267081729")</f>
        <v>https://twitter.com/artshs10/status/1440840676267081729</v>
      </c>
      <c r="AA644" s="81"/>
      <c r="AB644" s="81"/>
      <c r="AC644" s="86" t="s">
        <v>4710</v>
      </c>
      <c r="AD644" s="81"/>
      <c r="AE644" s="81" t="b">
        <v>0</v>
      </c>
      <c r="AF644" s="81">
        <v>0</v>
      </c>
      <c r="AG644" s="86" t="s">
        <v>6240</v>
      </c>
      <c r="AH644" s="81" t="b">
        <v>0</v>
      </c>
      <c r="AI644" s="81" t="s">
        <v>6479</v>
      </c>
      <c r="AJ644" s="81"/>
      <c r="AK644" s="86" t="s">
        <v>6240</v>
      </c>
      <c r="AL644" s="81" t="b">
        <v>0</v>
      </c>
      <c r="AM644" s="81">
        <v>71</v>
      </c>
      <c r="AN644" s="86" t="s">
        <v>5039</v>
      </c>
      <c r="AO644" s="86" t="s">
        <v>6507</v>
      </c>
      <c r="AP644" s="81" t="b">
        <v>0</v>
      </c>
      <c r="AQ644" s="86" t="s">
        <v>5039</v>
      </c>
      <c r="AR644" s="81" t="s">
        <v>179</v>
      </c>
      <c r="AS644" s="81">
        <v>0</v>
      </c>
      <c r="AT644" s="81">
        <v>0</v>
      </c>
      <c r="AU644" s="81"/>
      <c r="AV644" s="81"/>
      <c r="AW644" s="81"/>
      <c r="AX644" s="81"/>
      <c r="AY644" s="81"/>
      <c r="AZ644" s="81"/>
      <c r="BA644" s="81"/>
      <c r="BB644" s="81"/>
    </row>
    <row r="645" spans="1:54" x14ac:dyDescent="0.35">
      <c r="A645" s="66" t="s">
        <v>671</v>
      </c>
      <c r="B645" s="66" t="s">
        <v>671</v>
      </c>
      <c r="C645" s="67"/>
      <c r="D645" s="68"/>
      <c r="E645" s="69"/>
      <c r="F645" s="70"/>
      <c r="G645" s="67"/>
      <c r="H645" s="71"/>
      <c r="I645" s="72"/>
      <c r="J645" s="72"/>
      <c r="K645" s="36"/>
      <c r="L645" s="79"/>
      <c r="M645" s="79"/>
      <c r="N645" s="74"/>
      <c r="O645" s="81" t="s">
        <v>179</v>
      </c>
      <c r="P645" s="83">
        <v>44462.041388888887</v>
      </c>
      <c r="Q645" s="81" t="s">
        <v>1785</v>
      </c>
      <c r="R645" s="84" t="str">
        <f>HYPERLINK("https://dinsos.bulelengkab.go.id/informasi/detail/berita/65-rekon-bst-kabupaten-buleleng-dengan-anggaran-btt-bersama-pt-pos-indonesia-tahap-i-bulan-juli-tahun-2021")</f>
        <v>https://dinsos.bulelengkab.go.id/informasi/detail/berita/65-rekon-bst-kabupaten-buleleng-dengan-anggaran-btt-bersama-pt-pos-indonesia-tahap-i-bulan-juli-tahun-2021</v>
      </c>
      <c r="S645" s="81" t="s">
        <v>2603</v>
      </c>
      <c r="T645" s="81"/>
      <c r="U645" s="84" t="str">
        <f>HYPERLINK("https://pbs.twimg.com/media/E_7nTEdUYAY6tpx.jpg")</f>
        <v>https://pbs.twimg.com/media/E_7nTEdUYAY6tpx.jpg</v>
      </c>
      <c r="V645" s="84" t="str">
        <f>HYPERLINK("https://pbs.twimg.com/media/E_7nTEdUYAY6tpx.jpg")</f>
        <v>https://pbs.twimg.com/media/E_7nTEdUYAY6tpx.jpg</v>
      </c>
      <c r="W645" s="83">
        <v>44462.041388888887</v>
      </c>
      <c r="X645" s="89">
        <v>44462</v>
      </c>
      <c r="Y645" s="86" t="s">
        <v>3249</v>
      </c>
      <c r="Z645" s="84" t="str">
        <f>HYPERLINK("https://twitter.com/hadirdinsos/status/1440843256678338572")</f>
        <v>https://twitter.com/hadirdinsos/status/1440843256678338572</v>
      </c>
      <c r="AA645" s="81"/>
      <c r="AB645" s="81"/>
      <c r="AC645" s="86" t="s">
        <v>4711</v>
      </c>
      <c r="AD645" s="81"/>
      <c r="AE645" s="81" t="b">
        <v>0</v>
      </c>
      <c r="AF645" s="81">
        <v>0</v>
      </c>
      <c r="AG645" s="86" t="s">
        <v>6240</v>
      </c>
      <c r="AH645" s="81" t="b">
        <v>0</v>
      </c>
      <c r="AI645" s="81" t="s">
        <v>6478</v>
      </c>
      <c r="AJ645" s="81"/>
      <c r="AK645" s="86" t="s">
        <v>6240</v>
      </c>
      <c r="AL645" s="81" t="b">
        <v>0</v>
      </c>
      <c r="AM645" s="81">
        <v>0</v>
      </c>
      <c r="AN645" s="86" t="s">
        <v>6240</v>
      </c>
      <c r="AO645" s="86" t="s">
        <v>6507</v>
      </c>
      <c r="AP645" s="81" t="b">
        <v>0</v>
      </c>
      <c r="AQ645" s="86" t="s">
        <v>4711</v>
      </c>
      <c r="AR645" s="81" t="s">
        <v>179</v>
      </c>
      <c r="AS645" s="81">
        <v>0</v>
      </c>
      <c r="AT645" s="81">
        <v>0</v>
      </c>
      <c r="AU645" s="81"/>
      <c r="AV645" s="81"/>
      <c r="AW645" s="81"/>
      <c r="AX645" s="81"/>
      <c r="AY645" s="81"/>
      <c r="AZ645" s="81"/>
      <c r="BA645" s="81"/>
      <c r="BB645" s="81"/>
    </row>
    <row r="646" spans="1:54" x14ac:dyDescent="0.35">
      <c r="A646" s="66" t="s">
        <v>672</v>
      </c>
      <c r="B646" s="66" t="s">
        <v>928</v>
      </c>
      <c r="C646" s="67"/>
      <c r="D646" s="68"/>
      <c r="E646" s="69"/>
      <c r="F646" s="70"/>
      <c r="G646" s="67"/>
      <c r="H646" s="71"/>
      <c r="I646" s="72"/>
      <c r="J646" s="72"/>
      <c r="K646" s="36"/>
      <c r="L646" s="79"/>
      <c r="M646" s="79"/>
      <c r="N646" s="74"/>
      <c r="O646" s="81" t="s">
        <v>1532</v>
      </c>
      <c r="P646" s="83">
        <v>44462.041898148149</v>
      </c>
      <c r="Q646" s="81" t="s">
        <v>1781</v>
      </c>
      <c r="R646" s="81"/>
      <c r="S646" s="81"/>
      <c r="T646" s="86" t="s">
        <v>2681</v>
      </c>
      <c r="U646" s="84" t="str">
        <f>HYPERLINK("https://pbs.twimg.com/media/E_6-KvyVgAA0Zfe.jpg")</f>
        <v>https://pbs.twimg.com/media/E_6-KvyVgAA0Zfe.jpg</v>
      </c>
      <c r="V646" s="84" t="str">
        <f>HYPERLINK("https://pbs.twimg.com/media/E_6-KvyVgAA0Zfe.jpg")</f>
        <v>https://pbs.twimg.com/media/E_6-KvyVgAA0Zfe.jpg</v>
      </c>
      <c r="W646" s="83">
        <v>44462.041898148149</v>
      </c>
      <c r="X646" s="89">
        <v>44462</v>
      </c>
      <c r="Y646" s="86" t="s">
        <v>3250</v>
      </c>
      <c r="Z646" s="84" t="str">
        <f>HYPERLINK("https://twitter.com/akbartigabelas/status/1440843440783171584")</f>
        <v>https://twitter.com/akbartigabelas/status/1440843440783171584</v>
      </c>
      <c r="AA646" s="81"/>
      <c r="AB646" s="81"/>
      <c r="AC646" s="86" t="s">
        <v>4712</v>
      </c>
      <c r="AD646" s="81"/>
      <c r="AE646" s="81" t="b">
        <v>0</v>
      </c>
      <c r="AF646" s="81">
        <v>0</v>
      </c>
      <c r="AG646" s="86" t="s">
        <v>6240</v>
      </c>
      <c r="AH646" s="81" t="b">
        <v>0</v>
      </c>
      <c r="AI646" s="81" t="s">
        <v>6479</v>
      </c>
      <c r="AJ646" s="81"/>
      <c r="AK646" s="86" t="s">
        <v>6240</v>
      </c>
      <c r="AL646" s="81" t="b">
        <v>0</v>
      </c>
      <c r="AM646" s="81">
        <v>71</v>
      </c>
      <c r="AN646" s="86" t="s">
        <v>5039</v>
      </c>
      <c r="AO646" s="86" t="s">
        <v>6503</v>
      </c>
      <c r="AP646" s="81" t="b">
        <v>0</v>
      </c>
      <c r="AQ646" s="86" t="s">
        <v>5039</v>
      </c>
      <c r="AR646" s="81" t="s">
        <v>179</v>
      </c>
      <c r="AS646" s="81">
        <v>0</v>
      </c>
      <c r="AT646" s="81">
        <v>0</v>
      </c>
      <c r="AU646" s="81"/>
      <c r="AV646" s="81"/>
      <c r="AW646" s="81"/>
      <c r="AX646" s="81"/>
      <c r="AY646" s="81"/>
      <c r="AZ646" s="81"/>
      <c r="BA646" s="81"/>
      <c r="BB646" s="81"/>
    </row>
    <row r="647" spans="1:54" x14ac:dyDescent="0.35">
      <c r="A647" s="66" t="s">
        <v>673</v>
      </c>
      <c r="B647" s="66" t="s">
        <v>673</v>
      </c>
      <c r="C647" s="67"/>
      <c r="D647" s="68"/>
      <c r="E647" s="69"/>
      <c r="F647" s="70"/>
      <c r="G647" s="67"/>
      <c r="H647" s="71"/>
      <c r="I647" s="72"/>
      <c r="J647" s="72"/>
      <c r="K647" s="36"/>
      <c r="L647" s="79"/>
      <c r="M647" s="79"/>
      <c r="N647" s="74"/>
      <c r="O647" s="81" t="s">
        <v>179</v>
      </c>
      <c r="P647" s="83">
        <v>44462.047430555554</v>
      </c>
      <c r="Q647" s="81" t="s">
        <v>1786</v>
      </c>
      <c r="R647" s="81"/>
      <c r="S647" s="81"/>
      <c r="T647" s="81"/>
      <c r="U647" s="81"/>
      <c r="V647" s="84" t="str">
        <f>HYPERLINK("https://pbs.twimg.com/profile_images/1441326394743476234/w7KiDXih_normal.jpg")</f>
        <v>https://pbs.twimg.com/profile_images/1441326394743476234/w7KiDXih_normal.jpg</v>
      </c>
      <c r="W647" s="83">
        <v>44462.047430555554</v>
      </c>
      <c r="X647" s="89">
        <v>44462</v>
      </c>
      <c r="Y647" s="86" t="s">
        <v>3251</v>
      </c>
      <c r="Z647" s="84" t="str">
        <f>HYPERLINK("https://twitter.com/asfarinaaaa_/status/1440845446709088265")</f>
        <v>https://twitter.com/asfarinaaaa_/status/1440845446709088265</v>
      </c>
      <c r="AA647" s="81"/>
      <c r="AB647" s="81"/>
      <c r="AC647" s="86" t="s">
        <v>4713</v>
      </c>
      <c r="AD647" s="81"/>
      <c r="AE647" s="81" t="b">
        <v>0</v>
      </c>
      <c r="AF647" s="81">
        <v>0</v>
      </c>
      <c r="AG647" s="86" t="s">
        <v>6240</v>
      </c>
      <c r="AH647" s="81" t="b">
        <v>0</v>
      </c>
      <c r="AI647" s="81" t="s">
        <v>6478</v>
      </c>
      <c r="AJ647" s="81"/>
      <c r="AK647" s="86" t="s">
        <v>6240</v>
      </c>
      <c r="AL647" s="81" t="b">
        <v>0</v>
      </c>
      <c r="AM647" s="81">
        <v>0</v>
      </c>
      <c r="AN647" s="86" t="s">
        <v>6240</v>
      </c>
      <c r="AO647" s="86" t="s">
        <v>6505</v>
      </c>
      <c r="AP647" s="81" t="b">
        <v>0</v>
      </c>
      <c r="AQ647" s="86" t="s">
        <v>4713</v>
      </c>
      <c r="AR647" s="81" t="s">
        <v>179</v>
      </c>
      <c r="AS647" s="81">
        <v>0</v>
      </c>
      <c r="AT647" s="81">
        <v>0</v>
      </c>
      <c r="AU647" s="81"/>
      <c r="AV647" s="81"/>
      <c r="AW647" s="81"/>
      <c r="AX647" s="81"/>
      <c r="AY647" s="81"/>
      <c r="AZ647" s="81"/>
      <c r="BA647" s="81"/>
      <c r="BB647" s="81"/>
    </row>
    <row r="648" spans="1:54" x14ac:dyDescent="0.35">
      <c r="A648" s="66" t="s">
        <v>674</v>
      </c>
      <c r="B648" s="66" t="s">
        <v>928</v>
      </c>
      <c r="C648" s="67"/>
      <c r="D648" s="68"/>
      <c r="E648" s="69"/>
      <c r="F648" s="70"/>
      <c r="G648" s="67"/>
      <c r="H648" s="71"/>
      <c r="I648" s="72"/>
      <c r="J648" s="72"/>
      <c r="K648" s="36"/>
      <c r="L648" s="79"/>
      <c r="M648" s="79"/>
      <c r="N648" s="74"/>
      <c r="O648" s="81" t="s">
        <v>1532</v>
      </c>
      <c r="P648" s="83">
        <v>44462.054467592592</v>
      </c>
      <c r="Q648" s="81" t="s">
        <v>1781</v>
      </c>
      <c r="R648" s="81"/>
      <c r="S648" s="81"/>
      <c r="T648" s="86" t="s">
        <v>2681</v>
      </c>
      <c r="U648" s="84" t="str">
        <f>HYPERLINK("https://pbs.twimg.com/media/E_6-KvyVgAA0Zfe.jpg")</f>
        <v>https://pbs.twimg.com/media/E_6-KvyVgAA0Zfe.jpg</v>
      </c>
      <c r="V648" s="84" t="str">
        <f>HYPERLINK("https://pbs.twimg.com/media/E_6-KvyVgAA0Zfe.jpg")</f>
        <v>https://pbs.twimg.com/media/E_6-KvyVgAA0Zfe.jpg</v>
      </c>
      <c r="W648" s="83">
        <v>44462.054467592592</v>
      </c>
      <c r="X648" s="89">
        <v>44462</v>
      </c>
      <c r="Y648" s="86" t="s">
        <v>3252</v>
      </c>
      <c r="Z648" s="84" t="str">
        <f>HYPERLINK("https://twitter.com/ardiez1897/status/1440847997101756421")</f>
        <v>https://twitter.com/ardiez1897/status/1440847997101756421</v>
      </c>
      <c r="AA648" s="81"/>
      <c r="AB648" s="81"/>
      <c r="AC648" s="86" t="s">
        <v>4714</v>
      </c>
      <c r="AD648" s="81"/>
      <c r="AE648" s="81" t="b">
        <v>0</v>
      </c>
      <c r="AF648" s="81">
        <v>0</v>
      </c>
      <c r="AG648" s="86" t="s">
        <v>6240</v>
      </c>
      <c r="AH648" s="81" t="b">
        <v>0</v>
      </c>
      <c r="AI648" s="81" t="s">
        <v>6479</v>
      </c>
      <c r="AJ648" s="81"/>
      <c r="AK648" s="86" t="s">
        <v>6240</v>
      </c>
      <c r="AL648" s="81" t="b">
        <v>0</v>
      </c>
      <c r="AM648" s="81">
        <v>71</v>
      </c>
      <c r="AN648" s="86" t="s">
        <v>5039</v>
      </c>
      <c r="AO648" s="86" t="s">
        <v>6505</v>
      </c>
      <c r="AP648" s="81" t="b">
        <v>0</v>
      </c>
      <c r="AQ648" s="86" t="s">
        <v>5039</v>
      </c>
      <c r="AR648" s="81" t="s">
        <v>179</v>
      </c>
      <c r="AS648" s="81">
        <v>0</v>
      </c>
      <c r="AT648" s="81">
        <v>0</v>
      </c>
      <c r="AU648" s="81"/>
      <c r="AV648" s="81"/>
      <c r="AW648" s="81"/>
      <c r="AX648" s="81"/>
      <c r="AY648" s="81"/>
      <c r="AZ648" s="81"/>
      <c r="BA648" s="81"/>
      <c r="BB648" s="81"/>
    </row>
    <row r="649" spans="1:54" x14ac:dyDescent="0.35">
      <c r="A649" s="66" t="s">
        <v>675</v>
      </c>
      <c r="B649" s="66" t="s">
        <v>928</v>
      </c>
      <c r="C649" s="67"/>
      <c r="D649" s="68"/>
      <c r="E649" s="69"/>
      <c r="F649" s="70"/>
      <c r="G649" s="67"/>
      <c r="H649" s="71"/>
      <c r="I649" s="72"/>
      <c r="J649" s="72"/>
      <c r="K649" s="36"/>
      <c r="L649" s="79"/>
      <c r="M649" s="79"/>
      <c r="N649" s="74"/>
      <c r="O649" s="81" t="s">
        <v>1532</v>
      </c>
      <c r="P649" s="83">
        <v>44462.055694444447</v>
      </c>
      <c r="Q649" s="81" t="s">
        <v>1781</v>
      </c>
      <c r="R649" s="81"/>
      <c r="S649" s="81"/>
      <c r="T649" s="86" t="s">
        <v>2681</v>
      </c>
      <c r="U649" s="84" t="str">
        <f>HYPERLINK("https://pbs.twimg.com/media/E_6-KvyVgAA0Zfe.jpg")</f>
        <v>https://pbs.twimg.com/media/E_6-KvyVgAA0Zfe.jpg</v>
      </c>
      <c r="V649" s="84" t="str">
        <f>HYPERLINK("https://pbs.twimg.com/media/E_6-KvyVgAA0Zfe.jpg")</f>
        <v>https://pbs.twimg.com/media/E_6-KvyVgAA0Zfe.jpg</v>
      </c>
      <c r="W649" s="83">
        <v>44462.055694444447</v>
      </c>
      <c r="X649" s="89">
        <v>44462</v>
      </c>
      <c r="Y649" s="86" t="s">
        <v>3253</v>
      </c>
      <c r="Z649" s="84" t="str">
        <f>HYPERLINK("https://twitter.com/ekodwiee/status/1440848440330579974")</f>
        <v>https://twitter.com/ekodwiee/status/1440848440330579974</v>
      </c>
      <c r="AA649" s="81"/>
      <c r="AB649" s="81"/>
      <c r="AC649" s="86" t="s">
        <v>4715</v>
      </c>
      <c r="AD649" s="81"/>
      <c r="AE649" s="81" t="b">
        <v>0</v>
      </c>
      <c r="AF649" s="81">
        <v>0</v>
      </c>
      <c r="AG649" s="86" t="s">
        <v>6240</v>
      </c>
      <c r="AH649" s="81" t="b">
        <v>0</v>
      </c>
      <c r="AI649" s="81" t="s">
        <v>6479</v>
      </c>
      <c r="AJ649" s="81"/>
      <c r="AK649" s="86" t="s">
        <v>6240</v>
      </c>
      <c r="AL649" s="81" t="b">
        <v>0</v>
      </c>
      <c r="AM649" s="81">
        <v>71</v>
      </c>
      <c r="AN649" s="86" t="s">
        <v>5039</v>
      </c>
      <c r="AO649" s="86" t="s">
        <v>6507</v>
      </c>
      <c r="AP649" s="81" t="b">
        <v>0</v>
      </c>
      <c r="AQ649" s="86" t="s">
        <v>5039</v>
      </c>
      <c r="AR649" s="81" t="s">
        <v>179</v>
      </c>
      <c r="AS649" s="81">
        <v>0</v>
      </c>
      <c r="AT649" s="81">
        <v>0</v>
      </c>
      <c r="AU649" s="81"/>
      <c r="AV649" s="81"/>
      <c r="AW649" s="81"/>
      <c r="AX649" s="81"/>
      <c r="AY649" s="81"/>
      <c r="AZ649" s="81"/>
      <c r="BA649" s="81"/>
      <c r="BB649" s="81"/>
    </row>
    <row r="650" spans="1:54" x14ac:dyDescent="0.35">
      <c r="A650" s="66" t="s">
        <v>676</v>
      </c>
      <c r="B650" s="66" t="s">
        <v>928</v>
      </c>
      <c r="C650" s="67"/>
      <c r="D650" s="68"/>
      <c r="E650" s="69"/>
      <c r="F650" s="70"/>
      <c r="G650" s="67"/>
      <c r="H650" s="71"/>
      <c r="I650" s="72"/>
      <c r="J650" s="72"/>
      <c r="K650" s="36"/>
      <c r="L650" s="79"/>
      <c r="M650" s="79"/>
      <c r="N650" s="74"/>
      <c r="O650" s="81" t="s">
        <v>1532</v>
      </c>
      <c r="P650" s="83">
        <v>44462.059791666667</v>
      </c>
      <c r="Q650" s="81" t="s">
        <v>1781</v>
      </c>
      <c r="R650" s="81"/>
      <c r="S650" s="81"/>
      <c r="T650" s="86" t="s">
        <v>2681</v>
      </c>
      <c r="U650" s="84" t="str">
        <f>HYPERLINK("https://pbs.twimg.com/media/E_6-KvyVgAA0Zfe.jpg")</f>
        <v>https://pbs.twimg.com/media/E_6-KvyVgAA0Zfe.jpg</v>
      </c>
      <c r="V650" s="84" t="str">
        <f>HYPERLINK("https://pbs.twimg.com/media/E_6-KvyVgAA0Zfe.jpg")</f>
        <v>https://pbs.twimg.com/media/E_6-KvyVgAA0Zfe.jpg</v>
      </c>
      <c r="W650" s="83">
        <v>44462.059791666667</v>
      </c>
      <c r="X650" s="89">
        <v>44462</v>
      </c>
      <c r="Y650" s="86" t="s">
        <v>3254</v>
      </c>
      <c r="Z650" s="84" t="str">
        <f>HYPERLINK("https://twitter.com/nuytarigan/status/1440849925382631430")</f>
        <v>https://twitter.com/nuytarigan/status/1440849925382631430</v>
      </c>
      <c r="AA650" s="81"/>
      <c r="AB650" s="81"/>
      <c r="AC650" s="86" t="s">
        <v>4716</v>
      </c>
      <c r="AD650" s="81"/>
      <c r="AE650" s="81" t="b">
        <v>0</v>
      </c>
      <c r="AF650" s="81">
        <v>0</v>
      </c>
      <c r="AG650" s="86" t="s">
        <v>6240</v>
      </c>
      <c r="AH650" s="81" t="b">
        <v>0</v>
      </c>
      <c r="AI650" s="81" t="s">
        <v>6479</v>
      </c>
      <c r="AJ650" s="81"/>
      <c r="AK650" s="86" t="s">
        <v>6240</v>
      </c>
      <c r="AL650" s="81" t="b">
        <v>0</v>
      </c>
      <c r="AM650" s="81">
        <v>71</v>
      </c>
      <c r="AN650" s="86" t="s">
        <v>5039</v>
      </c>
      <c r="AO650" s="86" t="s">
        <v>6503</v>
      </c>
      <c r="AP650" s="81" t="b">
        <v>0</v>
      </c>
      <c r="AQ650" s="86" t="s">
        <v>5039</v>
      </c>
      <c r="AR650" s="81" t="s">
        <v>179</v>
      </c>
      <c r="AS650" s="81">
        <v>0</v>
      </c>
      <c r="AT650" s="81">
        <v>0</v>
      </c>
      <c r="AU650" s="81"/>
      <c r="AV650" s="81"/>
      <c r="AW650" s="81"/>
      <c r="AX650" s="81"/>
      <c r="AY650" s="81"/>
      <c r="AZ650" s="81"/>
      <c r="BA650" s="81"/>
      <c r="BB650" s="81"/>
    </row>
    <row r="651" spans="1:54" x14ac:dyDescent="0.35">
      <c r="A651" s="66" t="s">
        <v>677</v>
      </c>
      <c r="B651" s="66" t="s">
        <v>677</v>
      </c>
      <c r="C651" s="67"/>
      <c r="D651" s="68"/>
      <c r="E651" s="69"/>
      <c r="F651" s="70"/>
      <c r="G651" s="67"/>
      <c r="H651" s="71"/>
      <c r="I651" s="72"/>
      <c r="J651" s="72"/>
      <c r="K651" s="36"/>
      <c r="L651" s="79"/>
      <c r="M651" s="79"/>
      <c r="N651" s="74"/>
      <c r="O651" s="81" t="s">
        <v>179</v>
      </c>
      <c r="P651" s="83">
        <v>44462.065300925926</v>
      </c>
      <c r="Q651" s="81" t="s">
        <v>1787</v>
      </c>
      <c r="R651" s="84" t="str">
        <f>HYPERLINK("https://curiouscat.qa/-gardenia/post/1241401426")</f>
        <v>https://curiouscat.qa/-gardenia/post/1241401426</v>
      </c>
      <c r="S651" s="81" t="s">
        <v>2610</v>
      </c>
      <c r="T651" s="81"/>
      <c r="U651" s="81"/>
      <c r="V651" s="84" t="str">
        <f>HYPERLINK("https://pbs.twimg.com/profile_images/1442704888786407426/_vFoPfdC_normal.jpg")</f>
        <v>https://pbs.twimg.com/profile_images/1442704888786407426/_vFoPfdC_normal.jpg</v>
      </c>
      <c r="W651" s="83">
        <v>44462.065300925926</v>
      </c>
      <c r="X651" s="89">
        <v>44462</v>
      </c>
      <c r="Y651" s="86" t="s">
        <v>3255</v>
      </c>
      <c r="Z651" s="84" t="str">
        <f>HYPERLINK("https://twitter.com/oecsik/status/1440851921888165899")</f>
        <v>https://twitter.com/oecsik/status/1440851921888165899</v>
      </c>
      <c r="AA651" s="81"/>
      <c r="AB651" s="81"/>
      <c r="AC651" s="86" t="s">
        <v>4717</v>
      </c>
      <c r="AD651" s="81"/>
      <c r="AE651" s="81" t="b">
        <v>0</v>
      </c>
      <c r="AF651" s="81">
        <v>0</v>
      </c>
      <c r="AG651" s="86" t="s">
        <v>6240</v>
      </c>
      <c r="AH651" s="81" t="b">
        <v>0</v>
      </c>
      <c r="AI651" s="81" t="s">
        <v>6478</v>
      </c>
      <c r="AJ651" s="81"/>
      <c r="AK651" s="86" t="s">
        <v>6240</v>
      </c>
      <c r="AL651" s="81" t="b">
        <v>0</v>
      </c>
      <c r="AM651" s="81">
        <v>0</v>
      </c>
      <c r="AN651" s="86" t="s">
        <v>6240</v>
      </c>
      <c r="AO651" s="86" t="s">
        <v>6505</v>
      </c>
      <c r="AP651" s="81" t="b">
        <v>0</v>
      </c>
      <c r="AQ651" s="86" t="s">
        <v>4717</v>
      </c>
      <c r="AR651" s="81" t="s">
        <v>179</v>
      </c>
      <c r="AS651" s="81">
        <v>0</v>
      </c>
      <c r="AT651" s="81">
        <v>0</v>
      </c>
      <c r="AU651" s="81"/>
      <c r="AV651" s="81"/>
      <c r="AW651" s="81"/>
      <c r="AX651" s="81"/>
      <c r="AY651" s="81"/>
      <c r="AZ651" s="81"/>
      <c r="BA651" s="81"/>
      <c r="BB651" s="81"/>
    </row>
    <row r="652" spans="1:54" x14ac:dyDescent="0.35">
      <c r="A652" s="66" t="s">
        <v>678</v>
      </c>
      <c r="B652" s="66" t="s">
        <v>928</v>
      </c>
      <c r="C652" s="67"/>
      <c r="D652" s="68"/>
      <c r="E652" s="69"/>
      <c r="F652" s="70"/>
      <c r="G652" s="67"/>
      <c r="H652" s="71"/>
      <c r="I652" s="72"/>
      <c r="J652" s="72"/>
      <c r="K652" s="36"/>
      <c r="L652" s="79"/>
      <c r="M652" s="79"/>
      <c r="N652" s="74"/>
      <c r="O652" s="81" t="s">
        <v>1532</v>
      </c>
      <c r="P652" s="83">
        <v>44462.069594907407</v>
      </c>
      <c r="Q652" s="81" t="s">
        <v>1781</v>
      </c>
      <c r="R652" s="81"/>
      <c r="S652" s="81"/>
      <c r="T652" s="86" t="s">
        <v>2681</v>
      </c>
      <c r="U652" s="84" t="str">
        <f>HYPERLINK("https://pbs.twimg.com/media/E_6-KvyVgAA0Zfe.jpg")</f>
        <v>https://pbs.twimg.com/media/E_6-KvyVgAA0Zfe.jpg</v>
      </c>
      <c r="V652" s="84" t="str">
        <f>HYPERLINK("https://pbs.twimg.com/media/E_6-KvyVgAA0Zfe.jpg")</f>
        <v>https://pbs.twimg.com/media/E_6-KvyVgAA0Zfe.jpg</v>
      </c>
      <c r="W652" s="83">
        <v>44462.069594907407</v>
      </c>
      <c r="X652" s="89">
        <v>44462</v>
      </c>
      <c r="Y652" s="86" t="s">
        <v>3256</v>
      </c>
      <c r="Z652" s="84" t="str">
        <f>HYPERLINK("https://twitter.com/prabhusindewa/status/1440853476469141510")</f>
        <v>https://twitter.com/prabhusindewa/status/1440853476469141510</v>
      </c>
      <c r="AA652" s="81"/>
      <c r="AB652" s="81"/>
      <c r="AC652" s="86" t="s">
        <v>4718</v>
      </c>
      <c r="AD652" s="81"/>
      <c r="AE652" s="81" t="b">
        <v>0</v>
      </c>
      <c r="AF652" s="81">
        <v>0</v>
      </c>
      <c r="AG652" s="86" t="s">
        <v>6240</v>
      </c>
      <c r="AH652" s="81" t="b">
        <v>0</v>
      </c>
      <c r="AI652" s="81" t="s">
        <v>6479</v>
      </c>
      <c r="AJ652" s="81"/>
      <c r="AK652" s="86" t="s">
        <v>6240</v>
      </c>
      <c r="AL652" s="81" t="b">
        <v>0</v>
      </c>
      <c r="AM652" s="81">
        <v>71</v>
      </c>
      <c r="AN652" s="86" t="s">
        <v>5039</v>
      </c>
      <c r="AO652" s="86" t="s">
        <v>6503</v>
      </c>
      <c r="AP652" s="81" t="b">
        <v>0</v>
      </c>
      <c r="AQ652" s="86" t="s">
        <v>5039</v>
      </c>
      <c r="AR652" s="81" t="s">
        <v>179</v>
      </c>
      <c r="AS652" s="81">
        <v>0</v>
      </c>
      <c r="AT652" s="81">
        <v>0</v>
      </c>
      <c r="AU652" s="81"/>
      <c r="AV652" s="81"/>
      <c r="AW652" s="81"/>
      <c r="AX652" s="81"/>
      <c r="AY652" s="81"/>
      <c r="AZ652" s="81"/>
      <c r="BA652" s="81"/>
      <c r="BB652" s="81"/>
    </row>
    <row r="653" spans="1:54" x14ac:dyDescent="0.35">
      <c r="A653" s="66" t="s">
        <v>679</v>
      </c>
      <c r="B653" s="66" t="s">
        <v>928</v>
      </c>
      <c r="C653" s="67"/>
      <c r="D653" s="68"/>
      <c r="E653" s="69"/>
      <c r="F653" s="70"/>
      <c r="G653" s="67"/>
      <c r="H653" s="71"/>
      <c r="I653" s="72"/>
      <c r="J653" s="72"/>
      <c r="K653" s="36"/>
      <c r="L653" s="79"/>
      <c r="M653" s="79"/>
      <c r="N653" s="74"/>
      <c r="O653" s="81" t="s">
        <v>1532</v>
      </c>
      <c r="P653" s="83">
        <v>44462.073483796295</v>
      </c>
      <c r="Q653" s="81" t="s">
        <v>1781</v>
      </c>
      <c r="R653" s="81"/>
      <c r="S653" s="81"/>
      <c r="T653" s="86" t="s">
        <v>2681</v>
      </c>
      <c r="U653" s="84" t="str">
        <f>HYPERLINK("https://pbs.twimg.com/media/E_6-KvyVgAA0Zfe.jpg")</f>
        <v>https://pbs.twimg.com/media/E_6-KvyVgAA0Zfe.jpg</v>
      </c>
      <c r="V653" s="84" t="str">
        <f>HYPERLINK("https://pbs.twimg.com/media/E_6-KvyVgAA0Zfe.jpg")</f>
        <v>https://pbs.twimg.com/media/E_6-KvyVgAA0Zfe.jpg</v>
      </c>
      <c r="W653" s="83">
        <v>44462.073483796295</v>
      </c>
      <c r="X653" s="89">
        <v>44462</v>
      </c>
      <c r="Y653" s="86" t="s">
        <v>3257</v>
      </c>
      <c r="Z653" s="84" t="str">
        <f>HYPERLINK("https://twitter.com/faridfadhil14/status/1440854885130330121")</f>
        <v>https://twitter.com/faridfadhil14/status/1440854885130330121</v>
      </c>
      <c r="AA653" s="81"/>
      <c r="AB653" s="81"/>
      <c r="AC653" s="86" t="s">
        <v>4719</v>
      </c>
      <c r="AD653" s="81"/>
      <c r="AE653" s="81" t="b">
        <v>0</v>
      </c>
      <c r="AF653" s="81">
        <v>0</v>
      </c>
      <c r="AG653" s="86" t="s">
        <v>6240</v>
      </c>
      <c r="AH653" s="81" t="b">
        <v>0</v>
      </c>
      <c r="AI653" s="81" t="s">
        <v>6479</v>
      </c>
      <c r="AJ653" s="81"/>
      <c r="AK653" s="86" t="s">
        <v>6240</v>
      </c>
      <c r="AL653" s="81" t="b">
        <v>0</v>
      </c>
      <c r="AM653" s="81">
        <v>71</v>
      </c>
      <c r="AN653" s="86" t="s">
        <v>5039</v>
      </c>
      <c r="AO653" s="86" t="s">
        <v>6503</v>
      </c>
      <c r="AP653" s="81" t="b">
        <v>0</v>
      </c>
      <c r="AQ653" s="86" t="s">
        <v>5039</v>
      </c>
      <c r="AR653" s="81" t="s">
        <v>179</v>
      </c>
      <c r="AS653" s="81">
        <v>0</v>
      </c>
      <c r="AT653" s="81">
        <v>0</v>
      </c>
      <c r="AU653" s="81"/>
      <c r="AV653" s="81"/>
      <c r="AW653" s="81"/>
      <c r="AX653" s="81"/>
      <c r="AY653" s="81"/>
      <c r="AZ653" s="81"/>
      <c r="BA653" s="81"/>
      <c r="BB653" s="81"/>
    </row>
    <row r="654" spans="1:54" x14ac:dyDescent="0.35">
      <c r="A654" s="66" t="s">
        <v>680</v>
      </c>
      <c r="B654" s="66" t="s">
        <v>928</v>
      </c>
      <c r="C654" s="67"/>
      <c r="D654" s="68"/>
      <c r="E654" s="69"/>
      <c r="F654" s="70"/>
      <c r="G654" s="67"/>
      <c r="H654" s="71"/>
      <c r="I654" s="72"/>
      <c r="J654" s="72"/>
      <c r="K654" s="36"/>
      <c r="L654" s="79"/>
      <c r="M654" s="79"/>
      <c r="N654" s="74"/>
      <c r="O654" s="81" t="s">
        <v>1532</v>
      </c>
      <c r="P654" s="83">
        <v>44462.075960648152</v>
      </c>
      <c r="Q654" s="81" t="s">
        <v>1781</v>
      </c>
      <c r="R654" s="81"/>
      <c r="S654" s="81"/>
      <c r="T654" s="86" t="s">
        <v>2681</v>
      </c>
      <c r="U654" s="84" t="str">
        <f>HYPERLINK("https://pbs.twimg.com/media/E_6-KvyVgAA0Zfe.jpg")</f>
        <v>https://pbs.twimg.com/media/E_6-KvyVgAA0Zfe.jpg</v>
      </c>
      <c r="V654" s="84" t="str">
        <f>HYPERLINK("https://pbs.twimg.com/media/E_6-KvyVgAA0Zfe.jpg")</f>
        <v>https://pbs.twimg.com/media/E_6-KvyVgAA0Zfe.jpg</v>
      </c>
      <c r="W654" s="83">
        <v>44462.075960648152</v>
      </c>
      <c r="X654" s="89">
        <v>44462</v>
      </c>
      <c r="Y654" s="86" t="s">
        <v>3258</v>
      </c>
      <c r="Z654" s="84" t="str">
        <f>HYPERLINK("https://twitter.com/henry_ogi/status/1440855785605517317")</f>
        <v>https://twitter.com/henry_ogi/status/1440855785605517317</v>
      </c>
      <c r="AA654" s="81"/>
      <c r="AB654" s="81"/>
      <c r="AC654" s="86" t="s">
        <v>4720</v>
      </c>
      <c r="AD654" s="81"/>
      <c r="AE654" s="81" t="b">
        <v>0</v>
      </c>
      <c r="AF654" s="81">
        <v>0</v>
      </c>
      <c r="AG654" s="86" t="s">
        <v>6240</v>
      </c>
      <c r="AH654" s="81" t="b">
        <v>0</v>
      </c>
      <c r="AI654" s="81" t="s">
        <v>6479</v>
      </c>
      <c r="AJ654" s="81"/>
      <c r="AK654" s="86" t="s">
        <v>6240</v>
      </c>
      <c r="AL654" s="81" t="b">
        <v>0</v>
      </c>
      <c r="AM654" s="81">
        <v>71</v>
      </c>
      <c r="AN654" s="86" t="s">
        <v>5039</v>
      </c>
      <c r="AO654" s="86" t="s">
        <v>6503</v>
      </c>
      <c r="AP654" s="81" t="b">
        <v>0</v>
      </c>
      <c r="AQ654" s="86" t="s">
        <v>5039</v>
      </c>
      <c r="AR654" s="81" t="s">
        <v>179</v>
      </c>
      <c r="AS654" s="81">
        <v>0</v>
      </c>
      <c r="AT654" s="81">
        <v>0</v>
      </c>
      <c r="AU654" s="81"/>
      <c r="AV654" s="81"/>
      <c r="AW654" s="81"/>
      <c r="AX654" s="81"/>
      <c r="AY654" s="81"/>
      <c r="AZ654" s="81"/>
      <c r="BA654" s="81"/>
      <c r="BB654" s="81"/>
    </row>
    <row r="655" spans="1:54" x14ac:dyDescent="0.35">
      <c r="A655" s="66" t="s">
        <v>681</v>
      </c>
      <c r="B655" s="66" t="s">
        <v>928</v>
      </c>
      <c r="C655" s="67"/>
      <c r="D655" s="68"/>
      <c r="E655" s="69"/>
      <c r="F655" s="70"/>
      <c r="G655" s="67"/>
      <c r="H655" s="71"/>
      <c r="I655" s="72"/>
      <c r="J655" s="72"/>
      <c r="K655" s="36"/>
      <c r="L655" s="79"/>
      <c r="M655" s="79"/>
      <c r="N655" s="74"/>
      <c r="O655" s="81" t="s">
        <v>1532</v>
      </c>
      <c r="P655" s="83">
        <v>44462.097233796296</v>
      </c>
      <c r="Q655" s="81" t="s">
        <v>1781</v>
      </c>
      <c r="R655" s="81"/>
      <c r="S655" s="81"/>
      <c r="T655" s="86" t="s">
        <v>2681</v>
      </c>
      <c r="U655" s="84" t="str">
        <f>HYPERLINK("https://pbs.twimg.com/media/E_6-KvyVgAA0Zfe.jpg")</f>
        <v>https://pbs.twimg.com/media/E_6-KvyVgAA0Zfe.jpg</v>
      </c>
      <c r="V655" s="84" t="str">
        <f>HYPERLINK("https://pbs.twimg.com/media/E_6-KvyVgAA0Zfe.jpg")</f>
        <v>https://pbs.twimg.com/media/E_6-KvyVgAA0Zfe.jpg</v>
      </c>
      <c r="W655" s="83">
        <v>44462.097233796296</v>
      </c>
      <c r="X655" s="89">
        <v>44462</v>
      </c>
      <c r="Y655" s="86" t="s">
        <v>3259</v>
      </c>
      <c r="Z655" s="84" t="str">
        <f>HYPERLINK("https://twitter.com/_afaz/status/1440863494824337413")</f>
        <v>https://twitter.com/_afaz/status/1440863494824337413</v>
      </c>
      <c r="AA655" s="81"/>
      <c r="AB655" s="81"/>
      <c r="AC655" s="86" t="s">
        <v>4721</v>
      </c>
      <c r="AD655" s="81"/>
      <c r="AE655" s="81" t="b">
        <v>0</v>
      </c>
      <c r="AF655" s="81">
        <v>0</v>
      </c>
      <c r="AG655" s="86" t="s">
        <v>6240</v>
      </c>
      <c r="AH655" s="81" t="b">
        <v>0</v>
      </c>
      <c r="AI655" s="81" t="s">
        <v>6479</v>
      </c>
      <c r="AJ655" s="81"/>
      <c r="AK655" s="86" t="s">
        <v>6240</v>
      </c>
      <c r="AL655" s="81" t="b">
        <v>0</v>
      </c>
      <c r="AM655" s="81">
        <v>71</v>
      </c>
      <c r="AN655" s="86" t="s">
        <v>5039</v>
      </c>
      <c r="AO655" s="86" t="s">
        <v>6503</v>
      </c>
      <c r="AP655" s="81" t="b">
        <v>0</v>
      </c>
      <c r="AQ655" s="86" t="s">
        <v>5039</v>
      </c>
      <c r="AR655" s="81" t="s">
        <v>179</v>
      </c>
      <c r="AS655" s="81">
        <v>0</v>
      </c>
      <c r="AT655" s="81">
        <v>0</v>
      </c>
      <c r="AU655" s="81"/>
      <c r="AV655" s="81"/>
      <c r="AW655" s="81"/>
      <c r="AX655" s="81"/>
      <c r="AY655" s="81"/>
      <c r="AZ655" s="81"/>
      <c r="BA655" s="81"/>
      <c r="BB655" s="81"/>
    </row>
    <row r="656" spans="1:54" x14ac:dyDescent="0.35">
      <c r="A656" s="66" t="s">
        <v>682</v>
      </c>
      <c r="B656" s="66" t="s">
        <v>928</v>
      </c>
      <c r="C656" s="67"/>
      <c r="D656" s="68"/>
      <c r="E656" s="69"/>
      <c r="F656" s="70"/>
      <c r="G656" s="67"/>
      <c r="H656" s="71"/>
      <c r="I656" s="72"/>
      <c r="J656" s="72"/>
      <c r="K656" s="36"/>
      <c r="L656" s="79"/>
      <c r="M656" s="79"/>
      <c r="N656" s="74"/>
      <c r="O656" s="81" t="s">
        <v>1532</v>
      </c>
      <c r="P656" s="83">
        <v>44462.100254629629</v>
      </c>
      <c r="Q656" s="81" t="s">
        <v>1781</v>
      </c>
      <c r="R656" s="81"/>
      <c r="S656" s="81"/>
      <c r="T656" s="86" t="s">
        <v>2681</v>
      </c>
      <c r="U656" s="84" t="str">
        <f>HYPERLINK("https://pbs.twimg.com/media/E_6-KvyVgAA0Zfe.jpg")</f>
        <v>https://pbs.twimg.com/media/E_6-KvyVgAA0Zfe.jpg</v>
      </c>
      <c r="V656" s="84" t="str">
        <f>HYPERLINK("https://pbs.twimg.com/media/E_6-KvyVgAA0Zfe.jpg")</f>
        <v>https://pbs.twimg.com/media/E_6-KvyVgAA0Zfe.jpg</v>
      </c>
      <c r="W656" s="83">
        <v>44462.100254629629</v>
      </c>
      <c r="X656" s="89">
        <v>44462</v>
      </c>
      <c r="Y656" s="86" t="s">
        <v>3260</v>
      </c>
      <c r="Z656" s="84" t="str">
        <f>HYPERLINK("https://twitter.com/eldayato/status/1440864587570581506")</f>
        <v>https://twitter.com/eldayato/status/1440864587570581506</v>
      </c>
      <c r="AA656" s="81"/>
      <c r="AB656" s="81"/>
      <c r="AC656" s="86" t="s">
        <v>4722</v>
      </c>
      <c r="AD656" s="81"/>
      <c r="AE656" s="81" t="b">
        <v>0</v>
      </c>
      <c r="AF656" s="81">
        <v>0</v>
      </c>
      <c r="AG656" s="86" t="s">
        <v>6240</v>
      </c>
      <c r="AH656" s="81" t="b">
        <v>0</v>
      </c>
      <c r="AI656" s="81" t="s">
        <v>6479</v>
      </c>
      <c r="AJ656" s="81"/>
      <c r="AK656" s="86" t="s">
        <v>6240</v>
      </c>
      <c r="AL656" s="81" t="b">
        <v>0</v>
      </c>
      <c r="AM656" s="81">
        <v>71</v>
      </c>
      <c r="AN656" s="86" t="s">
        <v>5039</v>
      </c>
      <c r="AO656" s="86" t="s">
        <v>6503</v>
      </c>
      <c r="AP656" s="81" t="b">
        <v>0</v>
      </c>
      <c r="AQ656" s="86" t="s">
        <v>5039</v>
      </c>
      <c r="AR656" s="81" t="s">
        <v>179</v>
      </c>
      <c r="AS656" s="81">
        <v>0</v>
      </c>
      <c r="AT656" s="81">
        <v>0</v>
      </c>
      <c r="AU656" s="81"/>
      <c r="AV656" s="81"/>
      <c r="AW656" s="81"/>
      <c r="AX656" s="81"/>
      <c r="AY656" s="81"/>
      <c r="AZ656" s="81"/>
      <c r="BA656" s="81"/>
      <c r="BB656" s="81"/>
    </row>
    <row r="657" spans="1:54" x14ac:dyDescent="0.35">
      <c r="A657" s="66" t="s">
        <v>683</v>
      </c>
      <c r="B657" s="66" t="s">
        <v>928</v>
      </c>
      <c r="C657" s="67"/>
      <c r="D657" s="68"/>
      <c r="E657" s="69"/>
      <c r="F657" s="70"/>
      <c r="G657" s="67"/>
      <c r="H657" s="71"/>
      <c r="I657" s="72"/>
      <c r="J657" s="72"/>
      <c r="K657" s="36"/>
      <c r="L657" s="79"/>
      <c r="M657" s="79"/>
      <c r="N657" s="74"/>
      <c r="O657" s="81" t="s">
        <v>1532</v>
      </c>
      <c r="P657" s="83">
        <v>44462.102534722224</v>
      </c>
      <c r="Q657" s="81" t="s">
        <v>1781</v>
      </c>
      <c r="R657" s="81"/>
      <c r="S657" s="81"/>
      <c r="T657" s="86" t="s">
        <v>2681</v>
      </c>
      <c r="U657" s="84" t="str">
        <f>HYPERLINK("https://pbs.twimg.com/media/E_6-KvyVgAA0Zfe.jpg")</f>
        <v>https://pbs.twimg.com/media/E_6-KvyVgAA0Zfe.jpg</v>
      </c>
      <c r="V657" s="84" t="str">
        <f>HYPERLINK("https://pbs.twimg.com/media/E_6-KvyVgAA0Zfe.jpg")</f>
        <v>https://pbs.twimg.com/media/E_6-KvyVgAA0Zfe.jpg</v>
      </c>
      <c r="W657" s="83">
        <v>44462.102534722224</v>
      </c>
      <c r="X657" s="89">
        <v>44462</v>
      </c>
      <c r="Y657" s="86" t="s">
        <v>3261</v>
      </c>
      <c r="Z657" s="84" t="str">
        <f>HYPERLINK("https://twitter.com/achmadsreza/status/1440865415479975937")</f>
        <v>https://twitter.com/achmadsreza/status/1440865415479975937</v>
      </c>
      <c r="AA657" s="81"/>
      <c r="AB657" s="81"/>
      <c r="AC657" s="86" t="s">
        <v>4723</v>
      </c>
      <c r="AD657" s="81"/>
      <c r="AE657" s="81" t="b">
        <v>0</v>
      </c>
      <c r="AF657" s="81">
        <v>0</v>
      </c>
      <c r="AG657" s="86" t="s">
        <v>6240</v>
      </c>
      <c r="AH657" s="81" t="b">
        <v>0</v>
      </c>
      <c r="AI657" s="81" t="s">
        <v>6479</v>
      </c>
      <c r="AJ657" s="81"/>
      <c r="AK657" s="86" t="s">
        <v>6240</v>
      </c>
      <c r="AL657" s="81" t="b">
        <v>0</v>
      </c>
      <c r="AM657" s="81">
        <v>71</v>
      </c>
      <c r="AN657" s="86" t="s">
        <v>5039</v>
      </c>
      <c r="AO657" s="86" t="s">
        <v>6519</v>
      </c>
      <c r="AP657" s="81" t="b">
        <v>0</v>
      </c>
      <c r="AQ657" s="86" t="s">
        <v>5039</v>
      </c>
      <c r="AR657" s="81" t="s">
        <v>179</v>
      </c>
      <c r="AS657" s="81">
        <v>0</v>
      </c>
      <c r="AT657" s="81">
        <v>0</v>
      </c>
      <c r="AU657" s="81"/>
      <c r="AV657" s="81"/>
      <c r="AW657" s="81"/>
      <c r="AX657" s="81"/>
      <c r="AY657" s="81"/>
      <c r="AZ657" s="81"/>
      <c r="BA657" s="81"/>
      <c r="BB657" s="81"/>
    </row>
    <row r="658" spans="1:54" x14ac:dyDescent="0.35">
      <c r="A658" s="66" t="s">
        <v>684</v>
      </c>
      <c r="B658" s="66" t="s">
        <v>928</v>
      </c>
      <c r="C658" s="67"/>
      <c r="D658" s="68"/>
      <c r="E658" s="69"/>
      <c r="F658" s="70"/>
      <c r="G658" s="67"/>
      <c r="H658" s="71"/>
      <c r="I658" s="72"/>
      <c r="J658" s="72"/>
      <c r="K658" s="36"/>
      <c r="L658" s="79"/>
      <c r="M658" s="79"/>
      <c r="N658" s="74"/>
      <c r="O658" s="81" t="s">
        <v>1532</v>
      </c>
      <c r="P658" s="83">
        <v>44462.113900462966</v>
      </c>
      <c r="Q658" s="81" t="s">
        <v>1781</v>
      </c>
      <c r="R658" s="81"/>
      <c r="S658" s="81"/>
      <c r="T658" s="86" t="s">
        <v>2681</v>
      </c>
      <c r="U658" s="84" t="str">
        <f>HYPERLINK("https://pbs.twimg.com/media/E_6-KvyVgAA0Zfe.jpg")</f>
        <v>https://pbs.twimg.com/media/E_6-KvyVgAA0Zfe.jpg</v>
      </c>
      <c r="V658" s="84" t="str">
        <f>HYPERLINK("https://pbs.twimg.com/media/E_6-KvyVgAA0Zfe.jpg")</f>
        <v>https://pbs.twimg.com/media/E_6-KvyVgAA0Zfe.jpg</v>
      </c>
      <c r="W658" s="83">
        <v>44462.113900462966</v>
      </c>
      <c r="X658" s="89">
        <v>44462</v>
      </c>
      <c r="Y658" s="86" t="s">
        <v>3262</v>
      </c>
      <c r="Z658" s="84" t="str">
        <f>HYPERLINK("https://twitter.com/tirkapoor/status/1440869531505680392")</f>
        <v>https://twitter.com/tirkapoor/status/1440869531505680392</v>
      </c>
      <c r="AA658" s="81"/>
      <c r="AB658" s="81"/>
      <c r="AC658" s="86" t="s">
        <v>4724</v>
      </c>
      <c r="AD658" s="81"/>
      <c r="AE658" s="81" t="b">
        <v>0</v>
      </c>
      <c r="AF658" s="81">
        <v>0</v>
      </c>
      <c r="AG658" s="86" t="s">
        <v>6240</v>
      </c>
      <c r="AH658" s="81" t="b">
        <v>0</v>
      </c>
      <c r="AI658" s="81" t="s">
        <v>6479</v>
      </c>
      <c r="AJ658" s="81"/>
      <c r="AK658" s="86" t="s">
        <v>6240</v>
      </c>
      <c r="AL658" s="81" t="b">
        <v>0</v>
      </c>
      <c r="AM658" s="81">
        <v>71</v>
      </c>
      <c r="AN658" s="86" t="s">
        <v>5039</v>
      </c>
      <c r="AO658" s="86" t="s">
        <v>6505</v>
      </c>
      <c r="AP658" s="81" t="b">
        <v>0</v>
      </c>
      <c r="AQ658" s="86" t="s">
        <v>5039</v>
      </c>
      <c r="AR658" s="81" t="s">
        <v>179</v>
      </c>
      <c r="AS658" s="81">
        <v>0</v>
      </c>
      <c r="AT658" s="81">
        <v>0</v>
      </c>
      <c r="AU658" s="81"/>
      <c r="AV658" s="81"/>
      <c r="AW658" s="81"/>
      <c r="AX658" s="81"/>
      <c r="AY658" s="81"/>
      <c r="AZ658" s="81"/>
      <c r="BA658" s="81"/>
      <c r="BB658" s="81"/>
    </row>
    <row r="659" spans="1:54" x14ac:dyDescent="0.35">
      <c r="A659" s="66" t="s">
        <v>685</v>
      </c>
      <c r="B659" s="66" t="s">
        <v>685</v>
      </c>
      <c r="C659" s="67"/>
      <c r="D659" s="68"/>
      <c r="E659" s="69"/>
      <c r="F659" s="70"/>
      <c r="G659" s="67"/>
      <c r="H659" s="71"/>
      <c r="I659" s="72"/>
      <c r="J659" s="72"/>
      <c r="K659" s="36"/>
      <c r="L659" s="79"/>
      <c r="M659" s="79"/>
      <c r="N659" s="74"/>
      <c r="O659" s="81" t="s">
        <v>179</v>
      </c>
      <c r="P659" s="83">
        <v>44462.11409722222</v>
      </c>
      <c r="Q659" s="81" t="s">
        <v>1788</v>
      </c>
      <c r="R659" s="81"/>
      <c r="S659" s="81"/>
      <c r="T659" s="81"/>
      <c r="U659" s="84" t="str">
        <f>HYPERLINK("https://pbs.twimg.com/media/E_7_QQhVEAQXIs8.jpg")</f>
        <v>https://pbs.twimg.com/media/E_7_QQhVEAQXIs8.jpg</v>
      </c>
      <c r="V659" s="84" t="str">
        <f>HYPERLINK("https://pbs.twimg.com/media/E_7_QQhVEAQXIs8.jpg")</f>
        <v>https://pbs.twimg.com/media/E_7_QQhVEAQXIs8.jpg</v>
      </c>
      <c r="W659" s="83">
        <v>44462.11409722222</v>
      </c>
      <c r="X659" s="89">
        <v>44462</v>
      </c>
      <c r="Y659" s="86" t="s">
        <v>3263</v>
      </c>
      <c r="Z659" s="84" t="str">
        <f>HYPERLINK("https://twitter.com/satlantas_ds/status/1440869602821431302")</f>
        <v>https://twitter.com/satlantas_ds/status/1440869602821431302</v>
      </c>
      <c r="AA659" s="81"/>
      <c r="AB659" s="81"/>
      <c r="AC659" s="86" t="s">
        <v>4725</v>
      </c>
      <c r="AD659" s="81"/>
      <c r="AE659" s="81" t="b">
        <v>0</v>
      </c>
      <c r="AF659" s="81">
        <v>0</v>
      </c>
      <c r="AG659" s="86" t="s">
        <v>6240</v>
      </c>
      <c r="AH659" s="81" t="b">
        <v>0</v>
      </c>
      <c r="AI659" s="81" t="s">
        <v>6478</v>
      </c>
      <c r="AJ659" s="81"/>
      <c r="AK659" s="86" t="s">
        <v>6240</v>
      </c>
      <c r="AL659" s="81" t="b">
        <v>0</v>
      </c>
      <c r="AM659" s="81">
        <v>0</v>
      </c>
      <c r="AN659" s="86" t="s">
        <v>6240</v>
      </c>
      <c r="AO659" s="86" t="s">
        <v>6503</v>
      </c>
      <c r="AP659" s="81" t="b">
        <v>0</v>
      </c>
      <c r="AQ659" s="86" t="s">
        <v>4725</v>
      </c>
      <c r="AR659" s="81" t="s">
        <v>179</v>
      </c>
      <c r="AS659" s="81">
        <v>0</v>
      </c>
      <c r="AT659" s="81">
        <v>0</v>
      </c>
      <c r="AU659" s="81"/>
      <c r="AV659" s="81"/>
      <c r="AW659" s="81"/>
      <c r="AX659" s="81"/>
      <c r="AY659" s="81"/>
      <c r="AZ659" s="81"/>
      <c r="BA659" s="81"/>
      <c r="BB659" s="81"/>
    </row>
    <row r="660" spans="1:54" x14ac:dyDescent="0.35">
      <c r="A660" s="66" t="s">
        <v>685</v>
      </c>
      <c r="B660" s="66" t="s">
        <v>685</v>
      </c>
      <c r="C660" s="67"/>
      <c r="D660" s="68"/>
      <c r="E660" s="69"/>
      <c r="F660" s="70"/>
      <c r="G660" s="67"/>
      <c r="H660" s="71"/>
      <c r="I660" s="72"/>
      <c r="J660" s="72"/>
      <c r="K660" s="36"/>
      <c r="L660" s="79"/>
      <c r="M660" s="79"/>
      <c r="N660" s="74"/>
      <c r="O660" s="81" t="s">
        <v>179</v>
      </c>
      <c r="P660" s="83">
        <v>44462.115752314814</v>
      </c>
      <c r="Q660" s="81" t="s">
        <v>1789</v>
      </c>
      <c r="R660" s="81"/>
      <c r="S660" s="81"/>
      <c r="T660" s="81"/>
      <c r="U660" s="84" t="str">
        <f>HYPERLINK("https://pbs.twimg.com/media/E_7_y63VgA0w14g.jpg")</f>
        <v>https://pbs.twimg.com/media/E_7_y63VgA0w14g.jpg</v>
      </c>
      <c r="V660" s="84" t="str">
        <f>HYPERLINK("https://pbs.twimg.com/media/E_7_y63VgA0w14g.jpg")</f>
        <v>https://pbs.twimg.com/media/E_7_y63VgA0w14g.jpg</v>
      </c>
      <c r="W660" s="83">
        <v>44462.115752314814</v>
      </c>
      <c r="X660" s="89">
        <v>44462</v>
      </c>
      <c r="Y660" s="86" t="s">
        <v>3264</v>
      </c>
      <c r="Z660" s="84" t="str">
        <f>HYPERLINK("https://twitter.com/satlantas_ds/status/1440870203873583105")</f>
        <v>https://twitter.com/satlantas_ds/status/1440870203873583105</v>
      </c>
      <c r="AA660" s="81"/>
      <c r="AB660" s="81"/>
      <c r="AC660" s="86" t="s">
        <v>4726</v>
      </c>
      <c r="AD660" s="81"/>
      <c r="AE660" s="81" t="b">
        <v>0</v>
      </c>
      <c r="AF660" s="81">
        <v>0</v>
      </c>
      <c r="AG660" s="86" t="s">
        <v>6240</v>
      </c>
      <c r="AH660" s="81" t="b">
        <v>0</v>
      </c>
      <c r="AI660" s="81" t="s">
        <v>6478</v>
      </c>
      <c r="AJ660" s="81"/>
      <c r="AK660" s="86" t="s">
        <v>6240</v>
      </c>
      <c r="AL660" s="81" t="b">
        <v>0</v>
      </c>
      <c r="AM660" s="81">
        <v>0</v>
      </c>
      <c r="AN660" s="86" t="s">
        <v>6240</v>
      </c>
      <c r="AO660" s="86" t="s">
        <v>6503</v>
      </c>
      <c r="AP660" s="81" t="b">
        <v>0</v>
      </c>
      <c r="AQ660" s="86" t="s">
        <v>4726</v>
      </c>
      <c r="AR660" s="81" t="s">
        <v>179</v>
      </c>
      <c r="AS660" s="81">
        <v>0</v>
      </c>
      <c r="AT660" s="81">
        <v>0</v>
      </c>
      <c r="AU660" s="81"/>
      <c r="AV660" s="81"/>
      <c r="AW660" s="81"/>
      <c r="AX660" s="81"/>
      <c r="AY660" s="81"/>
      <c r="AZ660" s="81"/>
      <c r="BA660" s="81"/>
      <c r="BB660" s="81"/>
    </row>
    <row r="661" spans="1:54" x14ac:dyDescent="0.35">
      <c r="A661" s="66" t="s">
        <v>686</v>
      </c>
      <c r="B661" s="66" t="s">
        <v>686</v>
      </c>
      <c r="C661" s="67"/>
      <c r="D661" s="68"/>
      <c r="E661" s="69"/>
      <c r="F661" s="70"/>
      <c r="G661" s="67"/>
      <c r="H661" s="71"/>
      <c r="I661" s="72"/>
      <c r="J661" s="72"/>
      <c r="K661" s="36"/>
      <c r="L661" s="79"/>
      <c r="M661" s="79"/>
      <c r="N661" s="74"/>
      <c r="O661" s="81" t="s">
        <v>179</v>
      </c>
      <c r="P661" s="83">
        <v>44462.125532407408</v>
      </c>
      <c r="Q661" s="81" t="s">
        <v>1790</v>
      </c>
      <c r="R661" s="81"/>
      <c r="S661" s="81"/>
      <c r="T661" s="81"/>
      <c r="U661" s="81"/>
      <c r="V661" s="84" t="str">
        <f>HYPERLINK("https://pbs.twimg.com/profile_images/1440524505206558724/jcKy0hA2_normal.jpg")</f>
        <v>https://pbs.twimg.com/profile_images/1440524505206558724/jcKy0hA2_normal.jpg</v>
      </c>
      <c r="W661" s="83">
        <v>44462.125532407408</v>
      </c>
      <c r="X661" s="89">
        <v>44462</v>
      </c>
      <c r="Y661" s="86" t="s">
        <v>3265</v>
      </c>
      <c r="Z661" s="84" t="str">
        <f>HYPERLINK("https://twitter.com/seellacc/status/1440873748677021702")</f>
        <v>https://twitter.com/seellacc/status/1440873748677021702</v>
      </c>
      <c r="AA661" s="81"/>
      <c r="AB661" s="81"/>
      <c r="AC661" s="86" t="s">
        <v>4727</v>
      </c>
      <c r="AD661" s="81"/>
      <c r="AE661" s="81" t="b">
        <v>0</v>
      </c>
      <c r="AF661" s="81">
        <v>0</v>
      </c>
      <c r="AG661" s="86" t="s">
        <v>6240</v>
      </c>
      <c r="AH661" s="81" t="b">
        <v>0</v>
      </c>
      <c r="AI661" s="81" t="s">
        <v>6478</v>
      </c>
      <c r="AJ661" s="81"/>
      <c r="AK661" s="86" t="s">
        <v>6240</v>
      </c>
      <c r="AL661" s="81" t="b">
        <v>0</v>
      </c>
      <c r="AM661" s="81">
        <v>0</v>
      </c>
      <c r="AN661" s="86" t="s">
        <v>6240</v>
      </c>
      <c r="AO661" s="86" t="s">
        <v>6503</v>
      </c>
      <c r="AP661" s="81" t="b">
        <v>0</v>
      </c>
      <c r="AQ661" s="86" t="s">
        <v>4727</v>
      </c>
      <c r="AR661" s="81" t="s">
        <v>179</v>
      </c>
      <c r="AS661" s="81">
        <v>0</v>
      </c>
      <c r="AT661" s="81">
        <v>0</v>
      </c>
      <c r="AU661" s="81"/>
      <c r="AV661" s="81"/>
      <c r="AW661" s="81"/>
      <c r="AX661" s="81"/>
      <c r="AY661" s="81"/>
      <c r="AZ661" s="81"/>
      <c r="BA661" s="81"/>
      <c r="BB661" s="81"/>
    </row>
    <row r="662" spans="1:54" x14ac:dyDescent="0.35">
      <c r="A662" s="66" t="s">
        <v>687</v>
      </c>
      <c r="B662" s="66" t="s">
        <v>687</v>
      </c>
      <c r="C662" s="67"/>
      <c r="D662" s="68"/>
      <c r="E662" s="69"/>
      <c r="F662" s="70"/>
      <c r="G662" s="67"/>
      <c r="H662" s="71"/>
      <c r="I662" s="72"/>
      <c r="J662" s="72"/>
      <c r="K662" s="36"/>
      <c r="L662" s="79"/>
      <c r="M662" s="79"/>
      <c r="N662" s="74"/>
      <c r="O662" s="81" t="s">
        <v>179</v>
      </c>
      <c r="P662" s="83">
        <v>44462.128298611111</v>
      </c>
      <c r="Q662" s="81" t="s">
        <v>1791</v>
      </c>
      <c r="R662" s="81"/>
      <c r="S662" s="81"/>
      <c r="T662" s="81"/>
      <c r="U662" s="81"/>
      <c r="V662" s="84" t="str">
        <f>HYPERLINK("https://pbs.twimg.com/profile_images/1425469704504635393/VLY5d0Sl_normal.jpg")</f>
        <v>https://pbs.twimg.com/profile_images/1425469704504635393/VLY5d0Sl_normal.jpg</v>
      </c>
      <c r="W662" s="83">
        <v>44462.128298611111</v>
      </c>
      <c r="X662" s="89">
        <v>44462</v>
      </c>
      <c r="Y662" s="86" t="s">
        <v>3266</v>
      </c>
      <c r="Z662" s="84" t="str">
        <f>HYPERLINK("https://twitter.com/peeloffsmile/status/1440874753259020290")</f>
        <v>https://twitter.com/peeloffsmile/status/1440874753259020290</v>
      </c>
      <c r="AA662" s="81"/>
      <c r="AB662" s="81"/>
      <c r="AC662" s="86" t="s">
        <v>4728</v>
      </c>
      <c r="AD662" s="81"/>
      <c r="AE662" s="81" t="b">
        <v>0</v>
      </c>
      <c r="AF662" s="81">
        <v>0</v>
      </c>
      <c r="AG662" s="86" t="s">
        <v>6240</v>
      </c>
      <c r="AH662" s="81" t="b">
        <v>0</v>
      </c>
      <c r="AI662" s="81" t="s">
        <v>6478</v>
      </c>
      <c r="AJ662" s="81"/>
      <c r="AK662" s="86" t="s">
        <v>6240</v>
      </c>
      <c r="AL662" s="81" t="b">
        <v>0</v>
      </c>
      <c r="AM662" s="81">
        <v>0</v>
      </c>
      <c r="AN662" s="86" t="s">
        <v>6240</v>
      </c>
      <c r="AO662" s="86" t="s">
        <v>6503</v>
      </c>
      <c r="AP662" s="81" t="b">
        <v>0</v>
      </c>
      <c r="AQ662" s="86" t="s">
        <v>4728</v>
      </c>
      <c r="AR662" s="81" t="s">
        <v>179</v>
      </c>
      <c r="AS662" s="81">
        <v>0</v>
      </c>
      <c r="AT662" s="81">
        <v>0</v>
      </c>
      <c r="AU662" s="81"/>
      <c r="AV662" s="81"/>
      <c r="AW662" s="81"/>
      <c r="AX662" s="81"/>
      <c r="AY662" s="81"/>
      <c r="AZ662" s="81"/>
      <c r="BA662" s="81"/>
      <c r="BB662" s="81"/>
    </row>
    <row r="663" spans="1:54" x14ac:dyDescent="0.35">
      <c r="A663" s="66" t="s">
        <v>688</v>
      </c>
      <c r="B663" s="66" t="s">
        <v>688</v>
      </c>
      <c r="C663" s="67"/>
      <c r="D663" s="68"/>
      <c r="E663" s="69"/>
      <c r="F663" s="70"/>
      <c r="G663" s="67"/>
      <c r="H663" s="71"/>
      <c r="I663" s="72"/>
      <c r="J663" s="72"/>
      <c r="K663" s="36"/>
      <c r="L663" s="79"/>
      <c r="M663" s="79"/>
      <c r="N663" s="74"/>
      <c r="O663" s="81" t="s">
        <v>179</v>
      </c>
      <c r="P663" s="83">
        <v>44462.129247685189</v>
      </c>
      <c r="Q663" s="81" t="s">
        <v>1792</v>
      </c>
      <c r="R663" s="81"/>
      <c r="S663" s="81"/>
      <c r="T663" s="81"/>
      <c r="U663" s="81"/>
      <c r="V663" s="84" t="str">
        <f>HYPERLINK("https://pbs.twimg.com/profile_images/1436563360728846336/k2_-C4_Z_normal.jpg")</f>
        <v>https://pbs.twimg.com/profile_images/1436563360728846336/k2_-C4_Z_normal.jpg</v>
      </c>
      <c r="W663" s="83">
        <v>44462.129247685189</v>
      </c>
      <c r="X663" s="89">
        <v>44462</v>
      </c>
      <c r="Y663" s="86" t="s">
        <v>3267</v>
      </c>
      <c r="Z663" s="84" t="str">
        <f>HYPERLINK("https://twitter.com/namujoon__/status/1440875093706502152")</f>
        <v>https://twitter.com/namujoon__/status/1440875093706502152</v>
      </c>
      <c r="AA663" s="81"/>
      <c r="AB663" s="81"/>
      <c r="AC663" s="86" t="s">
        <v>4729</v>
      </c>
      <c r="AD663" s="81"/>
      <c r="AE663" s="81" t="b">
        <v>0</v>
      </c>
      <c r="AF663" s="81">
        <v>5</v>
      </c>
      <c r="AG663" s="86" t="s">
        <v>6240</v>
      </c>
      <c r="AH663" s="81" t="b">
        <v>0</v>
      </c>
      <c r="AI663" s="81" t="s">
        <v>6478</v>
      </c>
      <c r="AJ663" s="81"/>
      <c r="AK663" s="86" t="s">
        <v>6240</v>
      </c>
      <c r="AL663" s="81" t="b">
        <v>0</v>
      </c>
      <c r="AM663" s="81">
        <v>0</v>
      </c>
      <c r="AN663" s="86" t="s">
        <v>6240</v>
      </c>
      <c r="AO663" s="86" t="s">
        <v>6503</v>
      </c>
      <c r="AP663" s="81" t="b">
        <v>0</v>
      </c>
      <c r="AQ663" s="86" t="s">
        <v>4729</v>
      </c>
      <c r="AR663" s="81" t="s">
        <v>179</v>
      </c>
      <c r="AS663" s="81">
        <v>0</v>
      </c>
      <c r="AT663" s="81">
        <v>0</v>
      </c>
      <c r="AU663" s="81"/>
      <c r="AV663" s="81"/>
      <c r="AW663" s="81"/>
      <c r="AX663" s="81"/>
      <c r="AY663" s="81"/>
      <c r="AZ663" s="81"/>
      <c r="BA663" s="81"/>
      <c r="BB663" s="81"/>
    </row>
    <row r="664" spans="1:54" x14ac:dyDescent="0.35">
      <c r="A664" s="66" t="s">
        <v>689</v>
      </c>
      <c r="B664" s="66" t="s">
        <v>928</v>
      </c>
      <c r="C664" s="67"/>
      <c r="D664" s="68"/>
      <c r="E664" s="69"/>
      <c r="F664" s="70"/>
      <c r="G664" s="67"/>
      <c r="H664" s="71"/>
      <c r="I664" s="72"/>
      <c r="J664" s="72"/>
      <c r="K664" s="36"/>
      <c r="L664" s="79"/>
      <c r="M664" s="79"/>
      <c r="N664" s="74"/>
      <c r="O664" s="81" t="s">
        <v>1532</v>
      </c>
      <c r="P664" s="83">
        <v>44462.132094907407</v>
      </c>
      <c r="Q664" s="81" t="s">
        <v>1781</v>
      </c>
      <c r="R664" s="81"/>
      <c r="S664" s="81"/>
      <c r="T664" s="86" t="s">
        <v>2681</v>
      </c>
      <c r="U664" s="84" t="str">
        <f>HYPERLINK("https://pbs.twimg.com/media/E_6-KvyVgAA0Zfe.jpg")</f>
        <v>https://pbs.twimg.com/media/E_6-KvyVgAA0Zfe.jpg</v>
      </c>
      <c r="V664" s="84" t="str">
        <f>HYPERLINK("https://pbs.twimg.com/media/E_6-KvyVgAA0Zfe.jpg")</f>
        <v>https://pbs.twimg.com/media/E_6-KvyVgAA0Zfe.jpg</v>
      </c>
      <c r="W664" s="83">
        <v>44462.132094907407</v>
      </c>
      <c r="X664" s="89">
        <v>44462</v>
      </c>
      <c r="Y664" s="86" t="s">
        <v>3268</v>
      </c>
      <c r="Z664" s="84" t="str">
        <f>HYPERLINK("https://twitter.com/ridzki_ss/status/1440876127786913794")</f>
        <v>https://twitter.com/ridzki_ss/status/1440876127786913794</v>
      </c>
      <c r="AA664" s="81"/>
      <c r="AB664" s="81"/>
      <c r="AC664" s="86" t="s">
        <v>4730</v>
      </c>
      <c r="AD664" s="81"/>
      <c r="AE664" s="81" t="b">
        <v>0</v>
      </c>
      <c r="AF664" s="81">
        <v>0</v>
      </c>
      <c r="AG664" s="86" t="s">
        <v>6240</v>
      </c>
      <c r="AH664" s="81" t="b">
        <v>0</v>
      </c>
      <c r="AI664" s="81" t="s">
        <v>6479</v>
      </c>
      <c r="AJ664" s="81"/>
      <c r="AK664" s="86" t="s">
        <v>6240</v>
      </c>
      <c r="AL664" s="81" t="b">
        <v>0</v>
      </c>
      <c r="AM664" s="81">
        <v>71</v>
      </c>
      <c r="AN664" s="86" t="s">
        <v>5039</v>
      </c>
      <c r="AO664" s="86" t="s">
        <v>6503</v>
      </c>
      <c r="AP664" s="81" t="b">
        <v>0</v>
      </c>
      <c r="AQ664" s="86" t="s">
        <v>5039</v>
      </c>
      <c r="AR664" s="81" t="s">
        <v>179</v>
      </c>
      <c r="AS664" s="81">
        <v>0</v>
      </c>
      <c r="AT664" s="81">
        <v>0</v>
      </c>
      <c r="AU664" s="81"/>
      <c r="AV664" s="81"/>
      <c r="AW664" s="81"/>
      <c r="AX664" s="81"/>
      <c r="AY664" s="81"/>
      <c r="AZ664" s="81"/>
      <c r="BA664" s="81"/>
      <c r="BB664" s="81"/>
    </row>
    <row r="665" spans="1:54" x14ac:dyDescent="0.35">
      <c r="A665" s="66" t="s">
        <v>690</v>
      </c>
      <c r="B665" s="66" t="s">
        <v>928</v>
      </c>
      <c r="C665" s="67"/>
      <c r="D665" s="68"/>
      <c r="E665" s="69"/>
      <c r="F665" s="70"/>
      <c r="G665" s="67"/>
      <c r="H665" s="71"/>
      <c r="I665" s="72"/>
      <c r="J665" s="72"/>
      <c r="K665" s="36"/>
      <c r="L665" s="79"/>
      <c r="M665" s="79"/>
      <c r="N665" s="74"/>
      <c r="O665" s="81" t="s">
        <v>1532</v>
      </c>
      <c r="P665" s="83">
        <v>44462.133275462962</v>
      </c>
      <c r="Q665" s="81" t="s">
        <v>1781</v>
      </c>
      <c r="R665" s="81"/>
      <c r="S665" s="81"/>
      <c r="T665" s="86" t="s">
        <v>2681</v>
      </c>
      <c r="U665" s="84" t="str">
        <f>HYPERLINK("https://pbs.twimg.com/media/E_6-KvyVgAA0Zfe.jpg")</f>
        <v>https://pbs.twimg.com/media/E_6-KvyVgAA0Zfe.jpg</v>
      </c>
      <c r="V665" s="84" t="str">
        <f>HYPERLINK("https://pbs.twimg.com/media/E_6-KvyVgAA0Zfe.jpg")</f>
        <v>https://pbs.twimg.com/media/E_6-KvyVgAA0Zfe.jpg</v>
      </c>
      <c r="W665" s="83">
        <v>44462.133275462962</v>
      </c>
      <c r="X665" s="89">
        <v>44462</v>
      </c>
      <c r="Y665" s="86" t="s">
        <v>3269</v>
      </c>
      <c r="Z665" s="84" t="str">
        <f>HYPERLINK("https://twitter.com/hanifinho/status/1440876555069100037")</f>
        <v>https://twitter.com/hanifinho/status/1440876555069100037</v>
      </c>
      <c r="AA665" s="81"/>
      <c r="AB665" s="81"/>
      <c r="AC665" s="86" t="s">
        <v>4731</v>
      </c>
      <c r="AD665" s="81"/>
      <c r="AE665" s="81" t="b">
        <v>0</v>
      </c>
      <c r="AF665" s="81">
        <v>0</v>
      </c>
      <c r="AG665" s="86" t="s">
        <v>6240</v>
      </c>
      <c r="AH665" s="81" t="b">
        <v>0</v>
      </c>
      <c r="AI665" s="81" t="s">
        <v>6479</v>
      </c>
      <c r="AJ665" s="81"/>
      <c r="AK665" s="86" t="s">
        <v>6240</v>
      </c>
      <c r="AL665" s="81" t="b">
        <v>0</v>
      </c>
      <c r="AM665" s="81">
        <v>71</v>
      </c>
      <c r="AN665" s="86" t="s">
        <v>5039</v>
      </c>
      <c r="AO665" s="86" t="s">
        <v>6507</v>
      </c>
      <c r="AP665" s="81" t="b">
        <v>0</v>
      </c>
      <c r="AQ665" s="86" t="s">
        <v>5039</v>
      </c>
      <c r="AR665" s="81" t="s">
        <v>179</v>
      </c>
      <c r="AS665" s="81">
        <v>0</v>
      </c>
      <c r="AT665" s="81">
        <v>0</v>
      </c>
      <c r="AU665" s="81"/>
      <c r="AV665" s="81"/>
      <c r="AW665" s="81"/>
      <c r="AX665" s="81"/>
      <c r="AY665" s="81"/>
      <c r="AZ665" s="81"/>
      <c r="BA665" s="81"/>
      <c r="BB665" s="81"/>
    </row>
    <row r="666" spans="1:54" x14ac:dyDescent="0.35">
      <c r="A666" s="66" t="s">
        <v>691</v>
      </c>
      <c r="B666" s="66" t="s">
        <v>928</v>
      </c>
      <c r="C666" s="67"/>
      <c r="D666" s="68"/>
      <c r="E666" s="69"/>
      <c r="F666" s="70"/>
      <c r="G666" s="67"/>
      <c r="H666" s="71"/>
      <c r="I666" s="72"/>
      <c r="J666" s="72"/>
      <c r="K666" s="36"/>
      <c r="L666" s="79"/>
      <c r="M666" s="79"/>
      <c r="N666" s="74"/>
      <c r="O666" s="81" t="s">
        <v>1532</v>
      </c>
      <c r="P666" s="83">
        <v>44462.138206018521</v>
      </c>
      <c r="Q666" s="81" t="s">
        <v>1781</v>
      </c>
      <c r="R666" s="81"/>
      <c r="S666" s="81"/>
      <c r="T666" s="86" t="s">
        <v>2681</v>
      </c>
      <c r="U666" s="84" t="str">
        <f>HYPERLINK("https://pbs.twimg.com/media/E_6-KvyVgAA0Zfe.jpg")</f>
        <v>https://pbs.twimg.com/media/E_6-KvyVgAA0Zfe.jpg</v>
      </c>
      <c r="V666" s="84" t="str">
        <f>HYPERLINK("https://pbs.twimg.com/media/E_6-KvyVgAA0Zfe.jpg")</f>
        <v>https://pbs.twimg.com/media/E_6-KvyVgAA0Zfe.jpg</v>
      </c>
      <c r="W666" s="83">
        <v>44462.138206018521</v>
      </c>
      <c r="X666" s="89">
        <v>44462</v>
      </c>
      <c r="Y666" s="86" t="s">
        <v>3270</v>
      </c>
      <c r="Z666" s="84" t="str">
        <f>HYPERLINK("https://twitter.com/kaptenupil/status/1440878339489615880")</f>
        <v>https://twitter.com/kaptenupil/status/1440878339489615880</v>
      </c>
      <c r="AA666" s="81"/>
      <c r="AB666" s="81"/>
      <c r="AC666" s="86" t="s">
        <v>4732</v>
      </c>
      <c r="AD666" s="81"/>
      <c r="AE666" s="81" t="b">
        <v>0</v>
      </c>
      <c r="AF666" s="81">
        <v>0</v>
      </c>
      <c r="AG666" s="86" t="s">
        <v>6240</v>
      </c>
      <c r="AH666" s="81" t="b">
        <v>0</v>
      </c>
      <c r="AI666" s="81" t="s">
        <v>6479</v>
      </c>
      <c r="AJ666" s="81"/>
      <c r="AK666" s="86" t="s">
        <v>6240</v>
      </c>
      <c r="AL666" s="81" t="b">
        <v>0</v>
      </c>
      <c r="AM666" s="81">
        <v>71</v>
      </c>
      <c r="AN666" s="86" t="s">
        <v>5039</v>
      </c>
      <c r="AO666" s="86" t="s">
        <v>6503</v>
      </c>
      <c r="AP666" s="81" t="b">
        <v>0</v>
      </c>
      <c r="AQ666" s="86" t="s">
        <v>5039</v>
      </c>
      <c r="AR666" s="81" t="s">
        <v>179</v>
      </c>
      <c r="AS666" s="81">
        <v>0</v>
      </c>
      <c r="AT666" s="81">
        <v>0</v>
      </c>
      <c r="AU666" s="81"/>
      <c r="AV666" s="81"/>
      <c r="AW666" s="81"/>
      <c r="AX666" s="81"/>
      <c r="AY666" s="81"/>
      <c r="AZ666" s="81"/>
      <c r="BA666" s="81"/>
      <c r="BB666" s="81"/>
    </row>
    <row r="667" spans="1:54" x14ac:dyDescent="0.35">
      <c r="A667" s="66" t="s">
        <v>692</v>
      </c>
      <c r="B667" s="66" t="s">
        <v>858</v>
      </c>
      <c r="C667" s="67"/>
      <c r="D667" s="68"/>
      <c r="E667" s="69"/>
      <c r="F667" s="70"/>
      <c r="G667" s="67"/>
      <c r="H667" s="71"/>
      <c r="I667" s="72"/>
      <c r="J667" s="72"/>
      <c r="K667" s="36"/>
      <c r="L667" s="79"/>
      <c r="M667" s="79"/>
      <c r="N667" s="74"/>
      <c r="O667" s="81" t="s">
        <v>1532</v>
      </c>
      <c r="P667" s="83">
        <v>44462.140231481484</v>
      </c>
      <c r="Q667" s="81" t="s">
        <v>1793</v>
      </c>
      <c r="R667" s="81"/>
      <c r="S667" s="81"/>
      <c r="T667" s="81"/>
      <c r="U667" s="81"/>
      <c r="V667" s="84" t="str">
        <f>HYPERLINK("https://pbs.twimg.com/profile_images/1442057981965725703/YLrRty0P_normal.png")</f>
        <v>https://pbs.twimg.com/profile_images/1442057981965725703/YLrRty0P_normal.png</v>
      </c>
      <c r="W667" s="83">
        <v>44462.140231481484</v>
      </c>
      <c r="X667" s="89">
        <v>44462</v>
      </c>
      <c r="Y667" s="86" t="s">
        <v>3271</v>
      </c>
      <c r="Z667" s="84" t="str">
        <f>HYPERLINK("https://twitter.com/faayyyh/status/1440879077167022084")</f>
        <v>https://twitter.com/faayyyh/status/1440879077167022084</v>
      </c>
      <c r="AA667" s="81"/>
      <c r="AB667" s="81"/>
      <c r="AC667" s="86" t="s">
        <v>4733</v>
      </c>
      <c r="AD667" s="81"/>
      <c r="AE667" s="81" t="b">
        <v>0</v>
      </c>
      <c r="AF667" s="81">
        <v>0</v>
      </c>
      <c r="AG667" s="86" t="s">
        <v>6240</v>
      </c>
      <c r="AH667" s="81" t="b">
        <v>0</v>
      </c>
      <c r="AI667" s="81" t="s">
        <v>6479</v>
      </c>
      <c r="AJ667" s="81"/>
      <c r="AK667" s="86" t="s">
        <v>6240</v>
      </c>
      <c r="AL667" s="81" t="b">
        <v>0</v>
      </c>
      <c r="AM667" s="81">
        <v>6</v>
      </c>
      <c r="AN667" s="86" t="s">
        <v>4941</v>
      </c>
      <c r="AO667" s="86" t="s">
        <v>6503</v>
      </c>
      <c r="AP667" s="81" t="b">
        <v>0</v>
      </c>
      <c r="AQ667" s="86" t="s">
        <v>4941</v>
      </c>
      <c r="AR667" s="81" t="s">
        <v>179</v>
      </c>
      <c r="AS667" s="81">
        <v>0</v>
      </c>
      <c r="AT667" s="81">
        <v>0</v>
      </c>
      <c r="AU667" s="81"/>
      <c r="AV667" s="81"/>
      <c r="AW667" s="81"/>
      <c r="AX667" s="81"/>
      <c r="AY667" s="81"/>
      <c r="AZ667" s="81"/>
      <c r="BA667" s="81"/>
      <c r="BB667" s="81"/>
    </row>
    <row r="668" spans="1:54" x14ac:dyDescent="0.35">
      <c r="A668" s="66" t="s">
        <v>693</v>
      </c>
      <c r="B668" s="66" t="s">
        <v>693</v>
      </c>
      <c r="C668" s="67"/>
      <c r="D668" s="68"/>
      <c r="E668" s="69"/>
      <c r="F668" s="70"/>
      <c r="G668" s="67"/>
      <c r="H668" s="71"/>
      <c r="I668" s="72"/>
      <c r="J668" s="72"/>
      <c r="K668" s="36"/>
      <c r="L668" s="79"/>
      <c r="M668" s="79"/>
      <c r="N668" s="74"/>
      <c r="O668" s="81" t="s">
        <v>179</v>
      </c>
      <c r="P668" s="83">
        <v>44462.147337962961</v>
      </c>
      <c r="Q668" s="81" t="s">
        <v>1794</v>
      </c>
      <c r="R668" s="81"/>
      <c r="S668" s="81"/>
      <c r="T668" s="81"/>
      <c r="U668" s="81"/>
      <c r="V668" s="84" t="str">
        <f>HYPERLINK("https://pbs.twimg.com/profile_images/1438896010399416332/KVy5M-3X_normal.jpg")</f>
        <v>https://pbs.twimg.com/profile_images/1438896010399416332/KVy5M-3X_normal.jpg</v>
      </c>
      <c r="W668" s="83">
        <v>44462.147337962961</v>
      </c>
      <c r="X668" s="89">
        <v>44462</v>
      </c>
      <c r="Y668" s="86" t="s">
        <v>3272</v>
      </c>
      <c r="Z668" s="84" t="str">
        <f>HYPERLINK("https://twitter.com/aidilzulkefli_/status/1440881651123318787")</f>
        <v>https://twitter.com/aidilzulkefli_/status/1440881651123318787</v>
      </c>
      <c r="AA668" s="81"/>
      <c r="AB668" s="81"/>
      <c r="AC668" s="86" t="s">
        <v>4734</v>
      </c>
      <c r="AD668" s="81"/>
      <c r="AE668" s="81" t="b">
        <v>0</v>
      </c>
      <c r="AF668" s="81">
        <v>0</v>
      </c>
      <c r="AG668" s="86" t="s">
        <v>6240</v>
      </c>
      <c r="AH668" s="81" t="b">
        <v>0</v>
      </c>
      <c r="AI668" s="81" t="s">
        <v>6478</v>
      </c>
      <c r="AJ668" s="81"/>
      <c r="AK668" s="86" t="s">
        <v>6240</v>
      </c>
      <c r="AL668" s="81" t="b">
        <v>0</v>
      </c>
      <c r="AM668" s="81">
        <v>0</v>
      </c>
      <c r="AN668" s="86" t="s">
        <v>6240</v>
      </c>
      <c r="AO668" s="86" t="s">
        <v>6505</v>
      </c>
      <c r="AP668" s="81" t="b">
        <v>0</v>
      </c>
      <c r="AQ668" s="86" t="s">
        <v>4734</v>
      </c>
      <c r="AR668" s="81" t="s">
        <v>179</v>
      </c>
      <c r="AS668" s="81">
        <v>0</v>
      </c>
      <c r="AT668" s="81">
        <v>0</v>
      </c>
      <c r="AU668" s="81"/>
      <c r="AV668" s="81"/>
      <c r="AW668" s="81"/>
      <c r="AX668" s="81"/>
      <c r="AY668" s="81"/>
      <c r="AZ668" s="81"/>
      <c r="BA668" s="81"/>
      <c r="BB668" s="81"/>
    </row>
    <row r="669" spans="1:54" x14ac:dyDescent="0.35">
      <c r="A669" s="66" t="s">
        <v>694</v>
      </c>
      <c r="B669" s="66" t="s">
        <v>928</v>
      </c>
      <c r="C669" s="67"/>
      <c r="D669" s="68"/>
      <c r="E669" s="69"/>
      <c r="F669" s="70"/>
      <c r="G669" s="67"/>
      <c r="H669" s="71"/>
      <c r="I669" s="72"/>
      <c r="J669" s="72"/>
      <c r="K669" s="36"/>
      <c r="L669" s="79"/>
      <c r="M669" s="79"/>
      <c r="N669" s="74"/>
      <c r="O669" s="81" t="s">
        <v>1532</v>
      </c>
      <c r="P669" s="83">
        <v>44462.148252314815</v>
      </c>
      <c r="Q669" s="81" t="s">
        <v>1781</v>
      </c>
      <c r="R669" s="81"/>
      <c r="S669" s="81"/>
      <c r="T669" s="86" t="s">
        <v>2681</v>
      </c>
      <c r="U669" s="84" t="str">
        <f>HYPERLINK("https://pbs.twimg.com/media/E_6-KvyVgAA0Zfe.jpg")</f>
        <v>https://pbs.twimg.com/media/E_6-KvyVgAA0Zfe.jpg</v>
      </c>
      <c r="V669" s="84" t="str">
        <f>HYPERLINK("https://pbs.twimg.com/media/E_6-KvyVgAA0Zfe.jpg")</f>
        <v>https://pbs.twimg.com/media/E_6-KvyVgAA0Zfe.jpg</v>
      </c>
      <c r="W669" s="83">
        <v>44462.148252314815</v>
      </c>
      <c r="X669" s="89">
        <v>44462</v>
      </c>
      <c r="Y669" s="86" t="s">
        <v>3273</v>
      </c>
      <c r="Z669" s="84" t="str">
        <f>HYPERLINK("https://twitter.com/thisisfair99/status/1440881981571534851")</f>
        <v>https://twitter.com/thisisfair99/status/1440881981571534851</v>
      </c>
      <c r="AA669" s="81"/>
      <c r="AB669" s="81"/>
      <c r="AC669" s="86" t="s">
        <v>4735</v>
      </c>
      <c r="AD669" s="81"/>
      <c r="AE669" s="81" t="b">
        <v>0</v>
      </c>
      <c r="AF669" s="81">
        <v>0</v>
      </c>
      <c r="AG669" s="86" t="s">
        <v>6240</v>
      </c>
      <c r="AH669" s="81" t="b">
        <v>0</v>
      </c>
      <c r="AI669" s="81" t="s">
        <v>6479</v>
      </c>
      <c r="AJ669" s="81"/>
      <c r="AK669" s="86" t="s">
        <v>6240</v>
      </c>
      <c r="AL669" s="81" t="b">
        <v>0</v>
      </c>
      <c r="AM669" s="81">
        <v>71</v>
      </c>
      <c r="AN669" s="86" t="s">
        <v>5039</v>
      </c>
      <c r="AO669" s="86" t="s">
        <v>6503</v>
      </c>
      <c r="AP669" s="81" t="b">
        <v>0</v>
      </c>
      <c r="AQ669" s="86" t="s">
        <v>5039</v>
      </c>
      <c r="AR669" s="81" t="s">
        <v>179</v>
      </c>
      <c r="AS669" s="81">
        <v>0</v>
      </c>
      <c r="AT669" s="81">
        <v>0</v>
      </c>
      <c r="AU669" s="81"/>
      <c r="AV669" s="81"/>
      <c r="AW669" s="81"/>
      <c r="AX669" s="81"/>
      <c r="AY669" s="81"/>
      <c r="AZ669" s="81"/>
      <c r="BA669" s="81"/>
      <c r="BB669" s="81"/>
    </row>
    <row r="670" spans="1:54" x14ac:dyDescent="0.35">
      <c r="A670" s="66" t="s">
        <v>695</v>
      </c>
      <c r="B670" s="66" t="s">
        <v>928</v>
      </c>
      <c r="C670" s="67"/>
      <c r="D670" s="68"/>
      <c r="E670" s="69"/>
      <c r="F670" s="70"/>
      <c r="G670" s="67"/>
      <c r="H670" s="71"/>
      <c r="I670" s="72"/>
      <c r="J670" s="72"/>
      <c r="K670" s="36"/>
      <c r="L670" s="79"/>
      <c r="M670" s="79"/>
      <c r="N670" s="74"/>
      <c r="O670" s="81" t="s">
        <v>1532</v>
      </c>
      <c r="P670" s="83">
        <v>44462.159907407404</v>
      </c>
      <c r="Q670" s="81" t="s">
        <v>1781</v>
      </c>
      <c r="R670" s="81"/>
      <c r="S670" s="81"/>
      <c r="T670" s="86" t="s">
        <v>2681</v>
      </c>
      <c r="U670" s="84" t="str">
        <f>HYPERLINK("https://pbs.twimg.com/media/E_6-KvyVgAA0Zfe.jpg")</f>
        <v>https://pbs.twimg.com/media/E_6-KvyVgAA0Zfe.jpg</v>
      </c>
      <c r="V670" s="84" t="str">
        <f>HYPERLINK("https://pbs.twimg.com/media/E_6-KvyVgAA0Zfe.jpg")</f>
        <v>https://pbs.twimg.com/media/E_6-KvyVgAA0Zfe.jpg</v>
      </c>
      <c r="W670" s="83">
        <v>44462.159907407404</v>
      </c>
      <c r="X670" s="89">
        <v>44462</v>
      </c>
      <c r="Y670" s="86" t="s">
        <v>3274</v>
      </c>
      <c r="Z670" s="84" t="str">
        <f>HYPERLINK("https://twitter.com/fredsepra/status/1440886207257329674")</f>
        <v>https://twitter.com/fredsepra/status/1440886207257329674</v>
      </c>
      <c r="AA670" s="81"/>
      <c r="AB670" s="81"/>
      <c r="AC670" s="86" t="s">
        <v>4736</v>
      </c>
      <c r="AD670" s="81"/>
      <c r="AE670" s="81" t="b">
        <v>0</v>
      </c>
      <c r="AF670" s="81">
        <v>0</v>
      </c>
      <c r="AG670" s="86" t="s">
        <v>6240</v>
      </c>
      <c r="AH670" s="81" t="b">
        <v>0</v>
      </c>
      <c r="AI670" s="81" t="s">
        <v>6479</v>
      </c>
      <c r="AJ670" s="81"/>
      <c r="AK670" s="86" t="s">
        <v>6240</v>
      </c>
      <c r="AL670" s="81" t="b">
        <v>0</v>
      </c>
      <c r="AM670" s="81">
        <v>71</v>
      </c>
      <c r="AN670" s="86" t="s">
        <v>5039</v>
      </c>
      <c r="AO670" s="86" t="s">
        <v>6503</v>
      </c>
      <c r="AP670" s="81" t="b">
        <v>0</v>
      </c>
      <c r="AQ670" s="86" t="s">
        <v>5039</v>
      </c>
      <c r="AR670" s="81" t="s">
        <v>179</v>
      </c>
      <c r="AS670" s="81">
        <v>0</v>
      </c>
      <c r="AT670" s="81">
        <v>0</v>
      </c>
      <c r="AU670" s="81"/>
      <c r="AV670" s="81"/>
      <c r="AW670" s="81"/>
      <c r="AX670" s="81"/>
      <c r="AY670" s="81"/>
      <c r="AZ670" s="81"/>
      <c r="BA670" s="81"/>
      <c r="BB670" s="81"/>
    </row>
    <row r="671" spans="1:54" x14ac:dyDescent="0.35">
      <c r="A671" s="66" t="s">
        <v>696</v>
      </c>
      <c r="B671" s="66" t="s">
        <v>1374</v>
      </c>
      <c r="C671" s="67"/>
      <c r="D671" s="68"/>
      <c r="E671" s="69"/>
      <c r="F671" s="70"/>
      <c r="G671" s="67"/>
      <c r="H671" s="71"/>
      <c r="I671" s="72"/>
      <c r="J671" s="72"/>
      <c r="K671" s="36"/>
      <c r="L671" s="79"/>
      <c r="M671" s="79"/>
      <c r="N671" s="74"/>
      <c r="O671" s="81" t="s">
        <v>1534</v>
      </c>
      <c r="P671" s="83">
        <v>44462.169687499998</v>
      </c>
      <c r="Q671" s="81" t="s">
        <v>1795</v>
      </c>
      <c r="R671" s="81"/>
      <c r="S671" s="81"/>
      <c r="T671" s="81"/>
      <c r="U671" s="81"/>
      <c r="V671" s="84" t="str">
        <f>HYPERLINK("https://pbs.twimg.com/profile_images/1377846024987758593/b7SeOq73_normal.jpg")</f>
        <v>https://pbs.twimg.com/profile_images/1377846024987758593/b7SeOq73_normal.jpg</v>
      </c>
      <c r="W671" s="83">
        <v>44462.169687499998</v>
      </c>
      <c r="X671" s="89">
        <v>44462</v>
      </c>
      <c r="Y671" s="86" t="s">
        <v>3275</v>
      </c>
      <c r="Z671" s="84" t="str">
        <f>HYPERLINK("https://twitter.com/keychushoppu/status/1440889751758725120")</f>
        <v>https://twitter.com/keychushoppu/status/1440889751758725120</v>
      </c>
      <c r="AA671" s="81"/>
      <c r="AB671" s="81"/>
      <c r="AC671" s="86" t="s">
        <v>4737</v>
      </c>
      <c r="AD671" s="86" t="s">
        <v>6072</v>
      </c>
      <c r="AE671" s="81" t="b">
        <v>0</v>
      </c>
      <c r="AF671" s="81">
        <v>0</v>
      </c>
      <c r="AG671" s="86" t="s">
        <v>6335</v>
      </c>
      <c r="AH671" s="81" t="b">
        <v>0</v>
      </c>
      <c r="AI671" s="81" t="s">
        <v>6478</v>
      </c>
      <c r="AJ671" s="81"/>
      <c r="AK671" s="86" t="s">
        <v>6240</v>
      </c>
      <c r="AL671" s="81" t="b">
        <v>0</v>
      </c>
      <c r="AM671" s="81">
        <v>0</v>
      </c>
      <c r="AN671" s="86" t="s">
        <v>6240</v>
      </c>
      <c r="AO671" s="86" t="s">
        <v>6503</v>
      </c>
      <c r="AP671" s="81" t="b">
        <v>0</v>
      </c>
      <c r="AQ671" s="86" t="s">
        <v>6072</v>
      </c>
      <c r="AR671" s="81" t="s">
        <v>179</v>
      </c>
      <c r="AS671" s="81">
        <v>0</v>
      </c>
      <c r="AT671" s="81">
        <v>0</v>
      </c>
      <c r="AU671" s="81"/>
      <c r="AV671" s="81"/>
      <c r="AW671" s="81"/>
      <c r="AX671" s="81"/>
      <c r="AY671" s="81"/>
      <c r="AZ671" s="81"/>
      <c r="BA671" s="81"/>
      <c r="BB671" s="81"/>
    </row>
    <row r="672" spans="1:54" x14ac:dyDescent="0.35">
      <c r="A672" s="66" t="s">
        <v>697</v>
      </c>
      <c r="B672" s="66" t="s">
        <v>1375</v>
      </c>
      <c r="C672" s="67"/>
      <c r="D672" s="68"/>
      <c r="E672" s="69"/>
      <c r="F672" s="70"/>
      <c r="G672" s="67"/>
      <c r="H672" s="71"/>
      <c r="I672" s="72"/>
      <c r="J672" s="72"/>
      <c r="K672" s="36"/>
      <c r="L672" s="79"/>
      <c r="M672" s="79"/>
      <c r="N672" s="74"/>
      <c r="O672" s="81" t="s">
        <v>1534</v>
      </c>
      <c r="P672" s="83">
        <v>44462.174340277779</v>
      </c>
      <c r="Q672" s="81" t="s">
        <v>1796</v>
      </c>
      <c r="R672" s="81"/>
      <c r="S672" s="81"/>
      <c r="T672" s="81"/>
      <c r="U672" s="81"/>
      <c r="V672" s="84" t="str">
        <f>HYPERLINK("https://pbs.twimg.com/profile_images/1428401131605037059/r-BcOCMB_normal.jpg")</f>
        <v>https://pbs.twimg.com/profile_images/1428401131605037059/r-BcOCMB_normal.jpg</v>
      </c>
      <c r="W672" s="83">
        <v>44462.174340277779</v>
      </c>
      <c r="X672" s="89">
        <v>44462</v>
      </c>
      <c r="Y672" s="86" t="s">
        <v>3276</v>
      </c>
      <c r="Z672" s="84" t="str">
        <f>HYPERLINK("https://twitter.com/ayraayrong/status/1440891437101375490")</f>
        <v>https://twitter.com/ayraayrong/status/1440891437101375490</v>
      </c>
      <c r="AA672" s="81"/>
      <c r="AB672" s="81"/>
      <c r="AC672" s="86" t="s">
        <v>4738</v>
      </c>
      <c r="AD672" s="86" t="s">
        <v>6073</v>
      </c>
      <c r="AE672" s="81" t="b">
        <v>0</v>
      </c>
      <c r="AF672" s="81">
        <v>0</v>
      </c>
      <c r="AG672" s="86" t="s">
        <v>6336</v>
      </c>
      <c r="AH672" s="81" t="b">
        <v>0</v>
      </c>
      <c r="AI672" s="81" t="s">
        <v>6478</v>
      </c>
      <c r="AJ672" s="81"/>
      <c r="AK672" s="86" t="s">
        <v>6240</v>
      </c>
      <c r="AL672" s="81" t="b">
        <v>0</v>
      </c>
      <c r="AM672" s="81">
        <v>0</v>
      </c>
      <c r="AN672" s="86" t="s">
        <v>6240</v>
      </c>
      <c r="AO672" s="86" t="s">
        <v>6503</v>
      </c>
      <c r="AP672" s="81" t="b">
        <v>0</v>
      </c>
      <c r="AQ672" s="86" t="s">
        <v>6073</v>
      </c>
      <c r="AR672" s="81" t="s">
        <v>179</v>
      </c>
      <c r="AS672" s="81">
        <v>0</v>
      </c>
      <c r="AT672" s="81">
        <v>0</v>
      </c>
      <c r="AU672" s="81"/>
      <c r="AV672" s="81"/>
      <c r="AW672" s="81"/>
      <c r="AX672" s="81"/>
      <c r="AY672" s="81"/>
      <c r="AZ672" s="81"/>
      <c r="BA672" s="81"/>
      <c r="BB672" s="81"/>
    </row>
    <row r="673" spans="1:54" x14ac:dyDescent="0.35">
      <c r="A673" s="66" t="s">
        <v>698</v>
      </c>
      <c r="B673" s="66" t="s">
        <v>698</v>
      </c>
      <c r="C673" s="67"/>
      <c r="D673" s="68"/>
      <c r="E673" s="69"/>
      <c r="F673" s="70"/>
      <c r="G673" s="67"/>
      <c r="H673" s="71"/>
      <c r="I673" s="72"/>
      <c r="J673" s="72"/>
      <c r="K673" s="36"/>
      <c r="L673" s="79"/>
      <c r="M673" s="79"/>
      <c r="N673" s="74"/>
      <c r="O673" s="81" t="s">
        <v>179</v>
      </c>
      <c r="P673" s="83">
        <v>44462.175254629627</v>
      </c>
      <c r="Q673" s="81" t="s">
        <v>1797</v>
      </c>
      <c r="R673" s="81"/>
      <c r="S673" s="81"/>
      <c r="T673" s="81"/>
      <c r="U673" s="84" t="str">
        <f>HYPERLINK("https://pbs.twimg.com/media/E_8TagYVUAABhJ3.jpg")</f>
        <v>https://pbs.twimg.com/media/E_8TagYVUAABhJ3.jpg</v>
      </c>
      <c r="V673" s="84" t="str">
        <f>HYPERLINK("https://pbs.twimg.com/media/E_8TagYVUAABhJ3.jpg")</f>
        <v>https://pbs.twimg.com/media/E_8TagYVUAABhJ3.jpg</v>
      </c>
      <c r="W673" s="83">
        <v>44462.175254629627</v>
      </c>
      <c r="X673" s="89">
        <v>44462</v>
      </c>
      <c r="Y673" s="86" t="s">
        <v>3277</v>
      </c>
      <c r="Z673" s="84" t="str">
        <f>HYPERLINK("https://twitter.com/areizaldy/status/1440891767633551366")</f>
        <v>https://twitter.com/areizaldy/status/1440891767633551366</v>
      </c>
      <c r="AA673" s="81"/>
      <c r="AB673" s="81"/>
      <c r="AC673" s="86" t="s">
        <v>4739</v>
      </c>
      <c r="AD673" s="81"/>
      <c r="AE673" s="81" t="b">
        <v>0</v>
      </c>
      <c r="AF673" s="81">
        <v>0</v>
      </c>
      <c r="AG673" s="86" t="s">
        <v>6240</v>
      </c>
      <c r="AH673" s="81" t="b">
        <v>0</v>
      </c>
      <c r="AI673" s="81" t="s">
        <v>6478</v>
      </c>
      <c r="AJ673" s="81"/>
      <c r="AK673" s="86" t="s">
        <v>6240</v>
      </c>
      <c r="AL673" s="81" t="b">
        <v>0</v>
      </c>
      <c r="AM673" s="81">
        <v>0</v>
      </c>
      <c r="AN673" s="86" t="s">
        <v>6240</v>
      </c>
      <c r="AO673" s="86" t="s">
        <v>6505</v>
      </c>
      <c r="AP673" s="81" t="b">
        <v>0</v>
      </c>
      <c r="AQ673" s="86" t="s">
        <v>4739</v>
      </c>
      <c r="AR673" s="81" t="s">
        <v>179</v>
      </c>
      <c r="AS673" s="81">
        <v>0</v>
      </c>
      <c r="AT673" s="81">
        <v>0</v>
      </c>
      <c r="AU673" s="81"/>
      <c r="AV673" s="81"/>
      <c r="AW673" s="81"/>
      <c r="AX673" s="81"/>
      <c r="AY673" s="81"/>
      <c r="AZ673" s="81"/>
      <c r="BA673" s="81"/>
      <c r="BB673" s="81"/>
    </row>
    <row r="674" spans="1:54" x14ac:dyDescent="0.35">
      <c r="A674" s="66" t="s">
        <v>699</v>
      </c>
      <c r="B674" s="66" t="s">
        <v>699</v>
      </c>
      <c r="C674" s="67"/>
      <c r="D674" s="68"/>
      <c r="E674" s="69"/>
      <c r="F674" s="70"/>
      <c r="G674" s="67"/>
      <c r="H674" s="71"/>
      <c r="I674" s="72"/>
      <c r="J674" s="72"/>
      <c r="K674" s="36"/>
      <c r="L674" s="79"/>
      <c r="M674" s="79"/>
      <c r="N674" s="74"/>
      <c r="O674" s="81" t="s">
        <v>179</v>
      </c>
      <c r="P674" s="83">
        <v>44462.17659722222</v>
      </c>
      <c r="Q674" s="81" t="s">
        <v>1798</v>
      </c>
      <c r="R674" s="81"/>
      <c r="S674" s="81"/>
      <c r="T674" s="81"/>
      <c r="U674" s="81"/>
      <c r="V674" s="84" t="str">
        <f>HYPERLINK("https://pbs.twimg.com/profile_images/1426934720076546062/K57ohcQp_normal.jpg")</f>
        <v>https://pbs.twimg.com/profile_images/1426934720076546062/K57ohcQp_normal.jpg</v>
      </c>
      <c r="W674" s="83">
        <v>44462.17659722222</v>
      </c>
      <c r="X674" s="89">
        <v>44462</v>
      </c>
      <c r="Y674" s="86" t="s">
        <v>3278</v>
      </c>
      <c r="Z674" s="84" t="str">
        <f>HYPERLINK("https://twitter.com/zkrhm/status/1440892255179460610")</f>
        <v>https://twitter.com/zkrhm/status/1440892255179460610</v>
      </c>
      <c r="AA674" s="81"/>
      <c r="AB674" s="81"/>
      <c r="AC674" s="86" t="s">
        <v>4740</v>
      </c>
      <c r="AD674" s="81"/>
      <c r="AE674" s="81" t="b">
        <v>0</v>
      </c>
      <c r="AF674" s="81">
        <v>1</v>
      </c>
      <c r="AG674" s="86" t="s">
        <v>6240</v>
      </c>
      <c r="AH674" s="81" t="b">
        <v>0</v>
      </c>
      <c r="AI674" s="81" t="s">
        <v>6478</v>
      </c>
      <c r="AJ674" s="81"/>
      <c r="AK674" s="86" t="s">
        <v>6240</v>
      </c>
      <c r="AL674" s="81" t="b">
        <v>0</v>
      </c>
      <c r="AM674" s="81">
        <v>0</v>
      </c>
      <c r="AN674" s="86" t="s">
        <v>6240</v>
      </c>
      <c r="AO674" s="86" t="s">
        <v>6507</v>
      </c>
      <c r="AP674" s="81" t="b">
        <v>0</v>
      </c>
      <c r="AQ674" s="86" t="s">
        <v>4740</v>
      </c>
      <c r="AR674" s="81" t="s">
        <v>179</v>
      </c>
      <c r="AS674" s="81">
        <v>0</v>
      </c>
      <c r="AT674" s="81">
        <v>0</v>
      </c>
      <c r="AU674" s="81"/>
      <c r="AV674" s="81"/>
      <c r="AW674" s="81"/>
      <c r="AX674" s="81"/>
      <c r="AY674" s="81"/>
      <c r="AZ674" s="81"/>
      <c r="BA674" s="81"/>
      <c r="BB674" s="81"/>
    </row>
    <row r="675" spans="1:54" x14ac:dyDescent="0.35">
      <c r="A675" s="66" t="s">
        <v>700</v>
      </c>
      <c r="B675" s="66" t="s">
        <v>928</v>
      </c>
      <c r="C675" s="67"/>
      <c r="D675" s="68"/>
      <c r="E675" s="69"/>
      <c r="F675" s="70"/>
      <c r="G675" s="67"/>
      <c r="H675" s="71"/>
      <c r="I675" s="72"/>
      <c r="J675" s="72"/>
      <c r="K675" s="36"/>
      <c r="L675" s="79"/>
      <c r="M675" s="79"/>
      <c r="N675" s="74"/>
      <c r="O675" s="81" t="s">
        <v>1532</v>
      </c>
      <c r="P675" s="83">
        <v>44462.178553240738</v>
      </c>
      <c r="Q675" s="81" t="s">
        <v>1781</v>
      </c>
      <c r="R675" s="81"/>
      <c r="S675" s="81"/>
      <c r="T675" s="86" t="s">
        <v>2681</v>
      </c>
      <c r="U675" s="84" t="str">
        <f>HYPERLINK("https://pbs.twimg.com/media/E_6-KvyVgAA0Zfe.jpg")</f>
        <v>https://pbs.twimg.com/media/E_6-KvyVgAA0Zfe.jpg</v>
      </c>
      <c r="V675" s="84" t="str">
        <f>HYPERLINK("https://pbs.twimg.com/media/E_6-KvyVgAA0Zfe.jpg")</f>
        <v>https://pbs.twimg.com/media/E_6-KvyVgAA0Zfe.jpg</v>
      </c>
      <c r="W675" s="83">
        <v>44462.178553240738</v>
      </c>
      <c r="X675" s="89">
        <v>44462</v>
      </c>
      <c r="Y675" s="86" t="s">
        <v>3279</v>
      </c>
      <c r="Z675" s="84" t="str">
        <f>HYPERLINK("https://twitter.com/abdullah_s3eed_/status/1440892963169742848")</f>
        <v>https://twitter.com/abdullah_s3eed_/status/1440892963169742848</v>
      </c>
      <c r="AA675" s="81"/>
      <c r="AB675" s="81"/>
      <c r="AC675" s="86" t="s">
        <v>4741</v>
      </c>
      <c r="AD675" s="81"/>
      <c r="AE675" s="81" t="b">
        <v>0</v>
      </c>
      <c r="AF675" s="81">
        <v>0</v>
      </c>
      <c r="AG675" s="86" t="s">
        <v>6240</v>
      </c>
      <c r="AH675" s="81" t="b">
        <v>0</v>
      </c>
      <c r="AI675" s="81" t="s">
        <v>6479</v>
      </c>
      <c r="AJ675" s="81"/>
      <c r="AK675" s="86" t="s">
        <v>6240</v>
      </c>
      <c r="AL675" s="81" t="b">
        <v>0</v>
      </c>
      <c r="AM675" s="81">
        <v>71</v>
      </c>
      <c r="AN675" s="86" t="s">
        <v>5039</v>
      </c>
      <c r="AO675" s="86" t="s">
        <v>6503</v>
      </c>
      <c r="AP675" s="81" t="b">
        <v>0</v>
      </c>
      <c r="AQ675" s="86" t="s">
        <v>5039</v>
      </c>
      <c r="AR675" s="81" t="s">
        <v>179</v>
      </c>
      <c r="AS675" s="81">
        <v>0</v>
      </c>
      <c r="AT675" s="81">
        <v>0</v>
      </c>
      <c r="AU675" s="81"/>
      <c r="AV675" s="81"/>
      <c r="AW675" s="81"/>
      <c r="AX675" s="81"/>
      <c r="AY675" s="81"/>
      <c r="AZ675" s="81"/>
      <c r="BA675" s="81"/>
      <c r="BB675" s="81"/>
    </row>
    <row r="676" spans="1:54" x14ac:dyDescent="0.35">
      <c r="A676" s="66" t="s">
        <v>701</v>
      </c>
      <c r="B676" s="66" t="s">
        <v>928</v>
      </c>
      <c r="C676" s="67"/>
      <c r="D676" s="68"/>
      <c r="E676" s="69"/>
      <c r="F676" s="70"/>
      <c r="G676" s="67"/>
      <c r="H676" s="71"/>
      <c r="I676" s="72"/>
      <c r="J676" s="72"/>
      <c r="K676" s="36"/>
      <c r="L676" s="79"/>
      <c r="M676" s="79"/>
      <c r="N676" s="74"/>
      <c r="O676" s="81" t="s">
        <v>1532</v>
      </c>
      <c r="P676" s="83">
        <v>44462.181527777779</v>
      </c>
      <c r="Q676" s="81" t="s">
        <v>1781</v>
      </c>
      <c r="R676" s="81"/>
      <c r="S676" s="81"/>
      <c r="T676" s="86" t="s">
        <v>2681</v>
      </c>
      <c r="U676" s="84" t="str">
        <f>HYPERLINK("https://pbs.twimg.com/media/E_6-KvyVgAA0Zfe.jpg")</f>
        <v>https://pbs.twimg.com/media/E_6-KvyVgAA0Zfe.jpg</v>
      </c>
      <c r="V676" s="84" t="str">
        <f>HYPERLINK("https://pbs.twimg.com/media/E_6-KvyVgAA0Zfe.jpg")</f>
        <v>https://pbs.twimg.com/media/E_6-KvyVgAA0Zfe.jpg</v>
      </c>
      <c r="W676" s="83">
        <v>44462.181527777779</v>
      </c>
      <c r="X676" s="89">
        <v>44462</v>
      </c>
      <c r="Y676" s="86" t="s">
        <v>3280</v>
      </c>
      <c r="Z676" s="84" t="str">
        <f>HYPERLINK("https://twitter.com/kuyaaglaya/status/1440894041625808896")</f>
        <v>https://twitter.com/kuyaaglaya/status/1440894041625808896</v>
      </c>
      <c r="AA676" s="81"/>
      <c r="AB676" s="81"/>
      <c r="AC676" s="86" t="s">
        <v>4742</v>
      </c>
      <c r="AD676" s="81"/>
      <c r="AE676" s="81" t="b">
        <v>0</v>
      </c>
      <c r="AF676" s="81">
        <v>0</v>
      </c>
      <c r="AG676" s="86" t="s">
        <v>6240</v>
      </c>
      <c r="AH676" s="81" t="b">
        <v>0</v>
      </c>
      <c r="AI676" s="81" t="s">
        <v>6479</v>
      </c>
      <c r="AJ676" s="81"/>
      <c r="AK676" s="86" t="s">
        <v>6240</v>
      </c>
      <c r="AL676" s="81" t="b">
        <v>0</v>
      </c>
      <c r="AM676" s="81">
        <v>71</v>
      </c>
      <c r="AN676" s="86" t="s">
        <v>5039</v>
      </c>
      <c r="AO676" s="86" t="s">
        <v>6519</v>
      </c>
      <c r="AP676" s="81" t="b">
        <v>0</v>
      </c>
      <c r="AQ676" s="86" t="s">
        <v>5039</v>
      </c>
      <c r="AR676" s="81" t="s">
        <v>179</v>
      </c>
      <c r="AS676" s="81">
        <v>0</v>
      </c>
      <c r="AT676" s="81">
        <v>0</v>
      </c>
      <c r="AU676" s="81"/>
      <c r="AV676" s="81"/>
      <c r="AW676" s="81"/>
      <c r="AX676" s="81"/>
      <c r="AY676" s="81"/>
      <c r="AZ676" s="81"/>
      <c r="BA676" s="81"/>
      <c r="BB676" s="81"/>
    </row>
    <row r="677" spans="1:54" x14ac:dyDescent="0.35">
      <c r="A677" s="66" t="s">
        <v>702</v>
      </c>
      <c r="B677" s="66" t="s">
        <v>1376</v>
      </c>
      <c r="C677" s="67"/>
      <c r="D677" s="68"/>
      <c r="E677" s="69"/>
      <c r="F677" s="70"/>
      <c r="G677" s="67"/>
      <c r="H677" s="71"/>
      <c r="I677" s="72"/>
      <c r="J677" s="72"/>
      <c r="K677" s="36"/>
      <c r="L677" s="79"/>
      <c r="M677" s="79"/>
      <c r="N677" s="74"/>
      <c r="O677" s="81" t="s">
        <v>1535</v>
      </c>
      <c r="P677" s="83">
        <v>44462.181770833333</v>
      </c>
      <c r="Q677" s="81" t="s">
        <v>1799</v>
      </c>
      <c r="R677" s="81" t="s">
        <v>2573</v>
      </c>
      <c r="S677" s="81" t="s">
        <v>2611</v>
      </c>
      <c r="T677" s="81"/>
      <c r="U677" s="81"/>
      <c r="V677" s="84" t="str">
        <f>HYPERLINK("https://pbs.twimg.com/profile_images/1438085096569901058/xMxKofZ7_normal.jpg")</f>
        <v>https://pbs.twimg.com/profile_images/1438085096569901058/xMxKofZ7_normal.jpg</v>
      </c>
      <c r="W677" s="83">
        <v>44462.181770833333</v>
      </c>
      <c r="X677" s="89">
        <v>44462</v>
      </c>
      <c r="Y677" s="86" t="s">
        <v>3281</v>
      </c>
      <c r="Z677" s="84" t="str">
        <f>HYPERLINK("https://twitter.com/btstreamingid/status/1440894127848124416")</f>
        <v>https://twitter.com/btstreamingid/status/1440894127848124416</v>
      </c>
      <c r="AA677" s="81"/>
      <c r="AB677" s="81"/>
      <c r="AC677" s="86" t="s">
        <v>4743</v>
      </c>
      <c r="AD677" s="81"/>
      <c r="AE677" s="81" t="b">
        <v>0</v>
      </c>
      <c r="AF677" s="81">
        <v>153</v>
      </c>
      <c r="AG677" s="86" t="s">
        <v>6240</v>
      </c>
      <c r="AH677" s="81" t="b">
        <v>0</v>
      </c>
      <c r="AI677" s="81" t="s">
        <v>6478</v>
      </c>
      <c r="AJ677" s="81"/>
      <c r="AK677" s="86" t="s">
        <v>6240</v>
      </c>
      <c r="AL677" s="81" t="b">
        <v>0</v>
      </c>
      <c r="AM677" s="81">
        <v>79</v>
      </c>
      <c r="AN677" s="86" t="s">
        <v>6240</v>
      </c>
      <c r="AO677" s="86" t="s">
        <v>6503</v>
      </c>
      <c r="AP677" s="81" t="b">
        <v>0</v>
      </c>
      <c r="AQ677" s="86" t="s">
        <v>4743</v>
      </c>
      <c r="AR677" s="81" t="s">
        <v>1532</v>
      </c>
      <c r="AS677" s="81">
        <v>0</v>
      </c>
      <c r="AT677" s="81">
        <v>0</v>
      </c>
      <c r="AU677" s="81"/>
      <c r="AV677" s="81"/>
      <c r="AW677" s="81"/>
      <c r="AX677" s="81"/>
      <c r="AY677" s="81"/>
      <c r="AZ677" s="81"/>
      <c r="BA677" s="81"/>
      <c r="BB677" s="81"/>
    </row>
    <row r="678" spans="1:54" x14ac:dyDescent="0.35">
      <c r="A678" s="66" t="s">
        <v>703</v>
      </c>
      <c r="B678" s="66" t="s">
        <v>1376</v>
      </c>
      <c r="C678" s="67"/>
      <c r="D678" s="68"/>
      <c r="E678" s="69"/>
      <c r="F678" s="70"/>
      <c r="G678" s="67"/>
      <c r="H678" s="71"/>
      <c r="I678" s="72"/>
      <c r="J678" s="72"/>
      <c r="K678" s="36"/>
      <c r="L678" s="79"/>
      <c r="M678" s="79"/>
      <c r="N678" s="74"/>
      <c r="O678" s="81" t="s">
        <v>1533</v>
      </c>
      <c r="P678" s="83">
        <v>44462.185474537036</v>
      </c>
      <c r="Q678" s="81" t="s">
        <v>1799</v>
      </c>
      <c r="R678" s="81" t="s">
        <v>2573</v>
      </c>
      <c r="S678" s="81" t="s">
        <v>2611</v>
      </c>
      <c r="T678" s="81"/>
      <c r="U678" s="81"/>
      <c r="V678" s="84" t="str">
        <f>HYPERLINK("https://pbs.twimg.com/profile_images/1437620706737414154/Dey8EhJs_normal.jpg")</f>
        <v>https://pbs.twimg.com/profile_images/1437620706737414154/Dey8EhJs_normal.jpg</v>
      </c>
      <c r="W678" s="83">
        <v>44462.185474537036</v>
      </c>
      <c r="X678" s="89">
        <v>44462</v>
      </c>
      <c r="Y678" s="86" t="s">
        <v>3282</v>
      </c>
      <c r="Z678" s="84" t="str">
        <f>HYPERLINK("https://twitter.com/jhope_indonesia/status/1440895470461542402")</f>
        <v>https://twitter.com/jhope_indonesia/status/1440895470461542402</v>
      </c>
      <c r="AA678" s="81"/>
      <c r="AB678" s="81"/>
      <c r="AC678" s="86" t="s">
        <v>4744</v>
      </c>
      <c r="AD678" s="81"/>
      <c r="AE678" s="81" t="b">
        <v>0</v>
      </c>
      <c r="AF678" s="81">
        <v>0</v>
      </c>
      <c r="AG678" s="86" t="s">
        <v>6240</v>
      </c>
      <c r="AH678" s="81" t="b">
        <v>0</v>
      </c>
      <c r="AI678" s="81" t="s">
        <v>6478</v>
      </c>
      <c r="AJ678" s="81"/>
      <c r="AK678" s="86" t="s">
        <v>6240</v>
      </c>
      <c r="AL678" s="81" t="b">
        <v>0</v>
      </c>
      <c r="AM678" s="81">
        <v>79</v>
      </c>
      <c r="AN678" s="86" t="s">
        <v>4743</v>
      </c>
      <c r="AO678" s="86" t="s">
        <v>6503</v>
      </c>
      <c r="AP678" s="81" t="b">
        <v>0</v>
      </c>
      <c r="AQ678" s="86" t="s">
        <v>4743</v>
      </c>
      <c r="AR678" s="81" t="s">
        <v>179</v>
      </c>
      <c r="AS678" s="81">
        <v>0</v>
      </c>
      <c r="AT678" s="81">
        <v>0</v>
      </c>
      <c r="AU678" s="81"/>
      <c r="AV678" s="81"/>
      <c r="AW678" s="81"/>
      <c r="AX678" s="81"/>
      <c r="AY678" s="81"/>
      <c r="AZ678" s="81"/>
      <c r="BA678" s="81"/>
      <c r="BB678" s="81"/>
    </row>
    <row r="679" spans="1:54" x14ac:dyDescent="0.35">
      <c r="A679" s="66" t="s">
        <v>703</v>
      </c>
      <c r="B679" s="66" t="s">
        <v>702</v>
      </c>
      <c r="C679" s="67"/>
      <c r="D679" s="68"/>
      <c r="E679" s="69"/>
      <c r="F679" s="70"/>
      <c r="G679" s="67"/>
      <c r="H679" s="71"/>
      <c r="I679" s="72"/>
      <c r="J679" s="72"/>
      <c r="K679" s="36"/>
      <c r="L679" s="79"/>
      <c r="M679" s="79"/>
      <c r="N679" s="74"/>
      <c r="O679" s="81" t="s">
        <v>1532</v>
      </c>
      <c r="P679" s="83">
        <v>44462.185474537036</v>
      </c>
      <c r="Q679" s="81" t="s">
        <v>1799</v>
      </c>
      <c r="R679" s="81" t="s">
        <v>2573</v>
      </c>
      <c r="S679" s="81" t="s">
        <v>2611</v>
      </c>
      <c r="T679" s="81"/>
      <c r="U679" s="81"/>
      <c r="V679" s="84" t="str">
        <f>HYPERLINK("https://pbs.twimg.com/profile_images/1437620706737414154/Dey8EhJs_normal.jpg")</f>
        <v>https://pbs.twimg.com/profile_images/1437620706737414154/Dey8EhJs_normal.jpg</v>
      </c>
      <c r="W679" s="83">
        <v>44462.185474537036</v>
      </c>
      <c r="X679" s="89">
        <v>44462</v>
      </c>
      <c r="Y679" s="86" t="s">
        <v>3282</v>
      </c>
      <c r="Z679" s="84" t="str">
        <f>HYPERLINK("https://twitter.com/jhope_indonesia/status/1440895470461542402")</f>
        <v>https://twitter.com/jhope_indonesia/status/1440895470461542402</v>
      </c>
      <c r="AA679" s="81"/>
      <c r="AB679" s="81"/>
      <c r="AC679" s="86" t="s">
        <v>4744</v>
      </c>
      <c r="AD679" s="81"/>
      <c r="AE679" s="81" t="b">
        <v>0</v>
      </c>
      <c r="AF679" s="81">
        <v>0</v>
      </c>
      <c r="AG679" s="86" t="s">
        <v>6240</v>
      </c>
      <c r="AH679" s="81" t="b">
        <v>0</v>
      </c>
      <c r="AI679" s="81" t="s">
        <v>6478</v>
      </c>
      <c r="AJ679" s="81"/>
      <c r="AK679" s="86" t="s">
        <v>6240</v>
      </c>
      <c r="AL679" s="81" t="b">
        <v>0</v>
      </c>
      <c r="AM679" s="81">
        <v>79</v>
      </c>
      <c r="AN679" s="86" t="s">
        <v>4743</v>
      </c>
      <c r="AO679" s="86" t="s">
        <v>6503</v>
      </c>
      <c r="AP679" s="81" t="b">
        <v>0</v>
      </c>
      <c r="AQ679" s="86" t="s">
        <v>4743</v>
      </c>
      <c r="AR679" s="81" t="s">
        <v>179</v>
      </c>
      <c r="AS679" s="81">
        <v>0</v>
      </c>
      <c r="AT679" s="81">
        <v>0</v>
      </c>
      <c r="AU679" s="81"/>
      <c r="AV679" s="81"/>
      <c r="AW679" s="81"/>
      <c r="AX679" s="81"/>
      <c r="AY679" s="81"/>
      <c r="AZ679" s="81"/>
      <c r="BA679" s="81"/>
      <c r="BB679" s="81"/>
    </row>
    <row r="680" spans="1:54" x14ac:dyDescent="0.35">
      <c r="A680" s="66" t="s">
        <v>704</v>
      </c>
      <c r="B680" s="66" t="s">
        <v>858</v>
      </c>
      <c r="C680" s="67"/>
      <c r="D680" s="68"/>
      <c r="E680" s="69"/>
      <c r="F680" s="70"/>
      <c r="G680" s="67"/>
      <c r="H680" s="71"/>
      <c r="I680" s="72"/>
      <c r="J680" s="72"/>
      <c r="K680" s="36"/>
      <c r="L680" s="79"/>
      <c r="M680" s="79"/>
      <c r="N680" s="74"/>
      <c r="O680" s="81" t="s">
        <v>1532</v>
      </c>
      <c r="P680" s="83">
        <v>44462.188576388886</v>
      </c>
      <c r="Q680" s="81" t="s">
        <v>1793</v>
      </c>
      <c r="R680" s="81"/>
      <c r="S680" s="81"/>
      <c r="T680" s="81"/>
      <c r="U680" s="81"/>
      <c r="V680" s="84" t="str">
        <f>HYPERLINK("https://pbs.twimg.com/profile_images/1431485031566897154/JqH9xZtg_normal.jpg")</f>
        <v>https://pbs.twimg.com/profile_images/1431485031566897154/JqH9xZtg_normal.jpg</v>
      </c>
      <c r="W680" s="83">
        <v>44462.188576388886</v>
      </c>
      <c r="X680" s="89">
        <v>44462</v>
      </c>
      <c r="Y680" s="86" t="s">
        <v>3283</v>
      </c>
      <c r="Z680" s="84" t="str">
        <f>HYPERLINK("https://twitter.com/dvisyyy_/status/1440896595239661570")</f>
        <v>https://twitter.com/dvisyyy_/status/1440896595239661570</v>
      </c>
      <c r="AA680" s="81"/>
      <c r="AB680" s="81"/>
      <c r="AC680" s="86" t="s">
        <v>4745</v>
      </c>
      <c r="AD680" s="81"/>
      <c r="AE680" s="81" t="b">
        <v>0</v>
      </c>
      <c r="AF680" s="81">
        <v>0</v>
      </c>
      <c r="AG680" s="86" t="s">
        <v>6240</v>
      </c>
      <c r="AH680" s="81" t="b">
        <v>0</v>
      </c>
      <c r="AI680" s="81" t="s">
        <v>6479</v>
      </c>
      <c r="AJ680" s="81"/>
      <c r="AK680" s="86" t="s">
        <v>6240</v>
      </c>
      <c r="AL680" s="81" t="b">
        <v>0</v>
      </c>
      <c r="AM680" s="81">
        <v>6</v>
      </c>
      <c r="AN680" s="86" t="s">
        <v>4941</v>
      </c>
      <c r="AO680" s="86" t="s">
        <v>6503</v>
      </c>
      <c r="AP680" s="81" t="b">
        <v>0</v>
      </c>
      <c r="AQ680" s="86" t="s">
        <v>4941</v>
      </c>
      <c r="AR680" s="81" t="s">
        <v>179</v>
      </c>
      <c r="AS680" s="81">
        <v>0</v>
      </c>
      <c r="AT680" s="81">
        <v>0</v>
      </c>
      <c r="AU680" s="81"/>
      <c r="AV680" s="81"/>
      <c r="AW680" s="81"/>
      <c r="AX680" s="81"/>
      <c r="AY680" s="81"/>
      <c r="AZ680" s="81"/>
      <c r="BA680" s="81"/>
      <c r="BB680" s="81"/>
    </row>
    <row r="681" spans="1:54" x14ac:dyDescent="0.35">
      <c r="A681" s="66" t="s">
        <v>705</v>
      </c>
      <c r="B681" s="66" t="s">
        <v>705</v>
      </c>
      <c r="C681" s="67"/>
      <c r="D681" s="68"/>
      <c r="E681" s="69"/>
      <c r="F681" s="70"/>
      <c r="G681" s="67"/>
      <c r="H681" s="71"/>
      <c r="I681" s="72"/>
      <c r="J681" s="72"/>
      <c r="K681" s="36"/>
      <c r="L681" s="79"/>
      <c r="M681" s="79"/>
      <c r="N681" s="74"/>
      <c r="O681" s="81" t="s">
        <v>179</v>
      </c>
      <c r="P681" s="83">
        <v>44462.19295138889</v>
      </c>
      <c r="Q681" s="81" t="s">
        <v>1800</v>
      </c>
      <c r="R681" s="81"/>
      <c r="S681" s="81"/>
      <c r="T681" s="81"/>
      <c r="U681" s="81"/>
      <c r="V681" s="84" t="str">
        <f>HYPERLINK("https://pbs.twimg.com/profile_images/1431860857953153024/eIcgD_f7_normal.jpg")</f>
        <v>https://pbs.twimg.com/profile_images/1431860857953153024/eIcgD_f7_normal.jpg</v>
      </c>
      <c r="W681" s="83">
        <v>44462.19295138889</v>
      </c>
      <c r="X681" s="89">
        <v>44462</v>
      </c>
      <c r="Y681" s="86" t="s">
        <v>3284</v>
      </c>
      <c r="Z681" s="84" t="str">
        <f>HYPERLINK("https://twitter.com/rrenle00/status/1440898178899791878")</f>
        <v>https://twitter.com/rrenle00/status/1440898178899791878</v>
      </c>
      <c r="AA681" s="81"/>
      <c r="AB681" s="81"/>
      <c r="AC681" s="86" t="s">
        <v>4746</v>
      </c>
      <c r="AD681" s="81"/>
      <c r="AE681" s="81" t="b">
        <v>0</v>
      </c>
      <c r="AF681" s="81">
        <v>0</v>
      </c>
      <c r="AG681" s="86" t="s">
        <v>6240</v>
      </c>
      <c r="AH681" s="81" t="b">
        <v>0</v>
      </c>
      <c r="AI681" s="81" t="s">
        <v>6478</v>
      </c>
      <c r="AJ681" s="81"/>
      <c r="AK681" s="86" t="s">
        <v>6240</v>
      </c>
      <c r="AL681" s="81" t="b">
        <v>0</v>
      </c>
      <c r="AM681" s="81">
        <v>0</v>
      </c>
      <c r="AN681" s="86" t="s">
        <v>6240</v>
      </c>
      <c r="AO681" s="86" t="s">
        <v>6503</v>
      </c>
      <c r="AP681" s="81" t="b">
        <v>0</v>
      </c>
      <c r="AQ681" s="86" t="s">
        <v>4746</v>
      </c>
      <c r="AR681" s="81" t="s">
        <v>179</v>
      </c>
      <c r="AS681" s="81">
        <v>0</v>
      </c>
      <c r="AT681" s="81">
        <v>0</v>
      </c>
      <c r="AU681" s="81"/>
      <c r="AV681" s="81"/>
      <c r="AW681" s="81"/>
      <c r="AX681" s="81"/>
      <c r="AY681" s="81"/>
      <c r="AZ681" s="81"/>
      <c r="BA681" s="81"/>
      <c r="BB681" s="81"/>
    </row>
    <row r="682" spans="1:54" x14ac:dyDescent="0.35">
      <c r="A682" s="66" t="s">
        <v>706</v>
      </c>
      <c r="B682" s="66" t="s">
        <v>1377</v>
      </c>
      <c r="C682" s="67"/>
      <c r="D682" s="68"/>
      <c r="E682" s="69"/>
      <c r="F682" s="70"/>
      <c r="G682" s="67"/>
      <c r="H682" s="71"/>
      <c r="I682" s="72"/>
      <c r="J682" s="72"/>
      <c r="K682" s="36"/>
      <c r="L682" s="79"/>
      <c r="M682" s="79"/>
      <c r="N682" s="74"/>
      <c r="O682" s="81" t="s">
        <v>1535</v>
      </c>
      <c r="P682" s="83">
        <v>44462.198009259257</v>
      </c>
      <c r="Q682" s="81" t="s">
        <v>1801</v>
      </c>
      <c r="R682" s="84" t="str">
        <f>HYPERLINK("https://the-ken.com/sea/story/sicepats-logic-beyond-logistics-as-it-eyes-a-us2-billion-ipo/")</f>
        <v>https://the-ken.com/sea/story/sicepats-logic-beyond-logistics-as-it-eyes-a-us2-billion-ipo/</v>
      </c>
      <c r="S682" s="81" t="s">
        <v>2612</v>
      </c>
      <c r="T682" s="81"/>
      <c r="U682" s="81"/>
      <c r="V682" s="84" t="str">
        <f>HYPERLINK("https://pbs.twimg.com/profile_images/1123950360043905031/DB08dUFz_normal.jpg")</f>
        <v>https://pbs.twimg.com/profile_images/1123950360043905031/DB08dUFz_normal.jpg</v>
      </c>
      <c r="W682" s="83">
        <v>44462.198009259257</v>
      </c>
      <c r="X682" s="89">
        <v>44462</v>
      </c>
      <c r="Y682" s="86" t="s">
        <v>3285</v>
      </c>
      <c r="Z682" s="84" t="str">
        <f>HYPERLINK("https://twitter.com/kakayy/status/1440900011558989833")</f>
        <v>https://twitter.com/kakayy/status/1440900011558989833</v>
      </c>
      <c r="AA682" s="81"/>
      <c r="AB682" s="81"/>
      <c r="AC682" s="86" t="s">
        <v>4747</v>
      </c>
      <c r="AD682" s="81"/>
      <c r="AE682" s="81" t="b">
        <v>0</v>
      </c>
      <c r="AF682" s="81">
        <v>2</v>
      </c>
      <c r="AG682" s="86" t="s">
        <v>6240</v>
      </c>
      <c r="AH682" s="81" t="b">
        <v>0</v>
      </c>
      <c r="AI682" s="81" t="s">
        <v>6479</v>
      </c>
      <c r="AJ682" s="81"/>
      <c r="AK682" s="86" t="s">
        <v>6240</v>
      </c>
      <c r="AL682" s="81" t="b">
        <v>0</v>
      </c>
      <c r="AM682" s="81">
        <v>1</v>
      </c>
      <c r="AN682" s="86" t="s">
        <v>6240</v>
      </c>
      <c r="AO682" s="86" t="s">
        <v>6507</v>
      </c>
      <c r="AP682" s="81" t="b">
        <v>0</v>
      </c>
      <c r="AQ682" s="86" t="s">
        <v>4747</v>
      </c>
      <c r="AR682" s="81" t="s">
        <v>179</v>
      </c>
      <c r="AS682" s="81">
        <v>0</v>
      </c>
      <c r="AT682" s="81">
        <v>0</v>
      </c>
      <c r="AU682" s="81"/>
      <c r="AV682" s="81"/>
      <c r="AW682" s="81"/>
      <c r="AX682" s="81"/>
      <c r="AY682" s="81"/>
      <c r="AZ682" s="81"/>
      <c r="BA682" s="81"/>
      <c r="BB682" s="81"/>
    </row>
    <row r="683" spans="1:54" x14ac:dyDescent="0.35">
      <c r="A683" s="66" t="s">
        <v>707</v>
      </c>
      <c r="B683" s="66" t="s">
        <v>1377</v>
      </c>
      <c r="C683" s="67"/>
      <c r="D683" s="68"/>
      <c r="E683" s="69"/>
      <c r="F683" s="70"/>
      <c r="G683" s="67"/>
      <c r="H683" s="71"/>
      <c r="I683" s="72"/>
      <c r="J683" s="72"/>
      <c r="K683" s="36"/>
      <c r="L683" s="79"/>
      <c r="M683" s="79"/>
      <c r="N683" s="74"/>
      <c r="O683" s="81" t="s">
        <v>1533</v>
      </c>
      <c r="P683" s="83">
        <v>44462.216805555552</v>
      </c>
      <c r="Q683" s="81" t="s">
        <v>1801</v>
      </c>
      <c r="R683" s="84" t="str">
        <f>HYPERLINK("https://the-ken.com/sea/story/sicepats-logic-beyond-logistics-as-it-eyes-a-us2-billion-ipo/")</f>
        <v>https://the-ken.com/sea/story/sicepats-logic-beyond-logistics-as-it-eyes-a-us2-billion-ipo/</v>
      </c>
      <c r="S683" s="81" t="s">
        <v>2612</v>
      </c>
      <c r="T683" s="81"/>
      <c r="U683" s="81"/>
      <c r="V683" s="84" t="str">
        <f>HYPERLINK("https://pbs.twimg.com/profile_images/794545496576536576/6b4UeCSt_normal.jpg")</f>
        <v>https://pbs.twimg.com/profile_images/794545496576536576/6b4UeCSt_normal.jpg</v>
      </c>
      <c r="W683" s="83">
        <v>44462.216805555552</v>
      </c>
      <c r="X683" s="89">
        <v>44462</v>
      </c>
      <c r="Y683" s="86" t="s">
        <v>3286</v>
      </c>
      <c r="Z683" s="84" t="str">
        <f>HYPERLINK("https://twitter.com/jonrussell/status/1440906823570132994")</f>
        <v>https://twitter.com/jonrussell/status/1440906823570132994</v>
      </c>
      <c r="AA683" s="81"/>
      <c r="AB683" s="81"/>
      <c r="AC683" s="86" t="s">
        <v>4748</v>
      </c>
      <c r="AD683" s="81"/>
      <c r="AE683" s="81" t="b">
        <v>0</v>
      </c>
      <c r="AF683" s="81">
        <v>0</v>
      </c>
      <c r="AG683" s="86" t="s">
        <v>6240</v>
      </c>
      <c r="AH683" s="81" t="b">
        <v>0</v>
      </c>
      <c r="AI683" s="81" t="s">
        <v>6479</v>
      </c>
      <c r="AJ683" s="81"/>
      <c r="AK683" s="86" t="s">
        <v>6240</v>
      </c>
      <c r="AL683" s="81" t="b">
        <v>0</v>
      </c>
      <c r="AM683" s="81">
        <v>1</v>
      </c>
      <c r="AN683" s="86" t="s">
        <v>4747</v>
      </c>
      <c r="AO683" s="86" t="s">
        <v>6507</v>
      </c>
      <c r="AP683" s="81" t="b">
        <v>0</v>
      </c>
      <c r="AQ683" s="86" t="s">
        <v>4747</v>
      </c>
      <c r="AR683" s="81" t="s">
        <v>179</v>
      </c>
      <c r="AS683" s="81">
        <v>0</v>
      </c>
      <c r="AT683" s="81">
        <v>0</v>
      </c>
      <c r="AU683" s="81"/>
      <c r="AV683" s="81"/>
      <c r="AW683" s="81"/>
      <c r="AX683" s="81"/>
      <c r="AY683" s="81"/>
      <c r="AZ683" s="81"/>
      <c r="BA683" s="81"/>
      <c r="BB683" s="81"/>
    </row>
    <row r="684" spans="1:54" x14ac:dyDescent="0.35">
      <c r="A684" s="66" t="s">
        <v>706</v>
      </c>
      <c r="B684" s="66" t="s">
        <v>1378</v>
      </c>
      <c r="C684" s="67"/>
      <c r="D684" s="68"/>
      <c r="E684" s="69"/>
      <c r="F684" s="70"/>
      <c r="G684" s="67"/>
      <c r="H684" s="71"/>
      <c r="I684" s="72"/>
      <c r="J684" s="72"/>
      <c r="K684" s="36"/>
      <c r="L684" s="79"/>
      <c r="M684" s="79"/>
      <c r="N684" s="74"/>
      <c r="O684" s="81" t="s">
        <v>1535</v>
      </c>
      <c r="P684" s="83">
        <v>44462.198009259257</v>
      </c>
      <c r="Q684" s="81" t="s">
        <v>1801</v>
      </c>
      <c r="R684" s="84" t="str">
        <f>HYPERLINK("https://the-ken.com/sea/story/sicepats-logic-beyond-logistics-as-it-eyes-a-us2-billion-ipo/")</f>
        <v>https://the-ken.com/sea/story/sicepats-logic-beyond-logistics-as-it-eyes-a-us2-billion-ipo/</v>
      </c>
      <c r="S684" s="81" t="s">
        <v>2612</v>
      </c>
      <c r="T684" s="81"/>
      <c r="U684" s="81"/>
      <c r="V684" s="84" t="str">
        <f>HYPERLINK("https://pbs.twimg.com/profile_images/1123950360043905031/DB08dUFz_normal.jpg")</f>
        <v>https://pbs.twimg.com/profile_images/1123950360043905031/DB08dUFz_normal.jpg</v>
      </c>
      <c r="W684" s="83">
        <v>44462.198009259257</v>
      </c>
      <c r="X684" s="89">
        <v>44462</v>
      </c>
      <c r="Y684" s="86" t="s">
        <v>3285</v>
      </c>
      <c r="Z684" s="84" t="str">
        <f>HYPERLINK("https://twitter.com/kakayy/status/1440900011558989833")</f>
        <v>https://twitter.com/kakayy/status/1440900011558989833</v>
      </c>
      <c r="AA684" s="81"/>
      <c r="AB684" s="81"/>
      <c r="AC684" s="86" t="s">
        <v>4747</v>
      </c>
      <c r="AD684" s="81"/>
      <c r="AE684" s="81" t="b">
        <v>0</v>
      </c>
      <c r="AF684" s="81">
        <v>2</v>
      </c>
      <c r="AG684" s="86" t="s">
        <v>6240</v>
      </c>
      <c r="AH684" s="81" t="b">
        <v>0</v>
      </c>
      <c r="AI684" s="81" t="s">
        <v>6479</v>
      </c>
      <c r="AJ684" s="81"/>
      <c r="AK684" s="86" t="s">
        <v>6240</v>
      </c>
      <c r="AL684" s="81" t="b">
        <v>0</v>
      </c>
      <c r="AM684" s="81">
        <v>1</v>
      </c>
      <c r="AN684" s="86" t="s">
        <v>6240</v>
      </c>
      <c r="AO684" s="86" t="s">
        <v>6507</v>
      </c>
      <c r="AP684" s="81" t="b">
        <v>0</v>
      </c>
      <c r="AQ684" s="86" t="s">
        <v>4747</v>
      </c>
      <c r="AR684" s="81" t="s">
        <v>179</v>
      </c>
      <c r="AS684" s="81">
        <v>0</v>
      </c>
      <c r="AT684" s="81">
        <v>0</v>
      </c>
      <c r="AU684" s="81"/>
      <c r="AV684" s="81"/>
      <c r="AW684" s="81"/>
      <c r="AX684" s="81"/>
      <c r="AY684" s="81"/>
      <c r="AZ684" s="81"/>
      <c r="BA684" s="81"/>
      <c r="BB684" s="81"/>
    </row>
    <row r="685" spans="1:54" x14ac:dyDescent="0.35">
      <c r="A685" s="66" t="s">
        <v>707</v>
      </c>
      <c r="B685" s="66" t="s">
        <v>1378</v>
      </c>
      <c r="C685" s="67"/>
      <c r="D685" s="68"/>
      <c r="E685" s="69"/>
      <c r="F685" s="70"/>
      <c r="G685" s="67"/>
      <c r="H685" s="71"/>
      <c r="I685" s="72"/>
      <c r="J685" s="72"/>
      <c r="K685" s="36"/>
      <c r="L685" s="79"/>
      <c r="M685" s="79"/>
      <c r="N685" s="74"/>
      <c r="O685" s="81" t="s">
        <v>1533</v>
      </c>
      <c r="P685" s="83">
        <v>44462.216805555552</v>
      </c>
      <c r="Q685" s="81" t="s">
        <v>1801</v>
      </c>
      <c r="R685" s="84" t="str">
        <f>HYPERLINK("https://the-ken.com/sea/story/sicepats-logic-beyond-logistics-as-it-eyes-a-us2-billion-ipo/")</f>
        <v>https://the-ken.com/sea/story/sicepats-logic-beyond-logistics-as-it-eyes-a-us2-billion-ipo/</v>
      </c>
      <c r="S685" s="81" t="s">
        <v>2612</v>
      </c>
      <c r="T685" s="81"/>
      <c r="U685" s="81"/>
      <c r="V685" s="84" t="str">
        <f>HYPERLINK("https://pbs.twimg.com/profile_images/794545496576536576/6b4UeCSt_normal.jpg")</f>
        <v>https://pbs.twimg.com/profile_images/794545496576536576/6b4UeCSt_normal.jpg</v>
      </c>
      <c r="W685" s="83">
        <v>44462.216805555552</v>
      </c>
      <c r="X685" s="89">
        <v>44462</v>
      </c>
      <c r="Y685" s="86" t="s">
        <v>3286</v>
      </c>
      <c r="Z685" s="84" t="str">
        <f>HYPERLINK("https://twitter.com/jonrussell/status/1440906823570132994")</f>
        <v>https://twitter.com/jonrussell/status/1440906823570132994</v>
      </c>
      <c r="AA685" s="81"/>
      <c r="AB685" s="81"/>
      <c r="AC685" s="86" t="s">
        <v>4748</v>
      </c>
      <c r="AD685" s="81"/>
      <c r="AE685" s="81" t="b">
        <v>0</v>
      </c>
      <c r="AF685" s="81">
        <v>0</v>
      </c>
      <c r="AG685" s="86" t="s">
        <v>6240</v>
      </c>
      <c r="AH685" s="81" t="b">
        <v>0</v>
      </c>
      <c r="AI685" s="81" t="s">
        <v>6479</v>
      </c>
      <c r="AJ685" s="81"/>
      <c r="AK685" s="86" t="s">
        <v>6240</v>
      </c>
      <c r="AL685" s="81" t="b">
        <v>0</v>
      </c>
      <c r="AM685" s="81">
        <v>1</v>
      </c>
      <c r="AN685" s="86" t="s">
        <v>4747</v>
      </c>
      <c r="AO685" s="86" t="s">
        <v>6507</v>
      </c>
      <c r="AP685" s="81" t="b">
        <v>0</v>
      </c>
      <c r="AQ685" s="86" t="s">
        <v>4747</v>
      </c>
      <c r="AR685" s="81" t="s">
        <v>179</v>
      </c>
      <c r="AS685" s="81">
        <v>0</v>
      </c>
      <c r="AT685" s="81">
        <v>0</v>
      </c>
      <c r="AU685" s="81"/>
      <c r="AV685" s="81"/>
      <c r="AW685" s="81"/>
      <c r="AX685" s="81"/>
      <c r="AY685" s="81"/>
      <c r="AZ685" s="81"/>
      <c r="BA685" s="81"/>
      <c r="BB685" s="81"/>
    </row>
    <row r="686" spans="1:54" x14ac:dyDescent="0.35">
      <c r="A686" s="66" t="s">
        <v>707</v>
      </c>
      <c r="B686" s="66" t="s">
        <v>706</v>
      </c>
      <c r="C686" s="67"/>
      <c r="D686" s="68"/>
      <c r="E686" s="69"/>
      <c r="F686" s="70"/>
      <c r="G686" s="67"/>
      <c r="H686" s="71"/>
      <c r="I686" s="72"/>
      <c r="J686" s="72"/>
      <c r="K686" s="36"/>
      <c r="L686" s="79"/>
      <c r="M686" s="79"/>
      <c r="N686" s="74"/>
      <c r="O686" s="81" t="s">
        <v>1532</v>
      </c>
      <c r="P686" s="83">
        <v>44462.216805555552</v>
      </c>
      <c r="Q686" s="81" t="s">
        <v>1801</v>
      </c>
      <c r="R686" s="84" t="str">
        <f>HYPERLINK("https://the-ken.com/sea/story/sicepats-logic-beyond-logistics-as-it-eyes-a-us2-billion-ipo/")</f>
        <v>https://the-ken.com/sea/story/sicepats-logic-beyond-logistics-as-it-eyes-a-us2-billion-ipo/</v>
      </c>
      <c r="S686" s="81" t="s">
        <v>2612</v>
      </c>
      <c r="T686" s="81"/>
      <c r="U686" s="81"/>
      <c r="V686" s="84" t="str">
        <f>HYPERLINK("https://pbs.twimg.com/profile_images/794545496576536576/6b4UeCSt_normal.jpg")</f>
        <v>https://pbs.twimg.com/profile_images/794545496576536576/6b4UeCSt_normal.jpg</v>
      </c>
      <c r="W686" s="83">
        <v>44462.216805555552</v>
      </c>
      <c r="X686" s="89">
        <v>44462</v>
      </c>
      <c r="Y686" s="86" t="s">
        <v>3286</v>
      </c>
      <c r="Z686" s="84" t="str">
        <f>HYPERLINK("https://twitter.com/jonrussell/status/1440906823570132994")</f>
        <v>https://twitter.com/jonrussell/status/1440906823570132994</v>
      </c>
      <c r="AA686" s="81"/>
      <c r="AB686" s="81"/>
      <c r="AC686" s="86" t="s">
        <v>4748</v>
      </c>
      <c r="AD686" s="81"/>
      <c r="AE686" s="81" t="b">
        <v>0</v>
      </c>
      <c r="AF686" s="81">
        <v>0</v>
      </c>
      <c r="AG686" s="86" t="s">
        <v>6240</v>
      </c>
      <c r="AH686" s="81" t="b">
        <v>0</v>
      </c>
      <c r="AI686" s="81" t="s">
        <v>6479</v>
      </c>
      <c r="AJ686" s="81"/>
      <c r="AK686" s="86" t="s">
        <v>6240</v>
      </c>
      <c r="AL686" s="81" t="b">
        <v>0</v>
      </c>
      <c r="AM686" s="81">
        <v>1</v>
      </c>
      <c r="AN686" s="86" t="s">
        <v>4747</v>
      </c>
      <c r="AO686" s="86" t="s">
        <v>6507</v>
      </c>
      <c r="AP686" s="81" t="b">
        <v>0</v>
      </c>
      <c r="AQ686" s="86" t="s">
        <v>4747</v>
      </c>
      <c r="AR686" s="81" t="s">
        <v>179</v>
      </c>
      <c r="AS686" s="81">
        <v>0</v>
      </c>
      <c r="AT686" s="81">
        <v>0</v>
      </c>
      <c r="AU686" s="81"/>
      <c r="AV686" s="81"/>
      <c r="AW686" s="81"/>
      <c r="AX686" s="81"/>
      <c r="AY686" s="81"/>
      <c r="AZ686" s="81"/>
      <c r="BA686" s="81"/>
      <c r="BB686" s="81"/>
    </row>
    <row r="687" spans="1:54" x14ac:dyDescent="0.35">
      <c r="A687" s="66" t="s">
        <v>708</v>
      </c>
      <c r="B687" s="66" t="s">
        <v>928</v>
      </c>
      <c r="C687" s="67"/>
      <c r="D687" s="68"/>
      <c r="E687" s="69"/>
      <c r="F687" s="70"/>
      <c r="G687" s="67"/>
      <c r="H687" s="71"/>
      <c r="I687" s="72"/>
      <c r="J687" s="72"/>
      <c r="K687" s="36"/>
      <c r="L687" s="79"/>
      <c r="M687" s="79"/>
      <c r="N687" s="74"/>
      <c r="O687" s="81" t="s">
        <v>1532</v>
      </c>
      <c r="P687" s="83">
        <v>44462.221678240741</v>
      </c>
      <c r="Q687" s="81" t="s">
        <v>1781</v>
      </c>
      <c r="R687" s="81"/>
      <c r="S687" s="81"/>
      <c r="T687" s="86" t="s">
        <v>2681</v>
      </c>
      <c r="U687" s="84" t="str">
        <f>HYPERLINK("https://pbs.twimg.com/media/E_6-KvyVgAA0Zfe.jpg")</f>
        <v>https://pbs.twimg.com/media/E_6-KvyVgAA0Zfe.jpg</v>
      </c>
      <c r="V687" s="84" t="str">
        <f>HYPERLINK("https://pbs.twimg.com/media/E_6-KvyVgAA0Zfe.jpg")</f>
        <v>https://pbs.twimg.com/media/E_6-KvyVgAA0Zfe.jpg</v>
      </c>
      <c r="W687" s="83">
        <v>44462.221678240741</v>
      </c>
      <c r="X687" s="89">
        <v>44462</v>
      </c>
      <c r="Y687" s="86" t="s">
        <v>3287</v>
      </c>
      <c r="Z687" s="84" t="str">
        <f>HYPERLINK("https://twitter.com/ahmadyasiin/status/1440908591301419021")</f>
        <v>https://twitter.com/ahmadyasiin/status/1440908591301419021</v>
      </c>
      <c r="AA687" s="81"/>
      <c r="AB687" s="81"/>
      <c r="AC687" s="86" t="s">
        <v>4749</v>
      </c>
      <c r="AD687" s="81"/>
      <c r="AE687" s="81" t="b">
        <v>0</v>
      </c>
      <c r="AF687" s="81">
        <v>0</v>
      </c>
      <c r="AG687" s="86" t="s">
        <v>6240</v>
      </c>
      <c r="AH687" s="81" t="b">
        <v>0</v>
      </c>
      <c r="AI687" s="81" t="s">
        <v>6479</v>
      </c>
      <c r="AJ687" s="81"/>
      <c r="AK687" s="86" t="s">
        <v>6240</v>
      </c>
      <c r="AL687" s="81" t="b">
        <v>0</v>
      </c>
      <c r="AM687" s="81">
        <v>71</v>
      </c>
      <c r="AN687" s="86" t="s">
        <v>5039</v>
      </c>
      <c r="AO687" s="86" t="s">
        <v>6503</v>
      </c>
      <c r="AP687" s="81" t="b">
        <v>0</v>
      </c>
      <c r="AQ687" s="86" t="s">
        <v>5039</v>
      </c>
      <c r="AR687" s="81" t="s">
        <v>179</v>
      </c>
      <c r="AS687" s="81">
        <v>0</v>
      </c>
      <c r="AT687" s="81">
        <v>0</v>
      </c>
      <c r="AU687" s="81"/>
      <c r="AV687" s="81"/>
      <c r="AW687" s="81"/>
      <c r="AX687" s="81"/>
      <c r="AY687" s="81"/>
      <c r="AZ687" s="81"/>
      <c r="BA687" s="81"/>
      <c r="BB687" s="81"/>
    </row>
    <row r="688" spans="1:54" x14ac:dyDescent="0.35">
      <c r="A688" s="66" t="s">
        <v>709</v>
      </c>
      <c r="B688" s="66" t="s">
        <v>928</v>
      </c>
      <c r="C688" s="67"/>
      <c r="D688" s="68"/>
      <c r="E688" s="69"/>
      <c r="F688" s="70"/>
      <c r="G688" s="67"/>
      <c r="H688" s="71"/>
      <c r="I688" s="72"/>
      <c r="J688" s="72"/>
      <c r="K688" s="36"/>
      <c r="L688" s="79"/>
      <c r="M688" s="79"/>
      <c r="N688" s="74"/>
      <c r="O688" s="81" t="s">
        <v>1532</v>
      </c>
      <c r="P688" s="83">
        <v>44462.232662037037</v>
      </c>
      <c r="Q688" s="81" t="s">
        <v>1781</v>
      </c>
      <c r="R688" s="81"/>
      <c r="S688" s="81"/>
      <c r="T688" s="86" t="s">
        <v>2681</v>
      </c>
      <c r="U688" s="84" t="str">
        <f>HYPERLINK("https://pbs.twimg.com/media/E_6-KvyVgAA0Zfe.jpg")</f>
        <v>https://pbs.twimg.com/media/E_6-KvyVgAA0Zfe.jpg</v>
      </c>
      <c r="V688" s="84" t="str">
        <f>HYPERLINK("https://pbs.twimg.com/media/E_6-KvyVgAA0Zfe.jpg")</f>
        <v>https://pbs.twimg.com/media/E_6-KvyVgAA0Zfe.jpg</v>
      </c>
      <c r="W688" s="83">
        <v>44462.232662037037</v>
      </c>
      <c r="X688" s="89">
        <v>44462</v>
      </c>
      <c r="Y688" s="86" t="s">
        <v>3288</v>
      </c>
      <c r="Z688" s="84" t="str">
        <f>HYPERLINK("https://twitter.com/gio40351985/status/1440912569242427394")</f>
        <v>https://twitter.com/gio40351985/status/1440912569242427394</v>
      </c>
      <c r="AA688" s="81"/>
      <c r="AB688" s="81"/>
      <c r="AC688" s="86" t="s">
        <v>4750</v>
      </c>
      <c r="AD688" s="81"/>
      <c r="AE688" s="81" t="b">
        <v>0</v>
      </c>
      <c r="AF688" s="81">
        <v>0</v>
      </c>
      <c r="AG688" s="86" t="s">
        <v>6240</v>
      </c>
      <c r="AH688" s="81" t="b">
        <v>0</v>
      </c>
      <c r="AI688" s="81" t="s">
        <v>6479</v>
      </c>
      <c r="AJ688" s="81"/>
      <c r="AK688" s="86" t="s">
        <v>6240</v>
      </c>
      <c r="AL688" s="81" t="b">
        <v>0</v>
      </c>
      <c r="AM688" s="81">
        <v>71</v>
      </c>
      <c r="AN688" s="86" t="s">
        <v>5039</v>
      </c>
      <c r="AO688" s="86" t="s">
        <v>6503</v>
      </c>
      <c r="AP688" s="81" t="b">
        <v>0</v>
      </c>
      <c r="AQ688" s="86" t="s">
        <v>5039</v>
      </c>
      <c r="AR688" s="81" t="s">
        <v>179</v>
      </c>
      <c r="AS688" s="81">
        <v>0</v>
      </c>
      <c r="AT688" s="81">
        <v>0</v>
      </c>
      <c r="AU688" s="81"/>
      <c r="AV688" s="81"/>
      <c r="AW688" s="81"/>
      <c r="AX688" s="81"/>
      <c r="AY688" s="81"/>
      <c r="AZ688" s="81"/>
      <c r="BA688" s="81"/>
      <c r="BB688" s="81"/>
    </row>
    <row r="689" spans="1:54" x14ac:dyDescent="0.35">
      <c r="A689" s="66" t="s">
        <v>710</v>
      </c>
      <c r="B689" s="66" t="s">
        <v>858</v>
      </c>
      <c r="C689" s="67"/>
      <c r="D689" s="68"/>
      <c r="E689" s="69"/>
      <c r="F689" s="70"/>
      <c r="G689" s="67"/>
      <c r="H689" s="71"/>
      <c r="I689" s="72"/>
      <c r="J689" s="72"/>
      <c r="K689" s="36"/>
      <c r="L689" s="79"/>
      <c r="M689" s="79"/>
      <c r="N689" s="74"/>
      <c r="O689" s="81" t="s">
        <v>1532</v>
      </c>
      <c r="P689" s="83">
        <v>44462.235381944447</v>
      </c>
      <c r="Q689" s="81" t="s">
        <v>1793</v>
      </c>
      <c r="R689" s="81"/>
      <c r="S689" s="81"/>
      <c r="T689" s="81"/>
      <c r="U689" s="81"/>
      <c r="V689" s="84" t="str">
        <f>HYPERLINK("https://pbs.twimg.com/profile_images/1439767324379136007/jklWuMKI_normal.jpg")</f>
        <v>https://pbs.twimg.com/profile_images/1439767324379136007/jklWuMKI_normal.jpg</v>
      </c>
      <c r="W689" s="83">
        <v>44462.235381944447</v>
      </c>
      <c r="X689" s="89">
        <v>44462</v>
      </c>
      <c r="Y689" s="86" t="s">
        <v>3289</v>
      </c>
      <c r="Z689" s="84" t="str">
        <f>HYPERLINK("https://twitter.com/ashataee/status/1440913557877497856")</f>
        <v>https://twitter.com/ashataee/status/1440913557877497856</v>
      </c>
      <c r="AA689" s="81"/>
      <c r="AB689" s="81"/>
      <c r="AC689" s="86" t="s">
        <v>4751</v>
      </c>
      <c r="AD689" s="81"/>
      <c r="AE689" s="81" t="b">
        <v>0</v>
      </c>
      <c r="AF689" s="81">
        <v>0</v>
      </c>
      <c r="AG689" s="86" t="s">
        <v>6240</v>
      </c>
      <c r="AH689" s="81" t="b">
        <v>0</v>
      </c>
      <c r="AI689" s="81" t="s">
        <v>6479</v>
      </c>
      <c r="AJ689" s="81"/>
      <c r="AK689" s="86" t="s">
        <v>6240</v>
      </c>
      <c r="AL689" s="81" t="b">
        <v>0</v>
      </c>
      <c r="AM689" s="81">
        <v>6</v>
      </c>
      <c r="AN689" s="86" t="s">
        <v>4941</v>
      </c>
      <c r="AO689" s="86" t="s">
        <v>6503</v>
      </c>
      <c r="AP689" s="81" t="b">
        <v>0</v>
      </c>
      <c r="AQ689" s="86" t="s">
        <v>4941</v>
      </c>
      <c r="AR689" s="81" t="s">
        <v>179</v>
      </c>
      <c r="AS689" s="81">
        <v>0</v>
      </c>
      <c r="AT689" s="81">
        <v>0</v>
      </c>
      <c r="AU689" s="81"/>
      <c r="AV689" s="81"/>
      <c r="AW689" s="81"/>
      <c r="AX689" s="81"/>
      <c r="AY689" s="81"/>
      <c r="AZ689" s="81"/>
      <c r="BA689" s="81"/>
      <c r="BB689" s="81"/>
    </row>
    <row r="690" spans="1:54" x14ac:dyDescent="0.35">
      <c r="A690" s="66" t="s">
        <v>711</v>
      </c>
      <c r="B690" s="66" t="s">
        <v>858</v>
      </c>
      <c r="C690" s="67"/>
      <c r="D690" s="68"/>
      <c r="E690" s="69"/>
      <c r="F690" s="70"/>
      <c r="G690" s="67"/>
      <c r="H690" s="71"/>
      <c r="I690" s="72"/>
      <c r="J690" s="72"/>
      <c r="K690" s="36"/>
      <c r="L690" s="79"/>
      <c r="M690" s="79"/>
      <c r="N690" s="74"/>
      <c r="O690" s="81" t="s">
        <v>1532</v>
      </c>
      <c r="P690" s="83">
        <v>44462.239652777775</v>
      </c>
      <c r="Q690" s="81" t="s">
        <v>1793</v>
      </c>
      <c r="R690" s="81"/>
      <c r="S690" s="81"/>
      <c r="T690" s="81"/>
      <c r="U690" s="81"/>
      <c r="V690" s="84" t="str">
        <f>HYPERLINK("https://pbs.twimg.com/profile_images/1442311888138690560/K9XOIXzb_normal.jpg")</f>
        <v>https://pbs.twimg.com/profile_images/1442311888138690560/K9XOIXzb_normal.jpg</v>
      </c>
      <c r="W690" s="83">
        <v>44462.239652777775</v>
      </c>
      <c r="X690" s="89">
        <v>44462</v>
      </c>
      <c r="Y690" s="86" t="s">
        <v>3290</v>
      </c>
      <c r="Z690" s="84" t="str">
        <f>HYPERLINK("https://twitter.com/jngwoozeus/status/1440915105290416135")</f>
        <v>https://twitter.com/jngwoozeus/status/1440915105290416135</v>
      </c>
      <c r="AA690" s="81"/>
      <c r="AB690" s="81"/>
      <c r="AC690" s="86" t="s">
        <v>4752</v>
      </c>
      <c r="AD690" s="81"/>
      <c r="AE690" s="81" t="b">
        <v>0</v>
      </c>
      <c r="AF690" s="81">
        <v>0</v>
      </c>
      <c r="AG690" s="86" t="s">
        <v>6240</v>
      </c>
      <c r="AH690" s="81" t="b">
        <v>0</v>
      </c>
      <c r="AI690" s="81" t="s">
        <v>6479</v>
      </c>
      <c r="AJ690" s="81"/>
      <c r="AK690" s="86" t="s">
        <v>6240</v>
      </c>
      <c r="AL690" s="81" t="b">
        <v>0</v>
      </c>
      <c r="AM690" s="81">
        <v>6</v>
      </c>
      <c r="AN690" s="86" t="s">
        <v>4941</v>
      </c>
      <c r="AO690" s="86" t="s">
        <v>6505</v>
      </c>
      <c r="AP690" s="81" t="b">
        <v>0</v>
      </c>
      <c r="AQ690" s="86" t="s">
        <v>4941</v>
      </c>
      <c r="AR690" s="81" t="s">
        <v>179</v>
      </c>
      <c r="AS690" s="81">
        <v>0</v>
      </c>
      <c r="AT690" s="81">
        <v>0</v>
      </c>
      <c r="AU690" s="81"/>
      <c r="AV690" s="81"/>
      <c r="AW690" s="81"/>
      <c r="AX690" s="81"/>
      <c r="AY690" s="81"/>
      <c r="AZ690" s="81"/>
      <c r="BA690" s="81"/>
      <c r="BB690" s="81"/>
    </row>
    <row r="691" spans="1:54" x14ac:dyDescent="0.35">
      <c r="A691" s="66" t="s">
        <v>712</v>
      </c>
      <c r="B691" s="66" t="s">
        <v>712</v>
      </c>
      <c r="C691" s="67"/>
      <c r="D691" s="68"/>
      <c r="E691" s="69"/>
      <c r="F691" s="70"/>
      <c r="G691" s="67"/>
      <c r="H691" s="71"/>
      <c r="I691" s="72"/>
      <c r="J691" s="72"/>
      <c r="K691" s="36"/>
      <c r="L691" s="79"/>
      <c r="M691" s="79"/>
      <c r="N691" s="74"/>
      <c r="O691" s="81" t="s">
        <v>179</v>
      </c>
      <c r="P691" s="83">
        <v>44461.360358796293</v>
      </c>
      <c r="Q691" s="81" t="s">
        <v>1758</v>
      </c>
      <c r="R691" s="81"/>
      <c r="S691" s="81"/>
      <c r="T691" s="86" t="s">
        <v>2678</v>
      </c>
      <c r="U691" s="84" t="str">
        <f>HYPERLINK("https://pbs.twimg.com/media/E_4G1w0UcAYtmKg.jpg")</f>
        <v>https://pbs.twimg.com/media/E_4G1w0UcAYtmKg.jpg</v>
      </c>
      <c r="V691" s="84" t="str">
        <f>HYPERLINK("https://pbs.twimg.com/media/E_4G1w0UcAYtmKg.jpg")</f>
        <v>https://pbs.twimg.com/media/E_4G1w0UcAYtmKg.jpg</v>
      </c>
      <c r="W691" s="83">
        <v>44461.360358796293</v>
      </c>
      <c r="X691" s="89">
        <v>44461</v>
      </c>
      <c r="Y691" s="86" t="s">
        <v>3291</v>
      </c>
      <c r="Z691" s="84" t="str">
        <f>HYPERLINK("https://twitter.com/nxnadoongies/status/1440596459716374531")</f>
        <v>https://twitter.com/nxnadoongies/status/1440596459716374531</v>
      </c>
      <c r="AA691" s="81"/>
      <c r="AB691" s="81"/>
      <c r="AC691" s="86" t="s">
        <v>4753</v>
      </c>
      <c r="AD691" s="81"/>
      <c r="AE691" s="81" t="b">
        <v>0</v>
      </c>
      <c r="AF691" s="81">
        <v>3</v>
      </c>
      <c r="AG691" s="86" t="s">
        <v>6240</v>
      </c>
      <c r="AH691" s="81" t="b">
        <v>0</v>
      </c>
      <c r="AI691" s="81" t="s">
        <v>6479</v>
      </c>
      <c r="AJ691" s="81"/>
      <c r="AK691" s="86" t="s">
        <v>6240</v>
      </c>
      <c r="AL691" s="81" t="b">
        <v>0</v>
      </c>
      <c r="AM691" s="81">
        <v>12</v>
      </c>
      <c r="AN691" s="86" t="s">
        <v>6240</v>
      </c>
      <c r="AO691" s="86" t="s">
        <v>6505</v>
      </c>
      <c r="AP691" s="81" t="b">
        <v>0</v>
      </c>
      <c r="AQ691" s="86" t="s">
        <v>4753</v>
      </c>
      <c r="AR691" s="81" t="s">
        <v>179</v>
      </c>
      <c r="AS691" s="81">
        <v>0</v>
      </c>
      <c r="AT691" s="81">
        <v>0</v>
      </c>
      <c r="AU691" s="81"/>
      <c r="AV691" s="81"/>
      <c r="AW691" s="81"/>
      <c r="AX691" s="81"/>
      <c r="AY691" s="81"/>
      <c r="AZ691" s="81"/>
      <c r="BA691" s="81"/>
      <c r="BB691" s="81"/>
    </row>
    <row r="692" spans="1:54" x14ac:dyDescent="0.35">
      <c r="A692" s="66" t="s">
        <v>713</v>
      </c>
      <c r="B692" s="66" t="s">
        <v>712</v>
      </c>
      <c r="C692" s="67"/>
      <c r="D692" s="68"/>
      <c r="E692" s="69"/>
      <c r="F692" s="70"/>
      <c r="G692" s="67"/>
      <c r="H692" s="71"/>
      <c r="I692" s="72"/>
      <c r="J692" s="72"/>
      <c r="K692" s="36"/>
      <c r="L692" s="79"/>
      <c r="M692" s="79"/>
      <c r="N692" s="74"/>
      <c r="O692" s="81" t="s">
        <v>1532</v>
      </c>
      <c r="P692" s="83">
        <v>44462.244675925926</v>
      </c>
      <c r="Q692" s="81" t="s">
        <v>1758</v>
      </c>
      <c r="R692" s="81"/>
      <c r="S692" s="81"/>
      <c r="T692" s="86" t="s">
        <v>2678</v>
      </c>
      <c r="U692" s="84" t="str">
        <f>HYPERLINK("https://pbs.twimg.com/media/E_4G1w0UcAYtmKg.jpg")</f>
        <v>https://pbs.twimg.com/media/E_4G1w0UcAYtmKg.jpg</v>
      </c>
      <c r="V692" s="84" t="str">
        <f>HYPERLINK("https://pbs.twimg.com/media/E_4G1w0UcAYtmKg.jpg")</f>
        <v>https://pbs.twimg.com/media/E_4G1w0UcAYtmKg.jpg</v>
      </c>
      <c r="W692" s="83">
        <v>44462.244675925926</v>
      </c>
      <c r="X692" s="89">
        <v>44462</v>
      </c>
      <c r="Y692" s="86" t="s">
        <v>3292</v>
      </c>
      <c r="Z692" s="84" t="str">
        <f>HYPERLINK("https://twitter.com/psrnctrt/status/1440916922917294084")</f>
        <v>https://twitter.com/psrnctrt/status/1440916922917294084</v>
      </c>
      <c r="AA692" s="81"/>
      <c r="AB692" s="81"/>
      <c r="AC692" s="86" t="s">
        <v>4754</v>
      </c>
      <c r="AD692" s="81"/>
      <c r="AE692" s="81" t="b">
        <v>0</v>
      </c>
      <c r="AF692" s="81">
        <v>0</v>
      </c>
      <c r="AG692" s="86" t="s">
        <v>6240</v>
      </c>
      <c r="AH692" s="81" t="b">
        <v>0</v>
      </c>
      <c r="AI692" s="81" t="s">
        <v>6479</v>
      </c>
      <c r="AJ692" s="81"/>
      <c r="AK692" s="86" t="s">
        <v>6240</v>
      </c>
      <c r="AL692" s="81" t="b">
        <v>0</v>
      </c>
      <c r="AM692" s="81">
        <v>12</v>
      </c>
      <c r="AN692" s="86" t="s">
        <v>4753</v>
      </c>
      <c r="AO692" s="86" t="s">
        <v>6503</v>
      </c>
      <c r="AP692" s="81" t="b">
        <v>0</v>
      </c>
      <c r="AQ692" s="86" t="s">
        <v>4753</v>
      </c>
      <c r="AR692" s="81" t="s">
        <v>179</v>
      </c>
      <c r="AS692" s="81">
        <v>0</v>
      </c>
      <c r="AT692" s="81">
        <v>0</v>
      </c>
      <c r="AU692" s="81"/>
      <c r="AV692" s="81"/>
      <c r="AW692" s="81"/>
      <c r="AX692" s="81"/>
      <c r="AY692" s="81"/>
      <c r="AZ692" s="81"/>
      <c r="BA692" s="81"/>
      <c r="BB692" s="81"/>
    </row>
    <row r="693" spans="1:54" x14ac:dyDescent="0.35">
      <c r="A693" s="66" t="s">
        <v>714</v>
      </c>
      <c r="B693" s="66" t="s">
        <v>1379</v>
      </c>
      <c r="C693" s="67"/>
      <c r="D693" s="68"/>
      <c r="E693" s="69"/>
      <c r="F693" s="70"/>
      <c r="G693" s="67"/>
      <c r="H693" s="71"/>
      <c r="I693" s="72"/>
      <c r="J693" s="72"/>
      <c r="K693" s="36"/>
      <c r="L693" s="79"/>
      <c r="M693" s="79"/>
      <c r="N693" s="74"/>
      <c r="O693" s="81" t="s">
        <v>1535</v>
      </c>
      <c r="P693" s="83">
        <v>44462.247071759259</v>
      </c>
      <c r="Q693" s="81" t="s">
        <v>1802</v>
      </c>
      <c r="R693" s="81"/>
      <c r="S693" s="81"/>
      <c r="T693" s="81"/>
      <c r="U693" s="84" t="str">
        <f>HYPERLINK("https://pbs.twimg.com/media/E_8rGFDVUAYo5wc.jpg")</f>
        <v>https://pbs.twimg.com/media/E_8rGFDVUAYo5wc.jpg</v>
      </c>
      <c r="V693" s="84" t="str">
        <f>HYPERLINK("https://pbs.twimg.com/media/E_8rGFDVUAYo5wc.jpg")</f>
        <v>https://pbs.twimg.com/media/E_8rGFDVUAYo5wc.jpg</v>
      </c>
      <c r="W693" s="83">
        <v>44462.247071759259</v>
      </c>
      <c r="X693" s="89">
        <v>44462</v>
      </c>
      <c r="Y693" s="86" t="s">
        <v>3293</v>
      </c>
      <c r="Z693" s="84" t="str">
        <f>HYPERLINK("https://twitter.com/bnnk_info/status/1440917794367819779")</f>
        <v>https://twitter.com/bnnk_info/status/1440917794367819779</v>
      </c>
      <c r="AA693" s="81"/>
      <c r="AB693" s="81"/>
      <c r="AC693" s="86" t="s">
        <v>4755</v>
      </c>
      <c r="AD693" s="81"/>
      <c r="AE693" s="81" t="b">
        <v>0</v>
      </c>
      <c r="AF693" s="81">
        <v>2</v>
      </c>
      <c r="AG693" s="86" t="s">
        <v>6240</v>
      </c>
      <c r="AH693" s="81" t="b">
        <v>0</v>
      </c>
      <c r="AI693" s="81" t="s">
        <v>6478</v>
      </c>
      <c r="AJ693" s="81"/>
      <c r="AK693" s="86" t="s">
        <v>6240</v>
      </c>
      <c r="AL693" s="81" t="b">
        <v>0</v>
      </c>
      <c r="AM693" s="81">
        <v>0</v>
      </c>
      <c r="AN693" s="86" t="s">
        <v>6240</v>
      </c>
      <c r="AO693" s="86" t="s">
        <v>6503</v>
      </c>
      <c r="AP693" s="81" t="b">
        <v>0</v>
      </c>
      <c r="AQ693" s="86" t="s">
        <v>4755</v>
      </c>
      <c r="AR693" s="81" t="s">
        <v>179</v>
      </c>
      <c r="AS693" s="81">
        <v>0</v>
      </c>
      <c r="AT693" s="81">
        <v>0</v>
      </c>
      <c r="AU693" s="81" t="s">
        <v>6536</v>
      </c>
      <c r="AV693" s="81" t="s">
        <v>6543</v>
      </c>
      <c r="AW693" s="81" t="s">
        <v>12</v>
      </c>
      <c r="AX693" s="81" t="s">
        <v>6544</v>
      </c>
      <c r="AY693" s="81" t="s">
        <v>6551</v>
      </c>
      <c r="AZ693" s="81" t="s">
        <v>6558</v>
      </c>
      <c r="BA693" s="81" t="s">
        <v>6564</v>
      </c>
      <c r="BB693" s="84" t="str">
        <f>HYPERLINK("https://api.twitter.com/1.1/geo/id/422231aacfa106f0.json")</f>
        <v>https://api.twitter.com/1.1/geo/id/422231aacfa106f0.json</v>
      </c>
    </row>
    <row r="694" spans="1:54" x14ac:dyDescent="0.35">
      <c r="A694" s="66" t="s">
        <v>714</v>
      </c>
      <c r="B694" s="66" t="s">
        <v>1380</v>
      </c>
      <c r="C694" s="67"/>
      <c r="D694" s="68"/>
      <c r="E694" s="69"/>
      <c r="F694" s="70"/>
      <c r="G694" s="67"/>
      <c r="H694" s="71"/>
      <c r="I694" s="72"/>
      <c r="J694" s="72"/>
      <c r="K694" s="36"/>
      <c r="L694" s="79"/>
      <c r="M694" s="79"/>
      <c r="N694" s="74"/>
      <c r="O694" s="81" t="s">
        <v>1535</v>
      </c>
      <c r="P694" s="83">
        <v>44462.247071759259</v>
      </c>
      <c r="Q694" s="81" t="s">
        <v>1802</v>
      </c>
      <c r="R694" s="81"/>
      <c r="S694" s="81"/>
      <c r="T694" s="81"/>
      <c r="U694" s="84" t="str">
        <f>HYPERLINK("https://pbs.twimg.com/media/E_8rGFDVUAYo5wc.jpg")</f>
        <v>https://pbs.twimg.com/media/E_8rGFDVUAYo5wc.jpg</v>
      </c>
      <c r="V694" s="84" t="str">
        <f>HYPERLINK("https://pbs.twimg.com/media/E_8rGFDVUAYo5wc.jpg")</f>
        <v>https://pbs.twimg.com/media/E_8rGFDVUAYo5wc.jpg</v>
      </c>
      <c r="W694" s="83">
        <v>44462.247071759259</v>
      </c>
      <c r="X694" s="89">
        <v>44462</v>
      </c>
      <c r="Y694" s="86" t="s">
        <v>3293</v>
      </c>
      <c r="Z694" s="84" t="str">
        <f>HYPERLINK("https://twitter.com/bnnk_info/status/1440917794367819779")</f>
        <v>https://twitter.com/bnnk_info/status/1440917794367819779</v>
      </c>
      <c r="AA694" s="81"/>
      <c r="AB694" s="81"/>
      <c r="AC694" s="86" t="s">
        <v>4755</v>
      </c>
      <c r="AD694" s="81"/>
      <c r="AE694" s="81" t="b">
        <v>0</v>
      </c>
      <c r="AF694" s="81">
        <v>2</v>
      </c>
      <c r="AG694" s="86" t="s">
        <v>6240</v>
      </c>
      <c r="AH694" s="81" t="b">
        <v>0</v>
      </c>
      <c r="AI694" s="81" t="s">
        <v>6478</v>
      </c>
      <c r="AJ694" s="81"/>
      <c r="AK694" s="86" t="s">
        <v>6240</v>
      </c>
      <c r="AL694" s="81" t="b">
        <v>0</v>
      </c>
      <c r="AM694" s="81">
        <v>0</v>
      </c>
      <c r="AN694" s="86" t="s">
        <v>6240</v>
      </c>
      <c r="AO694" s="86" t="s">
        <v>6503</v>
      </c>
      <c r="AP694" s="81" t="b">
        <v>0</v>
      </c>
      <c r="AQ694" s="86" t="s">
        <v>4755</v>
      </c>
      <c r="AR694" s="81" t="s">
        <v>179</v>
      </c>
      <c r="AS694" s="81">
        <v>0</v>
      </c>
      <c r="AT694" s="81">
        <v>0</v>
      </c>
      <c r="AU694" s="81" t="s">
        <v>6536</v>
      </c>
      <c r="AV694" s="81" t="s">
        <v>6543</v>
      </c>
      <c r="AW694" s="81" t="s">
        <v>12</v>
      </c>
      <c r="AX694" s="81" t="s">
        <v>6544</v>
      </c>
      <c r="AY694" s="81" t="s">
        <v>6551</v>
      </c>
      <c r="AZ694" s="81" t="s">
        <v>6558</v>
      </c>
      <c r="BA694" s="81" t="s">
        <v>6564</v>
      </c>
      <c r="BB694" s="84" t="str">
        <f>HYPERLINK("https://api.twitter.com/1.1/geo/id/422231aacfa106f0.json")</f>
        <v>https://api.twitter.com/1.1/geo/id/422231aacfa106f0.json</v>
      </c>
    </row>
    <row r="695" spans="1:54" x14ac:dyDescent="0.35">
      <c r="A695" s="66" t="s">
        <v>714</v>
      </c>
      <c r="B695" s="66" t="s">
        <v>1381</v>
      </c>
      <c r="C695" s="67"/>
      <c r="D695" s="68"/>
      <c r="E695" s="69"/>
      <c r="F695" s="70"/>
      <c r="G695" s="67"/>
      <c r="H695" s="71"/>
      <c r="I695" s="72"/>
      <c r="J695" s="72"/>
      <c r="K695" s="36"/>
      <c r="L695" s="79"/>
      <c r="M695" s="79"/>
      <c r="N695" s="74"/>
      <c r="O695" s="81" t="s">
        <v>1535</v>
      </c>
      <c r="P695" s="83">
        <v>44462.247071759259</v>
      </c>
      <c r="Q695" s="81" t="s">
        <v>1802</v>
      </c>
      <c r="R695" s="81"/>
      <c r="S695" s="81"/>
      <c r="T695" s="81"/>
      <c r="U695" s="84" t="str">
        <f>HYPERLINK("https://pbs.twimg.com/media/E_8rGFDVUAYo5wc.jpg")</f>
        <v>https://pbs.twimg.com/media/E_8rGFDVUAYo5wc.jpg</v>
      </c>
      <c r="V695" s="84" t="str">
        <f>HYPERLINK("https://pbs.twimg.com/media/E_8rGFDVUAYo5wc.jpg")</f>
        <v>https://pbs.twimg.com/media/E_8rGFDVUAYo5wc.jpg</v>
      </c>
      <c r="W695" s="83">
        <v>44462.247071759259</v>
      </c>
      <c r="X695" s="89">
        <v>44462</v>
      </c>
      <c r="Y695" s="86" t="s">
        <v>3293</v>
      </c>
      <c r="Z695" s="84" t="str">
        <f>HYPERLINK("https://twitter.com/bnnk_info/status/1440917794367819779")</f>
        <v>https://twitter.com/bnnk_info/status/1440917794367819779</v>
      </c>
      <c r="AA695" s="81"/>
      <c r="AB695" s="81"/>
      <c r="AC695" s="86" t="s">
        <v>4755</v>
      </c>
      <c r="AD695" s="81"/>
      <c r="AE695" s="81" t="b">
        <v>0</v>
      </c>
      <c r="AF695" s="81">
        <v>2</v>
      </c>
      <c r="AG695" s="86" t="s">
        <v>6240</v>
      </c>
      <c r="AH695" s="81" t="b">
        <v>0</v>
      </c>
      <c r="AI695" s="81" t="s">
        <v>6478</v>
      </c>
      <c r="AJ695" s="81"/>
      <c r="AK695" s="86" t="s">
        <v>6240</v>
      </c>
      <c r="AL695" s="81" t="b">
        <v>0</v>
      </c>
      <c r="AM695" s="81">
        <v>0</v>
      </c>
      <c r="AN695" s="86" t="s">
        <v>6240</v>
      </c>
      <c r="AO695" s="86" t="s">
        <v>6503</v>
      </c>
      <c r="AP695" s="81" t="b">
        <v>0</v>
      </c>
      <c r="AQ695" s="86" t="s">
        <v>4755</v>
      </c>
      <c r="AR695" s="81" t="s">
        <v>179</v>
      </c>
      <c r="AS695" s="81">
        <v>0</v>
      </c>
      <c r="AT695" s="81">
        <v>0</v>
      </c>
      <c r="AU695" s="81" t="s">
        <v>6536</v>
      </c>
      <c r="AV695" s="81" t="s">
        <v>6543</v>
      </c>
      <c r="AW695" s="81" t="s">
        <v>12</v>
      </c>
      <c r="AX695" s="81" t="s">
        <v>6544</v>
      </c>
      <c r="AY695" s="81" t="s">
        <v>6551</v>
      </c>
      <c r="AZ695" s="81" t="s">
        <v>6558</v>
      </c>
      <c r="BA695" s="81" t="s">
        <v>6564</v>
      </c>
      <c r="BB695" s="84" t="str">
        <f>HYPERLINK("https://api.twitter.com/1.1/geo/id/422231aacfa106f0.json")</f>
        <v>https://api.twitter.com/1.1/geo/id/422231aacfa106f0.json</v>
      </c>
    </row>
    <row r="696" spans="1:54" x14ac:dyDescent="0.35">
      <c r="A696" s="66" t="s">
        <v>714</v>
      </c>
      <c r="B696" s="66" t="s">
        <v>1382</v>
      </c>
      <c r="C696" s="67"/>
      <c r="D696" s="68"/>
      <c r="E696" s="69"/>
      <c r="F696" s="70"/>
      <c r="G696" s="67"/>
      <c r="H696" s="71"/>
      <c r="I696" s="72"/>
      <c r="J696" s="72"/>
      <c r="K696" s="36"/>
      <c r="L696" s="79"/>
      <c r="M696" s="79"/>
      <c r="N696" s="74"/>
      <c r="O696" s="81" t="s">
        <v>1535</v>
      </c>
      <c r="P696" s="83">
        <v>44462.247071759259</v>
      </c>
      <c r="Q696" s="81" t="s">
        <v>1802</v>
      </c>
      <c r="R696" s="81"/>
      <c r="S696" s="81"/>
      <c r="T696" s="81"/>
      <c r="U696" s="84" t="str">
        <f>HYPERLINK("https://pbs.twimg.com/media/E_8rGFDVUAYo5wc.jpg")</f>
        <v>https://pbs.twimg.com/media/E_8rGFDVUAYo5wc.jpg</v>
      </c>
      <c r="V696" s="84" t="str">
        <f>HYPERLINK("https://pbs.twimg.com/media/E_8rGFDVUAYo5wc.jpg")</f>
        <v>https://pbs.twimg.com/media/E_8rGFDVUAYo5wc.jpg</v>
      </c>
      <c r="W696" s="83">
        <v>44462.247071759259</v>
      </c>
      <c r="X696" s="89">
        <v>44462</v>
      </c>
      <c r="Y696" s="86" t="s">
        <v>3293</v>
      </c>
      <c r="Z696" s="84" t="str">
        <f>HYPERLINK("https://twitter.com/bnnk_info/status/1440917794367819779")</f>
        <v>https://twitter.com/bnnk_info/status/1440917794367819779</v>
      </c>
      <c r="AA696" s="81"/>
      <c r="AB696" s="81"/>
      <c r="AC696" s="86" t="s">
        <v>4755</v>
      </c>
      <c r="AD696" s="81"/>
      <c r="AE696" s="81" t="b">
        <v>0</v>
      </c>
      <c r="AF696" s="81">
        <v>2</v>
      </c>
      <c r="AG696" s="86" t="s">
        <v>6240</v>
      </c>
      <c r="AH696" s="81" t="b">
        <v>0</v>
      </c>
      <c r="AI696" s="81" t="s">
        <v>6478</v>
      </c>
      <c r="AJ696" s="81"/>
      <c r="AK696" s="86" t="s">
        <v>6240</v>
      </c>
      <c r="AL696" s="81" t="b">
        <v>0</v>
      </c>
      <c r="AM696" s="81">
        <v>0</v>
      </c>
      <c r="AN696" s="86" t="s">
        <v>6240</v>
      </c>
      <c r="AO696" s="86" t="s">
        <v>6503</v>
      </c>
      <c r="AP696" s="81" t="b">
        <v>0</v>
      </c>
      <c r="AQ696" s="86" t="s">
        <v>4755</v>
      </c>
      <c r="AR696" s="81" t="s">
        <v>179</v>
      </c>
      <c r="AS696" s="81">
        <v>0</v>
      </c>
      <c r="AT696" s="81">
        <v>0</v>
      </c>
      <c r="AU696" s="81" t="s">
        <v>6536</v>
      </c>
      <c r="AV696" s="81" t="s">
        <v>6543</v>
      </c>
      <c r="AW696" s="81" t="s">
        <v>12</v>
      </c>
      <c r="AX696" s="81" t="s">
        <v>6544</v>
      </c>
      <c r="AY696" s="81" t="s">
        <v>6551</v>
      </c>
      <c r="AZ696" s="81" t="s">
        <v>6558</v>
      </c>
      <c r="BA696" s="81" t="s">
        <v>6564</v>
      </c>
      <c r="BB696" s="84" t="str">
        <f>HYPERLINK("https://api.twitter.com/1.1/geo/id/422231aacfa106f0.json")</f>
        <v>https://api.twitter.com/1.1/geo/id/422231aacfa106f0.json</v>
      </c>
    </row>
    <row r="697" spans="1:54" x14ac:dyDescent="0.35">
      <c r="A697" s="66" t="s">
        <v>714</v>
      </c>
      <c r="B697" s="66" t="s">
        <v>1383</v>
      </c>
      <c r="C697" s="67"/>
      <c r="D697" s="68"/>
      <c r="E697" s="69"/>
      <c r="F697" s="70"/>
      <c r="G697" s="67"/>
      <c r="H697" s="71"/>
      <c r="I697" s="72"/>
      <c r="J697" s="72"/>
      <c r="K697" s="36"/>
      <c r="L697" s="79"/>
      <c r="M697" s="79"/>
      <c r="N697" s="74"/>
      <c r="O697" s="81" t="s">
        <v>1535</v>
      </c>
      <c r="P697" s="83">
        <v>44462.247071759259</v>
      </c>
      <c r="Q697" s="81" t="s">
        <v>1802</v>
      </c>
      <c r="R697" s="81"/>
      <c r="S697" s="81"/>
      <c r="T697" s="81"/>
      <c r="U697" s="84" t="str">
        <f>HYPERLINK("https://pbs.twimg.com/media/E_8rGFDVUAYo5wc.jpg")</f>
        <v>https://pbs.twimg.com/media/E_8rGFDVUAYo5wc.jpg</v>
      </c>
      <c r="V697" s="84" t="str">
        <f>HYPERLINK("https://pbs.twimg.com/media/E_8rGFDVUAYo5wc.jpg")</f>
        <v>https://pbs.twimg.com/media/E_8rGFDVUAYo5wc.jpg</v>
      </c>
      <c r="W697" s="83">
        <v>44462.247071759259</v>
      </c>
      <c r="X697" s="89">
        <v>44462</v>
      </c>
      <c r="Y697" s="86" t="s">
        <v>3293</v>
      </c>
      <c r="Z697" s="84" t="str">
        <f>HYPERLINK("https://twitter.com/bnnk_info/status/1440917794367819779")</f>
        <v>https://twitter.com/bnnk_info/status/1440917794367819779</v>
      </c>
      <c r="AA697" s="81"/>
      <c r="AB697" s="81"/>
      <c r="AC697" s="86" t="s">
        <v>4755</v>
      </c>
      <c r="AD697" s="81"/>
      <c r="AE697" s="81" t="b">
        <v>0</v>
      </c>
      <c r="AF697" s="81">
        <v>2</v>
      </c>
      <c r="AG697" s="86" t="s">
        <v>6240</v>
      </c>
      <c r="AH697" s="81" t="b">
        <v>0</v>
      </c>
      <c r="AI697" s="81" t="s">
        <v>6478</v>
      </c>
      <c r="AJ697" s="81"/>
      <c r="AK697" s="86" t="s">
        <v>6240</v>
      </c>
      <c r="AL697" s="81" t="b">
        <v>0</v>
      </c>
      <c r="AM697" s="81">
        <v>0</v>
      </c>
      <c r="AN697" s="86" t="s">
        <v>6240</v>
      </c>
      <c r="AO697" s="86" t="s">
        <v>6503</v>
      </c>
      <c r="AP697" s="81" t="b">
        <v>0</v>
      </c>
      <c r="AQ697" s="86" t="s">
        <v>4755</v>
      </c>
      <c r="AR697" s="81" t="s">
        <v>179</v>
      </c>
      <c r="AS697" s="81">
        <v>0</v>
      </c>
      <c r="AT697" s="81">
        <v>0</v>
      </c>
      <c r="AU697" s="81" t="s">
        <v>6536</v>
      </c>
      <c r="AV697" s="81" t="s">
        <v>6543</v>
      </c>
      <c r="AW697" s="81" t="s">
        <v>12</v>
      </c>
      <c r="AX697" s="81" t="s">
        <v>6544</v>
      </c>
      <c r="AY697" s="81" t="s">
        <v>6551</v>
      </c>
      <c r="AZ697" s="81" t="s">
        <v>6558</v>
      </c>
      <c r="BA697" s="81" t="s">
        <v>6564</v>
      </c>
      <c r="BB697" s="84" t="str">
        <f>HYPERLINK("https://api.twitter.com/1.1/geo/id/422231aacfa106f0.json")</f>
        <v>https://api.twitter.com/1.1/geo/id/422231aacfa106f0.json</v>
      </c>
    </row>
    <row r="698" spans="1:54" x14ac:dyDescent="0.35">
      <c r="A698" s="66" t="s">
        <v>714</v>
      </c>
      <c r="B698" s="66" t="s">
        <v>1384</v>
      </c>
      <c r="C698" s="67"/>
      <c r="D698" s="68"/>
      <c r="E698" s="69"/>
      <c r="F698" s="70"/>
      <c r="G698" s="67"/>
      <c r="H698" s="71"/>
      <c r="I698" s="72"/>
      <c r="J698" s="72"/>
      <c r="K698" s="36"/>
      <c r="L698" s="79"/>
      <c r="M698" s="79"/>
      <c r="N698" s="74"/>
      <c r="O698" s="81" t="s">
        <v>1535</v>
      </c>
      <c r="P698" s="83">
        <v>44462.247071759259</v>
      </c>
      <c r="Q698" s="81" t="s">
        <v>1802</v>
      </c>
      <c r="R698" s="81"/>
      <c r="S698" s="81"/>
      <c r="T698" s="81"/>
      <c r="U698" s="84" t="str">
        <f>HYPERLINK("https://pbs.twimg.com/media/E_8rGFDVUAYo5wc.jpg")</f>
        <v>https://pbs.twimg.com/media/E_8rGFDVUAYo5wc.jpg</v>
      </c>
      <c r="V698" s="84" t="str">
        <f>HYPERLINK("https://pbs.twimg.com/media/E_8rGFDVUAYo5wc.jpg")</f>
        <v>https://pbs.twimg.com/media/E_8rGFDVUAYo5wc.jpg</v>
      </c>
      <c r="W698" s="83">
        <v>44462.247071759259</v>
      </c>
      <c r="X698" s="89">
        <v>44462</v>
      </c>
      <c r="Y698" s="86" t="s">
        <v>3293</v>
      </c>
      <c r="Z698" s="84" t="str">
        <f>HYPERLINK("https://twitter.com/bnnk_info/status/1440917794367819779")</f>
        <v>https://twitter.com/bnnk_info/status/1440917794367819779</v>
      </c>
      <c r="AA698" s="81"/>
      <c r="AB698" s="81"/>
      <c r="AC698" s="86" t="s">
        <v>4755</v>
      </c>
      <c r="AD698" s="81"/>
      <c r="AE698" s="81" t="b">
        <v>0</v>
      </c>
      <c r="AF698" s="81">
        <v>2</v>
      </c>
      <c r="AG698" s="86" t="s">
        <v>6240</v>
      </c>
      <c r="AH698" s="81" t="b">
        <v>0</v>
      </c>
      <c r="AI698" s="81" t="s">
        <v>6478</v>
      </c>
      <c r="AJ698" s="81"/>
      <c r="AK698" s="86" t="s">
        <v>6240</v>
      </c>
      <c r="AL698" s="81" t="b">
        <v>0</v>
      </c>
      <c r="AM698" s="81">
        <v>0</v>
      </c>
      <c r="AN698" s="86" t="s">
        <v>6240</v>
      </c>
      <c r="AO698" s="86" t="s">
        <v>6503</v>
      </c>
      <c r="AP698" s="81" t="b">
        <v>0</v>
      </c>
      <c r="AQ698" s="86" t="s">
        <v>4755</v>
      </c>
      <c r="AR698" s="81" t="s">
        <v>179</v>
      </c>
      <c r="AS698" s="81">
        <v>0</v>
      </c>
      <c r="AT698" s="81">
        <v>0</v>
      </c>
      <c r="AU698" s="81" t="s">
        <v>6536</v>
      </c>
      <c r="AV698" s="81" t="s">
        <v>6543</v>
      </c>
      <c r="AW698" s="81" t="s">
        <v>12</v>
      </c>
      <c r="AX698" s="81" t="s">
        <v>6544</v>
      </c>
      <c r="AY698" s="81" t="s">
        <v>6551</v>
      </c>
      <c r="AZ698" s="81" t="s">
        <v>6558</v>
      </c>
      <c r="BA698" s="81" t="s">
        <v>6564</v>
      </c>
      <c r="BB698" s="84" t="str">
        <f>HYPERLINK("https://api.twitter.com/1.1/geo/id/422231aacfa106f0.json")</f>
        <v>https://api.twitter.com/1.1/geo/id/422231aacfa106f0.json</v>
      </c>
    </row>
    <row r="699" spans="1:54" x14ac:dyDescent="0.35">
      <c r="A699" s="66" t="s">
        <v>714</v>
      </c>
      <c r="B699" s="66" t="s">
        <v>1385</v>
      </c>
      <c r="C699" s="67"/>
      <c r="D699" s="68"/>
      <c r="E699" s="69"/>
      <c r="F699" s="70"/>
      <c r="G699" s="67"/>
      <c r="H699" s="71"/>
      <c r="I699" s="72"/>
      <c r="J699" s="72"/>
      <c r="K699" s="36"/>
      <c r="L699" s="79"/>
      <c r="M699" s="79"/>
      <c r="N699" s="74"/>
      <c r="O699" s="81" t="s">
        <v>1535</v>
      </c>
      <c r="P699" s="83">
        <v>44462.247071759259</v>
      </c>
      <c r="Q699" s="81" t="s">
        <v>1802</v>
      </c>
      <c r="R699" s="81"/>
      <c r="S699" s="81"/>
      <c r="T699" s="81"/>
      <c r="U699" s="84" t="str">
        <f>HYPERLINK("https://pbs.twimg.com/media/E_8rGFDVUAYo5wc.jpg")</f>
        <v>https://pbs.twimg.com/media/E_8rGFDVUAYo5wc.jpg</v>
      </c>
      <c r="V699" s="84" t="str">
        <f>HYPERLINK("https://pbs.twimg.com/media/E_8rGFDVUAYo5wc.jpg")</f>
        <v>https://pbs.twimg.com/media/E_8rGFDVUAYo5wc.jpg</v>
      </c>
      <c r="W699" s="83">
        <v>44462.247071759259</v>
      </c>
      <c r="X699" s="89">
        <v>44462</v>
      </c>
      <c r="Y699" s="86" t="s">
        <v>3293</v>
      </c>
      <c r="Z699" s="84" t="str">
        <f>HYPERLINK("https://twitter.com/bnnk_info/status/1440917794367819779")</f>
        <v>https://twitter.com/bnnk_info/status/1440917794367819779</v>
      </c>
      <c r="AA699" s="81"/>
      <c r="AB699" s="81"/>
      <c r="AC699" s="86" t="s">
        <v>4755</v>
      </c>
      <c r="AD699" s="81"/>
      <c r="AE699" s="81" t="b">
        <v>0</v>
      </c>
      <c r="AF699" s="81">
        <v>2</v>
      </c>
      <c r="AG699" s="86" t="s">
        <v>6240</v>
      </c>
      <c r="AH699" s="81" t="b">
        <v>0</v>
      </c>
      <c r="AI699" s="81" t="s">
        <v>6478</v>
      </c>
      <c r="AJ699" s="81"/>
      <c r="AK699" s="86" t="s">
        <v>6240</v>
      </c>
      <c r="AL699" s="81" t="b">
        <v>0</v>
      </c>
      <c r="AM699" s="81">
        <v>0</v>
      </c>
      <c r="AN699" s="86" t="s">
        <v>6240</v>
      </c>
      <c r="AO699" s="86" t="s">
        <v>6503</v>
      </c>
      <c r="AP699" s="81" t="b">
        <v>0</v>
      </c>
      <c r="AQ699" s="86" t="s">
        <v>4755</v>
      </c>
      <c r="AR699" s="81" t="s">
        <v>179</v>
      </c>
      <c r="AS699" s="81">
        <v>0</v>
      </c>
      <c r="AT699" s="81">
        <v>0</v>
      </c>
      <c r="AU699" s="81" t="s">
        <v>6536</v>
      </c>
      <c r="AV699" s="81" t="s">
        <v>6543</v>
      </c>
      <c r="AW699" s="81" t="s">
        <v>12</v>
      </c>
      <c r="AX699" s="81" t="s">
        <v>6544</v>
      </c>
      <c r="AY699" s="81" t="s">
        <v>6551</v>
      </c>
      <c r="AZ699" s="81" t="s">
        <v>6558</v>
      </c>
      <c r="BA699" s="81" t="s">
        <v>6564</v>
      </c>
      <c r="BB699" s="84" t="str">
        <f>HYPERLINK("https://api.twitter.com/1.1/geo/id/422231aacfa106f0.json")</f>
        <v>https://api.twitter.com/1.1/geo/id/422231aacfa106f0.json</v>
      </c>
    </row>
    <row r="700" spans="1:54" x14ac:dyDescent="0.35">
      <c r="A700" s="66" t="s">
        <v>714</v>
      </c>
      <c r="B700" s="66" t="s">
        <v>1386</v>
      </c>
      <c r="C700" s="67"/>
      <c r="D700" s="68"/>
      <c r="E700" s="69"/>
      <c r="F700" s="70"/>
      <c r="G700" s="67"/>
      <c r="H700" s="71"/>
      <c r="I700" s="72"/>
      <c r="J700" s="72"/>
      <c r="K700" s="36"/>
      <c r="L700" s="79"/>
      <c r="M700" s="79"/>
      <c r="N700" s="74"/>
      <c r="O700" s="81" t="s">
        <v>1535</v>
      </c>
      <c r="P700" s="83">
        <v>44462.247071759259</v>
      </c>
      <c r="Q700" s="81" t="s">
        <v>1802</v>
      </c>
      <c r="R700" s="81"/>
      <c r="S700" s="81"/>
      <c r="T700" s="81"/>
      <c r="U700" s="84" t="str">
        <f>HYPERLINK("https://pbs.twimg.com/media/E_8rGFDVUAYo5wc.jpg")</f>
        <v>https://pbs.twimg.com/media/E_8rGFDVUAYo5wc.jpg</v>
      </c>
      <c r="V700" s="84" t="str">
        <f>HYPERLINK("https://pbs.twimg.com/media/E_8rGFDVUAYo5wc.jpg")</f>
        <v>https://pbs.twimg.com/media/E_8rGFDVUAYo5wc.jpg</v>
      </c>
      <c r="W700" s="83">
        <v>44462.247071759259</v>
      </c>
      <c r="X700" s="89">
        <v>44462</v>
      </c>
      <c r="Y700" s="86" t="s">
        <v>3293</v>
      </c>
      <c r="Z700" s="84" t="str">
        <f>HYPERLINK("https://twitter.com/bnnk_info/status/1440917794367819779")</f>
        <v>https://twitter.com/bnnk_info/status/1440917794367819779</v>
      </c>
      <c r="AA700" s="81"/>
      <c r="AB700" s="81"/>
      <c r="AC700" s="86" t="s">
        <v>4755</v>
      </c>
      <c r="AD700" s="81"/>
      <c r="AE700" s="81" t="b">
        <v>0</v>
      </c>
      <c r="AF700" s="81">
        <v>2</v>
      </c>
      <c r="AG700" s="86" t="s">
        <v>6240</v>
      </c>
      <c r="AH700" s="81" t="b">
        <v>0</v>
      </c>
      <c r="AI700" s="81" t="s">
        <v>6478</v>
      </c>
      <c r="AJ700" s="81"/>
      <c r="AK700" s="86" t="s">
        <v>6240</v>
      </c>
      <c r="AL700" s="81" t="b">
        <v>0</v>
      </c>
      <c r="AM700" s="81">
        <v>0</v>
      </c>
      <c r="AN700" s="86" t="s">
        <v>6240</v>
      </c>
      <c r="AO700" s="86" t="s">
        <v>6503</v>
      </c>
      <c r="AP700" s="81" t="b">
        <v>0</v>
      </c>
      <c r="AQ700" s="86" t="s">
        <v>4755</v>
      </c>
      <c r="AR700" s="81" t="s">
        <v>179</v>
      </c>
      <c r="AS700" s="81">
        <v>0</v>
      </c>
      <c r="AT700" s="81">
        <v>0</v>
      </c>
      <c r="AU700" s="81" t="s">
        <v>6536</v>
      </c>
      <c r="AV700" s="81" t="s">
        <v>6543</v>
      </c>
      <c r="AW700" s="81" t="s">
        <v>12</v>
      </c>
      <c r="AX700" s="81" t="s">
        <v>6544</v>
      </c>
      <c r="AY700" s="81" t="s">
        <v>6551</v>
      </c>
      <c r="AZ700" s="81" t="s">
        <v>6558</v>
      </c>
      <c r="BA700" s="81" t="s">
        <v>6564</v>
      </c>
      <c r="BB700" s="84" t="str">
        <f>HYPERLINK("https://api.twitter.com/1.1/geo/id/422231aacfa106f0.json")</f>
        <v>https://api.twitter.com/1.1/geo/id/422231aacfa106f0.json</v>
      </c>
    </row>
    <row r="701" spans="1:54" x14ac:dyDescent="0.35">
      <c r="A701" s="66" t="s">
        <v>714</v>
      </c>
      <c r="B701" s="66" t="s">
        <v>1268</v>
      </c>
      <c r="C701" s="67"/>
      <c r="D701" s="68"/>
      <c r="E701" s="69"/>
      <c r="F701" s="70"/>
      <c r="G701" s="67"/>
      <c r="H701" s="71"/>
      <c r="I701" s="72"/>
      <c r="J701" s="72"/>
      <c r="K701" s="36"/>
      <c r="L701" s="79"/>
      <c r="M701" s="79"/>
      <c r="N701" s="74"/>
      <c r="O701" s="81" t="s">
        <v>1535</v>
      </c>
      <c r="P701" s="83">
        <v>44462.247071759259</v>
      </c>
      <c r="Q701" s="81" t="s">
        <v>1802</v>
      </c>
      <c r="R701" s="81"/>
      <c r="S701" s="81"/>
      <c r="T701" s="81"/>
      <c r="U701" s="84" t="str">
        <f>HYPERLINK("https://pbs.twimg.com/media/E_8rGFDVUAYo5wc.jpg")</f>
        <v>https://pbs.twimg.com/media/E_8rGFDVUAYo5wc.jpg</v>
      </c>
      <c r="V701" s="84" t="str">
        <f>HYPERLINK("https://pbs.twimg.com/media/E_8rGFDVUAYo5wc.jpg")</f>
        <v>https://pbs.twimg.com/media/E_8rGFDVUAYo5wc.jpg</v>
      </c>
      <c r="W701" s="83">
        <v>44462.247071759259</v>
      </c>
      <c r="X701" s="89">
        <v>44462</v>
      </c>
      <c r="Y701" s="86" t="s">
        <v>3293</v>
      </c>
      <c r="Z701" s="84" t="str">
        <f>HYPERLINK("https://twitter.com/bnnk_info/status/1440917794367819779")</f>
        <v>https://twitter.com/bnnk_info/status/1440917794367819779</v>
      </c>
      <c r="AA701" s="81"/>
      <c r="AB701" s="81"/>
      <c r="AC701" s="86" t="s">
        <v>4755</v>
      </c>
      <c r="AD701" s="81"/>
      <c r="AE701" s="81" t="b">
        <v>0</v>
      </c>
      <c r="AF701" s="81">
        <v>2</v>
      </c>
      <c r="AG701" s="86" t="s">
        <v>6240</v>
      </c>
      <c r="AH701" s="81" t="b">
        <v>0</v>
      </c>
      <c r="AI701" s="81" t="s">
        <v>6478</v>
      </c>
      <c r="AJ701" s="81"/>
      <c r="AK701" s="86" t="s">
        <v>6240</v>
      </c>
      <c r="AL701" s="81" t="b">
        <v>0</v>
      </c>
      <c r="AM701" s="81">
        <v>0</v>
      </c>
      <c r="AN701" s="86" t="s">
        <v>6240</v>
      </c>
      <c r="AO701" s="86" t="s">
        <v>6503</v>
      </c>
      <c r="AP701" s="81" t="b">
        <v>0</v>
      </c>
      <c r="AQ701" s="86" t="s">
        <v>4755</v>
      </c>
      <c r="AR701" s="81" t="s">
        <v>179</v>
      </c>
      <c r="AS701" s="81">
        <v>0</v>
      </c>
      <c r="AT701" s="81">
        <v>0</v>
      </c>
      <c r="AU701" s="81" t="s">
        <v>6536</v>
      </c>
      <c r="AV701" s="81" t="s">
        <v>6543</v>
      </c>
      <c r="AW701" s="81" t="s">
        <v>12</v>
      </c>
      <c r="AX701" s="81" t="s">
        <v>6544</v>
      </c>
      <c r="AY701" s="81" t="s">
        <v>6551</v>
      </c>
      <c r="AZ701" s="81" t="s">
        <v>6558</v>
      </c>
      <c r="BA701" s="81" t="s">
        <v>6564</v>
      </c>
      <c r="BB701" s="84" t="str">
        <f>HYPERLINK("https://api.twitter.com/1.1/geo/id/422231aacfa106f0.json")</f>
        <v>https://api.twitter.com/1.1/geo/id/422231aacfa106f0.json</v>
      </c>
    </row>
    <row r="702" spans="1:54" x14ac:dyDescent="0.35">
      <c r="A702" s="66" t="s">
        <v>715</v>
      </c>
      <c r="B702" s="66" t="s">
        <v>928</v>
      </c>
      <c r="C702" s="67"/>
      <c r="D702" s="68"/>
      <c r="E702" s="69"/>
      <c r="F702" s="70"/>
      <c r="G702" s="67"/>
      <c r="H702" s="71"/>
      <c r="I702" s="72"/>
      <c r="J702" s="72"/>
      <c r="K702" s="36"/>
      <c r="L702" s="79"/>
      <c r="M702" s="79"/>
      <c r="N702" s="74"/>
      <c r="O702" s="81" t="s">
        <v>1532</v>
      </c>
      <c r="P702" s="83">
        <v>44462.253564814811</v>
      </c>
      <c r="Q702" s="81" t="s">
        <v>1781</v>
      </c>
      <c r="R702" s="81"/>
      <c r="S702" s="81"/>
      <c r="T702" s="86" t="s">
        <v>2681</v>
      </c>
      <c r="U702" s="84" t="str">
        <f>HYPERLINK("https://pbs.twimg.com/media/E_6-KvyVgAA0Zfe.jpg")</f>
        <v>https://pbs.twimg.com/media/E_6-KvyVgAA0Zfe.jpg</v>
      </c>
      <c r="V702" s="84" t="str">
        <f>HYPERLINK("https://pbs.twimg.com/media/E_6-KvyVgAA0Zfe.jpg")</f>
        <v>https://pbs.twimg.com/media/E_6-KvyVgAA0Zfe.jpg</v>
      </c>
      <c r="W702" s="83">
        <v>44462.253564814811</v>
      </c>
      <c r="X702" s="89">
        <v>44462</v>
      </c>
      <c r="Y702" s="86" t="s">
        <v>3294</v>
      </c>
      <c r="Z702" s="84" t="str">
        <f>HYPERLINK("https://twitter.com/rozzy_bwin/status/1440920144906055683")</f>
        <v>https://twitter.com/rozzy_bwin/status/1440920144906055683</v>
      </c>
      <c r="AA702" s="81"/>
      <c r="AB702" s="81"/>
      <c r="AC702" s="86" t="s">
        <v>4756</v>
      </c>
      <c r="AD702" s="81"/>
      <c r="AE702" s="81" t="b">
        <v>0</v>
      </c>
      <c r="AF702" s="81">
        <v>0</v>
      </c>
      <c r="AG702" s="86" t="s">
        <v>6240</v>
      </c>
      <c r="AH702" s="81" t="b">
        <v>0</v>
      </c>
      <c r="AI702" s="81" t="s">
        <v>6479</v>
      </c>
      <c r="AJ702" s="81"/>
      <c r="AK702" s="86" t="s">
        <v>6240</v>
      </c>
      <c r="AL702" s="81" t="b">
        <v>0</v>
      </c>
      <c r="AM702" s="81">
        <v>71</v>
      </c>
      <c r="AN702" s="86" t="s">
        <v>5039</v>
      </c>
      <c r="AO702" s="86" t="s">
        <v>6503</v>
      </c>
      <c r="AP702" s="81" t="b">
        <v>0</v>
      </c>
      <c r="AQ702" s="86" t="s">
        <v>5039</v>
      </c>
      <c r="AR702" s="81" t="s">
        <v>179</v>
      </c>
      <c r="AS702" s="81">
        <v>0</v>
      </c>
      <c r="AT702" s="81">
        <v>0</v>
      </c>
      <c r="AU702" s="81"/>
      <c r="AV702" s="81"/>
      <c r="AW702" s="81"/>
      <c r="AX702" s="81"/>
      <c r="AY702" s="81"/>
      <c r="AZ702" s="81"/>
      <c r="BA702" s="81"/>
      <c r="BB702" s="81"/>
    </row>
    <row r="703" spans="1:54" x14ac:dyDescent="0.35">
      <c r="A703" s="66" t="s">
        <v>716</v>
      </c>
      <c r="B703" s="66" t="s">
        <v>716</v>
      </c>
      <c r="C703" s="67"/>
      <c r="D703" s="68"/>
      <c r="E703" s="69"/>
      <c r="F703" s="70"/>
      <c r="G703" s="67"/>
      <c r="H703" s="71"/>
      <c r="I703" s="72"/>
      <c r="J703" s="72"/>
      <c r="K703" s="36"/>
      <c r="L703" s="79"/>
      <c r="M703" s="79"/>
      <c r="N703" s="74"/>
      <c r="O703" s="81" t="s">
        <v>179</v>
      </c>
      <c r="P703" s="83">
        <v>44462.260138888887</v>
      </c>
      <c r="Q703" s="81" t="s">
        <v>1803</v>
      </c>
      <c r="R703" s="81"/>
      <c r="S703" s="81"/>
      <c r="T703" s="81"/>
      <c r="U703" s="81"/>
      <c r="V703" s="84" t="str">
        <f>HYPERLINK("https://pbs.twimg.com/profile_images/1441343876778786830/0s6O-eMT_normal.jpg")</f>
        <v>https://pbs.twimg.com/profile_images/1441343876778786830/0s6O-eMT_normal.jpg</v>
      </c>
      <c r="W703" s="83">
        <v>44462.260138888887</v>
      </c>
      <c r="X703" s="89">
        <v>44462</v>
      </c>
      <c r="Y703" s="86" t="s">
        <v>3295</v>
      </c>
      <c r="Z703" s="84" t="str">
        <f>HYPERLINK("https://twitter.com/bagusfitrian/status/1440922528050921472")</f>
        <v>https://twitter.com/bagusfitrian/status/1440922528050921472</v>
      </c>
      <c r="AA703" s="81"/>
      <c r="AB703" s="81"/>
      <c r="AC703" s="86" t="s">
        <v>4757</v>
      </c>
      <c r="AD703" s="81"/>
      <c r="AE703" s="81" t="b">
        <v>0</v>
      </c>
      <c r="AF703" s="81">
        <v>0</v>
      </c>
      <c r="AG703" s="86" t="s">
        <v>6240</v>
      </c>
      <c r="AH703" s="81" t="b">
        <v>0</v>
      </c>
      <c r="AI703" s="81" t="s">
        <v>6478</v>
      </c>
      <c r="AJ703" s="81"/>
      <c r="AK703" s="86" t="s">
        <v>6240</v>
      </c>
      <c r="AL703" s="81" t="b">
        <v>0</v>
      </c>
      <c r="AM703" s="81">
        <v>0</v>
      </c>
      <c r="AN703" s="86" t="s">
        <v>6240</v>
      </c>
      <c r="AO703" s="86" t="s">
        <v>6503</v>
      </c>
      <c r="AP703" s="81" t="b">
        <v>0</v>
      </c>
      <c r="AQ703" s="86" t="s">
        <v>4757</v>
      </c>
      <c r="AR703" s="81" t="s">
        <v>179</v>
      </c>
      <c r="AS703" s="81">
        <v>0</v>
      </c>
      <c r="AT703" s="81">
        <v>0</v>
      </c>
      <c r="AU703" s="81"/>
      <c r="AV703" s="81"/>
      <c r="AW703" s="81"/>
      <c r="AX703" s="81"/>
      <c r="AY703" s="81"/>
      <c r="AZ703" s="81"/>
      <c r="BA703" s="81"/>
      <c r="BB703" s="81"/>
    </row>
    <row r="704" spans="1:54" x14ac:dyDescent="0.35">
      <c r="A704" s="66" t="s">
        <v>717</v>
      </c>
      <c r="B704" s="66" t="s">
        <v>717</v>
      </c>
      <c r="C704" s="67"/>
      <c r="D704" s="68"/>
      <c r="E704" s="69"/>
      <c r="F704" s="70"/>
      <c r="G704" s="67"/>
      <c r="H704" s="71"/>
      <c r="I704" s="72"/>
      <c r="J704" s="72"/>
      <c r="K704" s="36"/>
      <c r="L704" s="79"/>
      <c r="M704" s="79"/>
      <c r="N704" s="74"/>
      <c r="O704" s="81" t="s">
        <v>179</v>
      </c>
      <c r="P704" s="83">
        <v>44462.270173611112</v>
      </c>
      <c r="Q704" s="81" t="s">
        <v>1804</v>
      </c>
      <c r="R704" s="84" t="str">
        <f>HYPERLINK("https://www.disnakerja.com/job/lowongan-kerja-pt-pos-indonesia-persero-3/?utm_source=dlvr.it&amp;utm_medium=twitter")</f>
        <v>https://www.disnakerja.com/job/lowongan-kerja-pt-pos-indonesia-persero-3/?utm_source=dlvr.it&amp;utm_medium=twitter</v>
      </c>
      <c r="S704" s="81" t="s">
        <v>2613</v>
      </c>
      <c r="T704" s="81"/>
      <c r="U704" s="81"/>
      <c r="V704" s="84" t="str">
        <f>HYPERLINK("https://pbs.twimg.com/profile_images/1178324812764086273/-s0I_nWA_normal.jpg")</f>
        <v>https://pbs.twimg.com/profile_images/1178324812764086273/-s0I_nWA_normal.jpg</v>
      </c>
      <c r="W704" s="83">
        <v>44462.270173611112</v>
      </c>
      <c r="X704" s="89">
        <v>44462</v>
      </c>
      <c r="Y704" s="86" t="s">
        <v>3296</v>
      </c>
      <c r="Z704" s="84" t="str">
        <f>HYPERLINK("https://twitter.com/disnakerja_com/status/1440926163094827013")</f>
        <v>https://twitter.com/disnakerja_com/status/1440926163094827013</v>
      </c>
      <c r="AA704" s="81"/>
      <c r="AB704" s="81"/>
      <c r="AC704" s="86" t="s">
        <v>4758</v>
      </c>
      <c r="AD704" s="81"/>
      <c r="AE704" s="81" t="b">
        <v>0</v>
      </c>
      <c r="AF704" s="81">
        <v>0</v>
      </c>
      <c r="AG704" s="86" t="s">
        <v>6240</v>
      </c>
      <c r="AH704" s="81" t="b">
        <v>0</v>
      </c>
      <c r="AI704" s="81" t="s">
        <v>6478</v>
      </c>
      <c r="AJ704" s="81"/>
      <c r="AK704" s="86" t="s">
        <v>6240</v>
      </c>
      <c r="AL704" s="81" t="b">
        <v>0</v>
      </c>
      <c r="AM704" s="81">
        <v>0</v>
      </c>
      <c r="AN704" s="86" t="s">
        <v>6240</v>
      </c>
      <c r="AO704" s="86" t="s">
        <v>6515</v>
      </c>
      <c r="AP704" s="81" t="b">
        <v>0</v>
      </c>
      <c r="AQ704" s="86" t="s">
        <v>4758</v>
      </c>
      <c r="AR704" s="81" t="s">
        <v>179</v>
      </c>
      <c r="AS704" s="81">
        <v>0</v>
      </c>
      <c r="AT704" s="81">
        <v>0</v>
      </c>
      <c r="AU704" s="81"/>
      <c r="AV704" s="81"/>
      <c r="AW704" s="81"/>
      <c r="AX704" s="81"/>
      <c r="AY704" s="81"/>
      <c r="AZ704" s="81"/>
      <c r="BA704" s="81"/>
      <c r="BB704" s="81"/>
    </row>
    <row r="705" spans="1:54" x14ac:dyDescent="0.35">
      <c r="A705" s="66" t="s">
        <v>718</v>
      </c>
      <c r="B705" s="66" t="s">
        <v>718</v>
      </c>
      <c r="C705" s="67"/>
      <c r="D705" s="68"/>
      <c r="E705" s="69"/>
      <c r="F705" s="70"/>
      <c r="G705" s="67"/>
      <c r="H705" s="71"/>
      <c r="I705" s="72"/>
      <c r="J705" s="72"/>
      <c r="K705" s="36"/>
      <c r="L705" s="79"/>
      <c r="M705" s="79"/>
      <c r="N705" s="74"/>
      <c r="O705" s="81" t="s">
        <v>179</v>
      </c>
      <c r="P705" s="83">
        <v>44462.177488425928</v>
      </c>
      <c r="Q705" s="81" t="s">
        <v>1805</v>
      </c>
      <c r="R705" s="84" t="str">
        <f>HYPERLINK("https://www.tribunnews.com/nasional/2021/09/23/lowongan-kerja-pt-pos-indonesia-persero-makassar-2021-frontliner-dibuka-hingga-24-september-2021")</f>
        <v>https://www.tribunnews.com/nasional/2021/09/23/lowongan-kerja-pt-pos-indonesia-persero-makassar-2021-frontliner-dibuka-hingga-24-september-2021</v>
      </c>
      <c r="S705" s="81" t="s">
        <v>2590</v>
      </c>
      <c r="T705" s="81"/>
      <c r="U705" s="81"/>
      <c r="V705" s="84" t="str">
        <f>HYPERLINK("https://pbs.twimg.com/profile_images/1373851008560812035/x57AQzF5_normal.jpg")</f>
        <v>https://pbs.twimg.com/profile_images/1373851008560812035/x57AQzF5_normal.jpg</v>
      </c>
      <c r="W705" s="83">
        <v>44462.177488425928</v>
      </c>
      <c r="X705" s="89">
        <v>44462</v>
      </c>
      <c r="Y705" s="86" t="s">
        <v>3297</v>
      </c>
      <c r="Z705" s="84" t="str">
        <f>HYPERLINK("https://twitter.com/tribunnews/status/1440892577113264136")</f>
        <v>https://twitter.com/tribunnews/status/1440892577113264136</v>
      </c>
      <c r="AA705" s="81"/>
      <c r="AB705" s="81"/>
      <c r="AC705" s="86" t="s">
        <v>4759</v>
      </c>
      <c r="AD705" s="81"/>
      <c r="AE705" s="81" t="b">
        <v>0</v>
      </c>
      <c r="AF705" s="81">
        <v>1</v>
      </c>
      <c r="AG705" s="86" t="s">
        <v>6240</v>
      </c>
      <c r="AH705" s="81" t="b">
        <v>0</v>
      </c>
      <c r="AI705" s="81" t="s">
        <v>6478</v>
      </c>
      <c r="AJ705" s="81"/>
      <c r="AK705" s="86" t="s">
        <v>6240</v>
      </c>
      <c r="AL705" s="81" t="b">
        <v>0</v>
      </c>
      <c r="AM705" s="81">
        <v>0</v>
      </c>
      <c r="AN705" s="86" t="s">
        <v>6240</v>
      </c>
      <c r="AO705" s="86" t="s">
        <v>6507</v>
      </c>
      <c r="AP705" s="81" t="b">
        <v>0</v>
      </c>
      <c r="AQ705" s="86" t="s">
        <v>4759</v>
      </c>
      <c r="AR705" s="81" t="s">
        <v>179</v>
      </c>
      <c r="AS705" s="81">
        <v>0</v>
      </c>
      <c r="AT705" s="81">
        <v>0</v>
      </c>
      <c r="AU705" s="81"/>
      <c r="AV705" s="81"/>
      <c r="AW705" s="81"/>
      <c r="AX705" s="81"/>
      <c r="AY705" s="81"/>
      <c r="AZ705" s="81"/>
      <c r="BA705" s="81"/>
      <c r="BB705" s="81"/>
    </row>
    <row r="706" spans="1:54" x14ac:dyDescent="0.35">
      <c r="A706" s="66" t="s">
        <v>718</v>
      </c>
      <c r="B706" s="66" t="s">
        <v>718</v>
      </c>
      <c r="C706" s="67"/>
      <c r="D706" s="68"/>
      <c r="E706" s="69"/>
      <c r="F706" s="70"/>
      <c r="G706" s="67"/>
      <c r="H706" s="71"/>
      <c r="I706" s="72"/>
      <c r="J706" s="72"/>
      <c r="K706" s="36"/>
      <c r="L706" s="79"/>
      <c r="M706" s="79"/>
      <c r="N706" s="74"/>
      <c r="O706" s="81" t="s">
        <v>179</v>
      </c>
      <c r="P706" s="83">
        <v>44462.287673611114</v>
      </c>
      <c r="Q706" s="81" t="s">
        <v>1806</v>
      </c>
      <c r="R706" s="84" t="str">
        <f>HYPERLINK("https://www.tribunnews.com/nasional/2021/09/23/lowongan-kerja-pt-pos-indonesia-persero-makassar-2021-frontliner-dibuka-hingga-24-september-2021")</f>
        <v>https://www.tribunnews.com/nasional/2021/09/23/lowongan-kerja-pt-pos-indonesia-persero-makassar-2021-frontliner-dibuka-hingga-24-september-2021</v>
      </c>
      <c r="S706" s="81" t="s">
        <v>2590</v>
      </c>
      <c r="T706" s="81"/>
      <c r="U706" s="81"/>
      <c r="V706" s="84" t="str">
        <f>HYPERLINK("https://pbs.twimg.com/profile_images/1373851008560812035/x57AQzF5_normal.jpg")</f>
        <v>https://pbs.twimg.com/profile_images/1373851008560812035/x57AQzF5_normal.jpg</v>
      </c>
      <c r="W706" s="83">
        <v>44462.287673611114</v>
      </c>
      <c r="X706" s="89">
        <v>44462</v>
      </c>
      <c r="Y706" s="86" t="s">
        <v>3298</v>
      </c>
      <c r="Z706" s="84" t="str">
        <f>HYPERLINK("https://twitter.com/tribunnews/status/1440932508191780868")</f>
        <v>https://twitter.com/tribunnews/status/1440932508191780868</v>
      </c>
      <c r="AA706" s="81"/>
      <c r="AB706" s="81"/>
      <c r="AC706" s="86" t="s">
        <v>4760</v>
      </c>
      <c r="AD706" s="81"/>
      <c r="AE706" s="81" t="b">
        <v>0</v>
      </c>
      <c r="AF706" s="81">
        <v>1</v>
      </c>
      <c r="AG706" s="86" t="s">
        <v>6240</v>
      </c>
      <c r="AH706" s="81" t="b">
        <v>0</v>
      </c>
      <c r="AI706" s="81" t="s">
        <v>6478</v>
      </c>
      <c r="AJ706" s="81"/>
      <c r="AK706" s="86" t="s">
        <v>6240</v>
      </c>
      <c r="AL706" s="81" t="b">
        <v>0</v>
      </c>
      <c r="AM706" s="81">
        <v>0</v>
      </c>
      <c r="AN706" s="86" t="s">
        <v>6240</v>
      </c>
      <c r="AO706" s="86" t="s">
        <v>6507</v>
      </c>
      <c r="AP706" s="81" t="b">
        <v>0</v>
      </c>
      <c r="AQ706" s="86" t="s">
        <v>4760</v>
      </c>
      <c r="AR706" s="81" t="s">
        <v>179</v>
      </c>
      <c r="AS706" s="81">
        <v>0</v>
      </c>
      <c r="AT706" s="81">
        <v>0</v>
      </c>
      <c r="AU706" s="81"/>
      <c r="AV706" s="81"/>
      <c r="AW706" s="81"/>
      <c r="AX706" s="81"/>
      <c r="AY706" s="81"/>
      <c r="AZ706" s="81"/>
      <c r="BA706" s="81"/>
      <c r="BB706" s="81"/>
    </row>
    <row r="707" spans="1:54" x14ac:dyDescent="0.35">
      <c r="A707" s="66" t="s">
        <v>719</v>
      </c>
      <c r="B707" s="66" t="s">
        <v>858</v>
      </c>
      <c r="C707" s="67"/>
      <c r="D707" s="68"/>
      <c r="E707" s="69"/>
      <c r="F707" s="70"/>
      <c r="G707" s="67"/>
      <c r="H707" s="71"/>
      <c r="I707" s="72"/>
      <c r="J707" s="72"/>
      <c r="K707" s="36"/>
      <c r="L707" s="79"/>
      <c r="M707" s="79"/>
      <c r="N707" s="74"/>
      <c r="O707" s="81" t="s">
        <v>1532</v>
      </c>
      <c r="P707" s="83">
        <v>44462.302800925929</v>
      </c>
      <c r="Q707" s="81" t="s">
        <v>1793</v>
      </c>
      <c r="R707" s="81"/>
      <c r="S707" s="81"/>
      <c r="T707" s="81"/>
      <c r="U707" s="81"/>
      <c r="V707" s="84" t="str">
        <f>HYPERLINK("https://pbs.twimg.com/profile_images/1439153933289590785/HesQlRKO_normal.jpg")</f>
        <v>https://pbs.twimg.com/profile_images/1439153933289590785/HesQlRKO_normal.jpg</v>
      </c>
      <c r="W707" s="83">
        <v>44462.302800925929</v>
      </c>
      <c r="X707" s="89">
        <v>44462</v>
      </c>
      <c r="Y707" s="86" t="s">
        <v>3299</v>
      </c>
      <c r="Z707" s="84" t="str">
        <f>HYPERLINK("https://twitter.com/taggie_03/status/1440937989081743363")</f>
        <v>https://twitter.com/taggie_03/status/1440937989081743363</v>
      </c>
      <c r="AA707" s="81"/>
      <c r="AB707" s="81"/>
      <c r="AC707" s="86" t="s">
        <v>4761</v>
      </c>
      <c r="AD707" s="81"/>
      <c r="AE707" s="81" t="b">
        <v>0</v>
      </c>
      <c r="AF707" s="81">
        <v>0</v>
      </c>
      <c r="AG707" s="86" t="s">
        <v>6240</v>
      </c>
      <c r="AH707" s="81" t="b">
        <v>0</v>
      </c>
      <c r="AI707" s="81" t="s">
        <v>6479</v>
      </c>
      <c r="AJ707" s="81"/>
      <c r="AK707" s="86" t="s">
        <v>6240</v>
      </c>
      <c r="AL707" s="81" t="b">
        <v>0</v>
      </c>
      <c r="AM707" s="81">
        <v>6</v>
      </c>
      <c r="AN707" s="86" t="s">
        <v>4941</v>
      </c>
      <c r="AO707" s="86" t="s">
        <v>6503</v>
      </c>
      <c r="AP707" s="81" t="b">
        <v>0</v>
      </c>
      <c r="AQ707" s="86" t="s">
        <v>4941</v>
      </c>
      <c r="AR707" s="81" t="s">
        <v>179</v>
      </c>
      <c r="AS707" s="81">
        <v>0</v>
      </c>
      <c r="AT707" s="81">
        <v>0</v>
      </c>
      <c r="AU707" s="81"/>
      <c r="AV707" s="81"/>
      <c r="AW707" s="81"/>
      <c r="AX707" s="81"/>
      <c r="AY707" s="81"/>
      <c r="AZ707" s="81"/>
      <c r="BA707" s="81"/>
      <c r="BB707" s="81"/>
    </row>
    <row r="708" spans="1:54" x14ac:dyDescent="0.35">
      <c r="A708" s="66" t="s">
        <v>720</v>
      </c>
      <c r="B708" s="66" t="s">
        <v>928</v>
      </c>
      <c r="C708" s="67"/>
      <c r="D708" s="68"/>
      <c r="E708" s="69"/>
      <c r="F708" s="70"/>
      <c r="G708" s="67"/>
      <c r="H708" s="71"/>
      <c r="I708" s="72"/>
      <c r="J708" s="72"/>
      <c r="K708" s="36"/>
      <c r="L708" s="79"/>
      <c r="M708" s="79"/>
      <c r="N708" s="74"/>
      <c r="O708" s="81" t="s">
        <v>1532</v>
      </c>
      <c r="P708" s="83">
        <v>44462.319097222222</v>
      </c>
      <c r="Q708" s="81" t="s">
        <v>1781</v>
      </c>
      <c r="R708" s="81"/>
      <c r="S708" s="81"/>
      <c r="T708" s="86" t="s">
        <v>2681</v>
      </c>
      <c r="U708" s="84" t="str">
        <f>HYPERLINK("https://pbs.twimg.com/media/E_6-KvyVgAA0Zfe.jpg")</f>
        <v>https://pbs.twimg.com/media/E_6-KvyVgAA0Zfe.jpg</v>
      </c>
      <c r="V708" s="84" t="str">
        <f>HYPERLINK("https://pbs.twimg.com/media/E_6-KvyVgAA0Zfe.jpg")</f>
        <v>https://pbs.twimg.com/media/E_6-KvyVgAA0Zfe.jpg</v>
      </c>
      <c r="W708" s="83">
        <v>44462.319097222222</v>
      </c>
      <c r="X708" s="89">
        <v>44462</v>
      </c>
      <c r="Y708" s="86" t="s">
        <v>3300</v>
      </c>
      <c r="Z708" s="84" t="str">
        <f>HYPERLINK("https://twitter.com/xrzlx/status/1440943895324487688")</f>
        <v>https://twitter.com/xrzlx/status/1440943895324487688</v>
      </c>
      <c r="AA708" s="81"/>
      <c r="AB708" s="81"/>
      <c r="AC708" s="86" t="s">
        <v>4762</v>
      </c>
      <c r="AD708" s="81"/>
      <c r="AE708" s="81" t="b">
        <v>0</v>
      </c>
      <c r="AF708" s="81">
        <v>0</v>
      </c>
      <c r="AG708" s="86" t="s">
        <v>6240</v>
      </c>
      <c r="AH708" s="81" t="b">
        <v>0</v>
      </c>
      <c r="AI708" s="81" t="s">
        <v>6479</v>
      </c>
      <c r="AJ708" s="81"/>
      <c r="AK708" s="86" t="s">
        <v>6240</v>
      </c>
      <c r="AL708" s="81" t="b">
        <v>0</v>
      </c>
      <c r="AM708" s="81">
        <v>71</v>
      </c>
      <c r="AN708" s="86" t="s">
        <v>5039</v>
      </c>
      <c r="AO708" s="86" t="s">
        <v>6503</v>
      </c>
      <c r="AP708" s="81" t="b">
        <v>0</v>
      </c>
      <c r="AQ708" s="86" t="s">
        <v>5039</v>
      </c>
      <c r="AR708" s="81" t="s">
        <v>179</v>
      </c>
      <c r="AS708" s="81">
        <v>0</v>
      </c>
      <c r="AT708" s="81">
        <v>0</v>
      </c>
      <c r="AU708" s="81"/>
      <c r="AV708" s="81"/>
      <c r="AW708" s="81"/>
      <c r="AX708" s="81"/>
      <c r="AY708" s="81"/>
      <c r="AZ708" s="81"/>
      <c r="BA708" s="81"/>
      <c r="BB708" s="81"/>
    </row>
    <row r="709" spans="1:54" x14ac:dyDescent="0.35">
      <c r="A709" s="66" t="s">
        <v>721</v>
      </c>
      <c r="B709" s="66" t="s">
        <v>721</v>
      </c>
      <c r="C709" s="67"/>
      <c r="D709" s="68"/>
      <c r="E709" s="69"/>
      <c r="F709" s="70"/>
      <c r="G709" s="67"/>
      <c r="H709" s="71"/>
      <c r="I709" s="72"/>
      <c r="J709" s="72"/>
      <c r="K709" s="36"/>
      <c r="L709" s="79"/>
      <c r="M709" s="79"/>
      <c r="N709" s="74"/>
      <c r="O709" s="81" t="s">
        <v>179</v>
      </c>
      <c r="P709" s="83">
        <v>44462.320520833331</v>
      </c>
      <c r="Q709" s="81" t="s">
        <v>1807</v>
      </c>
      <c r="R709" s="81"/>
      <c r="S709" s="81"/>
      <c r="T709" s="81"/>
      <c r="U709" s="81"/>
      <c r="V709" s="84" t="str">
        <f>HYPERLINK("https://pbs.twimg.com/profile_images/1440355026677821440/aPfuqANc_normal.jpg")</f>
        <v>https://pbs.twimg.com/profile_images/1440355026677821440/aPfuqANc_normal.jpg</v>
      </c>
      <c r="W709" s="83">
        <v>44462.320520833331</v>
      </c>
      <c r="X709" s="89">
        <v>44462</v>
      </c>
      <c r="Y709" s="86" t="s">
        <v>3301</v>
      </c>
      <c r="Z709" s="84" t="str">
        <f>HYPERLINK("https://twitter.com/calleenreesa/status/1440944412192698372")</f>
        <v>https://twitter.com/calleenreesa/status/1440944412192698372</v>
      </c>
      <c r="AA709" s="81"/>
      <c r="AB709" s="81"/>
      <c r="AC709" s="86" t="s">
        <v>4763</v>
      </c>
      <c r="AD709" s="86" t="s">
        <v>6074</v>
      </c>
      <c r="AE709" s="81" t="b">
        <v>0</v>
      </c>
      <c r="AF709" s="81">
        <v>0</v>
      </c>
      <c r="AG709" s="86" t="s">
        <v>6337</v>
      </c>
      <c r="AH709" s="81" t="b">
        <v>0</v>
      </c>
      <c r="AI709" s="81" t="s">
        <v>6478</v>
      </c>
      <c r="AJ709" s="81"/>
      <c r="AK709" s="86" t="s">
        <v>6240</v>
      </c>
      <c r="AL709" s="81" t="b">
        <v>0</v>
      </c>
      <c r="AM709" s="81">
        <v>0</v>
      </c>
      <c r="AN709" s="86" t="s">
        <v>6240</v>
      </c>
      <c r="AO709" s="86" t="s">
        <v>6503</v>
      </c>
      <c r="AP709" s="81" t="b">
        <v>0</v>
      </c>
      <c r="AQ709" s="86" t="s">
        <v>6074</v>
      </c>
      <c r="AR709" s="81" t="s">
        <v>179</v>
      </c>
      <c r="AS709" s="81">
        <v>0</v>
      </c>
      <c r="AT709" s="81">
        <v>0</v>
      </c>
      <c r="AU709" s="81"/>
      <c r="AV709" s="81"/>
      <c r="AW709" s="81"/>
      <c r="AX709" s="81"/>
      <c r="AY709" s="81"/>
      <c r="AZ709" s="81"/>
      <c r="BA709" s="81"/>
      <c r="BB709" s="81"/>
    </row>
    <row r="710" spans="1:54" x14ac:dyDescent="0.35">
      <c r="A710" s="66" t="s">
        <v>722</v>
      </c>
      <c r="B710" s="66" t="s">
        <v>1268</v>
      </c>
      <c r="C710" s="67"/>
      <c r="D710" s="68"/>
      <c r="E710" s="69"/>
      <c r="F710" s="70"/>
      <c r="G710" s="67"/>
      <c r="H710" s="71"/>
      <c r="I710" s="72"/>
      <c r="J710" s="72"/>
      <c r="K710" s="36"/>
      <c r="L710" s="79"/>
      <c r="M710" s="79"/>
      <c r="N710" s="74"/>
      <c r="O710" s="81" t="s">
        <v>1535</v>
      </c>
      <c r="P710" s="83">
        <v>44460.049629629626</v>
      </c>
      <c r="Q710" s="81" t="s">
        <v>1808</v>
      </c>
      <c r="R710" s="81"/>
      <c r="S710" s="81"/>
      <c r="T710" s="81"/>
      <c r="U710" s="84" t="str">
        <f>HYPERLINK("https://pbs.twimg.com/media/E_xW1taVcAk2Obz.jpg")</f>
        <v>https://pbs.twimg.com/media/E_xW1taVcAk2Obz.jpg</v>
      </c>
      <c r="V710" s="84" t="str">
        <f>HYPERLINK("https://pbs.twimg.com/media/E_xW1taVcAk2Obz.jpg")</f>
        <v>https://pbs.twimg.com/media/E_xW1taVcAk2Obz.jpg</v>
      </c>
      <c r="W710" s="83">
        <v>44460.049629629626</v>
      </c>
      <c r="X710" s="89">
        <v>44460</v>
      </c>
      <c r="Y710" s="86" t="s">
        <v>3302</v>
      </c>
      <c r="Z710" s="84" t="str">
        <f>HYPERLINK("https://twitter.com/sylvkartika/status/1440121466167578624")</f>
        <v>https://twitter.com/sylvkartika/status/1440121466167578624</v>
      </c>
      <c r="AA710" s="81"/>
      <c r="AB710" s="81"/>
      <c r="AC710" s="86" t="s">
        <v>4764</v>
      </c>
      <c r="AD710" s="81"/>
      <c r="AE710" s="81" t="b">
        <v>0</v>
      </c>
      <c r="AF710" s="81">
        <v>2</v>
      </c>
      <c r="AG710" s="86" t="s">
        <v>6240</v>
      </c>
      <c r="AH710" s="81" t="b">
        <v>0</v>
      </c>
      <c r="AI710" s="81" t="s">
        <v>6478</v>
      </c>
      <c r="AJ710" s="81"/>
      <c r="AK710" s="86" t="s">
        <v>6240</v>
      </c>
      <c r="AL710" s="81" t="b">
        <v>0</v>
      </c>
      <c r="AM710" s="81">
        <v>1</v>
      </c>
      <c r="AN710" s="86" t="s">
        <v>6240</v>
      </c>
      <c r="AO710" s="86" t="s">
        <v>6505</v>
      </c>
      <c r="AP710" s="81" t="b">
        <v>0</v>
      </c>
      <c r="AQ710" s="86" t="s">
        <v>4764</v>
      </c>
      <c r="AR710" s="81" t="s">
        <v>179</v>
      </c>
      <c r="AS710" s="81">
        <v>0</v>
      </c>
      <c r="AT710" s="81">
        <v>0</v>
      </c>
      <c r="AU710" s="81"/>
      <c r="AV710" s="81"/>
      <c r="AW710" s="81"/>
      <c r="AX710" s="81"/>
      <c r="AY710" s="81"/>
      <c r="AZ710" s="81"/>
      <c r="BA710" s="81"/>
      <c r="BB710" s="81"/>
    </row>
    <row r="711" spans="1:54" x14ac:dyDescent="0.35">
      <c r="A711" s="66" t="s">
        <v>723</v>
      </c>
      <c r="B711" s="66" t="s">
        <v>722</v>
      </c>
      <c r="C711" s="67"/>
      <c r="D711" s="68"/>
      <c r="E711" s="69"/>
      <c r="F711" s="70"/>
      <c r="G711" s="67"/>
      <c r="H711" s="71"/>
      <c r="I711" s="72"/>
      <c r="J711" s="72"/>
      <c r="K711" s="36"/>
      <c r="L711" s="79"/>
      <c r="M711" s="79"/>
      <c r="N711" s="74"/>
      <c r="O711" s="81" t="s">
        <v>1532</v>
      </c>
      <c r="P711" s="83">
        <v>44462.327164351853</v>
      </c>
      <c r="Q711" s="81" t="s">
        <v>1808</v>
      </c>
      <c r="R711" s="81"/>
      <c r="S711" s="81"/>
      <c r="T711" s="81"/>
      <c r="U711" s="84" t="str">
        <f>HYPERLINK("https://pbs.twimg.com/media/E_xW1taVcAk2Obz.jpg")</f>
        <v>https://pbs.twimg.com/media/E_xW1taVcAk2Obz.jpg</v>
      </c>
      <c r="V711" s="84" t="str">
        <f>HYPERLINK("https://pbs.twimg.com/media/E_xW1taVcAk2Obz.jpg")</f>
        <v>https://pbs.twimg.com/media/E_xW1taVcAk2Obz.jpg</v>
      </c>
      <c r="W711" s="83">
        <v>44462.327164351853</v>
      </c>
      <c r="X711" s="89">
        <v>44462</v>
      </c>
      <c r="Y711" s="86" t="s">
        <v>3303</v>
      </c>
      <c r="Z711" s="84" t="str">
        <f>HYPERLINK("https://twitter.com/df9994447/status/1440946816229380097")</f>
        <v>https://twitter.com/df9994447/status/1440946816229380097</v>
      </c>
      <c r="AA711" s="81"/>
      <c r="AB711" s="81"/>
      <c r="AC711" s="86" t="s">
        <v>4765</v>
      </c>
      <c r="AD711" s="81"/>
      <c r="AE711" s="81" t="b">
        <v>0</v>
      </c>
      <c r="AF711" s="81">
        <v>0</v>
      </c>
      <c r="AG711" s="86" t="s">
        <v>6240</v>
      </c>
      <c r="AH711" s="81" t="b">
        <v>0</v>
      </c>
      <c r="AI711" s="81" t="s">
        <v>6478</v>
      </c>
      <c r="AJ711" s="81"/>
      <c r="AK711" s="86" t="s">
        <v>6240</v>
      </c>
      <c r="AL711" s="81" t="b">
        <v>0</v>
      </c>
      <c r="AM711" s="81">
        <v>1</v>
      </c>
      <c r="AN711" s="86" t="s">
        <v>4764</v>
      </c>
      <c r="AO711" s="86" t="s">
        <v>6503</v>
      </c>
      <c r="AP711" s="81" t="b">
        <v>0</v>
      </c>
      <c r="AQ711" s="86" t="s">
        <v>4764</v>
      </c>
      <c r="AR711" s="81" t="s">
        <v>179</v>
      </c>
      <c r="AS711" s="81">
        <v>0</v>
      </c>
      <c r="AT711" s="81">
        <v>0</v>
      </c>
      <c r="AU711" s="81"/>
      <c r="AV711" s="81"/>
      <c r="AW711" s="81"/>
      <c r="AX711" s="81"/>
      <c r="AY711" s="81"/>
      <c r="AZ711" s="81"/>
      <c r="BA711" s="81"/>
      <c r="BB711" s="81"/>
    </row>
    <row r="712" spans="1:54" x14ac:dyDescent="0.35">
      <c r="A712" s="66" t="s">
        <v>723</v>
      </c>
      <c r="B712" s="66" t="s">
        <v>1268</v>
      </c>
      <c r="C712" s="67"/>
      <c r="D712" s="68"/>
      <c r="E712" s="69"/>
      <c r="F712" s="70"/>
      <c r="G712" s="67"/>
      <c r="H712" s="71"/>
      <c r="I712" s="72"/>
      <c r="J712" s="72"/>
      <c r="K712" s="36"/>
      <c r="L712" s="79"/>
      <c r="M712" s="79"/>
      <c r="N712" s="74"/>
      <c r="O712" s="81" t="s">
        <v>1533</v>
      </c>
      <c r="P712" s="83">
        <v>44462.327164351853</v>
      </c>
      <c r="Q712" s="81" t="s">
        <v>1808</v>
      </c>
      <c r="R712" s="81"/>
      <c r="S712" s="81"/>
      <c r="T712" s="81"/>
      <c r="U712" s="84" t="str">
        <f>HYPERLINK("https://pbs.twimg.com/media/E_xW1taVcAk2Obz.jpg")</f>
        <v>https://pbs.twimg.com/media/E_xW1taVcAk2Obz.jpg</v>
      </c>
      <c r="V712" s="84" t="str">
        <f>HYPERLINK("https://pbs.twimg.com/media/E_xW1taVcAk2Obz.jpg")</f>
        <v>https://pbs.twimg.com/media/E_xW1taVcAk2Obz.jpg</v>
      </c>
      <c r="W712" s="83">
        <v>44462.327164351853</v>
      </c>
      <c r="X712" s="89">
        <v>44462</v>
      </c>
      <c r="Y712" s="86" t="s">
        <v>3303</v>
      </c>
      <c r="Z712" s="84" t="str">
        <f>HYPERLINK("https://twitter.com/df9994447/status/1440946816229380097")</f>
        <v>https://twitter.com/df9994447/status/1440946816229380097</v>
      </c>
      <c r="AA712" s="81"/>
      <c r="AB712" s="81"/>
      <c r="AC712" s="86" t="s">
        <v>4765</v>
      </c>
      <c r="AD712" s="81"/>
      <c r="AE712" s="81" t="b">
        <v>0</v>
      </c>
      <c r="AF712" s="81">
        <v>0</v>
      </c>
      <c r="AG712" s="86" t="s">
        <v>6240</v>
      </c>
      <c r="AH712" s="81" t="b">
        <v>0</v>
      </c>
      <c r="AI712" s="81" t="s">
        <v>6478</v>
      </c>
      <c r="AJ712" s="81"/>
      <c r="AK712" s="86" t="s">
        <v>6240</v>
      </c>
      <c r="AL712" s="81" t="b">
        <v>0</v>
      </c>
      <c r="AM712" s="81">
        <v>1</v>
      </c>
      <c r="AN712" s="86" t="s">
        <v>4764</v>
      </c>
      <c r="AO712" s="86" t="s">
        <v>6503</v>
      </c>
      <c r="AP712" s="81" t="b">
        <v>0</v>
      </c>
      <c r="AQ712" s="86" t="s">
        <v>4764</v>
      </c>
      <c r="AR712" s="81" t="s">
        <v>179</v>
      </c>
      <c r="AS712" s="81">
        <v>0</v>
      </c>
      <c r="AT712" s="81">
        <v>0</v>
      </c>
      <c r="AU712" s="81"/>
      <c r="AV712" s="81"/>
      <c r="AW712" s="81"/>
      <c r="AX712" s="81"/>
      <c r="AY712" s="81"/>
      <c r="AZ712" s="81"/>
      <c r="BA712" s="81"/>
      <c r="BB712" s="81"/>
    </row>
    <row r="713" spans="1:54" x14ac:dyDescent="0.35">
      <c r="A713" s="66" t="s">
        <v>724</v>
      </c>
      <c r="B713" s="66" t="s">
        <v>1334</v>
      </c>
      <c r="C713" s="67"/>
      <c r="D713" s="68"/>
      <c r="E713" s="69"/>
      <c r="F713" s="70"/>
      <c r="G713" s="67"/>
      <c r="H713" s="71"/>
      <c r="I713" s="72"/>
      <c r="J713" s="72"/>
      <c r="K713" s="36"/>
      <c r="L713" s="79"/>
      <c r="M713" s="79"/>
      <c r="N713" s="74"/>
      <c r="O713" s="81" t="s">
        <v>1534</v>
      </c>
      <c r="P713" s="83">
        <v>44462.352789351855</v>
      </c>
      <c r="Q713" s="81" t="s">
        <v>1809</v>
      </c>
      <c r="R713" s="81"/>
      <c r="S713" s="81"/>
      <c r="T713" s="81"/>
      <c r="U713" s="81"/>
      <c r="V713" s="84" t="str">
        <f>HYPERLINK("https://pbs.twimg.com/profile_images/1438409944068329472/d6cQ-BKO_normal.jpg")</f>
        <v>https://pbs.twimg.com/profile_images/1438409944068329472/d6cQ-BKO_normal.jpg</v>
      </c>
      <c r="W713" s="83">
        <v>44462.352789351855</v>
      </c>
      <c r="X713" s="89">
        <v>44462</v>
      </c>
      <c r="Y713" s="86" t="s">
        <v>3304</v>
      </c>
      <c r="Z713" s="84" t="str">
        <f>HYPERLINK("https://twitter.com/luvmlikeudu/status/1440956102993084416")</f>
        <v>https://twitter.com/luvmlikeudu/status/1440956102993084416</v>
      </c>
      <c r="AA713" s="81"/>
      <c r="AB713" s="81"/>
      <c r="AC713" s="86" t="s">
        <v>4766</v>
      </c>
      <c r="AD713" s="86" t="s">
        <v>6075</v>
      </c>
      <c r="AE713" s="81" t="b">
        <v>0</v>
      </c>
      <c r="AF713" s="81">
        <v>0</v>
      </c>
      <c r="AG713" s="86" t="s">
        <v>6299</v>
      </c>
      <c r="AH713" s="81" t="b">
        <v>0</v>
      </c>
      <c r="AI713" s="81" t="s">
        <v>6478</v>
      </c>
      <c r="AJ713" s="81"/>
      <c r="AK713" s="86" t="s">
        <v>6240</v>
      </c>
      <c r="AL713" s="81" t="b">
        <v>0</v>
      </c>
      <c r="AM713" s="81">
        <v>0</v>
      </c>
      <c r="AN713" s="86" t="s">
        <v>6240</v>
      </c>
      <c r="AO713" s="86" t="s">
        <v>6505</v>
      </c>
      <c r="AP713" s="81" t="b">
        <v>0</v>
      </c>
      <c r="AQ713" s="86" t="s">
        <v>6075</v>
      </c>
      <c r="AR713" s="81" t="s">
        <v>179</v>
      </c>
      <c r="AS713" s="81">
        <v>0</v>
      </c>
      <c r="AT713" s="81">
        <v>0</v>
      </c>
      <c r="AU713" s="81"/>
      <c r="AV713" s="81"/>
      <c r="AW713" s="81"/>
      <c r="AX713" s="81"/>
      <c r="AY713" s="81"/>
      <c r="AZ713" s="81"/>
      <c r="BA713" s="81"/>
      <c r="BB713" s="81"/>
    </row>
    <row r="714" spans="1:54" x14ac:dyDescent="0.35">
      <c r="A714" s="66" t="s">
        <v>725</v>
      </c>
      <c r="B714" s="66" t="s">
        <v>928</v>
      </c>
      <c r="C714" s="67"/>
      <c r="D714" s="68"/>
      <c r="E714" s="69"/>
      <c r="F714" s="70"/>
      <c r="G714" s="67"/>
      <c r="H714" s="71"/>
      <c r="I714" s="72"/>
      <c r="J714" s="72"/>
      <c r="K714" s="36"/>
      <c r="L714" s="79"/>
      <c r="M714" s="79"/>
      <c r="N714" s="74"/>
      <c r="O714" s="81" t="s">
        <v>1532</v>
      </c>
      <c r="P714" s="83">
        <v>44462.369328703702</v>
      </c>
      <c r="Q714" s="81" t="s">
        <v>1781</v>
      </c>
      <c r="R714" s="81"/>
      <c r="S714" s="81"/>
      <c r="T714" s="86" t="s">
        <v>2681</v>
      </c>
      <c r="U714" s="84" t="str">
        <f>HYPERLINK("https://pbs.twimg.com/media/E_6-KvyVgAA0Zfe.jpg")</f>
        <v>https://pbs.twimg.com/media/E_6-KvyVgAA0Zfe.jpg</v>
      </c>
      <c r="V714" s="84" t="str">
        <f>HYPERLINK("https://pbs.twimg.com/media/E_6-KvyVgAA0Zfe.jpg")</f>
        <v>https://pbs.twimg.com/media/E_6-KvyVgAA0Zfe.jpg</v>
      </c>
      <c r="W714" s="83">
        <v>44462.369328703702</v>
      </c>
      <c r="X714" s="89">
        <v>44462</v>
      </c>
      <c r="Y714" s="86" t="s">
        <v>3305</v>
      </c>
      <c r="Z714" s="84" t="str">
        <f>HYPERLINK("https://twitter.com/siiandhy/status/1440962098855436288")</f>
        <v>https://twitter.com/siiandhy/status/1440962098855436288</v>
      </c>
      <c r="AA714" s="81"/>
      <c r="AB714" s="81"/>
      <c r="AC714" s="86" t="s">
        <v>4767</v>
      </c>
      <c r="AD714" s="81"/>
      <c r="AE714" s="81" t="b">
        <v>0</v>
      </c>
      <c r="AF714" s="81">
        <v>0</v>
      </c>
      <c r="AG714" s="86" t="s">
        <v>6240</v>
      </c>
      <c r="AH714" s="81" t="b">
        <v>0</v>
      </c>
      <c r="AI714" s="81" t="s">
        <v>6479</v>
      </c>
      <c r="AJ714" s="81"/>
      <c r="AK714" s="86" t="s">
        <v>6240</v>
      </c>
      <c r="AL714" s="81" t="b">
        <v>0</v>
      </c>
      <c r="AM714" s="81">
        <v>71</v>
      </c>
      <c r="AN714" s="86" t="s">
        <v>5039</v>
      </c>
      <c r="AO714" s="86" t="s">
        <v>6505</v>
      </c>
      <c r="AP714" s="81" t="b">
        <v>0</v>
      </c>
      <c r="AQ714" s="86" t="s">
        <v>5039</v>
      </c>
      <c r="AR714" s="81" t="s">
        <v>179</v>
      </c>
      <c r="AS714" s="81">
        <v>0</v>
      </c>
      <c r="AT714" s="81">
        <v>0</v>
      </c>
      <c r="AU714" s="81"/>
      <c r="AV714" s="81"/>
      <c r="AW714" s="81"/>
      <c r="AX714" s="81"/>
      <c r="AY714" s="81"/>
      <c r="AZ714" s="81"/>
      <c r="BA714" s="81"/>
      <c r="BB714" s="81"/>
    </row>
    <row r="715" spans="1:54" x14ac:dyDescent="0.35">
      <c r="A715" s="66" t="s">
        <v>726</v>
      </c>
      <c r="B715" s="66" t="s">
        <v>848</v>
      </c>
      <c r="C715" s="67"/>
      <c r="D715" s="68"/>
      <c r="E715" s="69"/>
      <c r="F715" s="70"/>
      <c r="G715" s="67"/>
      <c r="H715" s="71"/>
      <c r="I715" s="72"/>
      <c r="J715" s="72"/>
      <c r="K715" s="36"/>
      <c r="L715" s="79"/>
      <c r="M715" s="79"/>
      <c r="N715" s="74"/>
      <c r="O715" s="81" t="s">
        <v>1532</v>
      </c>
      <c r="P715" s="83">
        <v>44462.378842592596</v>
      </c>
      <c r="Q715" s="81" t="s">
        <v>1810</v>
      </c>
      <c r="R715" s="81"/>
      <c r="S715" s="81"/>
      <c r="T715" s="86" t="s">
        <v>2682</v>
      </c>
      <c r="U715" s="84" t="str">
        <f>HYPERLINK("https://pbs.twimg.com/media/E_9V_ibVEAYc8c_.jpg")</f>
        <v>https://pbs.twimg.com/media/E_9V_ibVEAYc8c_.jpg</v>
      </c>
      <c r="V715" s="84" t="str">
        <f>HYPERLINK("https://pbs.twimg.com/media/E_9V_ibVEAYc8c_.jpg")</f>
        <v>https://pbs.twimg.com/media/E_9V_ibVEAYc8c_.jpg</v>
      </c>
      <c r="W715" s="83">
        <v>44462.378842592596</v>
      </c>
      <c r="X715" s="89">
        <v>44462</v>
      </c>
      <c r="Y715" s="86" t="s">
        <v>3306</v>
      </c>
      <c r="Z715" s="84" t="str">
        <f>HYPERLINK("https://twitter.com/miyongyu/status/1440965544719491078")</f>
        <v>https://twitter.com/miyongyu/status/1440965544719491078</v>
      </c>
      <c r="AA715" s="81"/>
      <c r="AB715" s="81"/>
      <c r="AC715" s="86" t="s">
        <v>4768</v>
      </c>
      <c r="AD715" s="81"/>
      <c r="AE715" s="81" t="b">
        <v>0</v>
      </c>
      <c r="AF715" s="81">
        <v>0</v>
      </c>
      <c r="AG715" s="86" t="s">
        <v>6240</v>
      </c>
      <c r="AH715" s="81" t="b">
        <v>0</v>
      </c>
      <c r="AI715" s="81" t="s">
        <v>6479</v>
      </c>
      <c r="AJ715" s="81"/>
      <c r="AK715" s="86" t="s">
        <v>6240</v>
      </c>
      <c r="AL715" s="81" t="b">
        <v>0</v>
      </c>
      <c r="AM715" s="81">
        <v>12</v>
      </c>
      <c r="AN715" s="86" t="s">
        <v>4924</v>
      </c>
      <c r="AO715" s="86" t="s">
        <v>6505</v>
      </c>
      <c r="AP715" s="81" t="b">
        <v>0</v>
      </c>
      <c r="AQ715" s="86" t="s">
        <v>4924</v>
      </c>
      <c r="AR715" s="81" t="s">
        <v>179</v>
      </c>
      <c r="AS715" s="81">
        <v>0</v>
      </c>
      <c r="AT715" s="81">
        <v>0</v>
      </c>
      <c r="AU715" s="81"/>
      <c r="AV715" s="81"/>
      <c r="AW715" s="81"/>
      <c r="AX715" s="81"/>
      <c r="AY715" s="81"/>
      <c r="AZ715" s="81"/>
      <c r="BA715" s="81"/>
      <c r="BB715" s="81"/>
    </row>
    <row r="716" spans="1:54" x14ac:dyDescent="0.35">
      <c r="A716" s="66" t="s">
        <v>727</v>
      </c>
      <c r="B716" s="66" t="s">
        <v>848</v>
      </c>
      <c r="C716" s="67"/>
      <c r="D716" s="68"/>
      <c r="E716" s="69"/>
      <c r="F716" s="70"/>
      <c r="G716" s="67"/>
      <c r="H716" s="71"/>
      <c r="I716" s="72"/>
      <c r="J716" s="72"/>
      <c r="K716" s="36"/>
      <c r="L716" s="79"/>
      <c r="M716" s="79"/>
      <c r="N716" s="74"/>
      <c r="O716" s="81" t="s">
        <v>1532</v>
      </c>
      <c r="P716" s="83">
        <v>44462.38040509259</v>
      </c>
      <c r="Q716" s="81" t="s">
        <v>1810</v>
      </c>
      <c r="R716" s="81"/>
      <c r="S716" s="81"/>
      <c r="T716" s="86" t="s">
        <v>2682</v>
      </c>
      <c r="U716" s="84" t="str">
        <f>HYPERLINK("https://pbs.twimg.com/media/E_9V_ibVEAYc8c_.jpg")</f>
        <v>https://pbs.twimg.com/media/E_9V_ibVEAYc8c_.jpg</v>
      </c>
      <c r="V716" s="84" t="str">
        <f>HYPERLINK("https://pbs.twimg.com/media/E_9V_ibVEAYc8c_.jpg")</f>
        <v>https://pbs.twimg.com/media/E_9V_ibVEAYc8c_.jpg</v>
      </c>
      <c r="W716" s="83">
        <v>44462.38040509259</v>
      </c>
      <c r="X716" s="89">
        <v>44462</v>
      </c>
      <c r="Y716" s="86" t="s">
        <v>3307</v>
      </c>
      <c r="Z716" s="84" t="str">
        <f>HYPERLINK("https://twitter.com/jentokiee/status/1440966110061346820")</f>
        <v>https://twitter.com/jentokiee/status/1440966110061346820</v>
      </c>
      <c r="AA716" s="81"/>
      <c r="AB716" s="81"/>
      <c r="AC716" s="86" t="s">
        <v>4769</v>
      </c>
      <c r="AD716" s="81"/>
      <c r="AE716" s="81" t="b">
        <v>0</v>
      </c>
      <c r="AF716" s="81">
        <v>0</v>
      </c>
      <c r="AG716" s="86" t="s">
        <v>6240</v>
      </c>
      <c r="AH716" s="81" t="b">
        <v>0</v>
      </c>
      <c r="AI716" s="81" t="s">
        <v>6479</v>
      </c>
      <c r="AJ716" s="81"/>
      <c r="AK716" s="86" t="s">
        <v>6240</v>
      </c>
      <c r="AL716" s="81" t="b">
        <v>0</v>
      </c>
      <c r="AM716" s="81">
        <v>12</v>
      </c>
      <c r="AN716" s="86" t="s">
        <v>4924</v>
      </c>
      <c r="AO716" s="86" t="s">
        <v>6505</v>
      </c>
      <c r="AP716" s="81" t="b">
        <v>0</v>
      </c>
      <c r="AQ716" s="86" t="s">
        <v>4924</v>
      </c>
      <c r="AR716" s="81" t="s">
        <v>179</v>
      </c>
      <c r="AS716" s="81">
        <v>0</v>
      </c>
      <c r="AT716" s="81">
        <v>0</v>
      </c>
      <c r="AU716" s="81"/>
      <c r="AV716" s="81"/>
      <c r="AW716" s="81"/>
      <c r="AX716" s="81"/>
      <c r="AY716" s="81"/>
      <c r="AZ716" s="81"/>
      <c r="BA716" s="81"/>
      <c r="BB716" s="81"/>
    </row>
    <row r="717" spans="1:54" x14ac:dyDescent="0.35">
      <c r="A717" s="66" t="s">
        <v>728</v>
      </c>
      <c r="B717" s="66" t="s">
        <v>848</v>
      </c>
      <c r="C717" s="67"/>
      <c r="D717" s="68"/>
      <c r="E717" s="69"/>
      <c r="F717" s="70"/>
      <c r="G717" s="67"/>
      <c r="H717" s="71"/>
      <c r="I717" s="72"/>
      <c r="J717" s="72"/>
      <c r="K717" s="36"/>
      <c r="L717" s="79"/>
      <c r="M717" s="79"/>
      <c r="N717" s="74"/>
      <c r="O717" s="81" t="s">
        <v>1532</v>
      </c>
      <c r="P717" s="83">
        <v>44462.386377314811</v>
      </c>
      <c r="Q717" s="81" t="s">
        <v>1810</v>
      </c>
      <c r="R717" s="81"/>
      <c r="S717" s="81"/>
      <c r="T717" s="86" t="s">
        <v>2682</v>
      </c>
      <c r="U717" s="84" t="str">
        <f>HYPERLINK("https://pbs.twimg.com/media/E_9V_ibVEAYc8c_.jpg")</f>
        <v>https://pbs.twimg.com/media/E_9V_ibVEAYc8c_.jpg</v>
      </c>
      <c r="V717" s="84" t="str">
        <f>HYPERLINK("https://pbs.twimg.com/media/E_9V_ibVEAYc8c_.jpg")</f>
        <v>https://pbs.twimg.com/media/E_9V_ibVEAYc8c_.jpg</v>
      </c>
      <c r="W717" s="83">
        <v>44462.386377314811</v>
      </c>
      <c r="X717" s="89">
        <v>44462</v>
      </c>
      <c r="Y717" s="86" t="s">
        <v>3308</v>
      </c>
      <c r="Z717" s="84" t="str">
        <f>HYPERLINK("https://twitter.com/wh0junie/status/1440968274380877824")</f>
        <v>https://twitter.com/wh0junie/status/1440968274380877824</v>
      </c>
      <c r="AA717" s="81"/>
      <c r="AB717" s="81"/>
      <c r="AC717" s="86" t="s">
        <v>4770</v>
      </c>
      <c r="AD717" s="81"/>
      <c r="AE717" s="81" t="b">
        <v>0</v>
      </c>
      <c r="AF717" s="81">
        <v>0</v>
      </c>
      <c r="AG717" s="86" t="s">
        <v>6240</v>
      </c>
      <c r="AH717" s="81" t="b">
        <v>0</v>
      </c>
      <c r="AI717" s="81" t="s">
        <v>6479</v>
      </c>
      <c r="AJ717" s="81"/>
      <c r="AK717" s="86" t="s">
        <v>6240</v>
      </c>
      <c r="AL717" s="81" t="b">
        <v>0</v>
      </c>
      <c r="AM717" s="81">
        <v>12</v>
      </c>
      <c r="AN717" s="86" t="s">
        <v>4924</v>
      </c>
      <c r="AO717" s="86" t="s">
        <v>6507</v>
      </c>
      <c r="AP717" s="81" t="b">
        <v>0</v>
      </c>
      <c r="AQ717" s="86" t="s">
        <v>4924</v>
      </c>
      <c r="AR717" s="81" t="s">
        <v>179</v>
      </c>
      <c r="AS717" s="81">
        <v>0</v>
      </c>
      <c r="AT717" s="81">
        <v>0</v>
      </c>
      <c r="AU717" s="81"/>
      <c r="AV717" s="81"/>
      <c r="AW717" s="81"/>
      <c r="AX717" s="81"/>
      <c r="AY717" s="81"/>
      <c r="AZ717" s="81"/>
      <c r="BA717" s="81"/>
      <c r="BB717" s="81"/>
    </row>
    <row r="718" spans="1:54" x14ac:dyDescent="0.35">
      <c r="A718" s="66" t="s">
        <v>729</v>
      </c>
      <c r="B718" s="66" t="s">
        <v>848</v>
      </c>
      <c r="C718" s="67"/>
      <c r="D718" s="68"/>
      <c r="E718" s="69"/>
      <c r="F718" s="70"/>
      <c r="G718" s="67"/>
      <c r="H718" s="71"/>
      <c r="I718" s="72"/>
      <c r="J718" s="72"/>
      <c r="K718" s="36"/>
      <c r="L718" s="79"/>
      <c r="M718" s="79"/>
      <c r="N718" s="74"/>
      <c r="O718" s="81" t="s">
        <v>1532</v>
      </c>
      <c r="P718" s="83">
        <v>44462.391793981478</v>
      </c>
      <c r="Q718" s="81" t="s">
        <v>1810</v>
      </c>
      <c r="R718" s="81"/>
      <c r="S718" s="81"/>
      <c r="T718" s="86" t="s">
        <v>2682</v>
      </c>
      <c r="U718" s="84" t="str">
        <f>HYPERLINK("https://pbs.twimg.com/media/E_9V_ibVEAYc8c_.jpg")</f>
        <v>https://pbs.twimg.com/media/E_9V_ibVEAYc8c_.jpg</v>
      </c>
      <c r="V718" s="84" t="str">
        <f>HYPERLINK("https://pbs.twimg.com/media/E_9V_ibVEAYc8c_.jpg")</f>
        <v>https://pbs.twimg.com/media/E_9V_ibVEAYc8c_.jpg</v>
      </c>
      <c r="W718" s="83">
        <v>44462.391793981478</v>
      </c>
      <c r="X718" s="89">
        <v>44462</v>
      </c>
      <c r="Y718" s="86" t="s">
        <v>3309</v>
      </c>
      <c r="Z718" s="84" t="str">
        <f>HYPERLINK("https://twitter.com/chocoboyksw/status/1440970240381255680")</f>
        <v>https://twitter.com/chocoboyksw/status/1440970240381255680</v>
      </c>
      <c r="AA718" s="81"/>
      <c r="AB718" s="81"/>
      <c r="AC718" s="86" t="s">
        <v>4771</v>
      </c>
      <c r="AD718" s="81"/>
      <c r="AE718" s="81" t="b">
        <v>0</v>
      </c>
      <c r="AF718" s="81">
        <v>0</v>
      </c>
      <c r="AG718" s="86" t="s">
        <v>6240</v>
      </c>
      <c r="AH718" s="81" t="b">
        <v>0</v>
      </c>
      <c r="AI718" s="81" t="s">
        <v>6479</v>
      </c>
      <c r="AJ718" s="81"/>
      <c r="AK718" s="86" t="s">
        <v>6240</v>
      </c>
      <c r="AL718" s="81" t="b">
        <v>0</v>
      </c>
      <c r="AM718" s="81">
        <v>12</v>
      </c>
      <c r="AN718" s="86" t="s">
        <v>4924</v>
      </c>
      <c r="AO718" s="86" t="s">
        <v>6503</v>
      </c>
      <c r="AP718" s="81" t="b">
        <v>0</v>
      </c>
      <c r="AQ718" s="86" t="s">
        <v>4924</v>
      </c>
      <c r="AR718" s="81" t="s">
        <v>179</v>
      </c>
      <c r="AS718" s="81">
        <v>0</v>
      </c>
      <c r="AT718" s="81">
        <v>0</v>
      </c>
      <c r="AU718" s="81"/>
      <c r="AV718" s="81"/>
      <c r="AW718" s="81"/>
      <c r="AX718" s="81"/>
      <c r="AY718" s="81"/>
      <c r="AZ718" s="81"/>
      <c r="BA718" s="81"/>
      <c r="BB718" s="81"/>
    </row>
    <row r="719" spans="1:54" x14ac:dyDescent="0.35">
      <c r="A719" s="66" t="s">
        <v>730</v>
      </c>
      <c r="B719" s="66" t="s">
        <v>730</v>
      </c>
      <c r="C719" s="67"/>
      <c r="D719" s="68"/>
      <c r="E719" s="69"/>
      <c r="F719" s="70"/>
      <c r="G719" s="67"/>
      <c r="H719" s="71"/>
      <c r="I719" s="72"/>
      <c r="J719" s="72"/>
      <c r="K719" s="36"/>
      <c r="L719" s="79"/>
      <c r="M719" s="79"/>
      <c r="N719" s="74"/>
      <c r="O719" s="81" t="s">
        <v>179</v>
      </c>
      <c r="P719" s="83">
        <v>44462.392812500002</v>
      </c>
      <c r="Q719" s="81" t="s">
        <v>1811</v>
      </c>
      <c r="R719" s="81"/>
      <c r="S719" s="81"/>
      <c r="T719" s="86" t="s">
        <v>2683</v>
      </c>
      <c r="U719" s="84" t="str">
        <f>HYPERLINK("https://pbs.twimg.com/media/E_9bH_YUYAQv5t9.jpg")</f>
        <v>https://pbs.twimg.com/media/E_9bH_YUYAQv5t9.jpg</v>
      </c>
      <c r="V719" s="84" t="str">
        <f>HYPERLINK("https://pbs.twimg.com/media/E_9bH_YUYAQv5t9.jpg")</f>
        <v>https://pbs.twimg.com/media/E_9bH_YUYAQv5t9.jpg</v>
      </c>
      <c r="W719" s="83">
        <v>44462.392812500002</v>
      </c>
      <c r="X719" s="89">
        <v>44462</v>
      </c>
      <c r="Y719" s="86" t="s">
        <v>3310</v>
      </c>
      <c r="Z719" s="84" t="str">
        <f>HYPERLINK("https://twitter.com/jasaraharjaaceh/status/1440970606682333185")</f>
        <v>https://twitter.com/jasaraharjaaceh/status/1440970606682333185</v>
      </c>
      <c r="AA719" s="81"/>
      <c r="AB719" s="81"/>
      <c r="AC719" s="86" t="s">
        <v>4772</v>
      </c>
      <c r="AD719" s="81"/>
      <c r="AE719" s="81" t="b">
        <v>0</v>
      </c>
      <c r="AF719" s="81">
        <v>0</v>
      </c>
      <c r="AG719" s="86" t="s">
        <v>6240</v>
      </c>
      <c r="AH719" s="81" t="b">
        <v>0</v>
      </c>
      <c r="AI719" s="81" t="s">
        <v>6478</v>
      </c>
      <c r="AJ719" s="81"/>
      <c r="AK719" s="86" t="s">
        <v>6240</v>
      </c>
      <c r="AL719" s="81" t="b">
        <v>0</v>
      </c>
      <c r="AM719" s="81">
        <v>0</v>
      </c>
      <c r="AN719" s="86" t="s">
        <v>6240</v>
      </c>
      <c r="AO719" s="86" t="s">
        <v>6503</v>
      </c>
      <c r="AP719" s="81" t="b">
        <v>0</v>
      </c>
      <c r="AQ719" s="86" t="s">
        <v>4772</v>
      </c>
      <c r="AR719" s="81" t="s">
        <v>179</v>
      </c>
      <c r="AS719" s="81">
        <v>0</v>
      </c>
      <c r="AT719" s="81">
        <v>0</v>
      </c>
      <c r="AU719" s="81"/>
      <c r="AV719" s="81"/>
      <c r="AW719" s="81"/>
      <c r="AX719" s="81"/>
      <c r="AY719" s="81"/>
      <c r="AZ719" s="81"/>
      <c r="BA719" s="81"/>
      <c r="BB719" s="81"/>
    </row>
    <row r="720" spans="1:54" x14ac:dyDescent="0.35">
      <c r="A720" s="66" t="s">
        <v>731</v>
      </c>
      <c r="B720" s="66" t="s">
        <v>731</v>
      </c>
      <c r="C720" s="67"/>
      <c r="D720" s="68"/>
      <c r="E720" s="69"/>
      <c r="F720" s="70"/>
      <c r="G720" s="67"/>
      <c r="H720" s="71"/>
      <c r="I720" s="72"/>
      <c r="J720" s="72"/>
      <c r="K720" s="36"/>
      <c r="L720" s="79"/>
      <c r="M720" s="79"/>
      <c r="N720" s="74"/>
      <c r="O720" s="81" t="s">
        <v>179</v>
      </c>
      <c r="P720" s="83">
        <v>44462.408645833333</v>
      </c>
      <c r="Q720" s="81" t="s">
        <v>1812</v>
      </c>
      <c r="R720" s="81"/>
      <c r="S720" s="81"/>
      <c r="T720" s="81"/>
      <c r="U720" s="84" t="str">
        <f>HYPERLINK("https://pbs.twimg.com/media/E_9gKKSVcAA_1lo.jpg")</f>
        <v>https://pbs.twimg.com/media/E_9gKKSVcAA_1lo.jpg</v>
      </c>
      <c r="V720" s="84" t="str">
        <f>HYPERLINK("https://pbs.twimg.com/media/E_9gKKSVcAA_1lo.jpg")</f>
        <v>https://pbs.twimg.com/media/E_9gKKSVcAA_1lo.jpg</v>
      </c>
      <c r="W720" s="83">
        <v>44462.408645833333</v>
      </c>
      <c r="X720" s="89">
        <v>44462</v>
      </c>
      <c r="Y720" s="86" t="s">
        <v>3311</v>
      </c>
      <c r="Z720" s="84" t="str">
        <f>HYPERLINK("https://twitter.com/anggita02727756/status/1440976345220071425")</f>
        <v>https://twitter.com/anggita02727756/status/1440976345220071425</v>
      </c>
      <c r="AA720" s="81"/>
      <c r="AB720" s="81"/>
      <c r="AC720" s="86" t="s">
        <v>4773</v>
      </c>
      <c r="AD720" s="81"/>
      <c r="AE720" s="81" t="b">
        <v>0</v>
      </c>
      <c r="AF720" s="81">
        <v>0</v>
      </c>
      <c r="AG720" s="86" t="s">
        <v>6240</v>
      </c>
      <c r="AH720" s="81" t="b">
        <v>0</v>
      </c>
      <c r="AI720" s="81" t="s">
        <v>6478</v>
      </c>
      <c r="AJ720" s="81"/>
      <c r="AK720" s="86" t="s">
        <v>6240</v>
      </c>
      <c r="AL720" s="81" t="b">
        <v>0</v>
      </c>
      <c r="AM720" s="81">
        <v>0</v>
      </c>
      <c r="AN720" s="86" t="s">
        <v>6240</v>
      </c>
      <c r="AO720" s="86" t="s">
        <v>6507</v>
      </c>
      <c r="AP720" s="81" t="b">
        <v>0</v>
      </c>
      <c r="AQ720" s="86" t="s">
        <v>4773</v>
      </c>
      <c r="AR720" s="81" t="s">
        <v>179</v>
      </c>
      <c r="AS720" s="81">
        <v>0</v>
      </c>
      <c r="AT720" s="81">
        <v>0</v>
      </c>
      <c r="AU720" s="81"/>
      <c r="AV720" s="81"/>
      <c r="AW720" s="81"/>
      <c r="AX720" s="81"/>
      <c r="AY720" s="81"/>
      <c r="AZ720" s="81"/>
      <c r="BA720" s="81"/>
      <c r="BB720" s="81"/>
    </row>
    <row r="721" spans="1:54" x14ac:dyDescent="0.35">
      <c r="A721" s="66" t="s">
        <v>732</v>
      </c>
      <c r="B721" s="66" t="s">
        <v>1387</v>
      </c>
      <c r="C721" s="67"/>
      <c r="D721" s="68"/>
      <c r="E721" s="69"/>
      <c r="F721" s="70"/>
      <c r="G721" s="67"/>
      <c r="H721" s="71"/>
      <c r="I721" s="72"/>
      <c r="J721" s="72"/>
      <c r="K721" s="36"/>
      <c r="L721" s="79"/>
      <c r="M721" s="79"/>
      <c r="N721" s="74"/>
      <c r="O721" s="81" t="s">
        <v>1535</v>
      </c>
      <c r="P721" s="83">
        <v>44449.934965277775</v>
      </c>
      <c r="Q721" s="81" t="s">
        <v>1813</v>
      </c>
      <c r="R721" s="81"/>
      <c r="S721" s="81"/>
      <c r="T721" s="86" t="s">
        <v>2684</v>
      </c>
      <c r="U721" s="84" t="str">
        <f>HYPERLINK("https://pbs.twimg.com/media/E-9RJfTUYAIy8al.jpg")</f>
        <v>https://pbs.twimg.com/media/E-9RJfTUYAIy8al.jpg</v>
      </c>
      <c r="V721" s="84" t="str">
        <f>HYPERLINK("https://pbs.twimg.com/media/E-9RJfTUYAIy8al.jpg")</f>
        <v>https://pbs.twimg.com/media/E-9RJfTUYAIy8al.jpg</v>
      </c>
      <c r="W721" s="83">
        <v>44449.934965277775</v>
      </c>
      <c r="X721" s="89">
        <v>44449</v>
      </c>
      <c r="Y721" s="86" t="s">
        <v>3312</v>
      </c>
      <c r="Z721" s="84" t="str">
        <f>HYPERLINK("https://twitter.com/3kimandimdead/status/1436456033686212608")</f>
        <v>https://twitter.com/3kimandimdead/status/1436456033686212608</v>
      </c>
      <c r="AA721" s="81"/>
      <c r="AB721" s="81"/>
      <c r="AC721" s="86" t="s">
        <v>4774</v>
      </c>
      <c r="AD721" s="81"/>
      <c r="AE721" s="81" t="b">
        <v>0</v>
      </c>
      <c r="AF721" s="81">
        <v>3</v>
      </c>
      <c r="AG721" s="86" t="s">
        <v>6240</v>
      </c>
      <c r="AH721" s="81" t="b">
        <v>0</v>
      </c>
      <c r="AI721" s="81" t="s">
        <v>6479</v>
      </c>
      <c r="AJ721" s="81"/>
      <c r="AK721" s="86" t="s">
        <v>6240</v>
      </c>
      <c r="AL721" s="81" t="b">
        <v>0</v>
      </c>
      <c r="AM721" s="81">
        <v>9</v>
      </c>
      <c r="AN721" s="86" t="s">
        <v>6240</v>
      </c>
      <c r="AO721" s="86" t="s">
        <v>6503</v>
      </c>
      <c r="AP721" s="81" t="b">
        <v>0</v>
      </c>
      <c r="AQ721" s="86" t="s">
        <v>4774</v>
      </c>
      <c r="AR721" s="81" t="s">
        <v>1532</v>
      </c>
      <c r="AS721" s="81">
        <v>0</v>
      </c>
      <c r="AT721" s="81">
        <v>0</v>
      </c>
      <c r="AU721" s="81"/>
      <c r="AV721" s="81"/>
      <c r="AW721" s="81"/>
      <c r="AX721" s="81"/>
      <c r="AY721" s="81"/>
      <c r="AZ721" s="81"/>
      <c r="BA721" s="81"/>
      <c r="BB721" s="81"/>
    </row>
    <row r="722" spans="1:54" x14ac:dyDescent="0.35">
      <c r="A722" s="66" t="s">
        <v>733</v>
      </c>
      <c r="B722" s="66" t="s">
        <v>1387</v>
      </c>
      <c r="C722" s="67"/>
      <c r="D722" s="68"/>
      <c r="E722" s="69"/>
      <c r="F722" s="70"/>
      <c r="G722" s="67"/>
      <c r="H722" s="71"/>
      <c r="I722" s="72"/>
      <c r="J722" s="72"/>
      <c r="K722" s="36"/>
      <c r="L722" s="79"/>
      <c r="M722" s="79"/>
      <c r="N722" s="74"/>
      <c r="O722" s="81" t="s">
        <v>1533</v>
      </c>
      <c r="P722" s="83">
        <v>44462.411932870367</v>
      </c>
      <c r="Q722" s="81" t="s">
        <v>1813</v>
      </c>
      <c r="R722" s="81"/>
      <c r="S722" s="81"/>
      <c r="T722" s="86" t="s">
        <v>2684</v>
      </c>
      <c r="U722" s="84" t="str">
        <f>HYPERLINK("https://pbs.twimg.com/media/E-9RJfTUYAIy8al.jpg")</f>
        <v>https://pbs.twimg.com/media/E-9RJfTUYAIy8al.jpg</v>
      </c>
      <c r="V722" s="84" t="str">
        <f>HYPERLINK("https://pbs.twimg.com/media/E-9RJfTUYAIy8al.jpg")</f>
        <v>https://pbs.twimg.com/media/E-9RJfTUYAIy8al.jpg</v>
      </c>
      <c r="W722" s="83">
        <v>44462.411932870367</v>
      </c>
      <c r="X722" s="89">
        <v>44462</v>
      </c>
      <c r="Y722" s="86" t="s">
        <v>3313</v>
      </c>
      <c r="Z722" s="84" t="str">
        <f>HYPERLINK("https://twitter.com/jihoneybebe/status/1440977535676805120")</f>
        <v>https://twitter.com/jihoneybebe/status/1440977535676805120</v>
      </c>
      <c r="AA722" s="81"/>
      <c r="AB722" s="81"/>
      <c r="AC722" s="86" t="s">
        <v>4775</v>
      </c>
      <c r="AD722" s="81"/>
      <c r="AE722" s="81" t="b">
        <v>0</v>
      </c>
      <c r="AF722" s="81">
        <v>0</v>
      </c>
      <c r="AG722" s="86" t="s">
        <v>6240</v>
      </c>
      <c r="AH722" s="81" t="b">
        <v>0</v>
      </c>
      <c r="AI722" s="81" t="s">
        <v>6479</v>
      </c>
      <c r="AJ722" s="81"/>
      <c r="AK722" s="86" t="s">
        <v>6240</v>
      </c>
      <c r="AL722" s="81" t="b">
        <v>0</v>
      </c>
      <c r="AM722" s="81">
        <v>9</v>
      </c>
      <c r="AN722" s="86" t="s">
        <v>4774</v>
      </c>
      <c r="AO722" s="86" t="s">
        <v>6505</v>
      </c>
      <c r="AP722" s="81" t="b">
        <v>0</v>
      </c>
      <c r="AQ722" s="86" t="s">
        <v>4774</v>
      </c>
      <c r="AR722" s="81" t="s">
        <v>179</v>
      </c>
      <c r="AS722" s="81">
        <v>0</v>
      </c>
      <c r="AT722" s="81">
        <v>0</v>
      </c>
      <c r="AU722" s="81"/>
      <c r="AV722" s="81"/>
      <c r="AW722" s="81"/>
      <c r="AX722" s="81"/>
      <c r="AY722" s="81"/>
      <c r="AZ722" s="81"/>
      <c r="BA722" s="81"/>
      <c r="BB722" s="81"/>
    </row>
    <row r="723" spans="1:54" x14ac:dyDescent="0.35">
      <c r="A723" s="66" t="s">
        <v>733</v>
      </c>
      <c r="B723" s="66" t="s">
        <v>732</v>
      </c>
      <c r="C723" s="67"/>
      <c r="D723" s="68"/>
      <c r="E723" s="69"/>
      <c r="F723" s="70"/>
      <c r="G723" s="67"/>
      <c r="H723" s="71"/>
      <c r="I723" s="72"/>
      <c r="J723" s="72"/>
      <c r="K723" s="36"/>
      <c r="L723" s="79"/>
      <c r="M723" s="79"/>
      <c r="N723" s="74"/>
      <c r="O723" s="81" t="s">
        <v>1532</v>
      </c>
      <c r="P723" s="83">
        <v>44462.411932870367</v>
      </c>
      <c r="Q723" s="81" t="s">
        <v>1813</v>
      </c>
      <c r="R723" s="81"/>
      <c r="S723" s="81"/>
      <c r="T723" s="86" t="s">
        <v>2684</v>
      </c>
      <c r="U723" s="84" t="str">
        <f>HYPERLINK("https://pbs.twimg.com/media/E-9RJfTUYAIy8al.jpg")</f>
        <v>https://pbs.twimg.com/media/E-9RJfTUYAIy8al.jpg</v>
      </c>
      <c r="V723" s="84" t="str">
        <f>HYPERLINK("https://pbs.twimg.com/media/E-9RJfTUYAIy8al.jpg")</f>
        <v>https://pbs.twimg.com/media/E-9RJfTUYAIy8al.jpg</v>
      </c>
      <c r="W723" s="83">
        <v>44462.411932870367</v>
      </c>
      <c r="X723" s="89">
        <v>44462</v>
      </c>
      <c r="Y723" s="86" t="s">
        <v>3313</v>
      </c>
      <c r="Z723" s="84" t="str">
        <f>HYPERLINK("https://twitter.com/jihoneybebe/status/1440977535676805120")</f>
        <v>https://twitter.com/jihoneybebe/status/1440977535676805120</v>
      </c>
      <c r="AA723" s="81"/>
      <c r="AB723" s="81"/>
      <c r="AC723" s="86" t="s">
        <v>4775</v>
      </c>
      <c r="AD723" s="81"/>
      <c r="AE723" s="81" t="b">
        <v>0</v>
      </c>
      <c r="AF723" s="81">
        <v>0</v>
      </c>
      <c r="AG723" s="86" t="s">
        <v>6240</v>
      </c>
      <c r="AH723" s="81" t="b">
        <v>0</v>
      </c>
      <c r="AI723" s="81" t="s">
        <v>6479</v>
      </c>
      <c r="AJ723" s="81"/>
      <c r="AK723" s="86" t="s">
        <v>6240</v>
      </c>
      <c r="AL723" s="81" t="b">
        <v>0</v>
      </c>
      <c r="AM723" s="81">
        <v>9</v>
      </c>
      <c r="AN723" s="86" t="s">
        <v>4774</v>
      </c>
      <c r="AO723" s="86" t="s">
        <v>6505</v>
      </c>
      <c r="AP723" s="81" t="b">
        <v>0</v>
      </c>
      <c r="AQ723" s="86" t="s">
        <v>4774</v>
      </c>
      <c r="AR723" s="81" t="s">
        <v>179</v>
      </c>
      <c r="AS723" s="81">
        <v>0</v>
      </c>
      <c r="AT723" s="81">
        <v>0</v>
      </c>
      <c r="AU723" s="81"/>
      <c r="AV723" s="81"/>
      <c r="AW723" s="81"/>
      <c r="AX723" s="81"/>
      <c r="AY723" s="81"/>
      <c r="AZ723" s="81"/>
      <c r="BA723" s="81"/>
      <c r="BB723" s="81"/>
    </row>
    <row r="724" spans="1:54" x14ac:dyDescent="0.35">
      <c r="A724" s="66" t="s">
        <v>734</v>
      </c>
      <c r="B724" s="66" t="s">
        <v>734</v>
      </c>
      <c r="C724" s="67"/>
      <c r="D724" s="68"/>
      <c r="E724" s="69"/>
      <c r="F724" s="70"/>
      <c r="G724" s="67"/>
      <c r="H724" s="71"/>
      <c r="I724" s="72"/>
      <c r="J724" s="72"/>
      <c r="K724" s="36"/>
      <c r="L724" s="79"/>
      <c r="M724" s="79"/>
      <c r="N724" s="74"/>
      <c r="O724" s="81" t="s">
        <v>179</v>
      </c>
      <c r="P724" s="83">
        <v>44462.413287037038</v>
      </c>
      <c r="Q724" s="81" t="s">
        <v>1814</v>
      </c>
      <c r="R724" s="81"/>
      <c r="S724" s="81"/>
      <c r="T724" s="81"/>
      <c r="U724" s="81"/>
      <c r="V724" s="84" t="str">
        <f>HYPERLINK("https://pbs.twimg.com/profile_images/1439902183546241027/61CN6CsR_normal.jpg")</f>
        <v>https://pbs.twimg.com/profile_images/1439902183546241027/61CN6CsR_normal.jpg</v>
      </c>
      <c r="W724" s="83">
        <v>44462.413287037038</v>
      </c>
      <c r="X724" s="89">
        <v>44462</v>
      </c>
      <c r="Y724" s="86" t="s">
        <v>3314</v>
      </c>
      <c r="Z724" s="84" t="str">
        <f>HYPERLINK("https://twitter.com/sukulent_kaktus/status/1440978028469755909")</f>
        <v>https://twitter.com/sukulent_kaktus/status/1440978028469755909</v>
      </c>
      <c r="AA724" s="81"/>
      <c r="AB724" s="81"/>
      <c r="AC724" s="86" t="s">
        <v>4776</v>
      </c>
      <c r="AD724" s="86" t="s">
        <v>6076</v>
      </c>
      <c r="AE724" s="81" t="b">
        <v>0</v>
      </c>
      <c r="AF724" s="81">
        <v>0</v>
      </c>
      <c r="AG724" s="86" t="s">
        <v>6338</v>
      </c>
      <c r="AH724" s="81" t="b">
        <v>0</v>
      </c>
      <c r="AI724" s="81" t="s">
        <v>6478</v>
      </c>
      <c r="AJ724" s="81"/>
      <c r="AK724" s="86" t="s">
        <v>6240</v>
      </c>
      <c r="AL724" s="81" t="b">
        <v>0</v>
      </c>
      <c r="AM724" s="81">
        <v>0</v>
      </c>
      <c r="AN724" s="86" t="s">
        <v>6240</v>
      </c>
      <c r="AO724" s="86" t="s">
        <v>6503</v>
      </c>
      <c r="AP724" s="81" t="b">
        <v>0</v>
      </c>
      <c r="AQ724" s="86" t="s">
        <v>6076</v>
      </c>
      <c r="AR724" s="81" t="s">
        <v>179</v>
      </c>
      <c r="AS724" s="81">
        <v>0</v>
      </c>
      <c r="AT724" s="81">
        <v>0</v>
      </c>
      <c r="AU724" s="81"/>
      <c r="AV724" s="81"/>
      <c r="AW724" s="81"/>
      <c r="AX724" s="81"/>
      <c r="AY724" s="81"/>
      <c r="AZ724" s="81"/>
      <c r="BA724" s="81"/>
      <c r="BB724" s="81"/>
    </row>
    <row r="725" spans="1:54" x14ac:dyDescent="0.35">
      <c r="A725" s="66" t="s">
        <v>735</v>
      </c>
      <c r="B725" s="66" t="s">
        <v>928</v>
      </c>
      <c r="C725" s="67"/>
      <c r="D725" s="68"/>
      <c r="E725" s="69"/>
      <c r="F725" s="70"/>
      <c r="G725" s="67"/>
      <c r="H725" s="71"/>
      <c r="I725" s="72"/>
      <c r="J725" s="72"/>
      <c r="K725" s="36"/>
      <c r="L725" s="79"/>
      <c r="M725" s="79"/>
      <c r="N725" s="74"/>
      <c r="O725" s="81" t="s">
        <v>1532</v>
      </c>
      <c r="P725" s="83">
        <v>44462.421319444446</v>
      </c>
      <c r="Q725" s="81" t="s">
        <v>1781</v>
      </c>
      <c r="R725" s="81"/>
      <c r="S725" s="81"/>
      <c r="T725" s="86" t="s">
        <v>2681</v>
      </c>
      <c r="U725" s="84" t="str">
        <f>HYPERLINK("https://pbs.twimg.com/media/E_6-KvyVgAA0Zfe.jpg")</f>
        <v>https://pbs.twimg.com/media/E_6-KvyVgAA0Zfe.jpg</v>
      </c>
      <c r="V725" s="84" t="str">
        <f>HYPERLINK("https://pbs.twimg.com/media/E_6-KvyVgAA0Zfe.jpg")</f>
        <v>https://pbs.twimg.com/media/E_6-KvyVgAA0Zfe.jpg</v>
      </c>
      <c r="W725" s="83">
        <v>44462.421319444446</v>
      </c>
      <c r="X725" s="89">
        <v>44462</v>
      </c>
      <c r="Y725" s="86" t="s">
        <v>3315</v>
      </c>
      <c r="Z725" s="84" t="str">
        <f>HYPERLINK("https://twitter.com/awenk_bukar/status/1440980936481390600")</f>
        <v>https://twitter.com/awenk_bukar/status/1440980936481390600</v>
      </c>
      <c r="AA725" s="81"/>
      <c r="AB725" s="81"/>
      <c r="AC725" s="86" t="s">
        <v>4777</v>
      </c>
      <c r="AD725" s="81"/>
      <c r="AE725" s="81" t="b">
        <v>0</v>
      </c>
      <c r="AF725" s="81">
        <v>0</v>
      </c>
      <c r="AG725" s="86" t="s">
        <v>6240</v>
      </c>
      <c r="AH725" s="81" t="b">
        <v>0</v>
      </c>
      <c r="AI725" s="81" t="s">
        <v>6479</v>
      </c>
      <c r="AJ725" s="81"/>
      <c r="AK725" s="86" t="s">
        <v>6240</v>
      </c>
      <c r="AL725" s="81" t="b">
        <v>0</v>
      </c>
      <c r="AM725" s="81">
        <v>71</v>
      </c>
      <c r="AN725" s="86" t="s">
        <v>5039</v>
      </c>
      <c r="AO725" s="86" t="s">
        <v>6503</v>
      </c>
      <c r="AP725" s="81" t="b">
        <v>0</v>
      </c>
      <c r="AQ725" s="86" t="s">
        <v>5039</v>
      </c>
      <c r="AR725" s="81" t="s">
        <v>179</v>
      </c>
      <c r="AS725" s="81">
        <v>0</v>
      </c>
      <c r="AT725" s="81">
        <v>0</v>
      </c>
      <c r="AU725" s="81"/>
      <c r="AV725" s="81"/>
      <c r="AW725" s="81"/>
      <c r="AX725" s="81"/>
      <c r="AY725" s="81"/>
      <c r="AZ725" s="81"/>
      <c r="BA725" s="81"/>
      <c r="BB725" s="81"/>
    </row>
    <row r="726" spans="1:54" x14ac:dyDescent="0.35">
      <c r="A726" s="66" t="s">
        <v>736</v>
      </c>
      <c r="B726" s="66" t="s">
        <v>757</v>
      </c>
      <c r="C726" s="67"/>
      <c r="D726" s="68"/>
      <c r="E726" s="69"/>
      <c r="F726" s="70"/>
      <c r="G726" s="67"/>
      <c r="H726" s="71"/>
      <c r="I726" s="72"/>
      <c r="J726" s="72"/>
      <c r="K726" s="36"/>
      <c r="L726" s="79"/>
      <c r="M726" s="79"/>
      <c r="N726" s="74"/>
      <c r="O726" s="81" t="s">
        <v>1532</v>
      </c>
      <c r="P726" s="83">
        <v>44462.422511574077</v>
      </c>
      <c r="Q726" s="81" t="s">
        <v>1815</v>
      </c>
      <c r="R726" s="84" t="str">
        <f>HYPERLINK("https://www.suara.com/news/2021/09/22/201526/lanjutkan-perlindungan-untuk-masyarakat-pandemi-kemensos-alokasikan-rp7408-t-di-2022")</f>
        <v>https://www.suara.com/news/2021/09/22/201526/lanjutkan-perlindungan-untuk-masyarakat-pandemi-kemensos-alokasikan-rp7408-t-di-2022</v>
      </c>
      <c r="S726" s="81" t="s">
        <v>2614</v>
      </c>
      <c r="T726" s="86" t="s">
        <v>2685</v>
      </c>
      <c r="U726" s="81"/>
      <c r="V726" s="84" t="str">
        <f>HYPERLINK("https://pbs.twimg.com/profile_images/1373674517516623873/pH5Pj9Bs_normal.jpg")</f>
        <v>https://pbs.twimg.com/profile_images/1373674517516623873/pH5Pj9Bs_normal.jpg</v>
      </c>
      <c r="W726" s="83">
        <v>44462.422511574077</v>
      </c>
      <c r="X726" s="89">
        <v>44462</v>
      </c>
      <c r="Y726" s="86" t="s">
        <v>3316</v>
      </c>
      <c r="Z726" s="84" t="str">
        <f>HYPERLINK("https://twitter.com/tibott2/status/1440981371019661317")</f>
        <v>https://twitter.com/tibott2/status/1440981371019661317</v>
      </c>
      <c r="AA726" s="81"/>
      <c r="AB726" s="81"/>
      <c r="AC726" s="86" t="s">
        <v>4778</v>
      </c>
      <c r="AD726" s="81"/>
      <c r="AE726" s="81" t="b">
        <v>0</v>
      </c>
      <c r="AF726" s="81">
        <v>0</v>
      </c>
      <c r="AG726" s="86" t="s">
        <v>6240</v>
      </c>
      <c r="AH726" s="81" t="b">
        <v>0</v>
      </c>
      <c r="AI726" s="81" t="s">
        <v>6478</v>
      </c>
      <c r="AJ726" s="81"/>
      <c r="AK726" s="86" t="s">
        <v>6240</v>
      </c>
      <c r="AL726" s="81" t="b">
        <v>0</v>
      </c>
      <c r="AM726" s="81">
        <v>13</v>
      </c>
      <c r="AN726" s="86" t="s">
        <v>4812</v>
      </c>
      <c r="AO726" s="86" t="s">
        <v>6503</v>
      </c>
      <c r="AP726" s="81" t="b">
        <v>0</v>
      </c>
      <c r="AQ726" s="86" t="s">
        <v>4812</v>
      </c>
      <c r="AR726" s="81" t="s">
        <v>179</v>
      </c>
      <c r="AS726" s="81">
        <v>0</v>
      </c>
      <c r="AT726" s="81">
        <v>0</v>
      </c>
      <c r="AU726" s="81"/>
      <c r="AV726" s="81"/>
      <c r="AW726" s="81"/>
      <c r="AX726" s="81"/>
      <c r="AY726" s="81"/>
      <c r="AZ726" s="81"/>
      <c r="BA726" s="81"/>
      <c r="BB726" s="81"/>
    </row>
    <row r="727" spans="1:54" x14ac:dyDescent="0.35">
      <c r="A727" s="66" t="s">
        <v>736</v>
      </c>
      <c r="B727" s="66" t="s">
        <v>757</v>
      </c>
      <c r="C727" s="67"/>
      <c r="D727" s="68"/>
      <c r="E727" s="69"/>
      <c r="F727" s="70"/>
      <c r="G727" s="67"/>
      <c r="H727" s="71"/>
      <c r="I727" s="72"/>
      <c r="J727" s="72"/>
      <c r="K727" s="36"/>
      <c r="L727" s="79"/>
      <c r="M727" s="79"/>
      <c r="N727" s="74"/>
      <c r="O727" s="81" t="s">
        <v>1532</v>
      </c>
      <c r="P727" s="83">
        <v>44462.422696759262</v>
      </c>
      <c r="Q727" s="81" t="s">
        <v>1816</v>
      </c>
      <c r="R727" s="84" t="str">
        <f>HYPERLINK("https://nasional.tempo.co/read/1509255/risma-memastikan-bantuan-sosial-pada-warga-terdampak-covid-19-berlanjut")</f>
        <v>https://nasional.tempo.co/read/1509255/risma-memastikan-bantuan-sosial-pada-warga-terdampak-covid-19-berlanjut</v>
      </c>
      <c r="S727" s="81" t="s">
        <v>2615</v>
      </c>
      <c r="T727" s="86" t="s">
        <v>2685</v>
      </c>
      <c r="U727" s="81"/>
      <c r="V727" s="84" t="str">
        <f>HYPERLINK("https://pbs.twimg.com/profile_images/1373674517516623873/pH5Pj9Bs_normal.jpg")</f>
        <v>https://pbs.twimg.com/profile_images/1373674517516623873/pH5Pj9Bs_normal.jpg</v>
      </c>
      <c r="W727" s="83">
        <v>44462.422696759262</v>
      </c>
      <c r="X727" s="89">
        <v>44462</v>
      </c>
      <c r="Y727" s="86" t="s">
        <v>3317</v>
      </c>
      <c r="Z727" s="84" t="str">
        <f>HYPERLINK("https://twitter.com/tibott2/status/1440981439135186944")</f>
        <v>https://twitter.com/tibott2/status/1440981439135186944</v>
      </c>
      <c r="AA727" s="81"/>
      <c r="AB727" s="81"/>
      <c r="AC727" s="86" t="s">
        <v>4779</v>
      </c>
      <c r="AD727" s="81"/>
      <c r="AE727" s="81" t="b">
        <v>0</v>
      </c>
      <c r="AF727" s="81">
        <v>0</v>
      </c>
      <c r="AG727" s="86" t="s">
        <v>6240</v>
      </c>
      <c r="AH727" s="81" t="b">
        <v>0</v>
      </c>
      <c r="AI727" s="81" t="s">
        <v>6478</v>
      </c>
      <c r="AJ727" s="81"/>
      <c r="AK727" s="86" t="s">
        <v>6240</v>
      </c>
      <c r="AL727" s="81" t="b">
        <v>0</v>
      </c>
      <c r="AM727" s="81">
        <v>14</v>
      </c>
      <c r="AN727" s="86" t="s">
        <v>4811</v>
      </c>
      <c r="AO727" s="86" t="s">
        <v>6503</v>
      </c>
      <c r="AP727" s="81" t="b">
        <v>0</v>
      </c>
      <c r="AQ727" s="86" t="s">
        <v>4811</v>
      </c>
      <c r="AR727" s="81" t="s">
        <v>179</v>
      </c>
      <c r="AS727" s="81">
        <v>0</v>
      </c>
      <c r="AT727" s="81">
        <v>0</v>
      </c>
      <c r="AU727" s="81"/>
      <c r="AV727" s="81"/>
      <c r="AW727" s="81"/>
      <c r="AX727" s="81"/>
      <c r="AY727" s="81"/>
      <c r="AZ727" s="81"/>
      <c r="BA727" s="81"/>
      <c r="BB727" s="81"/>
    </row>
    <row r="728" spans="1:54" x14ac:dyDescent="0.35">
      <c r="A728" s="66" t="s">
        <v>737</v>
      </c>
      <c r="B728" s="66" t="s">
        <v>928</v>
      </c>
      <c r="C728" s="67"/>
      <c r="D728" s="68"/>
      <c r="E728" s="69"/>
      <c r="F728" s="70"/>
      <c r="G728" s="67"/>
      <c r="H728" s="71"/>
      <c r="I728" s="72"/>
      <c r="J728" s="72"/>
      <c r="K728" s="36"/>
      <c r="L728" s="79"/>
      <c r="M728" s="79"/>
      <c r="N728" s="74"/>
      <c r="O728" s="81" t="s">
        <v>1532</v>
      </c>
      <c r="P728" s="83">
        <v>44462.423310185186</v>
      </c>
      <c r="Q728" s="81" t="s">
        <v>1781</v>
      </c>
      <c r="R728" s="81"/>
      <c r="S728" s="81"/>
      <c r="T728" s="86" t="s">
        <v>2681</v>
      </c>
      <c r="U728" s="84" t="str">
        <f>HYPERLINK("https://pbs.twimg.com/media/E_6-KvyVgAA0Zfe.jpg")</f>
        <v>https://pbs.twimg.com/media/E_6-KvyVgAA0Zfe.jpg</v>
      </c>
      <c r="V728" s="84" t="str">
        <f>HYPERLINK("https://pbs.twimg.com/media/E_6-KvyVgAA0Zfe.jpg")</f>
        <v>https://pbs.twimg.com/media/E_6-KvyVgAA0Zfe.jpg</v>
      </c>
      <c r="W728" s="83">
        <v>44462.423310185186</v>
      </c>
      <c r="X728" s="89">
        <v>44462</v>
      </c>
      <c r="Y728" s="86" t="s">
        <v>3318</v>
      </c>
      <c r="Z728" s="84" t="str">
        <f>HYPERLINK("https://twitter.com/hendrimbahe_10/status/1440981658669182988")</f>
        <v>https://twitter.com/hendrimbahe_10/status/1440981658669182988</v>
      </c>
      <c r="AA728" s="81"/>
      <c r="AB728" s="81"/>
      <c r="AC728" s="86" t="s">
        <v>4780</v>
      </c>
      <c r="AD728" s="81"/>
      <c r="AE728" s="81" t="b">
        <v>0</v>
      </c>
      <c r="AF728" s="81">
        <v>0</v>
      </c>
      <c r="AG728" s="86" t="s">
        <v>6240</v>
      </c>
      <c r="AH728" s="81" t="b">
        <v>0</v>
      </c>
      <c r="AI728" s="81" t="s">
        <v>6479</v>
      </c>
      <c r="AJ728" s="81"/>
      <c r="AK728" s="86" t="s">
        <v>6240</v>
      </c>
      <c r="AL728" s="81" t="b">
        <v>0</v>
      </c>
      <c r="AM728" s="81">
        <v>71</v>
      </c>
      <c r="AN728" s="86" t="s">
        <v>5039</v>
      </c>
      <c r="AO728" s="86" t="s">
        <v>6503</v>
      </c>
      <c r="AP728" s="81" t="b">
        <v>0</v>
      </c>
      <c r="AQ728" s="86" t="s">
        <v>5039</v>
      </c>
      <c r="AR728" s="81" t="s">
        <v>179</v>
      </c>
      <c r="AS728" s="81">
        <v>0</v>
      </c>
      <c r="AT728" s="81">
        <v>0</v>
      </c>
      <c r="AU728" s="81"/>
      <c r="AV728" s="81"/>
      <c r="AW728" s="81"/>
      <c r="AX728" s="81"/>
      <c r="AY728" s="81"/>
      <c r="AZ728" s="81"/>
      <c r="BA728" s="81"/>
      <c r="BB728" s="81"/>
    </row>
    <row r="729" spans="1:54" x14ac:dyDescent="0.35">
      <c r="A729" s="66" t="s">
        <v>738</v>
      </c>
      <c r="B729" s="66" t="s">
        <v>757</v>
      </c>
      <c r="C729" s="67"/>
      <c r="D729" s="68"/>
      <c r="E729" s="69"/>
      <c r="F729" s="70"/>
      <c r="G729" s="67"/>
      <c r="H729" s="71"/>
      <c r="I729" s="72"/>
      <c r="J729" s="72"/>
      <c r="K729" s="36"/>
      <c r="L729" s="79"/>
      <c r="M729" s="79"/>
      <c r="N729" s="74"/>
      <c r="O729" s="81" t="s">
        <v>1532</v>
      </c>
      <c r="P729" s="83">
        <v>44462.42460648148</v>
      </c>
      <c r="Q729" s="81" t="s">
        <v>1815</v>
      </c>
      <c r="R729" s="84" t="str">
        <f>HYPERLINK("https://www.suara.com/news/2021/09/22/201526/lanjutkan-perlindungan-untuk-masyarakat-pandemi-kemensos-alokasikan-rp7408-t-di-2022")</f>
        <v>https://www.suara.com/news/2021/09/22/201526/lanjutkan-perlindungan-untuk-masyarakat-pandemi-kemensos-alokasikan-rp7408-t-di-2022</v>
      </c>
      <c r="S729" s="81" t="s">
        <v>2614</v>
      </c>
      <c r="T729" s="86" t="s">
        <v>2685</v>
      </c>
      <c r="U729" s="81"/>
      <c r="V729" s="84" t="str">
        <f>HYPERLINK("https://pbs.twimg.com/profile_images/1382380287208792065/ftV0VLGe_normal.jpg")</f>
        <v>https://pbs.twimg.com/profile_images/1382380287208792065/ftV0VLGe_normal.jpg</v>
      </c>
      <c r="W729" s="83">
        <v>44462.42460648148</v>
      </c>
      <c r="X729" s="89">
        <v>44462</v>
      </c>
      <c r="Y729" s="86" t="s">
        <v>3319</v>
      </c>
      <c r="Z729" s="84" t="str">
        <f>HYPERLINK("https://twitter.com/aly_pemuda/status/1440982129911877632")</f>
        <v>https://twitter.com/aly_pemuda/status/1440982129911877632</v>
      </c>
      <c r="AA729" s="81"/>
      <c r="AB729" s="81"/>
      <c r="AC729" s="86" t="s">
        <v>4781</v>
      </c>
      <c r="AD729" s="81"/>
      <c r="AE729" s="81" t="b">
        <v>0</v>
      </c>
      <c r="AF729" s="81">
        <v>0</v>
      </c>
      <c r="AG729" s="86" t="s">
        <v>6240</v>
      </c>
      <c r="AH729" s="81" t="b">
        <v>0</v>
      </c>
      <c r="AI729" s="81" t="s">
        <v>6478</v>
      </c>
      <c r="AJ729" s="81"/>
      <c r="AK729" s="86" t="s">
        <v>6240</v>
      </c>
      <c r="AL729" s="81" t="b">
        <v>0</v>
      </c>
      <c r="AM729" s="81">
        <v>13</v>
      </c>
      <c r="AN729" s="86" t="s">
        <v>4812</v>
      </c>
      <c r="AO729" s="86" t="s">
        <v>6503</v>
      </c>
      <c r="AP729" s="81" t="b">
        <v>0</v>
      </c>
      <c r="AQ729" s="86" t="s">
        <v>4812</v>
      </c>
      <c r="AR729" s="81" t="s">
        <v>179</v>
      </c>
      <c r="AS729" s="81">
        <v>0</v>
      </c>
      <c r="AT729" s="81">
        <v>0</v>
      </c>
      <c r="AU729" s="81"/>
      <c r="AV729" s="81"/>
      <c r="AW729" s="81"/>
      <c r="AX729" s="81"/>
      <c r="AY729" s="81"/>
      <c r="AZ729" s="81"/>
      <c r="BA729" s="81"/>
      <c r="BB729" s="81"/>
    </row>
    <row r="730" spans="1:54" x14ac:dyDescent="0.35">
      <c r="A730" s="66" t="s">
        <v>738</v>
      </c>
      <c r="B730" s="66" t="s">
        <v>757</v>
      </c>
      <c r="C730" s="67"/>
      <c r="D730" s="68"/>
      <c r="E730" s="69"/>
      <c r="F730" s="70"/>
      <c r="G730" s="67"/>
      <c r="H730" s="71"/>
      <c r="I730" s="72"/>
      <c r="J730" s="72"/>
      <c r="K730" s="36"/>
      <c r="L730" s="79"/>
      <c r="M730" s="79"/>
      <c r="N730" s="74"/>
      <c r="O730" s="81" t="s">
        <v>1532</v>
      </c>
      <c r="P730" s="83">
        <v>44462.424629629626</v>
      </c>
      <c r="Q730" s="81" t="s">
        <v>1816</v>
      </c>
      <c r="R730" s="84" t="str">
        <f>HYPERLINK("https://nasional.tempo.co/read/1509255/risma-memastikan-bantuan-sosial-pada-warga-terdampak-covid-19-berlanjut")</f>
        <v>https://nasional.tempo.co/read/1509255/risma-memastikan-bantuan-sosial-pada-warga-terdampak-covid-19-berlanjut</v>
      </c>
      <c r="S730" s="81" t="s">
        <v>2615</v>
      </c>
      <c r="T730" s="86" t="s">
        <v>2685</v>
      </c>
      <c r="U730" s="81"/>
      <c r="V730" s="84" t="str">
        <f>HYPERLINK("https://pbs.twimg.com/profile_images/1382380287208792065/ftV0VLGe_normal.jpg")</f>
        <v>https://pbs.twimg.com/profile_images/1382380287208792065/ftV0VLGe_normal.jpg</v>
      </c>
      <c r="W730" s="83">
        <v>44462.424629629626</v>
      </c>
      <c r="X730" s="89">
        <v>44462</v>
      </c>
      <c r="Y730" s="86" t="s">
        <v>3320</v>
      </c>
      <c r="Z730" s="84" t="str">
        <f>HYPERLINK("https://twitter.com/aly_pemuda/status/1440982139709755395")</f>
        <v>https://twitter.com/aly_pemuda/status/1440982139709755395</v>
      </c>
      <c r="AA730" s="81"/>
      <c r="AB730" s="81"/>
      <c r="AC730" s="86" t="s">
        <v>4782</v>
      </c>
      <c r="AD730" s="81"/>
      <c r="AE730" s="81" t="b">
        <v>0</v>
      </c>
      <c r="AF730" s="81">
        <v>0</v>
      </c>
      <c r="AG730" s="86" t="s">
        <v>6240</v>
      </c>
      <c r="AH730" s="81" t="b">
        <v>0</v>
      </c>
      <c r="AI730" s="81" t="s">
        <v>6478</v>
      </c>
      <c r="AJ730" s="81"/>
      <c r="AK730" s="86" t="s">
        <v>6240</v>
      </c>
      <c r="AL730" s="81" t="b">
        <v>0</v>
      </c>
      <c r="AM730" s="81">
        <v>14</v>
      </c>
      <c r="AN730" s="86" t="s">
        <v>4811</v>
      </c>
      <c r="AO730" s="86" t="s">
        <v>6503</v>
      </c>
      <c r="AP730" s="81" t="b">
        <v>0</v>
      </c>
      <c r="AQ730" s="86" t="s">
        <v>4811</v>
      </c>
      <c r="AR730" s="81" t="s">
        <v>179</v>
      </c>
      <c r="AS730" s="81">
        <v>0</v>
      </c>
      <c r="AT730" s="81">
        <v>0</v>
      </c>
      <c r="AU730" s="81"/>
      <c r="AV730" s="81"/>
      <c r="AW730" s="81"/>
      <c r="AX730" s="81"/>
      <c r="AY730" s="81"/>
      <c r="AZ730" s="81"/>
      <c r="BA730" s="81"/>
      <c r="BB730" s="81"/>
    </row>
    <row r="731" spans="1:54" x14ac:dyDescent="0.35">
      <c r="A731" s="66" t="s">
        <v>739</v>
      </c>
      <c r="B731" s="66" t="s">
        <v>757</v>
      </c>
      <c r="C731" s="67"/>
      <c r="D731" s="68"/>
      <c r="E731" s="69"/>
      <c r="F731" s="70"/>
      <c r="G731" s="67"/>
      <c r="H731" s="71"/>
      <c r="I731" s="72"/>
      <c r="J731" s="72"/>
      <c r="K731" s="36"/>
      <c r="L731" s="79"/>
      <c r="M731" s="79"/>
      <c r="N731" s="74"/>
      <c r="O731" s="81" t="s">
        <v>1532</v>
      </c>
      <c r="P731" s="83">
        <v>44462.427106481482</v>
      </c>
      <c r="Q731" s="81" t="s">
        <v>1816</v>
      </c>
      <c r="R731" s="84" t="str">
        <f>HYPERLINK("https://nasional.tempo.co/read/1509255/risma-memastikan-bantuan-sosial-pada-warga-terdampak-covid-19-berlanjut")</f>
        <v>https://nasional.tempo.co/read/1509255/risma-memastikan-bantuan-sosial-pada-warga-terdampak-covid-19-berlanjut</v>
      </c>
      <c r="S731" s="81" t="s">
        <v>2615</v>
      </c>
      <c r="T731" s="86" t="s">
        <v>2685</v>
      </c>
      <c r="U731" s="81"/>
      <c r="V731" s="84" t="str">
        <f>HYPERLINK("https://pbs.twimg.com/profile_images/1405082194331279361/LC05l1W4_normal.jpg")</f>
        <v>https://pbs.twimg.com/profile_images/1405082194331279361/LC05l1W4_normal.jpg</v>
      </c>
      <c r="W731" s="83">
        <v>44462.427106481482</v>
      </c>
      <c r="X731" s="89">
        <v>44462</v>
      </c>
      <c r="Y731" s="86" t="s">
        <v>3321</v>
      </c>
      <c r="Z731" s="84" t="str">
        <f>HYPERLINK("https://twitter.com/naj_2709/status/1440983037420863493")</f>
        <v>https://twitter.com/naj_2709/status/1440983037420863493</v>
      </c>
      <c r="AA731" s="81"/>
      <c r="AB731" s="81"/>
      <c r="AC731" s="86" t="s">
        <v>4783</v>
      </c>
      <c r="AD731" s="81"/>
      <c r="AE731" s="81" t="b">
        <v>0</v>
      </c>
      <c r="AF731" s="81">
        <v>0</v>
      </c>
      <c r="AG731" s="86" t="s">
        <v>6240</v>
      </c>
      <c r="AH731" s="81" t="b">
        <v>0</v>
      </c>
      <c r="AI731" s="81" t="s">
        <v>6478</v>
      </c>
      <c r="AJ731" s="81"/>
      <c r="AK731" s="86" t="s">
        <v>6240</v>
      </c>
      <c r="AL731" s="81" t="b">
        <v>0</v>
      </c>
      <c r="AM731" s="81">
        <v>14</v>
      </c>
      <c r="AN731" s="86" t="s">
        <v>4811</v>
      </c>
      <c r="AO731" s="86" t="s">
        <v>6503</v>
      </c>
      <c r="AP731" s="81" t="b">
        <v>0</v>
      </c>
      <c r="AQ731" s="86" t="s">
        <v>4811</v>
      </c>
      <c r="AR731" s="81" t="s">
        <v>179</v>
      </c>
      <c r="AS731" s="81">
        <v>0</v>
      </c>
      <c r="AT731" s="81">
        <v>0</v>
      </c>
      <c r="AU731" s="81"/>
      <c r="AV731" s="81"/>
      <c r="AW731" s="81"/>
      <c r="AX731" s="81"/>
      <c r="AY731" s="81"/>
      <c r="AZ731" s="81"/>
      <c r="BA731" s="81"/>
      <c r="BB731" s="81"/>
    </row>
    <row r="732" spans="1:54" x14ac:dyDescent="0.35">
      <c r="A732" s="66" t="s">
        <v>739</v>
      </c>
      <c r="B732" s="66" t="s">
        <v>757</v>
      </c>
      <c r="C732" s="67"/>
      <c r="D732" s="68"/>
      <c r="E732" s="69"/>
      <c r="F732" s="70"/>
      <c r="G732" s="67"/>
      <c r="H732" s="71"/>
      <c r="I732" s="72"/>
      <c r="J732" s="72"/>
      <c r="K732" s="36"/>
      <c r="L732" s="79"/>
      <c r="M732" s="79"/>
      <c r="N732" s="74"/>
      <c r="O732" s="81" t="s">
        <v>1532</v>
      </c>
      <c r="P732" s="83">
        <v>44462.427141203705</v>
      </c>
      <c r="Q732" s="81" t="s">
        <v>1815</v>
      </c>
      <c r="R732" s="84" t="str">
        <f>HYPERLINK("https://www.suara.com/news/2021/09/22/201526/lanjutkan-perlindungan-untuk-masyarakat-pandemi-kemensos-alokasikan-rp7408-t-di-2022")</f>
        <v>https://www.suara.com/news/2021/09/22/201526/lanjutkan-perlindungan-untuk-masyarakat-pandemi-kemensos-alokasikan-rp7408-t-di-2022</v>
      </c>
      <c r="S732" s="81" t="s">
        <v>2614</v>
      </c>
      <c r="T732" s="86" t="s">
        <v>2685</v>
      </c>
      <c r="U732" s="81"/>
      <c r="V732" s="84" t="str">
        <f>HYPERLINK("https://pbs.twimg.com/profile_images/1405082194331279361/LC05l1W4_normal.jpg")</f>
        <v>https://pbs.twimg.com/profile_images/1405082194331279361/LC05l1W4_normal.jpg</v>
      </c>
      <c r="W732" s="83">
        <v>44462.427141203705</v>
      </c>
      <c r="X732" s="89">
        <v>44462</v>
      </c>
      <c r="Y732" s="86" t="s">
        <v>3322</v>
      </c>
      <c r="Z732" s="84" t="str">
        <f>HYPERLINK("https://twitter.com/naj_2709/status/1440983048657408009")</f>
        <v>https://twitter.com/naj_2709/status/1440983048657408009</v>
      </c>
      <c r="AA732" s="81"/>
      <c r="AB732" s="81"/>
      <c r="AC732" s="86" t="s">
        <v>4784</v>
      </c>
      <c r="AD732" s="81"/>
      <c r="AE732" s="81" t="b">
        <v>0</v>
      </c>
      <c r="AF732" s="81">
        <v>0</v>
      </c>
      <c r="AG732" s="86" t="s">
        <v>6240</v>
      </c>
      <c r="AH732" s="81" t="b">
        <v>0</v>
      </c>
      <c r="AI732" s="81" t="s">
        <v>6478</v>
      </c>
      <c r="AJ732" s="81"/>
      <c r="AK732" s="86" t="s">
        <v>6240</v>
      </c>
      <c r="AL732" s="81" t="b">
        <v>0</v>
      </c>
      <c r="AM732" s="81">
        <v>13</v>
      </c>
      <c r="AN732" s="86" t="s">
        <v>4812</v>
      </c>
      <c r="AO732" s="86" t="s">
        <v>6503</v>
      </c>
      <c r="AP732" s="81" t="b">
        <v>0</v>
      </c>
      <c r="AQ732" s="86" t="s">
        <v>4812</v>
      </c>
      <c r="AR732" s="81" t="s">
        <v>179</v>
      </c>
      <c r="AS732" s="81">
        <v>0</v>
      </c>
      <c r="AT732" s="81">
        <v>0</v>
      </c>
      <c r="AU732" s="81"/>
      <c r="AV732" s="81"/>
      <c r="AW732" s="81"/>
      <c r="AX732" s="81"/>
      <c r="AY732" s="81"/>
      <c r="AZ732" s="81"/>
      <c r="BA732" s="81"/>
      <c r="BB732" s="81"/>
    </row>
    <row r="733" spans="1:54" x14ac:dyDescent="0.35">
      <c r="A733" s="66" t="s">
        <v>740</v>
      </c>
      <c r="B733" s="66" t="s">
        <v>757</v>
      </c>
      <c r="C733" s="67"/>
      <c r="D733" s="68"/>
      <c r="E733" s="69"/>
      <c r="F733" s="70"/>
      <c r="G733" s="67"/>
      <c r="H733" s="71"/>
      <c r="I733" s="72"/>
      <c r="J733" s="72"/>
      <c r="K733" s="36"/>
      <c r="L733" s="79"/>
      <c r="M733" s="79"/>
      <c r="N733" s="74"/>
      <c r="O733" s="81" t="s">
        <v>1532</v>
      </c>
      <c r="P733" s="83">
        <v>44462.430381944447</v>
      </c>
      <c r="Q733" s="81" t="s">
        <v>1815</v>
      </c>
      <c r="R733" s="84" t="str">
        <f>HYPERLINK("https://www.suara.com/news/2021/09/22/201526/lanjutkan-perlindungan-untuk-masyarakat-pandemi-kemensos-alokasikan-rp7408-t-di-2022")</f>
        <v>https://www.suara.com/news/2021/09/22/201526/lanjutkan-perlindungan-untuk-masyarakat-pandemi-kemensos-alokasikan-rp7408-t-di-2022</v>
      </c>
      <c r="S733" s="81" t="s">
        <v>2614</v>
      </c>
      <c r="T733" s="86" t="s">
        <v>2685</v>
      </c>
      <c r="U733" s="81"/>
      <c r="V733" s="84" t="str">
        <f>HYPERLINK("https://pbs.twimg.com/profile_images/1370379061688639493/otshNSyV_normal.jpg")</f>
        <v>https://pbs.twimg.com/profile_images/1370379061688639493/otshNSyV_normal.jpg</v>
      </c>
      <c r="W733" s="83">
        <v>44462.430381944447</v>
      </c>
      <c r="X733" s="89">
        <v>44462</v>
      </c>
      <c r="Y733" s="86" t="s">
        <v>3323</v>
      </c>
      <c r="Z733" s="84" t="str">
        <f>HYPERLINK("https://twitter.com/youngfarrel27/status/1440984222815031300")</f>
        <v>https://twitter.com/youngfarrel27/status/1440984222815031300</v>
      </c>
      <c r="AA733" s="81"/>
      <c r="AB733" s="81"/>
      <c r="AC733" s="86" t="s">
        <v>4785</v>
      </c>
      <c r="AD733" s="81"/>
      <c r="AE733" s="81" t="b">
        <v>0</v>
      </c>
      <c r="AF733" s="81">
        <v>0</v>
      </c>
      <c r="AG733" s="86" t="s">
        <v>6240</v>
      </c>
      <c r="AH733" s="81" t="b">
        <v>0</v>
      </c>
      <c r="AI733" s="81" t="s">
        <v>6478</v>
      </c>
      <c r="AJ733" s="81"/>
      <c r="AK733" s="86" t="s">
        <v>6240</v>
      </c>
      <c r="AL733" s="81" t="b">
        <v>0</v>
      </c>
      <c r="AM733" s="81">
        <v>13</v>
      </c>
      <c r="AN733" s="86" t="s">
        <v>4812</v>
      </c>
      <c r="AO733" s="86" t="s">
        <v>6503</v>
      </c>
      <c r="AP733" s="81" t="b">
        <v>0</v>
      </c>
      <c r="AQ733" s="86" t="s">
        <v>4812</v>
      </c>
      <c r="AR733" s="81" t="s">
        <v>179</v>
      </c>
      <c r="AS733" s="81">
        <v>0</v>
      </c>
      <c r="AT733" s="81">
        <v>0</v>
      </c>
      <c r="AU733" s="81"/>
      <c r="AV733" s="81"/>
      <c r="AW733" s="81"/>
      <c r="AX733" s="81"/>
      <c r="AY733" s="81"/>
      <c r="AZ733" s="81"/>
      <c r="BA733" s="81"/>
      <c r="BB733" s="81"/>
    </row>
    <row r="734" spans="1:54" x14ac:dyDescent="0.35">
      <c r="A734" s="66" t="s">
        <v>740</v>
      </c>
      <c r="B734" s="66" t="s">
        <v>757</v>
      </c>
      <c r="C734" s="67"/>
      <c r="D734" s="68"/>
      <c r="E734" s="69"/>
      <c r="F734" s="70"/>
      <c r="G734" s="67"/>
      <c r="H734" s="71"/>
      <c r="I734" s="72"/>
      <c r="J734" s="72"/>
      <c r="K734" s="36"/>
      <c r="L734" s="79"/>
      <c r="M734" s="79"/>
      <c r="N734" s="74"/>
      <c r="O734" s="81" t="s">
        <v>1532</v>
      </c>
      <c r="P734" s="83">
        <v>44462.430497685185</v>
      </c>
      <c r="Q734" s="81" t="s">
        <v>1816</v>
      </c>
      <c r="R734" s="84" t="str">
        <f>HYPERLINK("https://nasional.tempo.co/read/1509255/risma-memastikan-bantuan-sosial-pada-warga-terdampak-covid-19-berlanjut")</f>
        <v>https://nasional.tempo.co/read/1509255/risma-memastikan-bantuan-sosial-pada-warga-terdampak-covid-19-berlanjut</v>
      </c>
      <c r="S734" s="81" t="s">
        <v>2615</v>
      </c>
      <c r="T734" s="86" t="s">
        <v>2685</v>
      </c>
      <c r="U734" s="81"/>
      <c r="V734" s="84" t="str">
        <f>HYPERLINK("https://pbs.twimg.com/profile_images/1370379061688639493/otshNSyV_normal.jpg")</f>
        <v>https://pbs.twimg.com/profile_images/1370379061688639493/otshNSyV_normal.jpg</v>
      </c>
      <c r="W734" s="83">
        <v>44462.430497685185</v>
      </c>
      <c r="X734" s="89">
        <v>44462</v>
      </c>
      <c r="Y734" s="86" t="s">
        <v>3324</v>
      </c>
      <c r="Z734" s="84" t="str">
        <f>HYPERLINK("https://twitter.com/youngfarrel27/status/1440984263302660102")</f>
        <v>https://twitter.com/youngfarrel27/status/1440984263302660102</v>
      </c>
      <c r="AA734" s="81"/>
      <c r="AB734" s="81"/>
      <c r="AC734" s="86" t="s">
        <v>4786</v>
      </c>
      <c r="AD734" s="81"/>
      <c r="AE734" s="81" t="b">
        <v>0</v>
      </c>
      <c r="AF734" s="81">
        <v>0</v>
      </c>
      <c r="AG734" s="86" t="s">
        <v>6240</v>
      </c>
      <c r="AH734" s="81" t="b">
        <v>0</v>
      </c>
      <c r="AI734" s="81" t="s">
        <v>6478</v>
      </c>
      <c r="AJ734" s="81"/>
      <c r="AK734" s="86" t="s">
        <v>6240</v>
      </c>
      <c r="AL734" s="81" t="b">
        <v>0</v>
      </c>
      <c r="AM734" s="81">
        <v>14</v>
      </c>
      <c r="AN734" s="86" t="s">
        <v>4811</v>
      </c>
      <c r="AO734" s="86" t="s">
        <v>6503</v>
      </c>
      <c r="AP734" s="81" t="b">
        <v>0</v>
      </c>
      <c r="AQ734" s="86" t="s">
        <v>4811</v>
      </c>
      <c r="AR734" s="81" t="s">
        <v>179</v>
      </c>
      <c r="AS734" s="81">
        <v>0</v>
      </c>
      <c r="AT734" s="81">
        <v>0</v>
      </c>
      <c r="AU734" s="81"/>
      <c r="AV734" s="81"/>
      <c r="AW734" s="81"/>
      <c r="AX734" s="81"/>
      <c r="AY734" s="81"/>
      <c r="AZ734" s="81"/>
      <c r="BA734" s="81"/>
      <c r="BB734" s="81"/>
    </row>
    <row r="735" spans="1:54" x14ac:dyDescent="0.35">
      <c r="A735" s="66" t="s">
        <v>741</v>
      </c>
      <c r="B735" s="66" t="s">
        <v>757</v>
      </c>
      <c r="C735" s="67"/>
      <c r="D735" s="68"/>
      <c r="E735" s="69"/>
      <c r="F735" s="70"/>
      <c r="G735" s="67"/>
      <c r="H735" s="71"/>
      <c r="I735" s="72"/>
      <c r="J735" s="72"/>
      <c r="K735" s="36"/>
      <c r="L735" s="79"/>
      <c r="M735" s="79"/>
      <c r="N735" s="74"/>
      <c r="O735" s="81" t="s">
        <v>1532</v>
      </c>
      <c r="P735" s="83">
        <v>44462.430358796293</v>
      </c>
      <c r="Q735" s="81" t="s">
        <v>1816</v>
      </c>
      <c r="R735" s="84" t="str">
        <f>HYPERLINK("https://nasional.tempo.co/read/1509255/risma-memastikan-bantuan-sosial-pada-warga-terdampak-covid-19-berlanjut")</f>
        <v>https://nasional.tempo.co/read/1509255/risma-memastikan-bantuan-sosial-pada-warga-terdampak-covid-19-berlanjut</v>
      </c>
      <c r="S735" s="81" t="s">
        <v>2615</v>
      </c>
      <c r="T735" s="86" t="s">
        <v>2685</v>
      </c>
      <c r="U735" s="81"/>
      <c r="V735" s="84" t="str">
        <f>HYPERLINK("https://pbs.twimg.com/profile_images/1426932034476277771/jSNvYakT_normal.jpg")</f>
        <v>https://pbs.twimg.com/profile_images/1426932034476277771/jSNvYakT_normal.jpg</v>
      </c>
      <c r="W735" s="83">
        <v>44462.430358796293</v>
      </c>
      <c r="X735" s="89">
        <v>44462</v>
      </c>
      <c r="Y735" s="86" t="s">
        <v>3325</v>
      </c>
      <c r="Z735" s="84" t="str">
        <f>HYPERLINK("https://twitter.com/ariestarico2/status/1440984212874530825")</f>
        <v>https://twitter.com/ariestarico2/status/1440984212874530825</v>
      </c>
      <c r="AA735" s="81"/>
      <c r="AB735" s="81"/>
      <c r="AC735" s="86" t="s">
        <v>4787</v>
      </c>
      <c r="AD735" s="81"/>
      <c r="AE735" s="81" t="b">
        <v>0</v>
      </c>
      <c r="AF735" s="81">
        <v>0</v>
      </c>
      <c r="AG735" s="86" t="s">
        <v>6240</v>
      </c>
      <c r="AH735" s="81" t="b">
        <v>0</v>
      </c>
      <c r="AI735" s="81" t="s">
        <v>6478</v>
      </c>
      <c r="AJ735" s="81"/>
      <c r="AK735" s="86" t="s">
        <v>6240</v>
      </c>
      <c r="AL735" s="81" t="b">
        <v>0</v>
      </c>
      <c r="AM735" s="81">
        <v>14</v>
      </c>
      <c r="AN735" s="86" t="s">
        <v>4811</v>
      </c>
      <c r="AO735" s="86" t="s">
        <v>6503</v>
      </c>
      <c r="AP735" s="81" t="b">
        <v>0</v>
      </c>
      <c r="AQ735" s="86" t="s">
        <v>4811</v>
      </c>
      <c r="AR735" s="81" t="s">
        <v>179</v>
      </c>
      <c r="AS735" s="81">
        <v>0</v>
      </c>
      <c r="AT735" s="81">
        <v>0</v>
      </c>
      <c r="AU735" s="81"/>
      <c r="AV735" s="81"/>
      <c r="AW735" s="81"/>
      <c r="AX735" s="81"/>
      <c r="AY735" s="81"/>
      <c r="AZ735" s="81"/>
      <c r="BA735" s="81"/>
      <c r="BB735" s="81"/>
    </row>
    <row r="736" spans="1:54" x14ac:dyDescent="0.35">
      <c r="A736" s="66" t="s">
        <v>741</v>
      </c>
      <c r="B736" s="66" t="s">
        <v>757</v>
      </c>
      <c r="C736" s="67"/>
      <c r="D736" s="68"/>
      <c r="E736" s="69"/>
      <c r="F736" s="70"/>
      <c r="G736" s="67"/>
      <c r="H736" s="71"/>
      <c r="I736" s="72"/>
      <c r="J736" s="72"/>
      <c r="K736" s="36"/>
      <c r="L736" s="79"/>
      <c r="M736" s="79"/>
      <c r="N736" s="74"/>
      <c r="O736" s="81" t="s">
        <v>1532</v>
      </c>
      <c r="P736" s="83">
        <v>44462.430497685185</v>
      </c>
      <c r="Q736" s="81" t="s">
        <v>1815</v>
      </c>
      <c r="R736" s="84" t="str">
        <f>HYPERLINK("https://www.suara.com/news/2021/09/22/201526/lanjutkan-perlindungan-untuk-masyarakat-pandemi-kemensos-alokasikan-rp7408-t-di-2022")</f>
        <v>https://www.suara.com/news/2021/09/22/201526/lanjutkan-perlindungan-untuk-masyarakat-pandemi-kemensos-alokasikan-rp7408-t-di-2022</v>
      </c>
      <c r="S736" s="81" t="s">
        <v>2614</v>
      </c>
      <c r="T736" s="86" t="s">
        <v>2685</v>
      </c>
      <c r="U736" s="81"/>
      <c r="V736" s="84" t="str">
        <f>HYPERLINK("https://pbs.twimg.com/profile_images/1426932034476277771/jSNvYakT_normal.jpg")</f>
        <v>https://pbs.twimg.com/profile_images/1426932034476277771/jSNvYakT_normal.jpg</v>
      </c>
      <c r="W736" s="83">
        <v>44462.430497685185</v>
      </c>
      <c r="X736" s="89">
        <v>44462</v>
      </c>
      <c r="Y736" s="86" t="s">
        <v>3324</v>
      </c>
      <c r="Z736" s="84" t="str">
        <f>HYPERLINK("https://twitter.com/ariestarico2/status/1440984264778993678")</f>
        <v>https://twitter.com/ariestarico2/status/1440984264778993678</v>
      </c>
      <c r="AA736" s="81"/>
      <c r="AB736" s="81"/>
      <c r="AC736" s="86" t="s">
        <v>4788</v>
      </c>
      <c r="AD736" s="81"/>
      <c r="AE736" s="81" t="b">
        <v>0</v>
      </c>
      <c r="AF736" s="81">
        <v>0</v>
      </c>
      <c r="AG736" s="86" t="s">
        <v>6240</v>
      </c>
      <c r="AH736" s="81" t="b">
        <v>0</v>
      </c>
      <c r="AI736" s="81" t="s">
        <v>6478</v>
      </c>
      <c r="AJ736" s="81"/>
      <c r="AK736" s="86" t="s">
        <v>6240</v>
      </c>
      <c r="AL736" s="81" t="b">
        <v>0</v>
      </c>
      <c r="AM736" s="81">
        <v>13</v>
      </c>
      <c r="AN736" s="86" t="s">
        <v>4812</v>
      </c>
      <c r="AO736" s="86" t="s">
        <v>6503</v>
      </c>
      <c r="AP736" s="81" t="b">
        <v>0</v>
      </c>
      <c r="AQ736" s="86" t="s">
        <v>4812</v>
      </c>
      <c r="AR736" s="81" t="s">
        <v>179</v>
      </c>
      <c r="AS736" s="81">
        <v>0</v>
      </c>
      <c r="AT736" s="81">
        <v>0</v>
      </c>
      <c r="AU736" s="81"/>
      <c r="AV736" s="81"/>
      <c r="AW736" s="81"/>
      <c r="AX736" s="81"/>
      <c r="AY736" s="81"/>
      <c r="AZ736" s="81"/>
      <c r="BA736" s="81"/>
      <c r="BB736" s="81"/>
    </row>
    <row r="737" spans="1:54" x14ac:dyDescent="0.35">
      <c r="A737" s="66" t="s">
        <v>742</v>
      </c>
      <c r="B737" s="66" t="s">
        <v>1146</v>
      </c>
      <c r="C737" s="67"/>
      <c r="D737" s="68"/>
      <c r="E737" s="69"/>
      <c r="F737" s="70"/>
      <c r="G737" s="67"/>
      <c r="H737" s="71"/>
      <c r="I737" s="72"/>
      <c r="J737" s="72"/>
      <c r="K737" s="36"/>
      <c r="L737" s="79"/>
      <c r="M737" s="79"/>
      <c r="N737" s="74"/>
      <c r="O737" s="81" t="s">
        <v>1535</v>
      </c>
      <c r="P737" s="83">
        <v>44462.432939814818</v>
      </c>
      <c r="Q737" s="81" t="s">
        <v>1817</v>
      </c>
      <c r="R737" s="84" t="str">
        <f>HYPERLINK("https://market.bisnis.com/read/20210923/192/1445991/portofolio-modal-ventura-telkom-tlkm-borong-saham-dmmx")</f>
        <v>https://market.bisnis.com/read/20210923/192/1445991/portofolio-modal-ventura-telkom-tlkm-borong-saham-dmmx</v>
      </c>
      <c r="S737" s="81" t="s">
        <v>2616</v>
      </c>
      <c r="T737" s="81"/>
      <c r="U737" s="81"/>
      <c r="V737" s="84" t="str">
        <f>HYPERLINK("https://pbs.twimg.com/profile_images/1422471319086452741/JQ2BqiJN_normal.jpg")</f>
        <v>https://pbs.twimg.com/profile_images/1422471319086452741/JQ2BqiJN_normal.jpg</v>
      </c>
      <c r="W737" s="83">
        <v>44462.432939814818</v>
      </c>
      <c r="X737" s="89">
        <v>44462</v>
      </c>
      <c r="Y737" s="86" t="s">
        <v>3326</v>
      </c>
      <c r="Z737" s="84" t="str">
        <f>HYPERLINK("https://twitter.com/giewhydi/status/1440985148829224961")</f>
        <v>https://twitter.com/giewhydi/status/1440985148829224961</v>
      </c>
      <c r="AA737" s="81"/>
      <c r="AB737" s="81"/>
      <c r="AC737" s="86" t="s">
        <v>4789</v>
      </c>
      <c r="AD737" s="81"/>
      <c r="AE737" s="81" t="b">
        <v>0</v>
      </c>
      <c r="AF737" s="81">
        <v>1</v>
      </c>
      <c r="AG737" s="86" t="s">
        <v>6240</v>
      </c>
      <c r="AH737" s="81" t="b">
        <v>0</v>
      </c>
      <c r="AI737" s="81" t="s">
        <v>6478</v>
      </c>
      <c r="AJ737" s="81"/>
      <c r="AK737" s="86" t="s">
        <v>6240</v>
      </c>
      <c r="AL737" s="81" t="b">
        <v>0</v>
      </c>
      <c r="AM737" s="81">
        <v>0</v>
      </c>
      <c r="AN737" s="86" t="s">
        <v>6240</v>
      </c>
      <c r="AO737" s="86" t="s">
        <v>6503</v>
      </c>
      <c r="AP737" s="81" t="b">
        <v>0</v>
      </c>
      <c r="AQ737" s="86" t="s">
        <v>4789</v>
      </c>
      <c r="AR737" s="81" t="s">
        <v>179</v>
      </c>
      <c r="AS737" s="81">
        <v>0</v>
      </c>
      <c r="AT737" s="81">
        <v>0</v>
      </c>
      <c r="AU737" s="81"/>
      <c r="AV737" s="81"/>
      <c r="AW737" s="81"/>
      <c r="AX737" s="81"/>
      <c r="AY737" s="81"/>
      <c r="AZ737" s="81"/>
      <c r="BA737" s="81"/>
      <c r="BB737" s="81"/>
    </row>
    <row r="738" spans="1:54" x14ac:dyDescent="0.35">
      <c r="A738" s="66" t="s">
        <v>743</v>
      </c>
      <c r="B738" s="66" t="s">
        <v>757</v>
      </c>
      <c r="C738" s="67"/>
      <c r="D738" s="68"/>
      <c r="E738" s="69"/>
      <c r="F738" s="70"/>
      <c r="G738" s="67"/>
      <c r="H738" s="71"/>
      <c r="I738" s="72"/>
      <c r="J738" s="72"/>
      <c r="K738" s="36"/>
      <c r="L738" s="79"/>
      <c r="M738" s="79"/>
      <c r="N738" s="74"/>
      <c r="O738" s="81" t="s">
        <v>1532</v>
      </c>
      <c r="P738" s="83">
        <v>44462.432916666665</v>
      </c>
      <c r="Q738" s="81" t="s">
        <v>1815</v>
      </c>
      <c r="R738" s="84" t="str">
        <f>HYPERLINK("https://www.suara.com/news/2021/09/22/201526/lanjutkan-perlindungan-untuk-masyarakat-pandemi-kemensos-alokasikan-rp7408-t-di-2022")</f>
        <v>https://www.suara.com/news/2021/09/22/201526/lanjutkan-perlindungan-untuk-masyarakat-pandemi-kemensos-alokasikan-rp7408-t-di-2022</v>
      </c>
      <c r="S738" s="81" t="s">
        <v>2614</v>
      </c>
      <c r="T738" s="86" t="s">
        <v>2685</v>
      </c>
      <c r="U738" s="81"/>
      <c r="V738" s="84" t="str">
        <f>HYPERLINK("https://pbs.twimg.com/profile_images/1419331343742214145/xNUgvSaq_normal.jpg")</f>
        <v>https://pbs.twimg.com/profile_images/1419331343742214145/xNUgvSaq_normal.jpg</v>
      </c>
      <c r="W738" s="83">
        <v>44462.432916666665</v>
      </c>
      <c r="X738" s="89">
        <v>44462</v>
      </c>
      <c r="Y738" s="86" t="s">
        <v>3327</v>
      </c>
      <c r="Z738" s="84" t="str">
        <f>HYPERLINK("https://twitter.com/rizkidikka/status/1440985142114222081")</f>
        <v>https://twitter.com/rizkidikka/status/1440985142114222081</v>
      </c>
      <c r="AA738" s="81"/>
      <c r="AB738" s="81"/>
      <c r="AC738" s="86" t="s">
        <v>4790</v>
      </c>
      <c r="AD738" s="81"/>
      <c r="AE738" s="81" t="b">
        <v>0</v>
      </c>
      <c r="AF738" s="81">
        <v>0</v>
      </c>
      <c r="AG738" s="86" t="s">
        <v>6240</v>
      </c>
      <c r="AH738" s="81" t="b">
        <v>0</v>
      </c>
      <c r="AI738" s="81" t="s">
        <v>6478</v>
      </c>
      <c r="AJ738" s="81"/>
      <c r="AK738" s="86" t="s">
        <v>6240</v>
      </c>
      <c r="AL738" s="81" t="b">
        <v>0</v>
      </c>
      <c r="AM738" s="81">
        <v>13</v>
      </c>
      <c r="AN738" s="86" t="s">
        <v>4812</v>
      </c>
      <c r="AO738" s="86" t="s">
        <v>6503</v>
      </c>
      <c r="AP738" s="81" t="b">
        <v>0</v>
      </c>
      <c r="AQ738" s="86" t="s">
        <v>4812</v>
      </c>
      <c r="AR738" s="81" t="s">
        <v>179</v>
      </c>
      <c r="AS738" s="81">
        <v>0</v>
      </c>
      <c r="AT738" s="81">
        <v>0</v>
      </c>
      <c r="AU738" s="81"/>
      <c r="AV738" s="81"/>
      <c r="AW738" s="81"/>
      <c r="AX738" s="81"/>
      <c r="AY738" s="81"/>
      <c r="AZ738" s="81"/>
      <c r="BA738" s="81"/>
      <c r="BB738" s="81"/>
    </row>
    <row r="739" spans="1:54" x14ac:dyDescent="0.35">
      <c r="A739" s="66" t="s">
        <v>743</v>
      </c>
      <c r="B739" s="66" t="s">
        <v>757</v>
      </c>
      <c r="C739" s="67"/>
      <c r="D739" s="68"/>
      <c r="E739" s="69"/>
      <c r="F739" s="70"/>
      <c r="G739" s="67"/>
      <c r="H739" s="71"/>
      <c r="I739" s="72"/>
      <c r="J739" s="72"/>
      <c r="K739" s="36"/>
      <c r="L739" s="79"/>
      <c r="M739" s="79"/>
      <c r="N739" s="74"/>
      <c r="O739" s="81" t="s">
        <v>1532</v>
      </c>
      <c r="P739" s="83">
        <v>44462.432962962965</v>
      </c>
      <c r="Q739" s="81" t="s">
        <v>1816</v>
      </c>
      <c r="R739" s="84" t="str">
        <f>HYPERLINK("https://nasional.tempo.co/read/1509255/risma-memastikan-bantuan-sosial-pada-warga-terdampak-covid-19-berlanjut")</f>
        <v>https://nasional.tempo.co/read/1509255/risma-memastikan-bantuan-sosial-pada-warga-terdampak-covid-19-berlanjut</v>
      </c>
      <c r="S739" s="81" t="s">
        <v>2615</v>
      </c>
      <c r="T739" s="86" t="s">
        <v>2685</v>
      </c>
      <c r="U739" s="81"/>
      <c r="V739" s="84" t="str">
        <f>HYPERLINK("https://pbs.twimg.com/profile_images/1419331343742214145/xNUgvSaq_normal.jpg")</f>
        <v>https://pbs.twimg.com/profile_images/1419331343742214145/xNUgvSaq_normal.jpg</v>
      </c>
      <c r="W739" s="83">
        <v>44462.432962962965</v>
      </c>
      <c r="X739" s="89">
        <v>44462</v>
      </c>
      <c r="Y739" s="86" t="s">
        <v>3328</v>
      </c>
      <c r="Z739" s="84" t="str">
        <f>HYPERLINK("https://twitter.com/rizkidikka/status/1440985156655849475")</f>
        <v>https://twitter.com/rizkidikka/status/1440985156655849475</v>
      </c>
      <c r="AA739" s="81"/>
      <c r="AB739" s="81"/>
      <c r="AC739" s="86" t="s">
        <v>4791</v>
      </c>
      <c r="AD739" s="81"/>
      <c r="AE739" s="81" t="b">
        <v>0</v>
      </c>
      <c r="AF739" s="81">
        <v>0</v>
      </c>
      <c r="AG739" s="86" t="s">
        <v>6240</v>
      </c>
      <c r="AH739" s="81" t="b">
        <v>0</v>
      </c>
      <c r="AI739" s="81" t="s">
        <v>6478</v>
      </c>
      <c r="AJ739" s="81"/>
      <c r="AK739" s="86" t="s">
        <v>6240</v>
      </c>
      <c r="AL739" s="81" t="b">
        <v>0</v>
      </c>
      <c r="AM739" s="81">
        <v>14</v>
      </c>
      <c r="AN739" s="86" t="s">
        <v>4811</v>
      </c>
      <c r="AO739" s="86" t="s">
        <v>6503</v>
      </c>
      <c r="AP739" s="81" t="b">
        <v>0</v>
      </c>
      <c r="AQ739" s="86" t="s">
        <v>4811</v>
      </c>
      <c r="AR739" s="81" t="s">
        <v>179</v>
      </c>
      <c r="AS739" s="81">
        <v>0</v>
      </c>
      <c r="AT739" s="81">
        <v>0</v>
      </c>
      <c r="AU739" s="81"/>
      <c r="AV739" s="81"/>
      <c r="AW739" s="81"/>
      <c r="AX739" s="81"/>
      <c r="AY739" s="81"/>
      <c r="AZ739" s="81"/>
      <c r="BA739" s="81"/>
      <c r="BB739" s="81"/>
    </row>
    <row r="740" spans="1:54" x14ac:dyDescent="0.35">
      <c r="A740" s="66" t="s">
        <v>744</v>
      </c>
      <c r="B740" s="66" t="s">
        <v>757</v>
      </c>
      <c r="C740" s="67"/>
      <c r="D740" s="68"/>
      <c r="E740" s="69"/>
      <c r="F740" s="70"/>
      <c r="G740" s="67"/>
      <c r="H740" s="71"/>
      <c r="I740" s="72"/>
      <c r="J740" s="72"/>
      <c r="K740" s="36"/>
      <c r="L740" s="79"/>
      <c r="M740" s="79"/>
      <c r="N740" s="74"/>
      <c r="O740" s="81" t="s">
        <v>1532</v>
      </c>
      <c r="P740" s="83">
        <v>44462.433969907404</v>
      </c>
      <c r="Q740" s="81" t="s">
        <v>1816</v>
      </c>
      <c r="R740" s="84" t="str">
        <f>HYPERLINK("https://nasional.tempo.co/read/1509255/risma-memastikan-bantuan-sosial-pada-warga-terdampak-covid-19-berlanjut")</f>
        <v>https://nasional.tempo.co/read/1509255/risma-memastikan-bantuan-sosial-pada-warga-terdampak-covid-19-berlanjut</v>
      </c>
      <c r="S740" s="81" t="s">
        <v>2615</v>
      </c>
      <c r="T740" s="86" t="s">
        <v>2685</v>
      </c>
      <c r="U740" s="81"/>
      <c r="V740" s="84" t="str">
        <f>HYPERLINK("https://pbs.twimg.com/profile_images/1366731661363212291/XzRK8wds_normal.jpg")</f>
        <v>https://pbs.twimg.com/profile_images/1366731661363212291/XzRK8wds_normal.jpg</v>
      </c>
      <c r="W740" s="83">
        <v>44462.433969907404</v>
      </c>
      <c r="X740" s="89">
        <v>44462</v>
      </c>
      <c r="Y740" s="86" t="s">
        <v>3329</v>
      </c>
      <c r="Z740" s="84" t="str">
        <f>HYPERLINK("https://twitter.com/berli_flo/status/1440985522621403136")</f>
        <v>https://twitter.com/berli_flo/status/1440985522621403136</v>
      </c>
      <c r="AA740" s="81"/>
      <c r="AB740" s="81"/>
      <c r="AC740" s="86" t="s">
        <v>4792</v>
      </c>
      <c r="AD740" s="81"/>
      <c r="AE740" s="81" t="b">
        <v>0</v>
      </c>
      <c r="AF740" s="81">
        <v>0</v>
      </c>
      <c r="AG740" s="86" t="s">
        <v>6240</v>
      </c>
      <c r="AH740" s="81" t="b">
        <v>0</v>
      </c>
      <c r="AI740" s="81" t="s">
        <v>6478</v>
      </c>
      <c r="AJ740" s="81"/>
      <c r="AK740" s="86" t="s">
        <v>6240</v>
      </c>
      <c r="AL740" s="81" t="b">
        <v>0</v>
      </c>
      <c r="AM740" s="81">
        <v>14</v>
      </c>
      <c r="AN740" s="86" t="s">
        <v>4811</v>
      </c>
      <c r="AO740" s="86" t="s">
        <v>6503</v>
      </c>
      <c r="AP740" s="81" t="b">
        <v>0</v>
      </c>
      <c r="AQ740" s="86" t="s">
        <v>4811</v>
      </c>
      <c r="AR740" s="81" t="s">
        <v>179</v>
      </c>
      <c r="AS740" s="81">
        <v>0</v>
      </c>
      <c r="AT740" s="81">
        <v>0</v>
      </c>
      <c r="AU740" s="81"/>
      <c r="AV740" s="81"/>
      <c r="AW740" s="81"/>
      <c r="AX740" s="81"/>
      <c r="AY740" s="81"/>
      <c r="AZ740" s="81"/>
      <c r="BA740" s="81"/>
      <c r="BB740" s="81"/>
    </row>
    <row r="741" spans="1:54" x14ac:dyDescent="0.35">
      <c r="A741" s="66" t="s">
        <v>745</v>
      </c>
      <c r="B741" s="66" t="s">
        <v>757</v>
      </c>
      <c r="C741" s="67"/>
      <c r="D741" s="68"/>
      <c r="E741" s="69"/>
      <c r="F741" s="70"/>
      <c r="G741" s="67"/>
      <c r="H741" s="71"/>
      <c r="I741" s="72"/>
      <c r="J741" s="72"/>
      <c r="K741" s="36"/>
      <c r="L741" s="79"/>
      <c r="M741" s="79"/>
      <c r="N741" s="74"/>
      <c r="O741" s="81" t="s">
        <v>1532</v>
      </c>
      <c r="P741" s="83">
        <v>44462.436111111114</v>
      </c>
      <c r="Q741" s="81" t="s">
        <v>1816</v>
      </c>
      <c r="R741" s="84" t="str">
        <f>HYPERLINK("https://nasional.tempo.co/read/1509255/risma-memastikan-bantuan-sosial-pada-warga-terdampak-covid-19-berlanjut")</f>
        <v>https://nasional.tempo.co/read/1509255/risma-memastikan-bantuan-sosial-pada-warga-terdampak-covid-19-berlanjut</v>
      </c>
      <c r="S741" s="81" t="s">
        <v>2615</v>
      </c>
      <c r="T741" s="86" t="s">
        <v>2685</v>
      </c>
      <c r="U741" s="81"/>
      <c r="V741" s="84" t="str">
        <f>HYPERLINK("https://pbs.twimg.com/profile_images/1396421365264044042/bWcTyREo_normal.jpg")</f>
        <v>https://pbs.twimg.com/profile_images/1396421365264044042/bWcTyREo_normal.jpg</v>
      </c>
      <c r="W741" s="83">
        <v>44462.436111111114</v>
      </c>
      <c r="X741" s="89">
        <v>44462</v>
      </c>
      <c r="Y741" s="86" t="s">
        <v>3330</v>
      </c>
      <c r="Z741" s="84" t="str">
        <f>HYPERLINK("https://twitter.com/marv3lll/status/1440986297250631683")</f>
        <v>https://twitter.com/marv3lll/status/1440986297250631683</v>
      </c>
      <c r="AA741" s="81"/>
      <c r="AB741" s="81"/>
      <c r="AC741" s="86" t="s">
        <v>4793</v>
      </c>
      <c r="AD741" s="81"/>
      <c r="AE741" s="81" t="b">
        <v>0</v>
      </c>
      <c r="AF741" s="81">
        <v>0</v>
      </c>
      <c r="AG741" s="86" t="s">
        <v>6240</v>
      </c>
      <c r="AH741" s="81" t="b">
        <v>0</v>
      </c>
      <c r="AI741" s="81" t="s">
        <v>6478</v>
      </c>
      <c r="AJ741" s="81"/>
      <c r="AK741" s="86" t="s">
        <v>6240</v>
      </c>
      <c r="AL741" s="81" t="b">
        <v>0</v>
      </c>
      <c r="AM741" s="81">
        <v>14</v>
      </c>
      <c r="AN741" s="86" t="s">
        <v>4811</v>
      </c>
      <c r="AO741" s="86" t="s">
        <v>6505</v>
      </c>
      <c r="AP741" s="81" t="b">
        <v>0</v>
      </c>
      <c r="AQ741" s="86" t="s">
        <v>4811</v>
      </c>
      <c r="AR741" s="81" t="s">
        <v>179</v>
      </c>
      <c r="AS741" s="81">
        <v>0</v>
      </c>
      <c r="AT741" s="81">
        <v>0</v>
      </c>
      <c r="AU741" s="81"/>
      <c r="AV741" s="81"/>
      <c r="AW741" s="81"/>
      <c r="AX741" s="81"/>
      <c r="AY741" s="81"/>
      <c r="AZ741" s="81"/>
      <c r="BA741" s="81"/>
      <c r="BB741" s="81"/>
    </row>
    <row r="742" spans="1:54" x14ac:dyDescent="0.35">
      <c r="A742" s="66" t="s">
        <v>745</v>
      </c>
      <c r="B742" s="66" t="s">
        <v>757</v>
      </c>
      <c r="C742" s="67"/>
      <c r="D742" s="68"/>
      <c r="E742" s="69"/>
      <c r="F742" s="70"/>
      <c r="G742" s="67"/>
      <c r="H742" s="71"/>
      <c r="I742" s="72"/>
      <c r="J742" s="72"/>
      <c r="K742" s="36"/>
      <c r="L742" s="79"/>
      <c r="M742" s="79"/>
      <c r="N742" s="74"/>
      <c r="O742" s="81" t="s">
        <v>1532</v>
      </c>
      <c r="P742" s="83">
        <v>44462.436909722222</v>
      </c>
      <c r="Q742" s="81" t="s">
        <v>1815</v>
      </c>
      <c r="R742" s="84" t="str">
        <f>HYPERLINK("https://www.suara.com/news/2021/09/22/201526/lanjutkan-perlindungan-untuk-masyarakat-pandemi-kemensos-alokasikan-rp7408-t-di-2022")</f>
        <v>https://www.suara.com/news/2021/09/22/201526/lanjutkan-perlindungan-untuk-masyarakat-pandemi-kemensos-alokasikan-rp7408-t-di-2022</v>
      </c>
      <c r="S742" s="81" t="s">
        <v>2614</v>
      </c>
      <c r="T742" s="86" t="s">
        <v>2685</v>
      </c>
      <c r="U742" s="81"/>
      <c r="V742" s="84" t="str">
        <f>HYPERLINK("https://pbs.twimg.com/profile_images/1396421365264044042/bWcTyREo_normal.jpg")</f>
        <v>https://pbs.twimg.com/profile_images/1396421365264044042/bWcTyREo_normal.jpg</v>
      </c>
      <c r="W742" s="83">
        <v>44462.436909722222</v>
      </c>
      <c r="X742" s="89">
        <v>44462</v>
      </c>
      <c r="Y742" s="86" t="s">
        <v>3331</v>
      </c>
      <c r="Z742" s="84" t="str">
        <f>HYPERLINK("https://twitter.com/marv3lll/status/1440986588431798277")</f>
        <v>https://twitter.com/marv3lll/status/1440986588431798277</v>
      </c>
      <c r="AA742" s="81"/>
      <c r="AB742" s="81"/>
      <c r="AC742" s="86" t="s">
        <v>4794</v>
      </c>
      <c r="AD742" s="81"/>
      <c r="AE742" s="81" t="b">
        <v>0</v>
      </c>
      <c r="AF742" s="81">
        <v>0</v>
      </c>
      <c r="AG742" s="86" t="s">
        <v>6240</v>
      </c>
      <c r="AH742" s="81" t="b">
        <v>0</v>
      </c>
      <c r="AI742" s="81" t="s">
        <v>6478</v>
      </c>
      <c r="AJ742" s="81"/>
      <c r="AK742" s="86" t="s">
        <v>6240</v>
      </c>
      <c r="AL742" s="81" t="b">
        <v>0</v>
      </c>
      <c r="AM742" s="81">
        <v>13</v>
      </c>
      <c r="AN742" s="86" t="s">
        <v>4812</v>
      </c>
      <c r="AO742" s="86" t="s">
        <v>6505</v>
      </c>
      <c r="AP742" s="81" t="b">
        <v>0</v>
      </c>
      <c r="AQ742" s="86" t="s">
        <v>4812</v>
      </c>
      <c r="AR742" s="81" t="s">
        <v>179</v>
      </c>
      <c r="AS742" s="81">
        <v>0</v>
      </c>
      <c r="AT742" s="81">
        <v>0</v>
      </c>
      <c r="AU742" s="81"/>
      <c r="AV742" s="81"/>
      <c r="AW742" s="81"/>
      <c r="AX742" s="81"/>
      <c r="AY742" s="81"/>
      <c r="AZ742" s="81"/>
      <c r="BA742" s="81"/>
      <c r="BB742" s="81"/>
    </row>
    <row r="743" spans="1:54" x14ac:dyDescent="0.35">
      <c r="A743" s="66" t="s">
        <v>746</v>
      </c>
      <c r="B743" s="66" t="s">
        <v>1388</v>
      </c>
      <c r="C743" s="67"/>
      <c r="D743" s="68"/>
      <c r="E743" s="69"/>
      <c r="F743" s="70"/>
      <c r="G743" s="67"/>
      <c r="H743" s="71"/>
      <c r="I743" s="72"/>
      <c r="J743" s="72"/>
      <c r="K743" s="36"/>
      <c r="L743" s="79"/>
      <c r="M743" s="79"/>
      <c r="N743" s="74"/>
      <c r="O743" s="81" t="s">
        <v>1534</v>
      </c>
      <c r="P743" s="83">
        <v>44462.443703703706</v>
      </c>
      <c r="Q743" s="81" t="s">
        <v>1818</v>
      </c>
      <c r="R743" s="81"/>
      <c r="S743" s="81"/>
      <c r="T743" s="81"/>
      <c r="U743" s="84" t="str">
        <f>HYPERLINK("https://pbs.twimg.com/media/E_9r4RGVkAEcK5C.jpg")</f>
        <v>https://pbs.twimg.com/media/E_9r4RGVkAEcK5C.jpg</v>
      </c>
      <c r="V743" s="84" t="str">
        <f>HYPERLINK("https://pbs.twimg.com/media/E_9r4RGVkAEcK5C.jpg")</f>
        <v>https://pbs.twimg.com/media/E_9r4RGVkAEcK5C.jpg</v>
      </c>
      <c r="W743" s="83">
        <v>44462.443703703706</v>
      </c>
      <c r="X743" s="89">
        <v>44462</v>
      </c>
      <c r="Y743" s="86" t="s">
        <v>3332</v>
      </c>
      <c r="Z743" s="84" t="str">
        <f>HYPERLINK("https://twitter.com/o1sahi/status/1440989050173739011")</f>
        <v>https://twitter.com/o1sahi/status/1440989050173739011</v>
      </c>
      <c r="AA743" s="81"/>
      <c r="AB743" s="81"/>
      <c r="AC743" s="86" t="s">
        <v>4795</v>
      </c>
      <c r="AD743" s="86" t="s">
        <v>6077</v>
      </c>
      <c r="AE743" s="81" t="b">
        <v>0</v>
      </c>
      <c r="AF743" s="81">
        <v>0</v>
      </c>
      <c r="AG743" s="86" t="s">
        <v>6339</v>
      </c>
      <c r="AH743" s="81" t="b">
        <v>0</v>
      </c>
      <c r="AI743" s="81" t="s">
        <v>6478</v>
      </c>
      <c r="AJ743" s="81"/>
      <c r="AK743" s="86" t="s">
        <v>6240</v>
      </c>
      <c r="AL743" s="81" t="b">
        <v>0</v>
      </c>
      <c r="AM743" s="81">
        <v>0</v>
      </c>
      <c r="AN743" s="86" t="s">
        <v>6240</v>
      </c>
      <c r="AO743" s="86" t="s">
        <v>6503</v>
      </c>
      <c r="AP743" s="81" t="b">
        <v>0</v>
      </c>
      <c r="AQ743" s="86" t="s">
        <v>6077</v>
      </c>
      <c r="AR743" s="81" t="s">
        <v>179</v>
      </c>
      <c r="AS743" s="81">
        <v>0</v>
      </c>
      <c r="AT743" s="81">
        <v>0</v>
      </c>
      <c r="AU743" s="81"/>
      <c r="AV743" s="81"/>
      <c r="AW743" s="81"/>
      <c r="AX743" s="81"/>
      <c r="AY743" s="81"/>
      <c r="AZ743" s="81"/>
      <c r="BA743" s="81"/>
      <c r="BB743" s="81"/>
    </row>
    <row r="744" spans="1:54" x14ac:dyDescent="0.35">
      <c r="A744" s="66" t="s">
        <v>747</v>
      </c>
      <c r="B744" s="66" t="s">
        <v>928</v>
      </c>
      <c r="C744" s="67"/>
      <c r="D744" s="68"/>
      <c r="E744" s="69"/>
      <c r="F744" s="70"/>
      <c r="G744" s="67"/>
      <c r="H744" s="71"/>
      <c r="I744" s="72"/>
      <c r="J744" s="72"/>
      <c r="K744" s="36"/>
      <c r="L744" s="79"/>
      <c r="M744" s="79"/>
      <c r="N744" s="74"/>
      <c r="O744" s="81" t="s">
        <v>1532</v>
      </c>
      <c r="P744" s="83">
        <v>44462.444479166668</v>
      </c>
      <c r="Q744" s="81" t="s">
        <v>1781</v>
      </c>
      <c r="R744" s="81"/>
      <c r="S744" s="81"/>
      <c r="T744" s="86" t="s">
        <v>2681</v>
      </c>
      <c r="U744" s="84" t="str">
        <f>HYPERLINK("https://pbs.twimg.com/media/E_6-KvyVgAA0Zfe.jpg")</f>
        <v>https://pbs.twimg.com/media/E_6-KvyVgAA0Zfe.jpg</v>
      </c>
      <c r="V744" s="84" t="str">
        <f>HYPERLINK("https://pbs.twimg.com/media/E_6-KvyVgAA0Zfe.jpg")</f>
        <v>https://pbs.twimg.com/media/E_6-KvyVgAA0Zfe.jpg</v>
      </c>
      <c r="W744" s="83">
        <v>44462.444479166668</v>
      </c>
      <c r="X744" s="89">
        <v>44462</v>
      </c>
      <c r="Y744" s="86" t="s">
        <v>3333</v>
      </c>
      <c r="Z744" s="84" t="str">
        <f>HYPERLINK("https://twitter.com/bey_heri/status/1440989331510870019")</f>
        <v>https://twitter.com/bey_heri/status/1440989331510870019</v>
      </c>
      <c r="AA744" s="81"/>
      <c r="AB744" s="81"/>
      <c r="AC744" s="86" t="s">
        <v>4796</v>
      </c>
      <c r="AD744" s="81"/>
      <c r="AE744" s="81" t="b">
        <v>0</v>
      </c>
      <c r="AF744" s="81">
        <v>0</v>
      </c>
      <c r="AG744" s="86" t="s">
        <v>6240</v>
      </c>
      <c r="AH744" s="81" t="b">
        <v>0</v>
      </c>
      <c r="AI744" s="81" t="s">
        <v>6479</v>
      </c>
      <c r="AJ744" s="81"/>
      <c r="AK744" s="86" t="s">
        <v>6240</v>
      </c>
      <c r="AL744" s="81" t="b">
        <v>0</v>
      </c>
      <c r="AM744" s="81">
        <v>71</v>
      </c>
      <c r="AN744" s="86" t="s">
        <v>5039</v>
      </c>
      <c r="AO744" s="86" t="s">
        <v>6503</v>
      </c>
      <c r="AP744" s="81" t="b">
        <v>0</v>
      </c>
      <c r="AQ744" s="86" t="s">
        <v>5039</v>
      </c>
      <c r="AR744" s="81" t="s">
        <v>179</v>
      </c>
      <c r="AS744" s="81">
        <v>0</v>
      </c>
      <c r="AT744" s="81">
        <v>0</v>
      </c>
      <c r="AU744" s="81"/>
      <c r="AV744" s="81"/>
      <c r="AW744" s="81"/>
      <c r="AX744" s="81"/>
      <c r="AY744" s="81"/>
      <c r="AZ744" s="81"/>
      <c r="BA744" s="81"/>
      <c r="BB744" s="81"/>
    </row>
    <row r="745" spans="1:54" x14ac:dyDescent="0.35">
      <c r="A745" s="66" t="s">
        <v>748</v>
      </c>
      <c r="B745" s="66" t="s">
        <v>757</v>
      </c>
      <c r="C745" s="67"/>
      <c r="D745" s="68"/>
      <c r="E745" s="69"/>
      <c r="F745" s="70"/>
      <c r="G745" s="67"/>
      <c r="H745" s="71"/>
      <c r="I745" s="72"/>
      <c r="J745" s="72"/>
      <c r="K745" s="36"/>
      <c r="L745" s="79"/>
      <c r="M745" s="79"/>
      <c r="N745" s="74"/>
      <c r="O745" s="81" t="s">
        <v>1532</v>
      </c>
      <c r="P745" s="83">
        <v>44462.448101851849</v>
      </c>
      <c r="Q745" s="81" t="s">
        <v>1815</v>
      </c>
      <c r="R745" s="84" t="str">
        <f>HYPERLINK("https://www.suara.com/news/2021/09/22/201526/lanjutkan-perlindungan-untuk-masyarakat-pandemi-kemensos-alokasikan-rp7408-t-di-2022")</f>
        <v>https://www.suara.com/news/2021/09/22/201526/lanjutkan-perlindungan-untuk-masyarakat-pandemi-kemensos-alokasikan-rp7408-t-di-2022</v>
      </c>
      <c r="S745" s="81" t="s">
        <v>2614</v>
      </c>
      <c r="T745" s="86" t="s">
        <v>2685</v>
      </c>
      <c r="U745" s="81"/>
      <c r="V745" s="84" t="str">
        <f>HYPERLINK("https://pbs.twimg.com/profile_images/1407998233700274184/wM2uv0NX_normal.jpg")</f>
        <v>https://pbs.twimg.com/profile_images/1407998233700274184/wM2uv0NX_normal.jpg</v>
      </c>
      <c r="W745" s="83">
        <v>44462.448101851849</v>
      </c>
      <c r="X745" s="89">
        <v>44462</v>
      </c>
      <c r="Y745" s="86" t="s">
        <v>3334</v>
      </c>
      <c r="Z745" s="84" t="str">
        <f>HYPERLINK("https://twitter.com/panterorison20/status/1440990643153616897")</f>
        <v>https://twitter.com/panterorison20/status/1440990643153616897</v>
      </c>
      <c r="AA745" s="81"/>
      <c r="AB745" s="81"/>
      <c r="AC745" s="86" t="s">
        <v>4797</v>
      </c>
      <c r="AD745" s="81"/>
      <c r="AE745" s="81" t="b">
        <v>0</v>
      </c>
      <c r="AF745" s="81">
        <v>0</v>
      </c>
      <c r="AG745" s="86" t="s">
        <v>6240</v>
      </c>
      <c r="AH745" s="81" t="b">
        <v>0</v>
      </c>
      <c r="AI745" s="81" t="s">
        <v>6478</v>
      </c>
      <c r="AJ745" s="81"/>
      <c r="AK745" s="86" t="s">
        <v>6240</v>
      </c>
      <c r="AL745" s="81" t="b">
        <v>0</v>
      </c>
      <c r="AM745" s="81">
        <v>13</v>
      </c>
      <c r="AN745" s="86" t="s">
        <v>4812</v>
      </c>
      <c r="AO745" s="86" t="s">
        <v>6503</v>
      </c>
      <c r="AP745" s="81" t="b">
        <v>0</v>
      </c>
      <c r="AQ745" s="86" t="s">
        <v>4812</v>
      </c>
      <c r="AR745" s="81" t="s">
        <v>179</v>
      </c>
      <c r="AS745" s="81">
        <v>0</v>
      </c>
      <c r="AT745" s="81">
        <v>0</v>
      </c>
      <c r="AU745" s="81"/>
      <c r="AV745" s="81"/>
      <c r="AW745" s="81"/>
      <c r="AX745" s="81"/>
      <c r="AY745" s="81"/>
      <c r="AZ745" s="81"/>
      <c r="BA745" s="81"/>
      <c r="BB745" s="81"/>
    </row>
    <row r="746" spans="1:54" x14ac:dyDescent="0.35">
      <c r="A746" s="66" t="s">
        <v>748</v>
      </c>
      <c r="B746" s="66" t="s">
        <v>757</v>
      </c>
      <c r="C746" s="67"/>
      <c r="D746" s="68"/>
      <c r="E746" s="69"/>
      <c r="F746" s="70"/>
      <c r="G746" s="67"/>
      <c r="H746" s="71"/>
      <c r="I746" s="72"/>
      <c r="J746" s="72"/>
      <c r="K746" s="36"/>
      <c r="L746" s="79"/>
      <c r="M746" s="79"/>
      <c r="N746" s="74"/>
      <c r="O746" s="81" t="s">
        <v>1532</v>
      </c>
      <c r="P746" s="83">
        <v>44462.448148148149</v>
      </c>
      <c r="Q746" s="81" t="s">
        <v>1816</v>
      </c>
      <c r="R746" s="84" t="str">
        <f>HYPERLINK("https://nasional.tempo.co/read/1509255/risma-memastikan-bantuan-sosial-pada-warga-terdampak-covid-19-berlanjut")</f>
        <v>https://nasional.tempo.co/read/1509255/risma-memastikan-bantuan-sosial-pada-warga-terdampak-covid-19-berlanjut</v>
      </c>
      <c r="S746" s="81" t="s">
        <v>2615</v>
      </c>
      <c r="T746" s="86" t="s">
        <v>2685</v>
      </c>
      <c r="U746" s="81"/>
      <c r="V746" s="84" t="str">
        <f>HYPERLINK("https://pbs.twimg.com/profile_images/1407998233700274184/wM2uv0NX_normal.jpg")</f>
        <v>https://pbs.twimg.com/profile_images/1407998233700274184/wM2uv0NX_normal.jpg</v>
      </c>
      <c r="W746" s="83">
        <v>44462.448148148149</v>
      </c>
      <c r="X746" s="89">
        <v>44462</v>
      </c>
      <c r="Y746" s="86" t="s">
        <v>3335</v>
      </c>
      <c r="Z746" s="84" t="str">
        <f>HYPERLINK("https://twitter.com/panterorison20/status/1440990660341821441")</f>
        <v>https://twitter.com/panterorison20/status/1440990660341821441</v>
      </c>
      <c r="AA746" s="81"/>
      <c r="AB746" s="81"/>
      <c r="AC746" s="86" t="s">
        <v>4798</v>
      </c>
      <c r="AD746" s="81"/>
      <c r="AE746" s="81" t="b">
        <v>0</v>
      </c>
      <c r="AF746" s="81">
        <v>0</v>
      </c>
      <c r="AG746" s="86" t="s">
        <v>6240</v>
      </c>
      <c r="AH746" s="81" t="b">
        <v>0</v>
      </c>
      <c r="AI746" s="81" t="s">
        <v>6478</v>
      </c>
      <c r="AJ746" s="81"/>
      <c r="AK746" s="86" t="s">
        <v>6240</v>
      </c>
      <c r="AL746" s="81" t="b">
        <v>0</v>
      </c>
      <c r="AM746" s="81">
        <v>14</v>
      </c>
      <c r="AN746" s="86" t="s">
        <v>4811</v>
      </c>
      <c r="AO746" s="86" t="s">
        <v>6503</v>
      </c>
      <c r="AP746" s="81" t="b">
        <v>0</v>
      </c>
      <c r="AQ746" s="86" t="s">
        <v>4811</v>
      </c>
      <c r="AR746" s="81" t="s">
        <v>179</v>
      </c>
      <c r="AS746" s="81">
        <v>0</v>
      </c>
      <c r="AT746" s="81">
        <v>0</v>
      </c>
      <c r="AU746" s="81"/>
      <c r="AV746" s="81"/>
      <c r="AW746" s="81"/>
      <c r="AX746" s="81"/>
      <c r="AY746" s="81"/>
      <c r="AZ746" s="81"/>
      <c r="BA746" s="81"/>
      <c r="BB746" s="81"/>
    </row>
    <row r="747" spans="1:54" x14ac:dyDescent="0.35">
      <c r="A747" s="66" t="s">
        <v>749</v>
      </c>
      <c r="B747" s="66" t="s">
        <v>928</v>
      </c>
      <c r="C747" s="67"/>
      <c r="D747" s="68"/>
      <c r="E747" s="69"/>
      <c r="F747" s="70"/>
      <c r="G747" s="67"/>
      <c r="H747" s="71"/>
      <c r="I747" s="72"/>
      <c r="J747" s="72"/>
      <c r="K747" s="36"/>
      <c r="L747" s="79"/>
      <c r="M747" s="79"/>
      <c r="N747" s="74"/>
      <c r="O747" s="81" t="s">
        <v>1532</v>
      </c>
      <c r="P747" s="83">
        <v>44462.454722222225</v>
      </c>
      <c r="Q747" s="81" t="s">
        <v>1781</v>
      </c>
      <c r="R747" s="81"/>
      <c r="S747" s="81"/>
      <c r="T747" s="86" t="s">
        <v>2681</v>
      </c>
      <c r="U747" s="84" t="str">
        <f>HYPERLINK("https://pbs.twimg.com/media/E_6-KvyVgAA0Zfe.jpg")</f>
        <v>https://pbs.twimg.com/media/E_6-KvyVgAA0Zfe.jpg</v>
      </c>
      <c r="V747" s="84" t="str">
        <f>HYPERLINK("https://pbs.twimg.com/media/E_6-KvyVgAA0Zfe.jpg")</f>
        <v>https://pbs.twimg.com/media/E_6-KvyVgAA0Zfe.jpg</v>
      </c>
      <c r="W747" s="83">
        <v>44462.454722222225</v>
      </c>
      <c r="X747" s="89">
        <v>44462</v>
      </c>
      <c r="Y747" s="86" t="s">
        <v>3336</v>
      </c>
      <c r="Z747" s="84" t="str">
        <f>HYPERLINK("https://twitter.com/adenugraha999/status/1440993043562131458")</f>
        <v>https://twitter.com/adenugraha999/status/1440993043562131458</v>
      </c>
      <c r="AA747" s="81"/>
      <c r="AB747" s="81"/>
      <c r="AC747" s="86" t="s">
        <v>4799</v>
      </c>
      <c r="AD747" s="81"/>
      <c r="AE747" s="81" t="b">
        <v>0</v>
      </c>
      <c r="AF747" s="81">
        <v>0</v>
      </c>
      <c r="AG747" s="86" t="s">
        <v>6240</v>
      </c>
      <c r="AH747" s="81" t="b">
        <v>0</v>
      </c>
      <c r="AI747" s="81" t="s">
        <v>6479</v>
      </c>
      <c r="AJ747" s="81"/>
      <c r="AK747" s="86" t="s">
        <v>6240</v>
      </c>
      <c r="AL747" s="81" t="b">
        <v>0</v>
      </c>
      <c r="AM747" s="81">
        <v>71</v>
      </c>
      <c r="AN747" s="86" t="s">
        <v>5039</v>
      </c>
      <c r="AO747" s="86" t="s">
        <v>6503</v>
      </c>
      <c r="AP747" s="81" t="b">
        <v>0</v>
      </c>
      <c r="AQ747" s="86" t="s">
        <v>5039</v>
      </c>
      <c r="AR747" s="81" t="s">
        <v>179</v>
      </c>
      <c r="AS747" s="81">
        <v>0</v>
      </c>
      <c r="AT747" s="81">
        <v>0</v>
      </c>
      <c r="AU747" s="81"/>
      <c r="AV747" s="81"/>
      <c r="AW747" s="81"/>
      <c r="AX747" s="81"/>
      <c r="AY747" s="81"/>
      <c r="AZ747" s="81"/>
      <c r="BA747" s="81"/>
      <c r="BB747" s="81"/>
    </row>
    <row r="748" spans="1:54" x14ac:dyDescent="0.35">
      <c r="A748" s="66" t="s">
        <v>750</v>
      </c>
      <c r="B748" s="66" t="s">
        <v>757</v>
      </c>
      <c r="C748" s="67"/>
      <c r="D748" s="68"/>
      <c r="E748" s="69"/>
      <c r="F748" s="70"/>
      <c r="G748" s="67"/>
      <c r="H748" s="71"/>
      <c r="I748" s="72"/>
      <c r="J748" s="72"/>
      <c r="K748" s="36"/>
      <c r="L748" s="79"/>
      <c r="M748" s="79"/>
      <c r="N748" s="74"/>
      <c r="O748" s="81" t="s">
        <v>1532</v>
      </c>
      <c r="P748" s="83">
        <v>44462.43891203704</v>
      </c>
      <c r="Q748" s="81" t="s">
        <v>1816</v>
      </c>
      <c r="R748" s="84" t="str">
        <f>HYPERLINK("https://nasional.tempo.co/read/1509255/risma-memastikan-bantuan-sosial-pada-warga-terdampak-covid-19-berlanjut")</f>
        <v>https://nasional.tempo.co/read/1509255/risma-memastikan-bantuan-sosial-pada-warga-terdampak-covid-19-berlanjut</v>
      </c>
      <c r="S748" s="81" t="s">
        <v>2615</v>
      </c>
      <c r="T748" s="86" t="s">
        <v>2685</v>
      </c>
      <c r="U748" s="81"/>
      <c r="V748" s="84" t="str">
        <f>HYPERLINK("https://pbs.twimg.com/profile_images/1398648555737288707/4Uw_Pcvy_normal.jpg")</f>
        <v>https://pbs.twimg.com/profile_images/1398648555737288707/4Uw_Pcvy_normal.jpg</v>
      </c>
      <c r="W748" s="83">
        <v>44462.43891203704</v>
      </c>
      <c r="X748" s="89">
        <v>44462</v>
      </c>
      <c r="Y748" s="86" t="s">
        <v>3337</v>
      </c>
      <c r="Z748" s="84" t="str">
        <f>HYPERLINK("https://twitter.com/sydneyx5w/status/1440987313098551308")</f>
        <v>https://twitter.com/sydneyx5w/status/1440987313098551308</v>
      </c>
      <c r="AA748" s="81"/>
      <c r="AB748" s="81"/>
      <c r="AC748" s="86" t="s">
        <v>4800</v>
      </c>
      <c r="AD748" s="81"/>
      <c r="AE748" s="81" t="b">
        <v>0</v>
      </c>
      <c r="AF748" s="81">
        <v>0</v>
      </c>
      <c r="AG748" s="86" t="s">
        <v>6240</v>
      </c>
      <c r="AH748" s="81" t="b">
        <v>0</v>
      </c>
      <c r="AI748" s="81" t="s">
        <v>6478</v>
      </c>
      <c r="AJ748" s="81"/>
      <c r="AK748" s="86" t="s">
        <v>6240</v>
      </c>
      <c r="AL748" s="81" t="b">
        <v>0</v>
      </c>
      <c r="AM748" s="81">
        <v>14</v>
      </c>
      <c r="AN748" s="86" t="s">
        <v>4811</v>
      </c>
      <c r="AO748" s="86" t="s">
        <v>6505</v>
      </c>
      <c r="AP748" s="81" t="b">
        <v>0</v>
      </c>
      <c r="AQ748" s="86" t="s">
        <v>4811</v>
      </c>
      <c r="AR748" s="81" t="s">
        <v>179</v>
      </c>
      <c r="AS748" s="81">
        <v>0</v>
      </c>
      <c r="AT748" s="81">
        <v>0</v>
      </c>
      <c r="AU748" s="81"/>
      <c r="AV748" s="81"/>
      <c r="AW748" s="81"/>
      <c r="AX748" s="81"/>
      <c r="AY748" s="81"/>
      <c r="AZ748" s="81"/>
      <c r="BA748" s="81"/>
      <c r="BB748" s="81"/>
    </row>
    <row r="749" spans="1:54" x14ac:dyDescent="0.35">
      <c r="A749" s="66" t="s">
        <v>750</v>
      </c>
      <c r="B749" s="66" t="s">
        <v>757</v>
      </c>
      <c r="C749" s="67"/>
      <c r="D749" s="68"/>
      <c r="E749" s="69"/>
      <c r="F749" s="70"/>
      <c r="G749" s="67"/>
      <c r="H749" s="71"/>
      <c r="I749" s="72"/>
      <c r="J749" s="72"/>
      <c r="K749" s="36"/>
      <c r="L749" s="79"/>
      <c r="M749" s="79"/>
      <c r="N749" s="74"/>
      <c r="O749" s="81" t="s">
        <v>1532</v>
      </c>
      <c r="P749" s="83">
        <v>44462.455474537041</v>
      </c>
      <c r="Q749" s="81" t="s">
        <v>1815</v>
      </c>
      <c r="R749" s="84" t="str">
        <f>HYPERLINK("https://www.suara.com/news/2021/09/22/201526/lanjutkan-perlindungan-untuk-masyarakat-pandemi-kemensos-alokasikan-rp7408-t-di-2022")</f>
        <v>https://www.suara.com/news/2021/09/22/201526/lanjutkan-perlindungan-untuk-masyarakat-pandemi-kemensos-alokasikan-rp7408-t-di-2022</v>
      </c>
      <c r="S749" s="81" t="s">
        <v>2614</v>
      </c>
      <c r="T749" s="86" t="s">
        <v>2685</v>
      </c>
      <c r="U749" s="81"/>
      <c r="V749" s="84" t="str">
        <f>HYPERLINK("https://pbs.twimg.com/profile_images/1398648555737288707/4Uw_Pcvy_normal.jpg")</f>
        <v>https://pbs.twimg.com/profile_images/1398648555737288707/4Uw_Pcvy_normal.jpg</v>
      </c>
      <c r="W749" s="83">
        <v>44462.455474537041</v>
      </c>
      <c r="X749" s="89">
        <v>44462</v>
      </c>
      <c r="Y749" s="86" t="s">
        <v>3338</v>
      </c>
      <c r="Z749" s="84" t="str">
        <f>HYPERLINK("https://twitter.com/sydneyx5w/status/1440993317446057985")</f>
        <v>https://twitter.com/sydneyx5w/status/1440993317446057985</v>
      </c>
      <c r="AA749" s="81"/>
      <c r="AB749" s="81"/>
      <c r="AC749" s="86" t="s">
        <v>4801</v>
      </c>
      <c r="AD749" s="81"/>
      <c r="AE749" s="81" t="b">
        <v>0</v>
      </c>
      <c r="AF749" s="81">
        <v>0</v>
      </c>
      <c r="AG749" s="86" t="s">
        <v>6240</v>
      </c>
      <c r="AH749" s="81" t="b">
        <v>0</v>
      </c>
      <c r="AI749" s="81" t="s">
        <v>6478</v>
      </c>
      <c r="AJ749" s="81"/>
      <c r="AK749" s="86" t="s">
        <v>6240</v>
      </c>
      <c r="AL749" s="81" t="b">
        <v>0</v>
      </c>
      <c r="AM749" s="81">
        <v>13</v>
      </c>
      <c r="AN749" s="86" t="s">
        <v>4812</v>
      </c>
      <c r="AO749" s="86" t="s">
        <v>6505</v>
      </c>
      <c r="AP749" s="81" t="b">
        <v>0</v>
      </c>
      <c r="AQ749" s="86" t="s">
        <v>4812</v>
      </c>
      <c r="AR749" s="81" t="s">
        <v>179</v>
      </c>
      <c r="AS749" s="81">
        <v>0</v>
      </c>
      <c r="AT749" s="81">
        <v>0</v>
      </c>
      <c r="AU749" s="81"/>
      <c r="AV749" s="81"/>
      <c r="AW749" s="81"/>
      <c r="AX749" s="81"/>
      <c r="AY749" s="81"/>
      <c r="AZ749" s="81"/>
      <c r="BA749" s="81"/>
      <c r="BB749" s="81"/>
    </row>
    <row r="750" spans="1:54" x14ac:dyDescent="0.35">
      <c r="A750" s="66" t="s">
        <v>751</v>
      </c>
      <c r="B750" s="66" t="s">
        <v>757</v>
      </c>
      <c r="C750" s="67"/>
      <c r="D750" s="68"/>
      <c r="E750" s="69"/>
      <c r="F750" s="70"/>
      <c r="G750" s="67"/>
      <c r="H750" s="71"/>
      <c r="I750" s="72"/>
      <c r="J750" s="72"/>
      <c r="K750" s="36"/>
      <c r="L750" s="79"/>
      <c r="M750" s="79"/>
      <c r="N750" s="74"/>
      <c r="O750" s="81" t="s">
        <v>1532</v>
      </c>
      <c r="P750" s="83">
        <v>44462.464386574073</v>
      </c>
      <c r="Q750" s="81" t="s">
        <v>1815</v>
      </c>
      <c r="R750" s="84" t="str">
        <f>HYPERLINK("https://www.suara.com/news/2021/09/22/201526/lanjutkan-perlindungan-untuk-masyarakat-pandemi-kemensos-alokasikan-rp7408-t-di-2022")</f>
        <v>https://www.suara.com/news/2021/09/22/201526/lanjutkan-perlindungan-untuk-masyarakat-pandemi-kemensos-alokasikan-rp7408-t-di-2022</v>
      </c>
      <c r="S750" s="81" t="s">
        <v>2614</v>
      </c>
      <c r="T750" s="86" t="s">
        <v>2685</v>
      </c>
      <c r="U750" s="81"/>
      <c r="V750" s="84" t="str">
        <f>HYPERLINK("https://pbs.twimg.com/profile_images/1367427699224944643/rYHtleLv_normal.jpg")</f>
        <v>https://pbs.twimg.com/profile_images/1367427699224944643/rYHtleLv_normal.jpg</v>
      </c>
      <c r="W750" s="83">
        <v>44462.464386574073</v>
      </c>
      <c r="X750" s="89">
        <v>44462</v>
      </c>
      <c r="Y750" s="86" t="s">
        <v>3339</v>
      </c>
      <c r="Z750" s="84" t="str">
        <f>HYPERLINK("https://twitter.com/farrel27/status/1440996547072696324")</f>
        <v>https://twitter.com/farrel27/status/1440996547072696324</v>
      </c>
      <c r="AA750" s="81"/>
      <c r="AB750" s="81"/>
      <c r="AC750" s="86" t="s">
        <v>4802</v>
      </c>
      <c r="AD750" s="81"/>
      <c r="AE750" s="81" t="b">
        <v>0</v>
      </c>
      <c r="AF750" s="81">
        <v>0</v>
      </c>
      <c r="AG750" s="86" t="s">
        <v>6240</v>
      </c>
      <c r="AH750" s="81" t="b">
        <v>0</v>
      </c>
      <c r="AI750" s="81" t="s">
        <v>6478</v>
      </c>
      <c r="AJ750" s="81"/>
      <c r="AK750" s="86" t="s">
        <v>6240</v>
      </c>
      <c r="AL750" s="81" t="b">
        <v>0</v>
      </c>
      <c r="AM750" s="81">
        <v>13</v>
      </c>
      <c r="AN750" s="86" t="s">
        <v>4812</v>
      </c>
      <c r="AO750" s="86" t="s">
        <v>6503</v>
      </c>
      <c r="AP750" s="81" t="b">
        <v>0</v>
      </c>
      <c r="AQ750" s="86" t="s">
        <v>4812</v>
      </c>
      <c r="AR750" s="81" t="s">
        <v>179</v>
      </c>
      <c r="AS750" s="81">
        <v>0</v>
      </c>
      <c r="AT750" s="81">
        <v>0</v>
      </c>
      <c r="AU750" s="81"/>
      <c r="AV750" s="81"/>
      <c r="AW750" s="81"/>
      <c r="AX750" s="81"/>
      <c r="AY750" s="81"/>
      <c r="AZ750" s="81"/>
      <c r="BA750" s="81"/>
      <c r="BB750" s="81"/>
    </row>
    <row r="751" spans="1:54" x14ac:dyDescent="0.35">
      <c r="A751" s="66" t="s">
        <v>751</v>
      </c>
      <c r="B751" s="66" t="s">
        <v>757</v>
      </c>
      <c r="C751" s="67"/>
      <c r="D751" s="68"/>
      <c r="E751" s="69"/>
      <c r="F751" s="70"/>
      <c r="G751" s="67"/>
      <c r="H751" s="71"/>
      <c r="I751" s="72"/>
      <c r="J751" s="72"/>
      <c r="K751" s="36"/>
      <c r="L751" s="79"/>
      <c r="M751" s="79"/>
      <c r="N751" s="74"/>
      <c r="O751" s="81" t="s">
        <v>1532</v>
      </c>
      <c r="P751" s="83">
        <v>44462.464594907404</v>
      </c>
      <c r="Q751" s="81" t="s">
        <v>1816</v>
      </c>
      <c r="R751" s="84" t="str">
        <f>HYPERLINK("https://nasional.tempo.co/read/1509255/risma-memastikan-bantuan-sosial-pada-warga-terdampak-covid-19-berlanjut")</f>
        <v>https://nasional.tempo.co/read/1509255/risma-memastikan-bantuan-sosial-pada-warga-terdampak-covid-19-berlanjut</v>
      </c>
      <c r="S751" s="81" t="s">
        <v>2615</v>
      </c>
      <c r="T751" s="86" t="s">
        <v>2685</v>
      </c>
      <c r="U751" s="81"/>
      <c r="V751" s="84" t="str">
        <f>HYPERLINK("https://pbs.twimg.com/profile_images/1367427699224944643/rYHtleLv_normal.jpg")</f>
        <v>https://pbs.twimg.com/profile_images/1367427699224944643/rYHtleLv_normal.jpg</v>
      </c>
      <c r="W751" s="83">
        <v>44462.464594907404</v>
      </c>
      <c r="X751" s="89">
        <v>44462</v>
      </c>
      <c r="Y751" s="86" t="s">
        <v>3340</v>
      </c>
      <c r="Z751" s="84" t="str">
        <f>HYPERLINK("https://twitter.com/farrel27/status/1440996619101499395")</f>
        <v>https://twitter.com/farrel27/status/1440996619101499395</v>
      </c>
      <c r="AA751" s="81"/>
      <c r="AB751" s="81"/>
      <c r="AC751" s="86" t="s">
        <v>4803</v>
      </c>
      <c r="AD751" s="81"/>
      <c r="AE751" s="81" t="b">
        <v>0</v>
      </c>
      <c r="AF751" s="81">
        <v>0</v>
      </c>
      <c r="AG751" s="86" t="s">
        <v>6240</v>
      </c>
      <c r="AH751" s="81" t="b">
        <v>0</v>
      </c>
      <c r="AI751" s="81" t="s">
        <v>6478</v>
      </c>
      <c r="AJ751" s="81"/>
      <c r="AK751" s="86" t="s">
        <v>6240</v>
      </c>
      <c r="AL751" s="81" t="b">
        <v>0</v>
      </c>
      <c r="AM751" s="81">
        <v>14</v>
      </c>
      <c r="AN751" s="86" t="s">
        <v>4811</v>
      </c>
      <c r="AO751" s="86" t="s">
        <v>6503</v>
      </c>
      <c r="AP751" s="81" t="b">
        <v>0</v>
      </c>
      <c r="AQ751" s="86" t="s">
        <v>4811</v>
      </c>
      <c r="AR751" s="81" t="s">
        <v>179</v>
      </c>
      <c r="AS751" s="81">
        <v>0</v>
      </c>
      <c r="AT751" s="81">
        <v>0</v>
      </c>
      <c r="AU751" s="81"/>
      <c r="AV751" s="81"/>
      <c r="AW751" s="81"/>
      <c r="AX751" s="81"/>
      <c r="AY751" s="81"/>
      <c r="AZ751" s="81"/>
      <c r="BA751" s="81"/>
      <c r="BB751" s="81"/>
    </row>
    <row r="752" spans="1:54" x14ac:dyDescent="0.35">
      <c r="A752" s="66" t="s">
        <v>752</v>
      </c>
      <c r="B752" s="66" t="s">
        <v>848</v>
      </c>
      <c r="C752" s="67"/>
      <c r="D752" s="68"/>
      <c r="E752" s="69"/>
      <c r="F752" s="70"/>
      <c r="G752" s="67"/>
      <c r="H752" s="71"/>
      <c r="I752" s="72"/>
      <c r="J752" s="72"/>
      <c r="K752" s="36"/>
      <c r="L752" s="79"/>
      <c r="M752" s="79"/>
      <c r="N752" s="74"/>
      <c r="O752" s="81" t="s">
        <v>1532</v>
      </c>
      <c r="P752" s="83">
        <v>44462.469305555554</v>
      </c>
      <c r="Q752" s="81" t="s">
        <v>1810</v>
      </c>
      <c r="R752" s="81"/>
      <c r="S752" s="81"/>
      <c r="T752" s="86" t="s">
        <v>2682</v>
      </c>
      <c r="U752" s="84" t="str">
        <f>HYPERLINK("https://pbs.twimg.com/media/E_9V_ibVEAYc8c_.jpg")</f>
        <v>https://pbs.twimg.com/media/E_9V_ibVEAYc8c_.jpg</v>
      </c>
      <c r="V752" s="84" t="str">
        <f>HYPERLINK("https://pbs.twimg.com/media/E_9V_ibVEAYc8c_.jpg")</f>
        <v>https://pbs.twimg.com/media/E_9V_ibVEAYc8c_.jpg</v>
      </c>
      <c r="W752" s="83">
        <v>44462.469305555554</v>
      </c>
      <c r="X752" s="89">
        <v>44462</v>
      </c>
      <c r="Y752" s="86" t="s">
        <v>3341</v>
      </c>
      <c r="Z752" s="84" t="str">
        <f>HYPERLINK("https://twitter.com/babyericsohn/status/1440998329698029582")</f>
        <v>https://twitter.com/babyericsohn/status/1440998329698029582</v>
      </c>
      <c r="AA752" s="81"/>
      <c r="AB752" s="81"/>
      <c r="AC752" s="86" t="s">
        <v>4804</v>
      </c>
      <c r="AD752" s="81"/>
      <c r="AE752" s="81" t="b">
        <v>0</v>
      </c>
      <c r="AF752" s="81">
        <v>0</v>
      </c>
      <c r="AG752" s="86" t="s">
        <v>6240</v>
      </c>
      <c r="AH752" s="81" t="b">
        <v>0</v>
      </c>
      <c r="AI752" s="81" t="s">
        <v>6479</v>
      </c>
      <c r="AJ752" s="81"/>
      <c r="AK752" s="86" t="s">
        <v>6240</v>
      </c>
      <c r="AL752" s="81" t="b">
        <v>0</v>
      </c>
      <c r="AM752" s="81">
        <v>12</v>
      </c>
      <c r="AN752" s="86" t="s">
        <v>4924</v>
      </c>
      <c r="AO752" s="86" t="s">
        <v>6503</v>
      </c>
      <c r="AP752" s="81" t="b">
        <v>0</v>
      </c>
      <c r="AQ752" s="86" t="s">
        <v>4924</v>
      </c>
      <c r="AR752" s="81" t="s">
        <v>179</v>
      </c>
      <c r="AS752" s="81">
        <v>0</v>
      </c>
      <c r="AT752" s="81">
        <v>0</v>
      </c>
      <c r="AU752" s="81"/>
      <c r="AV752" s="81"/>
      <c r="AW752" s="81"/>
      <c r="AX752" s="81"/>
      <c r="AY752" s="81"/>
      <c r="AZ752" s="81"/>
      <c r="BA752" s="81"/>
      <c r="BB752" s="81"/>
    </row>
    <row r="753" spans="1:54" x14ac:dyDescent="0.35">
      <c r="A753" s="66" t="s">
        <v>753</v>
      </c>
      <c r="B753" s="66" t="s">
        <v>928</v>
      </c>
      <c r="C753" s="67"/>
      <c r="D753" s="68"/>
      <c r="E753" s="69"/>
      <c r="F753" s="70"/>
      <c r="G753" s="67"/>
      <c r="H753" s="71"/>
      <c r="I753" s="72"/>
      <c r="J753" s="72"/>
      <c r="K753" s="36"/>
      <c r="L753" s="79"/>
      <c r="M753" s="79"/>
      <c r="N753" s="74"/>
      <c r="O753" s="81" t="s">
        <v>1532</v>
      </c>
      <c r="P753" s="83">
        <v>44462.472638888888</v>
      </c>
      <c r="Q753" s="81" t="s">
        <v>1781</v>
      </c>
      <c r="R753" s="81"/>
      <c r="S753" s="81"/>
      <c r="T753" s="86" t="s">
        <v>2681</v>
      </c>
      <c r="U753" s="84" t="str">
        <f>HYPERLINK("https://pbs.twimg.com/media/E_6-KvyVgAA0Zfe.jpg")</f>
        <v>https://pbs.twimg.com/media/E_6-KvyVgAA0Zfe.jpg</v>
      </c>
      <c r="V753" s="84" t="str">
        <f>HYPERLINK("https://pbs.twimg.com/media/E_6-KvyVgAA0Zfe.jpg")</f>
        <v>https://pbs.twimg.com/media/E_6-KvyVgAA0Zfe.jpg</v>
      </c>
      <c r="W753" s="83">
        <v>44462.472638888888</v>
      </c>
      <c r="X753" s="89">
        <v>44462</v>
      </c>
      <c r="Y753" s="86" t="s">
        <v>3342</v>
      </c>
      <c r="Z753" s="84" t="str">
        <f>HYPERLINK("https://twitter.com/rakustudiojogja/status/1440999537846349831")</f>
        <v>https://twitter.com/rakustudiojogja/status/1440999537846349831</v>
      </c>
      <c r="AA753" s="81"/>
      <c r="AB753" s="81"/>
      <c r="AC753" s="86" t="s">
        <v>4805</v>
      </c>
      <c r="AD753" s="81"/>
      <c r="AE753" s="81" t="b">
        <v>0</v>
      </c>
      <c r="AF753" s="81">
        <v>0</v>
      </c>
      <c r="AG753" s="86" t="s">
        <v>6240</v>
      </c>
      <c r="AH753" s="81" t="b">
        <v>0</v>
      </c>
      <c r="AI753" s="81" t="s">
        <v>6479</v>
      </c>
      <c r="AJ753" s="81"/>
      <c r="AK753" s="86" t="s">
        <v>6240</v>
      </c>
      <c r="AL753" s="81" t="b">
        <v>0</v>
      </c>
      <c r="AM753" s="81">
        <v>71</v>
      </c>
      <c r="AN753" s="86" t="s">
        <v>5039</v>
      </c>
      <c r="AO753" s="86" t="s">
        <v>6503</v>
      </c>
      <c r="AP753" s="81" t="b">
        <v>0</v>
      </c>
      <c r="AQ753" s="86" t="s">
        <v>5039</v>
      </c>
      <c r="AR753" s="81" t="s">
        <v>179</v>
      </c>
      <c r="AS753" s="81">
        <v>0</v>
      </c>
      <c r="AT753" s="81">
        <v>0</v>
      </c>
      <c r="AU753" s="81"/>
      <c r="AV753" s="81"/>
      <c r="AW753" s="81"/>
      <c r="AX753" s="81"/>
      <c r="AY753" s="81"/>
      <c r="AZ753" s="81"/>
      <c r="BA753" s="81"/>
      <c r="BB753" s="81"/>
    </row>
    <row r="754" spans="1:54" x14ac:dyDescent="0.35">
      <c r="A754" s="66" t="s">
        <v>754</v>
      </c>
      <c r="B754" s="66" t="s">
        <v>928</v>
      </c>
      <c r="C754" s="67"/>
      <c r="D754" s="68"/>
      <c r="E754" s="69"/>
      <c r="F754" s="70"/>
      <c r="G754" s="67"/>
      <c r="H754" s="71"/>
      <c r="I754" s="72"/>
      <c r="J754" s="72"/>
      <c r="K754" s="36"/>
      <c r="L754" s="79"/>
      <c r="M754" s="79"/>
      <c r="N754" s="74"/>
      <c r="O754" s="81" t="s">
        <v>1532</v>
      </c>
      <c r="P754" s="83">
        <v>44462.474918981483</v>
      </c>
      <c r="Q754" s="81" t="s">
        <v>1781</v>
      </c>
      <c r="R754" s="81"/>
      <c r="S754" s="81"/>
      <c r="T754" s="86" t="s">
        <v>2681</v>
      </c>
      <c r="U754" s="84" t="str">
        <f>HYPERLINK("https://pbs.twimg.com/media/E_6-KvyVgAA0Zfe.jpg")</f>
        <v>https://pbs.twimg.com/media/E_6-KvyVgAA0Zfe.jpg</v>
      </c>
      <c r="V754" s="84" t="str">
        <f>HYPERLINK("https://pbs.twimg.com/media/E_6-KvyVgAA0Zfe.jpg")</f>
        <v>https://pbs.twimg.com/media/E_6-KvyVgAA0Zfe.jpg</v>
      </c>
      <c r="W754" s="83">
        <v>44462.474918981483</v>
      </c>
      <c r="X754" s="89">
        <v>44462</v>
      </c>
      <c r="Y754" s="86" t="s">
        <v>3343</v>
      </c>
      <c r="Z754" s="84" t="str">
        <f>HYPERLINK("https://twitter.com/_adeputra/status/1441000361167233032")</f>
        <v>https://twitter.com/_adeputra/status/1441000361167233032</v>
      </c>
      <c r="AA754" s="81"/>
      <c r="AB754" s="81"/>
      <c r="AC754" s="86" t="s">
        <v>4806</v>
      </c>
      <c r="AD754" s="81"/>
      <c r="AE754" s="81" t="b">
        <v>0</v>
      </c>
      <c r="AF754" s="81">
        <v>0</v>
      </c>
      <c r="AG754" s="86" t="s">
        <v>6240</v>
      </c>
      <c r="AH754" s="81" t="b">
        <v>0</v>
      </c>
      <c r="AI754" s="81" t="s">
        <v>6479</v>
      </c>
      <c r="AJ754" s="81"/>
      <c r="AK754" s="86" t="s">
        <v>6240</v>
      </c>
      <c r="AL754" s="81" t="b">
        <v>0</v>
      </c>
      <c r="AM754" s="81">
        <v>71</v>
      </c>
      <c r="AN754" s="86" t="s">
        <v>5039</v>
      </c>
      <c r="AO754" s="86" t="s">
        <v>6505</v>
      </c>
      <c r="AP754" s="81" t="b">
        <v>0</v>
      </c>
      <c r="AQ754" s="86" t="s">
        <v>5039</v>
      </c>
      <c r="AR754" s="81" t="s">
        <v>179</v>
      </c>
      <c r="AS754" s="81">
        <v>0</v>
      </c>
      <c r="AT754" s="81">
        <v>0</v>
      </c>
      <c r="AU754" s="81"/>
      <c r="AV754" s="81"/>
      <c r="AW754" s="81"/>
      <c r="AX754" s="81"/>
      <c r="AY754" s="81"/>
      <c r="AZ754" s="81"/>
      <c r="BA754" s="81"/>
      <c r="BB754" s="81"/>
    </row>
    <row r="755" spans="1:54" x14ac:dyDescent="0.35">
      <c r="A755" s="66" t="s">
        <v>755</v>
      </c>
      <c r="B755" s="66" t="s">
        <v>757</v>
      </c>
      <c r="C755" s="67"/>
      <c r="D755" s="68"/>
      <c r="E755" s="69"/>
      <c r="F755" s="70"/>
      <c r="G755" s="67"/>
      <c r="H755" s="71"/>
      <c r="I755" s="72"/>
      <c r="J755" s="72"/>
      <c r="K755" s="36"/>
      <c r="L755" s="79"/>
      <c r="M755" s="79"/>
      <c r="N755" s="74"/>
      <c r="O755" s="81" t="s">
        <v>1532</v>
      </c>
      <c r="P755" s="83">
        <v>44462.483263888891</v>
      </c>
      <c r="Q755" s="81" t="s">
        <v>1815</v>
      </c>
      <c r="R755" s="84" t="str">
        <f>HYPERLINK("https://www.suara.com/news/2021/09/22/201526/lanjutkan-perlindungan-untuk-masyarakat-pandemi-kemensos-alokasikan-rp7408-t-di-2022")</f>
        <v>https://www.suara.com/news/2021/09/22/201526/lanjutkan-perlindungan-untuk-masyarakat-pandemi-kemensos-alokasikan-rp7408-t-di-2022</v>
      </c>
      <c r="S755" s="81" t="s">
        <v>2614</v>
      </c>
      <c r="T755" s="86" t="s">
        <v>2685</v>
      </c>
      <c r="U755" s="81"/>
      <c r="V755" s="84" t="str">
        <f>HYPERLINK("https://pbs.twimg.com/profile_images/1401757786845839365/Tn64uPfo_normal.jpg")</f>
        <v>https://pbs.twimg.com/profile_images/1401757786845839365/Tn64uPfo_normal.jpg</v>
      </c>
      <c r="W755" s="83">
        <v>44462.483263888891</v>
      </c>
      <c r="X755" s="89">
        <v>44462</v>
      </c>
      <c r="Y755" s="86" t="s">
        <v>3100</v>
      </c>
      <c r="Z755" s="84" t="str">
        <f>HYPERLINK("https://twitter.com/putiandamdewi16/status/1441003386933899266")</f>
        <v>https://twitter.com/putiandamdewi16/status/1441003386933899266</v>
      </c>
      <c r="AA755" s="81"/>
      <c r="AB755" s="81"/>
      <c r="AC755" s="86" t="s">
        <v>4807</v>
      </c>
      <c r="AD755" s="81"/>
      <c r="AE755" s="81" t="b">
        <v>0</v>
      </c>
      <c r="AF755" s="81">
        <v>0</v>
      </c>
      <c r="AG755" s="86" t="s">
        <v>6240</v>
      </c>
      <c r="AH755" s="81" t="b">
        <v>0</v>
      </c>
      <c r="AI755" s="81" t="s">
        <v>6478</v>
      </c>
      <c r="AJ755" s="81"/>
      <c r="AK755" s="86" t="s">
        <v>6240</v>
      </c>
      <c r="AL755" s="81" t="b">
        <v>0</v>
      </c>
      <c r="AM755" s="81">
        <v>13</v>
      </c>
      <c r="AN755" s="86" t="s">
        <v>4812</v>
      </c>
      <c r="AO755" s="86" t="s">
        <v>6503</v>
      </c>
      <c r="AP755" s="81" t="b">
        <v>0</v>
      </c>
      <c r="AQ755" s="86" t="s">
        <v>4812</v>
      </c>
      <c r="AR755" s="81" t="s">
        <v>179</v>
      </c>
      <c r="AS755" s="81">
        <v>0</v>
      </c>
      <c r="AT755" s="81">
        <v>0</v>
      </c>
      <c r="AU755" s="81"/>
      <c r="AV755" s="81"/>
      <c r="AW755" s="81"/>
      <c r="AX755" s="81"/>
      <c r="AY755" s="81"/>
      <c r="AZ755" s="81"/>
      <c r="BA755" s="81"/>
      <c r="BB755" s="81"/>
    </row>
    <row r="756" spans="1:54" x14ac:dyDescent="0.35">
      <c r="A756" s="66" t="s">
        <v>755</v>
      </c>
      <c r="B756" s="66" t="s">
        <v>757</v>
      </c>
      <c r="C756" s="67"/>
      <c r="D756" s="68"/>
      <c r="E756" s="69"/>
      <c r="F756" s="70"/>
      <c r="G756" s="67"/>
      <c r="H756" s="71"/>
      <c r="I756" s="72"/>
      <c r="J756" s="72"/>
      <c r="K756" s="36"/>
      <c r="L756" s="79"/>
      <c r="M756" s="79"/>
      <c r="N756" s="74"/>
      <c r="O756" s="81" t="s">
        <v>1532</v>
      </c>
      <c r="P756" s="83">
        <v>44462.483993055554</v>
      </c>
      <c r="Q756" s="81" t="s">
        <v>1816</v>
      </c>
      <c r="R756" s="84" t="str">
        <f>HYPERLINK("https://nasional.tempo.co/read/1509255/risma-memastikan-bantuan-sosial-pada-warga-terdampak-covid-19-berlanjut")</f>
        <v>https://nasional.tempo.co/read/1509255/risma-memastikan-bantuan-sosial-pada-warga-terdampak-covid-19-berlanjut</v>
      </c>
      <c r="S756" s="81" t="s">
        <v>2615</v>
      </c>
      <c r="T756" s="86" t="s">
        <v>2685</v>
      </c>
      <c r="U756" s="81"/>
      <c r="V756" s="84" t="str">
        <f>HYPERLINK("https://pbs.twimg.com/profile_images/1401757786845839365/Tn64uPfo_normal.jpg")</f>
        <v>https://pbs.twimg.com/profile_images/1401757786845839365/Tn64uPfo_normal.jpg</v>
      </c>
      <c r="W756" s="83">
        <v>44462.483993055554</v>
      </c>
      <c r="X756" s="89">
        <v>44462</v>
      </c>
      <c r="Y756" s="86" t="s">
        <v>3344</v>
      </c>
      <c r="Z756" s="84" t="str">
        <f>HYPERLINK("https://twitter.com/putiandamdewi16/status/1441003649736445964")</f>
        <v>https://twitter.com/putiandamdewi16/status/1441003649736445964</v>
      </c>
      <c r="AA756" s="81"/>
      <c r="AB756" s="81"/>
      <c r="AC756" s="86" t="s">
        <v>4808</v>
      </c>
      <c r="AD756" s="81"/>
      <c r="AE756" s="81" t="b">
        <v>0</v>
      </c>
      <c r="AF756" s="81">
        <v>0</v>
      </c>
      <c r="AG756" s="86" t="s">
        <v>6240</v>
      </c>
      <c r="AH756" s="81" t="b">
        <v>0</v>
      </c>
      <c r="AI756" s="81" t="s">
        <v>6478</v>
      </c>
      <c r="AJ756" s="81"/>
      <c r="AK756" s="86" t="s">
        <v>6240</v>
      </c>
      <c r="AL756" s="81" t="b">
        <v>0</v>
      </c>
      <c r="AM756" s="81">
        <v>14</v>
      </c>
      <c r="AN756" s="86" t="s">
        <v>4811</v>
      </c>
      <c r="AO756" s="86" t="s">
        <v>6503</v>
      </c>
      <c r="AP756" s="81" t="b">
        <v>0</v>
      </c>
      <c r="AQ756" s="86" t="s">
        <v>4811</v>
      </c>
      <c r="AR756" s="81" t="s">
        <v>179</v>
      </c>
      <c r="AS756" s="81">
        <v>0</v>
      </c>
      <c r="AT756" s="81">
        <v>0</v>
      </c>
      <c r="AU756" s="81"/>
      <c r="AV756" s="81"/>
      <c r="AW756" s="81"/>
      <c r="AX756" s="81"/>
      <c r="AY756" s="81"/>
      <c r="AZ756" s="81"/>
      <c r="BA756" s="81"/>
      <c r="BB756" s="81"/>
    </row>
    <row r="757" spans="1:54" x14ac:dyDescent="0.35">
      <c r="A757" s="66" t="s">
        <v>756</v>
      </c>
      <c r="B757" s="66" t="s">
        <v>1389</v>
      </c>
      <c r="C757" s="67"/>
      <c r="D757" s="68"/>
      <c r="E757" s="69"/>
      <c r="F757" s="70"/>
      <c r="G757" s="67"/>
      <c r="H757" s="71"/>
      <c r="I757" s="72"/>
      <c r="J757" s="72"/>
      <c r="K757" s="36"/>
      <c r="L757" s="79"/>
      <c r="M757" s="79"/>
      <c r="N757" s="74"/>
      <c r="O757" s="81" t="s">
        <v>1534</v>
      </c>
      <c r="P757" s="83">
        <v>44462.486770833333</v>
      </c>
      <c r="Q757" s="81" t="s">
        <v>1819</v>
      </c>
      <c r="R757" s="81"/>
      <c r="S757" s="81"/>
      <c r="T757" s="81"/>
      <c r="U757" s="81"/>
      <c r="V757" s="84" t="str">
        <f>HYPERLINK("https://pbs.twimg.com/profile_images/1441992838674149376/jKl_eMxp_normal.jpg")</f>
        <v>https://pbs.twimg.com/profile_images/1441992838674149376/jKl_eMxp_normal.jpg</v>
      </c>
      <c r="W757" s="83">
        <v>44462.486770833333</v>
      </c>
      <c r="X757" s="89">
        <v>44462</v>
      </c>
      <c r="Y757" s="86" t="s">
        <v>3345</v>
      </c>
      <c r="Z757" s="84" t="str">
        <f>HYPERLINK("https://twitter.com/hhjdinn/status/1441004658026115072")</f>
        <v>https://twitter.com/hhjdinn/status/1441004658026115072</v>
      </c>
      <c r="AA757" s="81"/>
      <c r="AB757" s="81"/>
      <c r="AC757" s="86" t="s">
        <v>4809</v>
      </c>
      <c r="AD757" s="86" t="s">
        <v>6078</v>
      </c>
      <c r="AE757" s="81" t="b">
        <v>0</v>
      </c>
      <c r="AF757" s="81">
        <v>0</v>
      </c>
      <c r="AG757" s="86" t="s">
        <v>6340</v>
      </c>
      <c r="AH757" s="81" t="b">
        <v>0</v>
      </c>
      <c r="AI757" s="81" t="s">
        <v>6478</v>
      </c>
      <c r="AJ757" s="81"/>
      <c r="AK757" s="86" t="s">
        <v>6240</v>
      </c>
      <c r="AL757" s="81" t="b">
        <v>0</v>
      </c>
      <c r="AM757" s="81">
        <v>0</v>
      </c>
      <c r="AN757" s="86" t="s">
        <v>6240</v>
      </c>
      <c r="AO757" s="86" t="s">
        <v>6503</v>
      </c>
      <c r="AP757" s="81" t="b">
        <v>0</v>
      </c>
      <c r="AQ757" s="86" t="s">
        <v>6078</v>
      </c>
      <c r="AR757" s="81" t="s">
        <v>179</v>
      </c>
      <c r="AS757" s="81">
        <v>0</v>
      </c>
      <c r="AT757" s="81">
        <v>0</v>
      </c>
      <c r="AU757" s="81"/>
      <c r="AV757" s="81"/>
      <c r="AW757" s="81"/>
      <c r="AX757" s="81"/>
      <c r="AY757" s="81"/>
      <c r="AZ757" s="81"/>
      <c r="BA757" s="81"/>
      <c r="BB757" s="81"/>
    </row>
    <row r="758" spans="1:54" x14ac:dyDescent="0.35">
      <c r="A758" s="66" t="s">
        <v>756</v>
      </c>
      <c r="B758" s="66" t="s">
        <v>756</v>
      </c>
      <c r="C758" s="67"/>
      <c r="D758" s="68"/>
      <c r="E758" s="69"/>
      <c r="F758" s="70"/>
      <c r="G758" s="67"/>
      <c r="H758" s="71"/>
      <c r="I758" s="72"/>
      <c r="J758" s="72"/>
      <c r="K758" s="36"/>
      <c r="L758" s="79"/>
      <c r="M758" s="79"/>
      <c r="N758" s="74"/>
      <c r="O758" s="81" t="s">
        <v>179</v>
      </c>
      <c r="P758" s="83">
        <v>44461.281863425924</v>
      </c>
      <c r="Q758" s="81" t="s">
        <v>1820</v>
      </c>
      <c r="R758" s="81"/>
      <c r="S758" s="81"/>
      <c r="T758" s="81"/>
      <c r="U758" s="81"/>
      <c r="V758" s="84" t="str">
        <f>HYPERLINK("https://pbs.twimg.com/profile_images/1441992838674149376/jKl_eMxp_normal.jpg")</f>
        <v>https://pbs.twimg.com/profile_images/1441992838674149376/jKl_eMxp_normal.jpg</v>
      </c>
      <c r="W758" s="83">
        <v>44461.281863425924</v>
      </c>
      <c r="X758" s="89">
        <v>44461</v>
      </c>
      <c r="Y758" s="86" t="s">
        <v>3346</v>
      </c>
      <c r="Z758" s="84" t="str">
        <f>HYPERLINK("https://twitter.com/hhjdinn/status/1440568012776505349")</f>
        <v>https://twitter.com/hhjdinn/status/1440568012776505349</v>
      </c>
      <c r="AA758" s="81"/>
      <c r="AB758" s="81"/>
      <c r="AC758" s="86" t="s">
        <v>4810</v>
      </c>
      <c r="AD758" s="81"/>
      <c r="AE758" s="81" t="b">
        <v>0</v>
      </c>
      <c r="AF758" s="81">
        <v>0</v>
      </c>
      <c r="AG758" s="86" t="s">
        <v>6240</v>
      </c>
      <c r="AH758" s="81" t="b">
        <v>0</v>
      </c>
      <c r="AI758" s="81" t="s">
        <v>6478</v>
      </c>
      <c r="AJ758" s="81"/>
      <c r="AK758" s="86" t="s">
        <v>6240</v>
      </c>
      <c r="AL758" s="81" t="b">
        <v>0</v>
      </c>
      <c r="AM758" s="81">
        <v>0</v>
      </c>
      <c r="AN758" s="86" t="s">
        <v>6240</v>
      </c>
      <c r="AO758" s="86" t="s">
        <v>6503</v>
      </c>
      <c r="AP758" s="81" t="b">
        <v>0</v>
      </c>
      <c r="AQ758" s="86" t="s">
        <v>4810</v>
      </c>
      <c r="AR758" s="81" t="s">
        <v>179</v>
      </c>
      <c r="AS758" s="81">
        <v>0</v>
      </c>
      <c r="AT758" s="81">
        <v>0</v>
      </c>
      <c r="AU758" s="81"/>
      <c r="AV758" s="81"/>
      <c r="AW758" s="81"/>
      <c r="AX758" s="81"/>
      <c r="AY758" s="81"/>
      <c r="AZ758" s="81"/>
      <c r="BA758" s="81"/>
      <c r="BB758" s="81"/>
    </row>
    <row r="759" spans="1:54" x14ac:dyDescent="0.35">
      <c r="A759" s="66" t="s">
        <v>757</v>
      </c>
      <c r="B759" s="66" t="s">
        <v>757</v>
      </c>
      <c r="C759" s="67"/>
      <c r="D759" s="68"/>
      <c r="E759" s="69"/>
      <c r="F759" s="70"/>
      <c r="G759" s="67"/>
      <c r="H759" s="71"/>
      <c r="I759" s="72"/>
      <c r="J759" s="72"/>
      <c r="K759" s="36"/>
      <c r="L759" s="79"/>
      <c r="M759" s="79"/>
      <c r="N759" s="74"/>
      <c r="O759" s="81" t="s">
        <v>179</v>
      </c>
      <c r="P759" s="83">
        <v>44462.42046296296</v>
      </c>
      <c r="Q759" s="81" t="s">
        <v>1816</v>
      </c>
      <c r="R759" s="84" t="str">
        <f>HYPERLINK("https://nasional.tempo.co/read/1509255/risma-memastikan-bantuan-sosial-pada-warga-terdampak-covid-19-berlanjut")</f>
        <v>https://nasional.tempo.co/read/1509255/risma-memastikan-bantuan-sosial-pada-warga-terdampak-covid-19-berlanjut</v>
      </c>
      <c r="S759" s="81" t="s">
        <v>2615</v>
      </c>
      <c r="T759" s="86" t="s">
        <v>2685</v>
      </c>
      <c r="U759" s="81"/>
      <c r="V759" s="84" t="str">
        <f>HYPERLINK("https://pbs.twimg.com/profile_images/1340224956475437056/yo0CLy-Y_normal.png")</f>
        <v>https://pbs.twimg.com/profile_images/1340224956475437056/yo0CLy-Y_normal.png</v>
      </c>
      <c r="W759" s="83">
        <v>44462.42046296296</v>
      </c>
      <c r="X759" s="89">
        <v>44462</v>
      </c>
      <c r="Y759" s="86" t="s">
        <v>3347</v>
      </c>
      <c r="Z759" s="84" t="str">
        <f>HYPERLINK("https://twitter.com/anak_sultanjaya/status/1440980627927408644")</f>
        <v>https://twitter.com/anak_sultanjaya/status/1440980627927408644</v>
      </c>
      <c r="AA759" s="81"/>
      <c r="AB759" s="81"/>
      <c r="AC759" s="86" t="s">
        <v>4811</v>
      </c>
      <c r="AD759" s="81"/>
      <c r="AE759" s="81" t="b">
        <v>0</v>
      </c>
      <c r="AF759" s="81">
        <v>15</v>
      </c>
      <c r="AG759" s="86" t="s">
        <v>6240</v>
      </c>
      <c r="AH759" s="81" t="b">
        <v>0</v>
      </c>
      <c r="AI759" s="81" t="s">
        <v>6478</v>
      </c>
      <c r="AJ759" s="81"/>
      <c r="AK759" s="86" t="s">
        <v>6240</v>
      </c>
      <c r="AL759" s="81" t="b">
        <v>0</v>
      </c>
      <c r="AM759" s="81">
        <v>14</v>
      </c>
      <c r="AN759" s="86" t="s">
        <v>6240</v>
      </c>
      <c r="AO759" s="86" t="s">
        <v>6503</v>
      </c>
      <c r="AP759" s="81" t="b">
        <v>0</v>
      </c>
      <c r="AQ759" s="86" t="s">
        <v>4811</v>
      </c>
      <c r="AR759" s="81" t="s">
        <v>179</v>
      </c>
      <c r="AS759" s="81">
        <v>0</v>
      </c>
      <c r="AT759" s="81">
        <v>0</v>
      </c>
      <c r="AU759" s="81"/>
      <c r="AV759" s="81"/>
      <c r="AW759" s="81"/>
      <c r="AX759" s="81"/>
      <c r="AY759" s="81"/>
      <c r="AZ759" s="81"/>
      <c r="BA759" s="81"/>
      <c r="BB759" s="81"/>
    </row>
    <row r="760" spans="1:54" x14ac:dyDescent="0.35">
      <c r="A760" s="66" t="s">
        <v>757</v>
      </c>
      <c r="B760" s="66" t="s">
        <v>757</v>
      </c>
      <c r="C760" s="67"/>
      <c r="D760" s="68"/>
      <c r="E760" s="69"/>
      <c r="F760" s="70"/>
      <c r="G760" s="67"/>
      <c r="H760" s="71"/>
      <c r="I760" s="72"/>
      <c r="J760" s="72"/>
      <c r="K760" s="36"/>
      <c r="L760" s="79"/>
      <c r="M760" s="79"/>
      <c r="N760" s="74"/>
      <c r="O760" s="81" t="s">
        <v>179</v>
      </c>
      <c r="P760" s="83">
        <v>44462.42050925926</v>
      </c>
      <c r="Q760" s="81" t="s">
        <v>1815</v>
      </c>
      <c r="R760" s="84" t="str">
        <f>HYPERLINK("https://www.suara.com/news/2021/09/22/201526/lanjutkan-perlindungan-untuk-masyarakat-pandemi-kemensos-alokasikan-rp7408-t-di-2022")</f>
        <v>https://www.suara.com/news/2021/09/22/201526/lanjutkan-perlindungan-untuk-masyarakat-pandemi-kemensos-alokasikan-rp7408-t-di-2022</v>
      </c>
      <c r="S760" s="81" t="s">
        <v>2614</v>
      </c>
      <c r="T760" s="86" t="s">
        <v>2685</v>
      </c>
      <c r="U760" s="81"/>
      <c r="V760" s="84" t="str">
        <f>HYPERLINK("https://pbs.twimg.com/profile_images/1340224956475437056/yo0CLy-Y_normal.png")</f>
        <v>https://pbs.twimg.com/profile_images/1340224956475437056/yo0CLy-Y_normal.png</v>
      </c>
      <c r="W760" s="83">
        <v>44462.42050925926</v>
      </c>
      <c r="X760" s="89">
        <v>44462</v>
      </c>
      <c r="Y760" s="86" t="s">
        <v>3348</v>
      </c>
      <c r="Z760" s="84" t="str">
        <f>HYPERLINK("https://twitter.com/anak_sultanjaya/status/1440980645354766341")</f>
        <v>https://twitter.com/anak_sultanjaya/status/1440980645354766341</v>
      </c>
      <c r="AA760" s="81"/>
      <c r="AB760" s="81"/>
      <c r="AC760" s="86" t="s">
        <v>4812</v>
      </c>
      <c r="AD760" s="81"/>
      <c r="AE760" s="81" t="b">
        <v>0</v>
      </c>
      <c r="AF760" s="81">
        <v>15</v>
      </c>
      <c r="AG760" s="86" t="s">
        <v>6240</v>
      </c>
      <c r="AH760" s="81" t="b">
        <v>0</v>
      </c>
      <c r="AI760" s="81" t="s">
        <v>6478</v>
      </c>
      <c r="AJ760" s="81"/>
      <c r="AK760" s="86" t="s">
        <v>6240</v>
      </c>
      <c r="AL760" s="81" t="b">
        <v>0</v>
      </c>
      <c r="AM760" s="81">
        <v>13</v>
      </c>
      <c r="AN760" s="86" t="s">
        <v>6240</v>
      </c>
      <c r="AO760" s="86" t="s">
        <v>6503</v>
      </c>
      <c r="AP760" s="81" t="b">
        <v>0</v>
      </c>
      <c r="AQ760" s="86" t="s">
        <v>4812</v>
      </c>
      <c r="AR760" s="81" t="s">
        <v>179</v>
      </c>
      <c r="AS760" s="81">
        <v>0</v>
      </c>
      <c r="AT760" s="81">
        <v>0</v>
      </c>
      <c r="AU760" s="81"/>
      <c r="AV760" s="81"/>
      <c r="AW760" s="81"/>
      <c r="AX760" s="81"/>
      <c r="AY760" s="81"/>
      <c r="AZ760" s="81"/>
      <c r="BA760" s="81"/>
      <c r="BB760" s="81"/>
    </row>
    <row r="761" spans="1:54" x14ac:dyDescent="0.35">
      <c r="A761" s="66" t="s">
        <v>757</v>
      </c>
      <c r="B761" s="66" t="s">
        <v>757</v>
      </c>
      <c r="C761" s="67"/>
      <c r="D761" s="68"/>
      <c r="E761" s="69"/>
      <c r="F761" s="70"/>
      <c r="G761" s="67"/>
      <c r="H761" s="71"/>
      <c r="I761" s="72"/>
      <c r="J761" s="72"/>
      <c r="K761" s="36"/>
      <c r="L761" s="79"/>
      <c r="M761" s="79"/>
      <c r="N761" s="74"/>
      <c r="O761" s="81" t="s">
        <v>1532</v>
      </c>
      <c r="P761" s="83">
        <v>44462.422835648147</v>
      </c>
      <c r="Q761" s="81" t="s">
        <v>1815</v>
      </c>
      <c r="R761" s="84" t="str">
        <f>HYPERLINK("https://www.suara.com/news/2021/09/22/201526/lanjutkan-perlindungan-untuk-masyarakat-pandemi-kemensos-alokasikan-rp7408-t-di-2022")</f>
        <v>https://www.suara.com/news/2021/09/22/201526/lanjutkan-perlindungan-untuk-masyarakat-pandemi-kemensos-alokasikan-rp7408-t-di-2022</v>
      </c>
      <c r="S761" s="81" t="s">
        <v>2614</v>
      </c>
      <c r="T761" s="86" t="s">
        <v>2685</v>
      </c>
      <c r="U761" s="81"/>
      <c r="V761" s="84" t="str">
        <f>HYPERLINK("https://pbs.twimg.com/profile_images/1340224956475437056/yo0CLy-Y_normal.png")</f>
        <v>https://pbs.twimg.com/profile_images/1340224956475437056/yo0CLy-Y_normal.png</v>
      </c>
      <c r="W761" s="83">
        <v>44462.422835648147</v>
      </c>
      <c r="X761" s="89">
        <v>44462</v>
      </c>
      <c r="Y761" s="86" t="s">
        <v>3349</v>
      </c>
      <c r="Z761" s="84" t="str">
        <f>HYPERLINK("https://twitter.com/anak_sultanjaya/status/1440981488330153988")</f>
        <v>https://twitter.com/anak_sultanjaya/status/1440981488330153988</v>
      </c>
      <c r="AA761" s="81"/>
      <c r="AB761" s="81"/>
      <c r="AC761" s="86" t="s">
        <v>4813</v>
      </c>
      <c r="AD761" s="81"/>
      <c r="AE761" s="81" t="b">
        <v>0</v>
      </c>
      <c r="AF761" s="81">
        <v>0</v>
      </c>
      <c r="AG761" s="86" t="s">
        <v>6240</v>
      </c>
      <c r="AH761" s="81" t="b">
        <v>0</v>
      </c>
      <c r="AI761" s="81" t="s">
        <v>6478</v>
      </c>
      <c r="AJ761" s="81"/>
      <c r="AK761" s="86" t="s">
        <v>6240</v>
      </c>
      <c r="AL761" s="81" t="b">
        <v>0</v>
      </c>
      <c r="AM761" s="81">
        <v>13</v>
      </c>
      <c r="AN761" s="86" t="s">
        <v>4812</v>
      </c>
      <c r="AO761" s="86" t="s">
        <v>6503</v>
      </c>
      <c r="AP761" s="81" t="b">
        <v>0</v>
      </c>
      <c r="AQ761" s="86" t="s">
        <v>4812</v>
      </c>
      <c r="AR761" s="81" t="s">
        <v>179</v>
      </c>
      <c r="AS761" s="81">
        <v>0</v>
      </c>
      <c r="AT761" s="81">
        <v>0</v>
      </c>
      <c r="AU761" s="81"/>
      <c r="AV761" s="81"/>
      <c r="AW761" s="81"/>
      <c r="AX761" s="81"/>
      <c r="AY761" s="81"/>
      <c r="AZ761" s="81"/>
      <c r="BA761" s="81"/>
      <c r="BB761" s="81"/>
    </row>
    <row r="762" spans="1:54" x14ac:dyDescent="0.35">
      <c r="A762" s="66" t="s">
        <v>757</v>
      </c>
      <c r="B762" s="66" t="s">
        <v>757</v>
      </c>
      <c r="C762" s="67"/>
      <c r="D762" s="68"/>
      <c r="E762" s="69"/>
      <c r="F762" s="70"/>
      <c r="G762" s="67"/>
      <c r="H762" s="71"/>
      <c r="I762" s="72"/>
      <c r="J762" s="72"/>
      <c r="K762" s="36"/>
      <c r="L762" s="79"/>
      <c r="M762" s="79"/>
      <c r="N762" s="74"/>
      <c r="O762" s="81" t="s">
        <v>1532</v>
      </c>
      <c r="P762" s="83">
        <v>44462.422893518517</v>
      </c>
      <c r="Q762" s="81" t="s">
        <v>1816</v>
      </c>
      <c r="R762" s="84" t="str">
        <f>HYPERLINK("https://nasional.tempo.co/read/1509255/risma-memastikan-bantuan-sosial-pada-warga-terdampak-covid-19-berlanjut")</f>
        <v>https://nasional.tempo.co/read/1509255/risma-memastikan-bantuan-sosial-pada-warga-terdampak-covid-19-berlanjut</v>
      </c>
      <c r="S762" s="81" t="s">
        <v>2615</v>
      </c>
      <c r="T762" s="86" t="s">
        <v>2685</v>
      </c>
      <c r="U762" s="81"/>
      <c r="V762" s="84" t="str">
        <f>HYPERLINK("https://pbs.twimg.com/profile_images/1340224956475437056/yo0CLy-Y_normal.png")</f>
        <v>https://pbs.twimg.com/profile_images/1340224956475437056/yo0CLy-Y_normal.png</v>
      </c>
      <c r="W762" s="83">
        <v>44462.422893518517</v>
      </c>
      <c r="X762" s="89">
        <v>44462</v>
      </c>
      <c r="Y762" s="86" t="s">
        <v>3350</v>
      </c>
      <c r="Z762" s="84" t="str">
        <f>HYPERLINK("https://twitter.com/anak_sultanjaya/status/1440981509746270209")</f>
        <v>https://twitter.com/anak_sultanjaya/status/1440981509746270209</v>
      </c>
      <c r="AA762" s="81"/>
      <c r="AB762" s="81"/>
      <c r="AC762" s="86" t="s">
        <v>4814</v>
      </c>
      <c r="AD762" s="81"/>
      <c r="AE762" s="81" t="b">
        <v>0</v>
      </c>
      <c r="AF762" s="81">
        <v>0</v>
      </c>
      <c r="AG762" s="86" t="s">
        <v>6240</v>
      </c>
      <c r="AH762" s="81" t="b">
        <v>0</v>
      </c>
      <c r="AI762" s="81" t="s">
        <v>6478</v>
      </c>
      <c r="AJ762" s="81"/>
      <c r="AK762" s="86" t="s">
        <v>6240</v>
      </c>
      <c r="AL762" s="81" t="b">
        <v>0</v>
      </c>
      <c r="AM762" s="81">
        <v>14</v>
      </c>
      <c r="AN762" s="86" t="s">
        <v>4811</v>
      </c>
      <c r="AO762" s="86" t="s">
        <v>6503</v>
      </c>
      <c r="AP762" s="81" t="b">
        <v>0</v>
      </c>
      <c r="AQ762" s="86" t="s">
        <v>4811</v>
      </c>
      <c r="AR762" s="81" t="s">
        <v>179</v>
      </c>
      <c r="AS762" s="81">
        <v>0</v>
      </c>
      <c r="AT762" s="81">
        <v>0</v>
      </c>
      <c r="AU762" s="81"/>
      <c r="AV762" s="81"/>
      <c r="AW762" s="81"/>
      <c r="AX762" s="81"/>
      <c r="AY762" s="81"/>
      <c r="AZ762" s="81"/>
      <c r="BA762" s="81"/>
      <c r="BB762" s="81"/>
    </row>
    <row r="763" spans="1:54" x14ac:dyDescent="0.35">
      <c r="A763" s="66" t="s">
        <v>758</v>
      </c>
      <c r="B763" s="66" t="s">
        <v>757</v>
      </c>
      <c r="C763" s="67"/>
      <c r="D763" s="68"/>
      <c r="E763" s="69"/>
      <c r="F763" s="70"/>
      <c r="G763" s="67"/>
      <c r="H763" s="71"/>
      <c r="I763" s="72"/>
      <c r="J763" s="72"/>
      <c r="K763" s="36"/>
      <c r="L763" s="79"/>
      <c r="M763" s="79"/>
      <c r="N763" s="74"/>
      <c r="O763" s="81" t="s">
        <v>1532</v>
      </c>
      <c r="P763" s="83">
        <v>44462.491979166669</v>
      </c>
      <c r="Q763" s="81" t="s">
        <v>1815</v>
      </c>
      <c r="R763" s="84" t="str">
        <f>HYPERLINK("https://www.suara.com/news/2021/09/22/201526/lanjutkan-perlindungan-untuk-masyarakat-pandemi-kemensos-alokasikan-rp7408-t-di-2022")</f>
        <v>https://www.suara.com/news/2021/09/22/201526/lanjutkan-perlindungan-untuk-masyarakat-pandemi-kemensos-alokasikan-rp7408-t-di-2022</v>
      </c>
      <c r="S763" s="81" t="s">
        <v>2614</v>
      </c>
      <c r="T763" s="86" t="s">
        <v>2685</v>
      </c>
      <c r="U763" s="81"/>
      <c r="V763" s="84" t="str">
        <f>HYPERLINK("https://pbs.twimg.com/profile_images/1250065840537550848/vus8douU_normal.jpg")</f>
        <v>https://pbs.twimg.com/profile_images/1250065840537550848/vus8douU_normal.jpg</v>
      </c>
      <c r="W763" s="83">
        <v>44462.491979166669</v>
      </c>
      <c r="X763" s="89">
        <v>44462</v>
      </c>
      <c r="Y763" s="86" t="s">
        <v>3351</v>
      </c>
      <c r="Z763" s="84" t="str">
        <f>HYPERLINK("https://twitter.com/ta_k3n/status/1441006543562940421")</f>
        <v>https://twitter.com/ta_k3n/status/1441006543562940421</v>
      </c>
      <c r="AA763" s="81"/>
      <c r="AB763" s="81"/>
      <c r="AC763" s="86" t="s">
        <v>4815</v>
      </c>
      <c r="AD763" s="81"/>
      <c r="AE763" s="81" t="b">
        <v>0</v>
      </c>
      <c r="AF763" s="81">
        <v>0</v>
      </c>
      <c r="AG763" s="86" t="s">
        <v>6240</v>
      </c>
      <c r="AH763" s="81" t="b">
        <v>0</v>
      </c>
      <c r="AI763" s="81" t="s">
        <v>6478</v>
      </c>
      <c r="AJ763" s="81"/>
      <c r="AK763" s="86" t="s">
        <v>6240</v>
      </c>
      <c r="AL763" s="81" t="b">
        <v>0</v>
      </c>
      <c r="AM763" s="81">
        <v>13</v>
      </c>
      <c r="AN763" s="86" t="s">
        <v>4812</v>
      </c>
      <c r="AO763" s="86" t="s">
        <v>6505</v>
      </c>
      <c r="AP763" s="81" t="b">
        <v>0</v>
      </c>
      <c r="AQ763" s="86" t="s">
        <v>4812</v>
      </c>
      <c r="AR763" s="81" t="s">
        <v>179</v>
      </c>
      <c r="AS763" s="81">
        <v>0</v>
      </c>
      <c r="AT763" s="81">
        <v>0</v>
      </c>
      <c r="AU763" s="81"/>
      <c r="AV763" s="81"/>
      <c r="AW763" s="81"/>
      <c r="AX763" s="81"/>
      <c r="AY763" s="81"/>
      <c r="AZ763" s="81"/>
      <c r="BA763" s="81"/>
      <c r="BB763" s="81"/>
    </row>
    <row r="764" spans="1:54" x14ac:dyDescent="0.35">
      <c r="A764" s="66" t="s">
        <v>758</v>
      </c>
      <c r="B764" s="66" t="s">
        <v>757</v>
      </c>
      <c r="C764" s="67"/>
      <c r="D764" s="68"/>
      <c r="E764" s="69"/>
      <c r="F764" s="70"/>
      <c r="G764" s="67"/>
      <c r="H764" s="71"/>
      <c r="I764" s="72"/>
      <c r="J764" s="72"/>
      <c r="K764" s="36"/>
      <c r="L764" s="79"/>
      <c r="M764" s="79"/>
      <c r="N764" s="74"/>
      <c r="O764" s="81" t="s">
        <v>1532</v>
      </c>
      <c r="P764" s="83">
        <v>44462.492384259262</v>
      </c>
      <c r="Q764" s="81" t="s">
        <v>1816</v>
      </c>
      <c r="R764" s="84" t="str">
        <f>HYPERLINK("https://nasional.tempo.co/read/1509255/risma-memastikan-bantuan-sosial-pada-warga-terdampak-covid-19-berlanjut")</f>
        <v>https://nasional.tempo.co/read/1509255/risma-memastikan-bantuan-sosial-pada-warga-terdampak-covid-19-berlanjut</v>
      </c>
      <c r="S764" s="81" t="s">
        <v>2615</v>
      </c>
      <c r="T764" s="86" t="s">
        <v>2685</v>
      </c>
      <c r="U764" s="81"/>
      <c r="V764" s="84" t="str">
        <f>HYPERLINK("https://pbs.twimg.com/profile_images/1250065840537550848/vus8douU_normal.jpg")</f>
        <v>https://pbs.twimg.com/profile_images/1250065840537550848/vus8douU_normal.jpg</v>
      </c>
      <c r="W764" s="83">
        <v>44462.492384259262</v>
      </c>
      <c r="X764" s="89">
        <v>44462</v>
      </c>
      <c r="Y764" s="86" t="s">
        <v>3352</v>
      </c>
      <c r="Z764" s="84" t="str">
        <f>HYPERLINK("https://twitter.com/ta_k3n/status/1441006691672150021")</f>
        <v>https://twitter.com/ta_k3n/status/1441006691672150021</v>
      </c>
      <c r="AA764" s="81"/>
      <c r="AB764" s="81"/>
      <c r="AC764" s="86" t="s">
        <v>4816</v>
      </c>
      <c r="AD764" s="81"/>
      <c r="AE764" s="81" t="b">
        <v>0</v>
      </c>
      <c r="AF764" s="81">
        <v>0</v>
      </c>
      <c r="AG764" s="86" t="s">
        <v>6240</v>
      </c>
      <c r="AH764" s="81" t="b">
        <v>0</v>
      </c>
      <c r="AI764" s="81" t="s">
        <v>6478</v>
      </c>
      <c r="AJ764" s="81"/>
      <c r="AK764" s="86" t="s">
        <v>6240</v>
      </c>
      <c r="AL764" s="81" t="b">
        <v>0</v>
      </c>
      <c r="AM764" s="81">
        <v>14</v>
      </c>
      <c r="AN764" s="86" t="s">
        <v>4811</v>
      </c>
      <c r="AO764" s="86" t="s">
        <v>6505</v>
      </c>
      <c r="AP764" s="81" t="b">
        <v>0</v>
      </c>
      <c r="AQ764" s="86" t="s">
        <v>4811</v>
      </c>
      <c r="AR764" s="81" t="s">
        <v>179</v>
      </c>
      <c r="AS764" s="81">
        <v>0</v>
      </c>
      <c r="AT764" s="81">
        <v>0</v>
      </c>
      <c r="AU764" s="81"/>
      <c r="AV764" s="81"/>
      <c r="AW764" s="81"/>
      <c r="AX764" s="81"/>
      <c r="AY764" s="81"/>
      <c r="AZ764" s="81"/>
      <c r="BA764" s="81"/>
      <c r="BB764" s="81"/>
    </row>
    <row r="765" spans="1:54" x14ac:dyDescent="0.35">
      <c r="A765" s="66" t="s">
        <v>759</v>
      </c>
      <c r="B765" s="66" t="s">
        <v>1390</v>
      </c>
      <c r="C765" s="67"/>
      <c r="D765" s="68"/>
      <c r="E765" s="69"/>
      <c r="F765" s="70"/>
      <c r="G765" s="67"/>
      <c r="H765" s="71"/>
      <c r="I765" s="72"/>
      <c r="J765" s="72"/>
      <c r="K765" s="36"/>
      <c r="L765" s="79"/>
      <c r="M765" s="79"/>
      <c r="N765" s="74"/>
      <c r="O765" s="81" t="s">
        <v>1535</v>
      </c>
      <c r="P765" s="83">
        <v>44462.494699074072</v>
      </c>
      <c r="Q765" s="81" t="s">
        <v>1821</v>
      </c>
      <c r="R765" s="81"/>
      <c r="S765" s="81"/>
      <c r="T765" s="86" t="s">
        <v>2686</v>
      </c>
      <c r="U765" s="84" t="str">
        <f>HYPERLINK("https://pbs.twimg.com/media/E_98tnQVQAUeDHE.jpg")</f>
        <v>https://pbs.twimg.com/media/E_98tnQVQAUeDHE.jpg</v>
      </c>
      <c r="V765" s="84" t="str">
        <f>HYPERLINK("https://pbs.twimg.com/media/E_98tnQVQAUeDHE.jpg")</f>
        <v>https://pbs.twimg.com/media/E_98tnQVQAUeDHE.jpg</v>
      </c>
      <c r="W765" s="83">
        <v>44462.494699074072</v>
      </c>
      <c r="X765" s="89">
        <v>44462</v>
      </c>
      <c r="Y765" s="86" t="s">
        <v>3353</v>
      </c>
      <c r="Z765" s="84" t="str">
        <f>HYPERLINK("https://twitter.com/kemenkumham_jtm/status/1441007532047101962")</f>
        <v>https://twitter.com/kemenkumham_jtm/status/1441007532047101962</v>
      </c>
      <c r="AA765" s="81"/>
      <c r="AB765" s="81"/>
      <c r="AC765" s="86" t="s">
        <v>4817</v>
      </c>
      <c r="AD765" s="86" t="s">
        <v>6079</v>
      </c>
      <c r="AE765" s="81" t="b">
        <v>0</v>
      </c>
      <c r="AF765" s="81">
        <v>1</v>
      </c>
      <c r="AG765" s="86" t="s">
        <v>6341</v>
      </c>
      <c r="AH765" s="81" t="b">
        <v>0</v>
      </c>
      <c r="AI765" s="81" t="s">
        <v>6478</v>
      </c>
      <c r="AJ765" s="81"/>
      <c r="AK765" s="86" t="s">
        <v>6240</v>
      </c>
      <c r="AL765" s="81" t="b">
        <v>0</v>
      </c>
      <c r="AM765" s="81">
        <v>0</v>
      </c>
      <c r="AN765" s="86" t="s">
        <v>6240</v>
      </c>
      <c r="AO765" s="86" t="s">
        <v>6503</v>
      </c>
      <c r="AP765" s="81" t="b">
        <v>0</v>
      </c>
      <c r="AQ765" s="86" t="s">
        <v>6079</v>
      </c>
      <c r="AR765" s="81" t="s">
        <v>179</v>
      </c>
      <c r="AS765" s="81">
        <v>0</v>
      </c>
      <c r="AT765" s="81">
        <v>0</v>
      </c>
      <c r="AU765" s="81"/>
      <c r="AV765" s="81"/>
      <c r="AW765" s="81"/>
      <c r="AX765" s="81"/>
      <c r="AY765" s="81"/>
      <c r="AZ765" s="81"/>
      <c r="BA765" s="81"/>
      <c r="BB765" s="81"/>
    </row>
    <row r="766" spans="1:54" x14ac:dyDescent="0.35">
      <c r="A766" s="66" t="s">
        <v>760</v>
      </c>
      <c r="B766" s="66" t="s">
        <v>831</v>
      </c>
      <c r="C766" s="67"/>
      <c r="D766" s="68"/>
      <c r="E766" s="69"/>
      <c r="F766" s="70"/>
      <c r="G766" s="67"/>
      <c r="H766" s="71"/>
      <c r="I766" s="72"/>
      <c r="J766" s="72"/>
      <c r="K766" s="36"/>
      <c r="L766" s="79"/>
      <c r="M766" s="79"/>
      <c r="N766" s="74"/>
      <c r="O766" s="81" t="s">
        <v>1532</v>
      </c>
      <c r="P766" s="83">
        <v>44462.502951388888</v>
      </c>
      <c r="Q766" s="81" t="s">
        <v>1822</v>
      </c>
      <c r="R766" s="84" t="str">
        <f>HYPERLINK("https://fraksi.pks.id/2021/09/22/selain-pos-lintas-batas-negara-aleg-pks-minta-pemerintah-perhatikan-jalur-tradisional/")</f>
        <v>https://fraksi.pks.id/2021/09/22/selain-pos-lintas-batas-negara-aleg-pks-minta-pemerintah-perhatikan-jalur-tradisional/</v>
      </c>
      <c r="S766" s="81" t="s">
        <v>2617</v>
      </c>
      <c r="T766" s="81"/>
      <c r="U766" s="81"/>
      <c r="V766" s="84" t="str">
        <f>HYPERLINK("https://pbs.twimg.com/profile_images/1356122496500523011/E0A3luWq_normal.jpg")</f>
        <v>https://pbs.twimg.com/profile_images/1356122496500523011/E0A3luWq_normal.jpg</v>
      </c>
      <c r="W766" s="83">
        <v>44462.502951388888</v>
      </c>
      <c r="X766" s="89">
        <v>44462</v>
      </c>
      <c r="Y766" s="86" t="s">
        <v>3354</v>
      </c>
      <c r="Z766" s="84" t="str">
        <f>HYPERLINK("https://twitter.com/pkspekayon/status/1441010522711740419")</f>
        <v>https://twitter.com/pkspekayon/status/1441010522711740419</v>
      </c>
      <c r="AA766" s="81"/>
      <c r="AB766" s="81"/>
      <c r="AC766" s="86" t="s">
        <v>4818</v>
      </c>
      <c r="AD766" s="81"/>
      <c r="AE766" s="81" t="b">
        <v>0</v>
      </c>
      <c r="AF766" s="81">
        <v>0</v>
      </c>
      <c r="AG766" s="86" t="s">
        <v>6240</v>
      </c>
      <c r="AH766" s="81" t="b">
        <v>0</v>
      </c>
      <c r="AI766" s="81" t="s">
        <v>6478</v>
      </c>
      <c r="AJ766" s="81"/>
      <c r="AK766" s="86" t="s">
        <v>6240</v>
      </c>
      <c r="AL766" s="81" t="b">
        <v>0</v>
      </c>
      <c r="AM766" s="81">
        <v>2</v>
      </c>
      <c r="AN766" s="86" t="s">
        <v>4907</v>
      </c>
      <c r="AO766" s="86" t="s">
        <v>6503</v>
      </c>
      <c r="AP766" s="81" t="b">
        <v>0</v>
      </c>
      <c r="AQ766" s="86" t="s">
        <v>4907</v>
      </c>
      <c r="AR766" s="81" t="s">
        <v>179</v>
      </c>
      <c r="AS766" s="81">
        <v>0</v>
      </c>
      <c r="AT766" s="81">
        <v>0</v>
      </c>
      <c r="AU766" s="81"/>
      <c r="AV766" s="81"/>
      <c r="AW766" s="81"/>
      <c r="AX766" s="81"/>
      <c r="AY766" s="81"/>
      <c r="AZ766" s="81"/>
      <c r="BA766" s="81"/>
      <c r="BB766" s="81"/>
    </row>
    <row r="767" spans="1:54" x14ac:dyDescent="0.35">
      <c r="A767" s="66" t="s">
        <v>761</v>
      </c>
      <c r="B767" s="66" t="s">
        <v>1391</v>
      </c>
      <c r="C767" s="67"/>
      <c r="D767" s="68"/>
      <c r="E767" s="69"/>
      <c r="F767" s="70"/>
      <c r="G767" s="67"/>
      <c r="H767" s="71"/>
      <c r="I767" s="72"/>
      <c r="J767" s="72"/>
      <c r="K767" s="36"/>
      <c r="L767" s="79"/>
      <c r="M767" s="79"/>
      <c r="N767" s="74"/>
      <c r="O767" s="81" t="s">
        <v>1534</v>
      </c>
      <c r="P767" s="83">
        <v>44462.503680555557</v>
      </c>
      <c r="Q767" s="81" t="s">
        <v>1823</v>
      </c>
      <c r="R767" s="81"/>
      <c r="S767" s="81"/>
      <c r="T767" s="81"/>
      <c r="U767" s="81"/>
      <c r="V767" s="84" t="str">
        <f>HYPERLINK("https://pbs.twimg.com/profile_images/1436289356763840518/Jf0nS1r5_normal.jpg")</f>
        <v>https://pbs.twimg.com/profile_images/1436289356763840518/Jf0nS1r5_normal.jpg</v>
      </c>
      <c r="W767" s="83">
        <v>44462.503680555557</v>
      </c>
      <c r="X767" s="89">
        <v>44462</v>
      </c>
      <c r="Y767" s="86" t="s">
        <v>3355</v>
      </c>
      <c r="Z767" s="84" t="str">
        <f>HYPERLINK("https://twitter.com/dmncbgs/status/1441010785719754753")</f>
        <v>https://twitter.com/dmncbgs/status/1441010785719754753</v>
      </c>
      <c r="AA767" s="81"/>
      <c r="AB767" s="81"/>
      <c r="AC767" s="86" t="s">
        <v>4819</v>
      </c>
      <c r="AD767" s="86" t="s">
        <v>6080</v>
      </c>
      <c r="AE767" s="81" t="b">
        <v>0</v>
      </c>
      <c r="AF767" s="81">
        <v>0</v>
      </c>
      <c r="AG767" s="86" t="s">
        <v>6342</v>
      </c>
      <c r="AH767" s="81" t="b">
        <v>0</v>
      </c>
      <c r="AI767" s="81" t="s">
        <v>6478</v>
      </c>
      <c r="AJ767" s="81"/>
      <c r="AK767" s="86" t="s">
        <v>6240</v>
      </c>
      <c r="AL767" s="81" t="b">
        <v>0</v>
      </c>
      <c r="AM767" s="81">
        <v>0</v>
      </c>
      <c r="AN767" s="86" t="s">
        <v>6240</v>
      </c>
      <c r="AO767" s="86" t="s">
        <v>6503</v>
      </c>
      <c r="AP767" s="81" t="b">
        <v>0</v>
      </c>
      <c r="AQ767" s="86" t="s">
        <v>6080</v>
      </c>
      <c r="AR767" s="81" t="s">
        <v>179</v>
      </c>
      <c r="AS767" s="81">
        <v>0</v>
      </c>
      <c r="AT767" s="81">
        <v>0</v>
      </c>
      <c r="AU767" s="81"/>
      <c r="AV767" s="81"/>
      <c r="AW767" s="81"/>
      <c r="AX767" s="81"/>
      <c r="AY767" s="81"/>
      <c r="AZ767" s="81"/>
      <c r="BA767" s="81"/>
      <c r="BB767" s="81"/>
    </row>
    <row r="768" spans="1:54" x14ac:dyDescent="0.35">
      <c r="A768" s="66" t="s">
        <v>762</v>
      </c>
      <c r="B768" s="66" t="s">
        <v>848</v>
      </c>
      <c r="C768" s="67"/>
      <c r="D768" s="68"/>
      <c r="E768" s="69"/>
      <c r="F768" s="70"/>
      <c r="G768" s="67"/>
      <c r="H768" s="71"/>
      <c r="I768" s="72"/>
      <c r="J768" s="72"/>
      <c r="K768" s="36"/>
      <c r="L768" s="79"/>
      <c r="M768" s="79"/>
      <c r="N768" s="74"/>
      <c r="O768" s="81" t="s">
        <v>1532</v>
      </c>
      <c r="P768" s="83">
        <v>44462.541273148148</v>
      </c>
      <c r="Q768" s="81" t="s">
        <v>1810</v>
      </c>
      <c r="R768" s="81"/>
      <c r="S768" s="81"/>
      <c r="T768" s="86" t="s">
        <v>2682</v>
      </c>
      <c r="U768" s="84" t="str">
        <f>HYPERLINK("https://pbs.twimg.com/media/E_9V_ibVEAYc8c_.jpg")</f>
        <v>https://pbs.twimg.com/media/E_9V_ibVEAYc8c_.jpg</v>
      </c>
      <c r="V768" s="84" t="str">
        <f>HYPERLINK("https://pbs.twimg.com/media/E_9V_ibVEAYc8c_.jpg")</f>
        <v>https://pbs.twimg.com/media/E_9V_ibVEAYc8c_.jpg</v>
      </c>
      <c r="W768" s="83">
        <v>44462.541273148148</v>
      </c>
      <c r="X768" s="89">
        <v>44462</v>
      </c>
      <c r="Y768" s="86" t="s">
        <v>3356</v>
      </c>
      <c r="Z768" s="84" t="str">
        <f>HYPERLINK("https://twitter.com/hoonqhwadxjj/status/1441024408940736522")</f>
        <v>https://twitter.com/hoonqhwadxjj/status/1441024408940736522</v>
      </c>
      <c r="AA768" s="81"/>
      <c r="AB768" s="81"/>
      <c r="AC768" s="86" t="s">
        <v>4820</v>
      </c>
      <c r="AD768" s="81"/>
      <c r="AE768" s="81" t="b">
        <v>0</v>
      </c>
      <c r="AF768" s="81">
        <v>0</v>
      </c>
      <c r="AG768" s="86" t="s">
        <v>6240</v>
      </c>
      <c r="AH768" s="81" t="b">
        <v>0</v>
      </c>
      <c r="AI768" s="81" t="s">
        <v>6479</v>
      </c>
      <c r="AJ768" s="81"/>
      <c r="AK768" s="86" t="s">
        <v>6240</v>
      </c>
      <c r="AL768" s="81" t="b">
        <v>0</v>
      </c>
      <c r="AM768" s="81">
        <v>12</v>
      </c>
      <c r="AN768" s="86" t="s">
        <v>4924</v>
      </c>
      <c r="AO768" s="86" t="s">
        <v>6503</v>
      </c>
      <c r="AP768" s="81" t="b">
        <v>0</v>
      </c>
      <c r="AQ768" s="86" t="s">
        <v>4924</v>
      </c>
      <c r="AR768" s="81" t="s">
        <v>179</v>
      </c>
      <c r="AS768" s="81">
        <v>0</v>
      </c>
      <c r="AT768" s="81">
        <v>0</v>
      </c>
      <c r="AU768" s="81"/>
      <c r="AV768" s="81"/>
      <c r="AW768" s="81"/>
      <c r="AX768" s="81"/>
      <c r="AY768" s="81"/>
      <c r="AZ768" s="81"/>
      <c r="BA768" s="81"/>
      <c r="BB768" s="81"/>
    </row>
    <row r="769" spans="1:54" x14ac:dyDescent="0.35">
      <c r="A769" s="66" t="s">
        <v>763</v>
      </c>
      <c r="B769" s="66" t="s">
        <v>763</v>
      </c>
      <c r="C769" s="67"/>
      <c r="D769" s="68"/>
      <c r="E769" s="69"/>
      <c r="F769" s="70"/>
      <c r="G769" s="67"/>
      <c r="H769" s="71"/>
      <c r="I769" s="72"/>
      <c r="J769" s="72"/>
      <c r="K769" s="36"/>
      <c r="L769" s="79"/>
      <c r="M769" s="79"/>
      <c r="N769" s="74"/>
      <c r="O769" s="81" t="s">
        <v>179</v>
      </c>
      <c r="P769" s="83">
        <v>44462.552685185183</v>
      </c>
      <c r="Q769" s="81" t="s">
        <v>1824</v>
      </c>
      <c r="R769" s="81"/>
      <c r="S769" s="81"/>
      <c r="T769" s="81"/>
      <c r="U769" s="81"/>
      <c r="V769" s="84" t="str">
        <f>HYPERLINK("https://pbs.twimg.com/profile_images/1429707006697361414/2lrh9YbG_normal.jpg")</f>
        <v>https://pbs.twimg.com/profile_images/1429707006697361414/2lrh9YbG_normal.jpg</v>
      </c>
      <c r="W769" s="83">
        <v>44462.552685185183</v>
      </c>
      <c r="X769" s="89">
        <v>44462</v>
      </c>
      <c r="Y769" s="86" t="s">
        <v>3357</v>
      </c>
      <c r="Z769" s="84" t="str">
        <f>HYPERLINK("https://twitter.com/caratsmarket/status/1441028542846750724")</f>
        <v>https://twitter.com/caratsmarket/status/1441028542846750724</v>
      </c>
      <c r="AA769" s="81"/>
      <c r="AB769" s="81"/>
      <c r="AC769" s="86" t="s">
        <v>4821</v>
      </c>
      <c r="AD769" s="81"/>
      <c r="AE769" s="81" t="b">
        <v>0</v>
      </c>
      <c r="AF769" s="81">
        <v>0</v>
      </c>
      <c r="AG769" s="86" t="s">
        <v>6240</v>
      </c>
      <c r="AH769" s="81" t="b">
        <v>0</v>
      </c>
      <c r="AI769" s="81" t="s">
        <v>6478</v>
      </c>
      <c r="AJ769" s="81"/>
      <c r="AK769" s="86" t="s">
        <v>6240</v>
      </c>
      <c r="AL769" s="81" t="b">
        <v>0</v>
      </c>
      <c r="AM769" s="81">
        <v>0</v>
      </c>
      <c r="AN769" s="86" t="s">
        <v>6240</v>
      </c>
      <c r="AO769" s="86" t="s">
        <v>6520</v>
      </c>
      <c r="AP769" s="81" t="b">
        <v>0</v>
      </c>
      <c r="AQ769" s="86" t="s">
        <v>4821</v>
      </c>
      <c r="AR769" s="81" t="s">
        <v>179</v>
      </c>
      <c r="AS769" s="81">
        <v>0</v>
      </c>
      <c r="AT769" s="81">
        <v>0</v>
      </c>
      <c r="AU769" s="81"/>
      <c r="AV769" s="81"/>
      <c r="AW769" s="81"/>
      <c r="AX769" s="81"/>
      <c r="AY769" s="81"/>
      <c r="AZ769" s="81"/>
      <c r="BA769" s="81"/>
      <c r="BB769" s="81"/>
    </row>
    <row r="770" spans="1:54" x14ac:dyDescent="0.35">
      <c r="A770" s="66" t="s">
        <v>764</v>
      </c>
      <c r="B770" s="66" t="s">
        <v>1392</v>
      </c>
      <c r="C770" s="67"/>
      <c r="D770" s="68"/>
      <c r="E770" s="69"/>
      <c r="F770" s="70"/>
      <c r="G770" s="67"/>
      <c r="H770" s="71"/>
      <c r="I770" s="72"/>
      <c r="J770" s="72"/>
      <c r="K770" s="36"/>
      <c r="L770" s="79"/>
      <c r="M770" s="79"/>
      <c r="N770" s="74"/>
      <c r="O770" s="81" t="s">
        <v>1534</v>
      </c>
      <c r="P770" s="83">
        <v>44462.581747685188</v>
      </c>
      <c r="Q770" s="81" t="s">
        <v>1825</v>
      </c>
      <c r="R770" s="81"/>
      <c r="S770" s="81"/>
      <c r="T770" s="81"/>
      <c r="U770" s="81"/>
      <c r="V770" s="84" t="str">
        <f>HYPERLINK("https://pbs.twimg.com/profile_images/1370776671758917634/2SEzgi_X_normal.jpg")</f>
        <v>https://pbs.twimg.com/profile_images/1370776671758917634/2SEzgi_X_normal.jpg</v>
      </c>
      <c r="W770" s="83">
        <v>44462.581747685188</v>
      </c>
      <c r="X770" s="89">
        <v>44462</v>
      </c>
      <c r="Y770" s="86" t="s">
        <v>3358</v>
      </c>
      <c r="Z770" s="84" t="str">
        <f>HYPERLINK("https://twitter.com/thisuglyducklin/status/1441039074077278209")</f>
        <v>https://twitter.com/thisuglyducklin/status/1441039074077278209</v>
      </c>
      <c r="AA770" s="81"/>
      <c r="AB770" s="81"/>
      <c r="AC770" s="86" t="s">
        <v>4822</v>
      </c>
      <c r="AD770" s="86" t="s">
        <v>6081</v>
      </c>
      <c r="AE770" s="81" t="b">
        <v>0</v>
      </c>
      <c r="AF770" s="81">
        <v>1</v>
      </c>
      <c r="AG770" s="86" t="s">
        <v>6343</v>
      </c>
      <c r="AH770" s="81" t="b">
        <v>0</v>
      </c>
      <c r="AI770" s="81" t="s">
        <v>6478</v>
      </c>
      <c r="AJ770" s="81"/>
      <c r="AK770" s="86" t="s">
        <v>6240</v>
      </c>
      <c r="AL770" s="81" t="b">
        <v>0</v>
      </c>
      <c r="AM770" s="81">
        <v>0</v>
      </c>
      <c r="AN770" s="86" t="s">
        <v>6240</v>
      </c>
      <c r="AO770" s="86" t="s">
        <v>6505</v>
      </c>
      <c r="AP770" s="81" t="b">
        <v>0</v>
      </c>
      <c r="AQ770" s="86" t="s">
        <v>6081</v>
      </c>
      <c r="AR770" s="81" t="s">
        <v>179</v>
      </c>
      <c r="AS770" s="81">
        <v>0</v>
      </c>
      <c r="AT770" s="81">
        <v>0</v>
      </c>
      <c r="AU770" s="81"/>
      <c r="AV770" s="81"/>
      <c r="AW770" s="81"/>
      <c r="AX770" s="81"/>
      <c r="AY770" s="81"/>
      <c r="AZ770" s="81"/>
      <c r="BA770" s="81"/>
      <c r="BB770" s="81"/>
    </row>
    <row r="771" spans="1:54" x14ac:dyDescent="0.35">
      <c r="A771" s="66" t="s">
        <v>765</v>
      </c>
      <c r="B771" s="66" t="s">
        <v>765</v>
      </c>
      <c r="C771" s="67"/>
      <c r="D771" s="68"/>
      <c r="E771" s="69"/>
      <c r="F771" s="70"/>
      <c r="G771" s="67"/>
      <c r="H771" s="71"/>
      <c r="I771" s="72"/>
      <c r="J771" s="72"/>
      <c r="K771" s="36"/>
      <c r="L771" s="79"/>
      <c r="M771" s="79"/>
      <c r="N771" s="74"/>
      <c r="O771" s="81" t="s">
        <v>179</v>
      </c>
      <c r="P771" s="83">
        <v>44462.583518518521</v>
      </c>
      <c r="Q771" s="81" t="s">
        <v>1826</v>
      </c>
      <c r="R771" s="81"/>
      <c r="S771" s="81"/>
      <c r="T771" s="81"/>
      <c r="U771" s="81"/>
      <c r="V771" s="84" t="str">
        <f>HYPERLINK("https://pbs.twimg.com/profile_images/1442310021434404870/3KdtJT_w_normal.jpg")</f>
        <v>https://pbs.twimg.com/profile_images/1442310021434404870/3KdtJT_w_normal.jpg</v>
      </c>
      <c r="W771" s="83">
        <v>44462.583518518521</v>
      </c>
      <c r="X771" s="89">
        <v>44462</v>
      </c>
      <c r="Y771" s="86" t="s">
        <v>3359</v>
      </c>
      <c r="Z771" s="84" t="str">
        <f>HYPERLINK("https://twitter.com/caesarygesa/status/1441039717298966537")</f>
        <v>https://twitter.com/caesarygesa/status/1441039717298966537</v>
      </c>
      <c r="AA771" s="81"/>
      <c r="AB771" s="81"/>
      <c r="AC771" s="86" t="s">
        <v>4823</v>
      </c>
      <c r="AD771" s="81"/>
      <c r="AE771" s="81" t="b">
        <v>0</v>
      </c>
      <c r="AF771" s="81">
        <v>0</v>
      </c>
      <c r="AG771" s="86" t="s">
        <v>6240</v>
      </c>
      <c r="AH771" s="81" t="b">
        <v>0</v>
      </c>
      <c r="AI771" s="81" t="s">
        <v>6478</v>
      </c>
      <c r="AJ771" s="81"/>
      <c r="AK771" s="86" t="s">
        <v>6240</v>
      </c>
      <c r="AL771" s="81" t="b">
        <v>0</v>
      </c>
      <c r="AM771" s="81">
        <v>0</v>
      </c>
      <c r="AN771" s="86" t="s">
        <v>6240</v>
      </c>
      <c r="AO771" s="86" t="s">
        <v>6503</v>
      </c>
      <c r="AP771" s="81" t="b">
        <v>0</v>
      </c>
      <c r="AQ771" s="86" t="s">
        <v>4823</v>
      </c>
      <c r="AR771" s="81" t="s">
        <v>179</v>
      </c>
      <c r="AS771" s="81">
        <v>0</v>
      </c>
      <c r="AT771" s="81">
        <v>0</v>
      </c>
      <c r="AU771" s="81"/>
      <c r="AV771" s="81"/>
      <c r="AW771" s="81"/>
      <c r="AX771" s="81"/>
      <c r="AY771" s="81"/>
      <c r="AZ771" s="81"/>
      <c r="BA771" s="81"/>
      <c r="BB771" s="81"/>
    </row>
    <row r="772" spans="1:54" x14ac:dyDescent="0.35">
      <c r="A772" s="66" t="s">
        <v>766</v>
      </c>
      <c r="B772" s="66" t="s">
        <v>1268</v>
      </c>
      <c r="C772" s="67"/>
      <c r="D772" s="68"/>
      <c r="E772" s="69"/>
      <c r="F772" s="70"/>
      <c r="G772" s="67"/>
      <c r="H772" s="71"/>
      <c r="I772" s="72"/>
      <c r="J772" s="72"/>
      <c r="K772" s="36"/>
      <c r="L772" s="79"/>
      <c r="M772" s="79"/>
      <c r="N772" s="74"/>
      <c r="O772" s="81" t="s">
        <v>1534</v>
      </c>
      <c r="P772" s="83">
        <v>44462.585046296299</v>
      </c>
      <c r="Q772" s="81" t="s">
        <v>1827</v>
      </c>
      <c r="R772" s="81"/>
      <c r="S772" s="81"/>
      <c r="T772" s="81"/>
      <c r="U772" s="81"/>
      <c r="V772" s="84" t="str">
        <f>HYPERLINK("https://pbs.twimg.com/profile_images/1402146386611560450/XtPLPmAu_normal.jpg")</f>
        <v>https://pbs.twimg.com/profile_images/1402146386611560450/XtPLPmAu_normal.jpg</v>
      </c>
      <c r="W772" s="83">
        <v>44462.585046296299</v>
      </c>
      <c r="X772" s="89">
        <v>44462</v>
      </c>
      <c r="Y772" s="86" t="s">
        <v>3360</v>
      </c>
      <c r="Z772" s="84" t="str">
        <f>HYPERLINK("https://twitter.com/prakamaulana/status/1441040272985452549")</f>
        <v>https://twitter.com/prakamaulana/status/1441040272985452549</v>
      </c>
      <c r="AA772" s="81"/>
      <c r="AB772" s="81"/>
      <c r="AC772" s="86" t="s">
        <v>4824</v>
      </c>
      <c r="AD772" s="86" t="s">
        <v>6082</v>
      </c>
      <c r="AE772" s="81" t="b">
        <v>0</v>
      </c>
      <c r="AF772" s="81">
        <v>0</v>
      </c>
      <c r="AG772" s="86" t="s">
        <v>6285</v>
      </c>
      <c r="AH772" s="81" t="b">
        <v>0</v>
      </c>
      <c r="AI772" s="81" t="s">
        <v>6478</v>
      </c>
      <c r="AJ772" s="81"/>
      <c r="AK772" s="86" t="s">
        <v>6240</v>
      </c>
      <c r="AL772" s="81" t="b">
        <v>0</v>
      </c>
      <c r="AM772" s="81">
        <v>0</v>
      </c>
      <c r="AN772" s="86" t="s">
        <v>6240</v>
      </c>
      <c r="AO772" s="86" t="s">
        <v>6503</v>
      </c>
      <c r="AP772" s="81" t="b">
        <v>0</v>
      </c>
      <c r="AQ772" s="86" t="s">
        <v>6082</v>
      </c>
      <c r="AR772" s="81" t="s">
        <v>179</v>
      </c>
      <c r="AS772" s="81">
        <v>0</v>
      </c>
      <c r="AT772" s="81">
        <v>0</v>
      </c>
      <c r="AU772" s="81"/>
      <c r="AV772" s="81"/>
      <c r="AW772" s="81"/>
      <c r="AX772" s="81"/>
      <c r="AY772" s="81"/>
      <c r="AZ772" s="81"/>
      <c r="BA772" s="81"/>
      <c r="BB772" s="81"/>
    </row>
    <row r="773" spans="1:54" x14ac:dyDescent="0.35">
      <c r="A773" s="66" t="s">
        <v>767</v>
      </c>
      <c r="B773" s="66" t="s">
        <v>1393</v>
      </c>
      <c r="C773" s="67"/>
      <c r="D773" s="68"/>
      <c r="E773" s="69"/>
      <c r="F773" s="70"/>
      <c r="G773" s="67"/>
      <c r="H773" s="71"/>
      <c r="I773" s="72"/>
      <c r="J773" s="72"/>
      <c r="K773" s="36"/>
      <c r="L773" s="79"/>
      <c r="M773" s="79"/>
      <c r="N773" s="74"/>
      <c r="O773" s="81" t="s">
        <v>1534</v>
      </c>
      <c r="P773" s="83">
        <v>44462.429062499999</v>
      </c>
      <c r="Q773" s="81" t="s">
        <v>1828</v>
      </c>
      <c r="R773" s="81"/>
      <c r="S773" s="81"/>
      <c r="T773" s="81"/>
      <c r="U773" s="81"/>
      <c r="V773" s="84" t="str">
        <f>HYPERLINK("https://pbs.twimg.com/profile_images/1438174918064046080/KWUUYtUa_normal.jpg")</f>
        <v>https://pbs.twimg.com/profile_images/1438174918064046080/KWUUYtUa_normal.jpg</v>
      </c>
      <c r="W773" s="83">
        <v>44462.429062499999</v>
      </c>
      <c r="X773" s="89">
        <v>44462</v>
      </c>
      <c r="Y773" s="86" t="s">
        <v>3361</v>
      </c>
      <c r="Z773" s="84" t="str">
        <f>HYPERLINK("https://twitter.com/liliiluuu/status/1440983744546938883")</f>
        <v>https://twitter.com/liliiluuu/status/1440983744546938883</v>
      </c>
      <c r="AA773" s="81"/>
      <c r="AB773" s="81"/>
      <c r="AC773" s="86" t="s">
        <v>4825</v>
      </c>
      <c r="AD773" s="86" t="s">
        <v>6083</v>
      </c>
      <c r="AE773" s="81" t="b">
        <v>0</v>
      </c>
      <c r="AF773" s="81">
        <v>0</v>
      </c>
      <c r="AG773" s="86" t="s">
        <v>6344</v>
      </c>
      <c r="AH773" s="81" t="b">
        <v>0</v>
      </c>
      <c r="AI773" s="81" t="s">
        <v>6478</v>
      </c>
      <c r="AJ773" s="81"/>
      <c r="AK773" s="86" t="s">
        <v>6240</v>
      </c>
      <c r="AL773" s="81" t="b">
        <v>0</v>
      </c>
      <c r="AM773" s="81">
        <v>0</v>
      </c>
      <c r="AN773" s="86" t="s">
        <v>6240</v>
      </c>
      <c r="AO773" s="86" t="s">
        <v>6505</v>
      </c>
      <c r="AP773" s="81" t="b">
        <v>0</v>
      </c>
      <c r="AQ773" s="86" t="s">
        <v>6083</v>
      </c>
      <c r="AR773" s="81" t="s">
        <v>179</v>
      </c>
      <c r="AS773" s="81">
        <v>0</v>
      </c>
      <c r="AT773" s="81">
        <v>0</v>
      </c>
      <c r="AU773" s="81"/>
      <c r="AV773" s="81"/>
      <c r="AW773" s="81"/>
      <c r="AX773" s="81"/>
      <c r="AY773" s="81"/>
      <c r="AZ773" s="81"/>
      <c r="BA773" s="81"/>
      <c r="BB773" s="81"/>
    </row>
    <row r="774" spans="1:54" x14ac:dyDescent="0.35">
      <c r="A774" s="66" t="s">
        <v>767</v>
      </c>
      <c r="B774" s="66" t="s">
        <v>1393</v>
      </c>
      <c r="C774" s="67"/>
      <c r="D774" s="68"/>
      <c r="E774" s="69"/>
      <c r="F774" s="70"/>
      <c r="G774" s="67"/>
      <c r="H774" s="71"/>
      <c r="I774" s="72"/>
      <c r="J774" s="72"/>
      <c r="K774" s="36"/>
      <c r="L774" s="79"/>
      <c r="M774" s="79"/>
      <c r="N774" s="74"/>
      <c r="O774" s="81" t="s">
        <v>1534</v>
      </c>
      <c r="P774" s="83">
        <v>44462.590543981481</v>
      </c>
      <c r="Q774" s="81" t="s">
        <v>1829</v>
      </c>
      <c r="R774" s="81"/>
      <c r="S774" s="81"/>
      <c r="T774" s="81"/>
      <c r="U774" s="81"/>
      <c r="V774" s="84" t="str">
        <f>HYPERLINK("https://pbs.twimg.com/profile_images/1438174918064046080/KWUUYtUa_normal.jpg")</f>
        <v>https://pbs.twimg.com/profile_images/1438174918064046080/KWUUYtUa_normal.jpg</v>
      </c>
      <c r="W774" s="83">
        <v>44462.590543981481</v>
      </c>
      <c r="X774" s="89">
        <v>44462</v>
      </c>
      <c r="Y774" s="86" t="s">
        <v>3362</v>
      </c>
      <c r="Z774" s="84" t="str">
        <f>HYPERLINK("https://twitter.com/liliiluuu/status/1441042265175035910")</f>
        <v>https://twitter.com/liliiluuu/status/1441042265175035910</v>
      </c>
      <c r="AA774" s="81"/>
      <c r="AB774" s="81"/>
      <c r="AC774" s="86" t="s">
        <v>4826</v>
      </c>
      <c r="AD774" s="86" t="s">
        <v>6084</v>
      </c>
      <c r="AE774" s="81" t="b">
        <v>0</v>
      </c>
      <c r="AF774" s="81">
        <v>0</v>
      </c>
      <c r="AG774" s="86" t="s">
        <v>6344</v>
      </c>
      <c r="AH774" s="81" t="b">
        <v>0</v>
      </c>
      <c r="AI774" s="81" t="s">
        <v>6478</v>
      </c>
      <c r="AJ774" s="81"/>
      <c r="AK774" s="86" t="s">
        <v>6240</v>
      </c>
      <c r="AL774" s="81" t="b">
        <v>0</v>
      </c>
      <c r="AM774" s="81">
        <v>0</v>
      </c>
      <c r="AN774" s="86" t="s">
        <v>6240</v>
      </c>
      <c r="AO774" s="86" t="s">
        <v>6505</v>
      </c>
      <c r="AP774" s="81" t="b">
        <v>0</v>
      </c>
      <c r="AQ774" s="86" t="s">
        <v>6084</v>
      </c>
      <c r="AR774" s="81" t="s">
        <v>179</v>
      </c>
      <c r="AS774" s="81">
        <v>0</v>
      </c>
      <c r="AT774" s="81">
        <v>0</v>
      </c>
      <c r="AU774" s="81"/>
      <c r="AV774" s="81"/>
      <c r="AW774" s="81"/>
      <c r="AX774" s="81"/>
      <c r="AY774" s="81"/>
      <c r="AZ774" s="81"/>
      <c r="BA774" s="81"/>
      <c r="BB774" s="81"/>
    </row>
    <row r="775" spans="1:54" x14ac:dyDescent="0.35">
      <c r="A775" s="66" t="s">
        <v>768</v>
      </c>
      <c r="B775" s="66" t="s">
        <v>768</v>
      </c>
      <c r="C775" s="67"/>
      <c r="D775" s="68"/>
      <c r="E775" s="69"/>
      <c r="F775" s="70"/>
      <c r="G775" s="67"/>
      <c r="H775" s="71"/>
      <c r="I775" s="72"/>
      <c r="J775" s="72"/>
      <c r="K775" s="36"/>
      <c r="L775" s="79"/>
      <c r="M775" s="79"/>
      <c r="N775" s="74"/>
      <c r="O775" s="81" t="s">
        <v>179</v>
      </c>
      <c r="P775" s="83">
        <v>44462.614259259259</v>
      </c>
      <c r="Q775" s="81" t="s">
        <v>1830</v>
      </c>
      <c r="R775" s="84" t="str">
        <f>HYPERLINK("https://twitter.com/juventusfcid/status/1440798025639555074")</f>
        <v>https://twitter.com/juventusfcid/status/1440798025639555074</v>
      </c>
      <c r="S775" s="81" t="s">
        <v>2588</v>
      </c>
      <c r="T775" s="81"/>
      <c r="U775" s="81"/>
      <c r="V775" s="84" t="str">
        <f>HYPERLINK("https://pbs.twimg.com/profile_images/1237185466463481856/tn87uPWh_normal.jpg")</f>
        <v>https://pbs.twimg.com/profile_images/1237185466463481856/tn87uPWh_normal.jpg</v>
      </c>
      <c r="W775" s="83">
        <v>44462.614259259259</v>
      </c>
      <c r="X775" s="89">
        <v>44462</v>
      </c>
      <c r="Y775" s="86" t="s">
        <v>3363</v>
      </c>
      <c r="Z775" s="84" t="str">
        <f>HYPERLINK("https://twitter.com/nurlimreski/status/1441050859027124227")</f>
        <v>https://twitter.com/nurlimreski/status/1441050859027124227</v>
      </c>
      <c r="AA775" s="81"/>
      <c r="AB775" s="81"/>
      <c r="AC775" s="86" t="s">
        <v>4827</v>
      </c>
      <c r="AD775" s="81"/>
      <c r="AE775" s="81" t="b">
        <v>0</v>
      </c>
      <c r="AF775" s="81">
        <v>0</v>
      </c>
      <c r="AG775" s="86" t="s">
        <v>6240</v>
      </c>
      <c r="AH775" s="81" t="b">
        <v>1</v>
      </c>
      <c r="AI775" s="81" t="s">
        <v>6478</v>
      </c>
      <c r="AJ775" s="81"/>
      <c r="AK775" s="86" t="s">
        <v>5039</v>
      </c>
      <c r="AL775" s="81" t="b">
        <v>0</v>
      </c>
      <c r="AM775" s="81">
        <v>0</v>
      </c>
      <c r="AN775" s="86" t="s">
        <v>6240</v>
      </c>
      <c r="AO775" s="86" t="s">
        <v>6503</v>
      </c>
      <c r="AP775" s="81" t="b">
        <v>0</v>
      </c>
      <c r="AQ775" s="86" t="s">
        <v>4827</v>
      </c>
      <c r="AR775" s="81" t="s">
        <v>179</v>
      </c>
      <c r="AS775" s="81">
        <v>0</v>
      </c>
      <c r="AT775" s="81">
        <v>0</v>
      </c>
      <c r="AU775" s="81" t="s">
        <v>6537</v>
      </c>
      <c r="AV775" s="81" t="s">
        <v>6543</v>
      </c>
      <c r="AW775" s="81" t="s">
        <v>12</v>
      </c>
      <c r="AX775" s="81" t="s">
        <v>6545</v>
      </c>
      <c r="AY775" s="81" t="s">
        <v>6552</v>
      </c>
      <c r="AZ775" s="81" t="s">
        <v>6559</v>
      </c>
      <c r="BA775" s="81" t="s">
        <v>6564</v>
      </c>
      <c r="BB775" s="84" t="str">
        <f>HYPERLINK("https://api.twitter.com/1.1/geo/id/31b52ffb0858efed.json")</f>
        <v>https://api.twitter.com/1.1/geo/id/31b52ffb0858efed.json</v>
      </c>
    </row>
    <row r="776" spans="1:54" x14ac:dyDescent="0.35">
      <c r="A776" s="66" t="s">
        <v>769</v>
      </c>
      <c r="B776" s="66" t="s">
        <v>769</v>
      </c>
      <c r="C776" s="67"/>
      <c r="D776" s="68"/>
      <c r="E776" s="69"/>
      <c r="F776" s="70"/>
      <c r="G776" s="67"/>
      <c r="H776" s="71"/>
      <c r="I776" s="72"/>
      <c r="J776" s="72"/>
      <c r="K776" s="36"/>
      <c r="L776" s="79"/>
      <c r="M776" s="79"/>
      <c r="N776" s="74"/>
      <c r="O776" s="81" t="s">
        <v>179</v>
      </c>
      <c r="P776" s="83">
        <v>44458.014351851853</v>
      </c>
      <c r="Q776" s="81" t="s">
        <v>1831</v>
      </c>
      <c r="R776" s="84" t="str">
        <f>HYPERLINK("https://www.jobsid.co/")</f>
        <v>https://www.jobsid.co/</v>
      </c>
      <c r="S776" s="81" t="s">
        <v>2598</v>
      </c>
      <c r="T776" s="86" t="s">
        <v>2687</v>
      </c>
      <c r="U776" s="84" t="str">
        <f>HYPERLINK("https://pbs.twimg.com/media/E_m3_56VEAEN4go.jpg")</f>
        <v>https://pbs.twimg.com/media/E_m3_56VEAEN4go.jpg</v>
      </c>
      <c r="V776" s="84" t="str">
        <f>HYPERLINK("https://pbs.twimg.com/media/E_m3_56VEAEN4go.jpg")</f>
        <v>https://pbs.twimg.com/media/E_m3_56VEAEN4go.jpg</v>
      </c>
      <c r="W776" s="83">
        <v>44458.014351851853</v>
      </c>
      <c r="X776" s="89">
        <v>44458</v>
      </c>
      <c r="Y776" s="86" t="s">
        <v>3364</v>
      </c>
      <c r="Z776" s="84" t="str">
        <f>HYPERLINK("https://twitter.com/twitlowongan/status/1439383905916776452")</f>
        <v>https://twitter.com/twitlowongan/status/1439383905916776452</v>
      </c>
      <c r="AA776" s="81"/>
      <c r="AB776" s="81"/>
      <c r="AC776" s="86" t="s">
        <v>4828</v>
      </c>
      <c r="AD776" s="81"/>
      <c r="AE776" s="81" t="b">
        <v>0</v>
      </c>
      <c r="AF776" s="81">
        <v>4</v>
      </c>
      <c r="AG776" s="86" t="s">
        <v>6240</v>
      </c>
      <c r="AH776" s="81" t="b">
        <v>0</v>
      </c>
      <c r="AI776" s="81" t="s">
        <v>6478</v>
      </c>
      <c r="AJ776" s="81"/>
      <c r="AK776" s="86" t="s">
        <v>6240</v>
      </c>
      <c r="AL776" s="81" t="b">
        <v>0</v>
      </c>
      <c r="AM776" s="81">
        <v>0</v>
      </c>
      <c r="AN776" s="86" t="s">
        <v>6240</v>
      </c>
      <c r="AO776" s="86" t="s">
        <v>6507</v>
      </c>
      <c r="AP776" s="81" t="b">
        <v>0</v>
      </c>
      <c r="AQ776" s="86" t="s">
        <v>4828</v>
      </c>
      <c r="AR776" s="81" t="s">
        <v>179</v>
      </c>
      <c r="AS776" s="81">
        <v>0</v>
      </c>
      <c r="AT776" s="81">
        <v>0</v>
      </c>
      <c r="AU776" s="81"/>
      <c r="AV776" s="81"/>
      <c r="AW776" s="81"/>
      <c r="AX776" s="81"/>
      <c r="AY776" s="81"/>
      <c r="AZ776" s="81"/>
      <c r="BA776" s="81"/>
      <c r="BB776" s="81"/>
    </row>
    <row r="777" spans="1:54" x14ac:dyDescent="0.35">
      <c r="A777" s="66" t="s">
        <v>769</v>
      </c>
      <c r="B777" s="66" t="s">
        <v>769</v>
      </c>
      <c r="C777" s="67"/>
      <c r="D777" s="68"/>
      <c r="E777" s="69"/>
      <c r="F777" s="70"/>
      <c r="G777" s="67"/>
      <c r="H777" s="71"/>
      <c r="I777" s="72"/>
      <c r="J777" s="72"/>
      <c r="K777" s="36"/>
      <c r="L777" s="79"/>
      <c r="M777" s="79"/>
      <c r="N777" s="74"/>
      <c r="O777" s="81" t="s">
        <v>179</v>
      </c>
      <c r="P777" s="83">
        <v>44459.311076388891</v>
      </c>
      <c r="Q777" s="81" t="s">
        <v>1832</v>
      </c>
      <c r="R777" s="84" t="str">
        <f>HYPERLINK("https://www.jobsid.co/")</f>
        <v>https://www.jobsid.co/</v>
      </c>
      <c r="S777" s="81" t="s">
        <v>2598</v>
      </c>
      <c r="T777" s="86" t="s">
        <v>2687</v>
      </c>
      <c r="U777" s="84" t="str">
        <f>HYPERLINK("https://pbs.twimg.com/media/E_tjX7tVgAI5-Zx.jpg")</f>
        <v>https://pbs.twimg.com/media/E_tjX7tVgAI5-Zx.jpg</v>
      </c>
      <c r="V777" s="84" t="str">
        <f>HYPERLINK("https://pbs.twimg.com/media/E_tjX7tVgAI5-Zx.jpg")</f>
        <v>https://pbs.twimg.com/media/E_tjX7tVgAI5-Zx.jpg</v>
      </c>
      <c r="W777" s="83">
        <v>44459.311076388891</v>
      </c>
      <c r="X777" s="89">
        <v>44459</v>
      </c>
      <c r="Y777" s="86" t="s">
        <v>3365</v>
      </c>
      <c r="Z777" s="84" t="str">
        <f>HYPERLINK("https://twitter.com/twitlowongan/status/1439853822390636551")</f>
        <v>https://twitter.com/twitlowongan/status/1439853822390636551</v>
      </c>
      <c r="AA777" s="81"/>
      <c r="AB777" s="81"/>
      <c r="AC777" s="86" t="s">
        <v>4829</v>
      </c>
      <c r="AD777" s="81"/>
      <c r="AE777" s="81" t="b">
        <v>0</v>
      </c>
      <c r="AF777" s="81">
        <v>1</v>
      </c>
      <c r="AG777" s="86" t="s">
        <v>6240</v>
      </c>
      <c r="AH777" s="81" t="b">
        <v>0</v>
      </c>
      <c r="AI777" s="81" t="s">
        <v>6478</v>
      </c>
      <c r="AJ777" s="81"/>
      <c r="AK777" s="86" t="s">
        <v>6240</v>
      </c>
      <c r="AL777" s="81" t="b">
        <v>0</v>
      </c>
      <c r="AM777" s="81">
        <v>0</v>
      </c>
      <c r="AN777" s="86" t="s">
        <v>6240</v>
      </c>
      <c r="AO777" s="86" t="s">
        <v>6507</v>
      </c>
      <c r="AP777" s="81" t="b">
        <v>0</v>
      </c>
      <c r="AQ777" s="86" t="s">
        <v>4829</v>
      </c>
      <c r="AR777" s="81" t="s">
        <v>179</v>
      </c>
      <c r="AS777" s="81">
        <v>0</v>
      </c>
      <c r="AT777" s="81">
        <v>0</v>
      </c>
      <c r="AU777" s="81"/>
      <c r="AV777" s="81"/>
      <c r="AW777" s="81"/>
      <c r="AX777" s="81"/>
      <c r="AY777" s="81"/>
      <c r="AZ777" s="81"/>
      <c r="BA777" s="81"/>
      <c r="BB777" s="81"/>
    </row>
    <row r="778" spans="1:54" x14ac:dyDescent="0.35">
      <c r="A778" s="66" t="s">
        <v>769</v>
      </c>
      <c r="B778" s="66" t="s">
        <v>769</v>
      </c>
      <c r="C778" s="67"/>
      <c r="D778" s="68"/>
      <c r="E778" s="69"/>
      <c r="F778" s="70"/>
      <c r="G778" s="67"/>
      <c r="H778" s="71"/>
      <c r="I778" s="72"/>
      <c r="J778" s="72"/>
      <c r="K778" s="36"/>
      <c r="L778" s="79"/>
      <c r="M778" s="79"/>
      <c r="N778" s="74"/>
      <c r="O778" s="81" t="s">
        <v>179</v>
      </c>
      <c r="P778" s="83">
        <v>44460.208599537036</v>
      </c>
      <c r="Q778" s="81" t="s">
        <v>1833</v>
      </c>
      <c r="R778" s="84" t="str">
        <f>HYPERLINK("https://www.jobsid.co/")</f>
        <v>https://www.jobsid.co/</v>
      </c>
      <c r="S778" s="81" t="s">
        <v>2598</v>
      </c>
      <c r="T778" s="86" t="s">
        <v>2687</v>
      </c>
      <c r="U778" s="84" t="str">
        <f>HYPERLINK("https://pbs.twimg.com/media/E_yLPKwVUAI6Ms7.jpg")</f>
        <v>https://pbs.twimg.com/media/E_yLPKwVUAI6Ms7.jpg</v>
      </c>
      <c r="V778" s="84" t="str">
        <f>HYPERLINK("https://pbs.twimg.com/media/E_yLPKwVUAI6Ms7.jpg")</f>
        <v>https://pbs.twimg.com/media/E_yLPKwVUAI6Ms7.jpg</v>
      </c>
      <c r="W778" s="83">
        <v>44460.208599537036</v>
      </c>
      <c r="X778" s="89">
        <v>44460</v>
      </c>
      <c r="Y778" s="86" t="s">
        <v>3366</v>
      </c>
      <c r="Z778" s="84" t="str">
        <f>HYPERLINK("https://twitter.com/twitlowongan/status/1440179075595735040")</f>
        <v>https://twitter.com/twitlowongan/status/1440179075595735040</v>
      </c>
      <c r="AA778" s="81"/>
      <c r="AB778" s="81"/>
      <c r="AC778" s="86" t="s">
        <v>4830</v>
      </c>
      <c r="AD778" s="81"/>
      <c r="AE778" s="81" t="b">
        <v>0</v>
      </c>
      <c r="AF778" s="81">
        <v>1</v>
      </c>
      <c r="AG778" s="86" t="s">
        <v>6240</v>
      </c>
      <c r="AH778" s="81" t="b">
        <v>0</v>
      </c>
      <c r="AI778" s="81" t="s">
        <v>6478</v>
      </c>
      <c r="AJ778" s="81"/>
      <c r="AK778" s="86" t="s">
        <v>6240</v>
      </c>
      <c r="AL778" s="81" t="b">
        <v>0</v>
      </c>
      <c r="AM778" s="81">
        <v>0</v>
      </c>
      <c r="AN778" s="86" t="s">
        <v>6240</v>
      </c>
      <c r="AO778" s="86" t="s">
        <v>6521</v>
      </c>
      <c r="AP778" s="81" t="b">
        <v>0</v>
      </c>
      <c r="AQ778" s="86" t="s">
        <v>4830</v>
      </c>
      <c r="AR778" s="81" t="s">
        <v>179</v>
      </c>
      <c r="AS778" s="81">
        <v>0</v>
      </c>
      <c r="AT778" s="81">
        <v>0</v>
      </c>
      <c r="AU778" s="81"/>
      <c r="AV778" s="81"/>
      <c r="AW778" s="81"/>
      <c r="AX778" s="81"/>
      <c r="AY778" s="81"/>
      <c r="AZ778" s="81"/>
      <c r="BA778" s="81"/>
      <c r="BB778" s="81"/>
    </row>
    <row r="779" spans="1:54" x14ac:dyDescent="0.35">
      <c r="A779" s="66" t="s">
        <v>769</v>
      </c>
      <c r="B779" s="66" t="s">
        <v>769</v>
      </c>
      <c r="C779" s="67"/>
      <c r="D779" s="68"/>
      <c r="E779" s="69"/>
      <c r="F779" s="70"/>
      <c r="G779" s="67"/>
      <c r="H779" s="71"/>
      <c r="I779" s="72"/>
      <c r="J779" s="72"/>
      <c r="K779" s="36"/>
      <c r="L779" s="79"/>
      <c r="M779" s="79"/>
      <c r="N779" s="74"/>
      <c r="O779" s="81" t="s">
        <v>179</v>
      </c>
      <c r="P779" s="83">
        <v>44461.250555555554</v>
      </c>
      <c r="Q779" s="81" t="s">
        <v>1834</v>
      </c>
      <c r="R779" s="84" t="str">
        <f>HYPERLINK("https://www.jobsid.co/")</f>
        <v>https://www.jobsid.co/</v>
      </c>
      <c r="S779" s="81" t="s">
        <v>2598</v>
      </c>
      <c r="T779" s="86" t="s">
        <v>2687</v>
      </c>
      <c r="U779" s="84" t="str">
        <f>HYPERLINK("https://pbs.twimg.com/media/E_3ip5VVkAMbpoH.jpg")</f>
        <v>https://pbs.twimg.com/media/E_3ip5VVkAMbpoH.jpg</v>
      </c>
      <c r="V779" s="84" t="str">
        <f>HYPERLINK("https://pbs.twimg.com/media/E_3ip5VVkAMbpoH.jpg")</f>
        <v>https://pbs.twimg.com/media/E_3ip5VVkAMbpoH.jpg</v>
      </c>
      <c r="W779" s="83">
        <v>44461.250555555554</v>
      </c>
      <c r="X779" s="89">
        <v>44461</v>
      </c>
      <c r="Y779" s="86" t="s">
        <v>3367</v>
      </c>
      <c r="Z779" s="84" t="str">
        <f>HYPERLINK("https://twitter.com/twitlowongan/status/1440556667309936648")</f>
        <v>https://twitter.com/twitlowongan/status/1440556667309936648</v>
      </c>
      <c r="AA779" s="81"/>
      <c r="AB779" s="81"/>
      <c r="AC779" s="86" t="s">
        <v>4831</v>
      </c>
      <c r="AD779" s="81"/>
      <c r="AE779" s="81" t="b">
        <v>0</v>
      </c>
      <c r="AF779" s="81">
        <v>0</v>
      </c>
      <c r="AG779" s="86" t="s">
        <v>6240</v>
      </c>
      <c r="AH779" s="81" t="b">
        <v>0</v>
      </c>
      <c r="AI779" s="81" t="s">
        <v>6478</v>
      </c>
      <c r="AJ779" s="81"/>
      <c r="AK779" s="86" t="s">
        <v>6240</v>
      </c>
      <c r="AL779" s="81" t="b">
        <v>0</v>
      </c>
      <c r="AM779" s="81">
        <v>0</v>
      </c>
      <c r="AN779" s="86" t="s">
        <v>6240</v>
      </c>
      <c r="AO779" s="86" t="s">
        <v>6521</v>
      </c>
      <c r="AP779" s="81" t="b">
        <v>0</v>
      </c>
      <c r="AQ779" s="86" t="s">
        <v>4831</v>
      </c>
      <c r="AR779" s="81" t="s">
        <v>179</v>
      </c>
      <c r="AS779" s="81">
        <v>0</v>
      </c>
      <c r="AT779" s="81">
        <v>0</v>
      </c>
      <c r="AU779" s="81"/>
      <c r="AV779" s="81"/>
      <c r="AW779" s="81"/>
      <c r="AX779" s="81"/>
      <c r="AY779" s="81"/>
      <c r="AZ779" s="81"/>
      <c r="BA779" s="81"/>
      <c r="BB779" s="81"/>
    </row>
    <row r="780" spans="1:54" x14ac:dyDescent="0.35">
      <c r="A780" s="66" t="s">
        <v>769</v>
      </c>
      <c r="B780" s="66" t="s">
        <v>769</v>
      </c>
      <c r="C780" s="67"/>
      <c r="D780" s="68"/>
      <c r="E780" s="69"/>
      <c r="F780" s="70"/>
      <c r="G780" s="67"/>
      <c r="H780" s="71"/>
      <c r="I780" s="72"/>
      <c r="J780" s="72"/>
      <c r="K780" s="36"/>
      <c r="L780" s="79"/>
      <c r="M780" s="79"/>
      <c r="N780" s="74"/>
      <c r="O780" s="81" t="s">
        <v>179</v>
      </c>
      <c r="P780" s="83">
        <v>44462.637766203705</v>
      </c>
      <c r="Q780" s="81" t="s">
        <v>1835</v>
      </c>
      <c r="R780" s="84" t="str">
        <f>HYPERLINK("https://www.jobsid.co/")</f>
        <v>https://www.jobsid.co/</v>
      </c>
      <c r="S780" s="81" t="s">
        <v>2598</v>
      </c>
      <c r="T780" s="86" t="s">
        <v>2687</v>
      </c>
      <c r="U780" s="84" t="str">
        <f>HYPERLINK("https://pbs.twimg.com/media/E_-r2VEVgAYTq_P.jpg")</f>
        <v>https://pbs.twimg.com/media/E_-r2VEVgAYTq_P.jpg</v>
      </c>
      <c r="V780" s="84" t="str">
        <f>HYPERLINK("https://pbs.twimg.com/media/E_-r2VEVgAYTq_P.jpg")</f>
        <v>https://pbs.twimg.com/media/E_-r2VEVgAYTq_P.jpg</v>
      </c>
      <c r="W780" s="83">
        <v>44462.637766203705</v>
      </c>
      <c r="X780" s="89">
        <v>44462</v>
      </c>
      <c r="Y780" s="86" t="s">
        <v>3368</v>
      </c>
      <c r="Z780" s="84" t="str">
        <f>HYPERLINK("https://twitter.com/twitlowongan/status/1441059376660246528")</f>
        <v>https://twitter.com/twitlowongan/status/1441059376660246528</v>
      </c>
      <c r="AA780" s="81"/>
      <c r="AB780" s="81"/>
      <c r="AC780" s="86" t="s">
        <v>4832</v>
      </c>
      <c r="AD780" s="81"/>
      <c r="AE780" s="81" t="b">
        <v>0</v>
      </c>
      <c r="AF780" s="81">
        <v>0</v>
      </c>
      <c r="AG780" s="86" t="s">
        <v>6240</v>
      </c>
      <c r="AH780" s="81" t="b">
        <v>0</v>
      </c>
      <c r="AI780" s="81" t="s">
        <v>6478</v>
      </c>
      <c r="AJ780" s="81"/>
      <c r="AK780" s="86" t="s">
        <v>6240</v>
      </c>
      <c r="AL780" s="81" t="b">
        <v>0</v>
      </c>
      <c r="AM780" s="81">
        <v>1</v>
      </c>
      <c r="AN780" s="86" t="s">
        <v>6240</v>
      </c>
      <c r="AO780" s="86" t="s">
        <v>6507</v>
      </c>
      <c r="AP780" s="81" t="b">
        <v>0</v>
      </c>
      <c r="AQ780" s="86" t="s">
        <v>4832</v>
      </c>
      <c r="AR780" s="81" t="s">
        <v>179</v>
      </c>
      <c r="AS780" s="81">
        <v>0</v>
      </c>
      <c r="AT780" s="81">
        <v>0</v>
      </c>
      <c r="AU780" s="81"/>
      <c r="AV780" s="81"/>
      <c r="AW780" s="81"/>
      <c r="AX780" s="81"/>
      <c r="AY780" s="81"/>
      <c r="AZ780" s="81"/>
      <c r="BA780" s="81"/>
      <c r="BB780" s="81"/>
    </row>
    <row r="781" spans="1:54" x14ac:dyDescent="0.35">
      <c r="A781" s="66" t="s">
        <v>770</v>
      </c>
      <c r="B781" s="66" t="s">
        <v>769</v>
      </c>
      <c r="C781" s="67"/>
      <c r="D781" s="68"/>
      <c r="E781" s="69"/>
      <c r="F781" s="70"/>
      <c r="G781" s="67"/>
      <c r="H781" s="71"/>
      <c r="I781" s="72"/>
      <c r="J781" s="72"/>
      <c r="K781" s="36"/>
      <c r="L781" s="79"/>
      <c r="M781" s="79"/>
      <c r="N781" s="74"/>
      <c r="O781" s="81" t="s">
        <v>1532</v>
      </c>
      <c r="P781" s="83">
        <v>44462.657384259262</v>
      </c>
      <c r="Q781" s="81" t="s">
        <v>1835</v>
      </c>
      <c r="R781" s="84" t="str">
        <f>HYPERLINK("https://www.jobsid.co/")</f>
        <v>https://www.jobsid.co/</v>
      </c>
      <c r="S781" s="81" t="s">
        <v>2598</v>
      </c>
      <c r="T781" s="86" t="s">
        <v>2687</v>
      </c>
      <c r="U781" s="84" t="str">
        <f>HYPERLINK("https://pbs.twimg.com/media/E_-r2VEVgAYTq_P.jpg")</f>
        <v>https://pbs.twimg.com/media/E_-r2VEVgAYTq_P.jpg</v>
      </c>
      <c r="V781" s="84" t="str">
        <f>HYPERLINK("https://pbs.twimg.com/media/E_-r2VEVgAYTq_P.jpg")</f>
        <v>https://pbs.twimg.com/media/E_-r2VEVgAYTq_P.jpg</v>
      </c>
      <c r="W781" s="83">
        <v>44462.657384259262</v>
      </c>
      <c r="X781" s="89">
        <v>44462</v>
      </c>
      <c r="Y781" s="86" t="s">
        <v>3369</v>
      </c>
      <c r="Z781" s="84" t="str">
        <f>HYPERLINK("https://twitter.com/imanhidayat85/status/1441066483547660290")</f>
        <v>https://twitter.com/imanhidayat85/status/1441066483547660290</v>
      </c>
      <c r="AA781" s="81"/>
      <c r="AB781" s="81"/>
      <c r="AC781" s="86" t="s">
        <v>4833</v>
      </c>
      <c r="AD781" s="81"/>
      <c r="AE781" s="81" t="b">
        <v>0</v>
      </c>
      <c r="AF781" s="81">
        <v>0</v>
      </c>
      <c r="AG781" s="86" t="s">
        <v>6240</v>
      </c>
      <c r="AH781" s="81" t="b">
        <v>0</v>
      </c>
      <c r="AI781" s="81" t="s">
        <v>6478</v>
      </c>
      <c r="AJ781" s="81"/>
      <c r="AK781" s="86" t="s">
        <v>6240</v>
      </c>
      <c r="AL781" s="81" t="b">
        <v>0</v>
      </c>
      <c r="AM781" s="81">
        <v>1</v>
      </c>
      <c r="AN781" s="86" t="s">
        <v>4832</v>
      </c>
      <c r="AO781" s="86" t="s">
        <v>6503</v>
      </c>
      <c r="AP781" s="81" t="b">
        <v>0</v>
      </c>
      <c r="AQ781" s="86" t="s">
        <v>4832</v>
      </c>
      <c r="AR781" s="81" t="s">
        <v>179</v>
      </c>
      <c r="AS781" s="81">
        <v>0</v>
      </c>
      <c r="AT781" s="81">
        <v>0</v>
      </c>
      <c r="AU781" s="81"/>
      <c r="AV781" s="81"/>
      <c r="AW781" s="81"/>
      <c r="AX781" s="81"/>
      <c r="AY781" s="81"/>
      <c r="AZ781" s="81"/>
      <c r="BA781" s="81"/>
      <c r="BB781" s="81"/>
    </row>
    <row r="782" spans="1:54" x14ac:dyDescent="0.35">
      <c r="A782" s="66" t="s">
        <v>771</v>
      </c>
      <c r="B782" s="66" t="s">
        <v>1261</v>
      </c>
      <c r="C782" s="67"/>
      <c r="D782" s="68"/>
      <c r="E782" s="69"/>
      <c r="F782" s="70"/>
      <c r="G782" s="67"/>
      <c r="H782" s="71"/>
      <c r="I782" s="72"/>
      <c r="J782" s="72"/>
      <c r="K782" s="36"/>
      <c r="L782" s="79"/>
      <c r="M782" s="79"/>
      <c r="N782" s="74"/>
      <c r="O782" s="81" t="s">
        <v>1532</v>
      </c>
      <c r="P782" s="83">
        <v>44462.660532407404</v>
      </c>
      <c r="Q782" s="81" t="s">
        <v>1653</v>
      </c>
      <c r="R782" s="84" t="str">
        <f>HYPERLINK("https://api.whatsapp.com/send?phone=6281222353823")</f>
        <v>https://api.whatsapp.com/send?phone=6281222353823</v>
      </c>
      <c r="S782" s="81" t="s">
        <v>2597</v>
      </c>
      <c r="T782" s="81"/>
      <c r="U782" s="84" t="str">
        <f>HYPERLINK("https://pbs.twimg.com/media/E_P_XMQWYAUXeaR.jpg")</f>
        <v>https://pbs.twimg.com/media/E_P_XMQWYAUXeaR.jpg</v>
      </c>
      <c r="V782" s="84" t="str">
        <f>HYPERLINK("https://pbs.twimg.com/media/E_P_XMQWYAUXeaR.jpg")</f>
        <v>https://pbs.twimg.com/media/E_P_XMQWYAUXeaR.jpg</v>
      </c>
      <c r="W782" s="83">
        <v>44462.660532407404</v>
      </c>
      <c r="X782" s="89">
        <v>44462</v>
      </c>
      <c r="Y782" s="86" t="s">
        <v>3370</v>
      </c>
      <c r="Z782" s="84" t="str">
        <f>HYPERLINK("https://twitter.com/dnyrstn_/status/1441067626256474115")</f>
        <v>https://twitter.com/dnyrstn_/status/1441067626256474115</v>
      </c>
      <c r="AA782" s="81"/>
      <c r="AB782" s="81"/>
      <c r="AC782" s="86" t="s">
        <v>4834</v>
      </c>
      <c r="AD782" s="81"/>
      <c r="AE782" s="81" t="b">
        <v>0</v>
      </c>
      <c r="AF782" s="81">
        <v>0</v>
      </c>
      <c r="AG782" s="86" t="s">
        <v>6240</v>
      </c>
      <c r="AH782" s="81" t="b">
        <v>0</v>
      </c>
      <c r="AI782" s="81" t="s">
        <v>6478</v>
      </c>
      <c r="AJ782" s="81"/>
      <c r="AK782" s="86" t="s">
        <v>6240</v>
      </c>
      <c r="AL782" s="81" t="b">
        <v>0</v>
      </c>
      <c r="AM782" s="81">
        <v>49</v>
      </c>
      <c r="AN782" s="86" t="s">
        <v>5526</v>
      </c>
      <c r="AO782" s="86" t="s">
        <v>6503</v>
      </c>
      <c r="AP782" s="81" t="b">
        <v>0</v>
      </c>
      <c r="AQ782" s="86" t="s">
        <v>5526</v>
      </c>
      <c r="AR782" s="81" t="s">
        <v>179</v>
      </c>
      <c r="AS782" s="81">
        <v>0</v>
      </c>
      <c r="AT782" s="81">
        <v>0</v>
      </c>
      <c r="AU782" s="81"/>
      <c r="AV782" s="81"/>
      <c r="AW782" s="81"/>
      <c r="AX782" s="81"/>
      <c r="AY782" s="81"/>
      <c r="AZ782" s="81"/>
      <c r="BA782" s="81"/>
      <c r="BB782" s="81"/>
    </row>
    <row r="783" spans="1:54" x14ac:dyDescent="0.35">
      <c r="A783" s="66" t="s">
        <v>772</v>
      </c>
      <c r="B783" s="66" t="s">
        <v>1394</v>
      </c>
      <c r="C783" s="67"/>
      <c r="D783" s="68"/>
      <c r="E783" s="69"/>
      <c r="F783" s="70"/>
      <c r="G783" s="67"/>
      <c r="H783" s="71"/>
      <c r="I783" s="72"/>
      <c r="J783" s="72"/>
      <c r="K783" s="36"/>
      <c r="L783" s="79"/>
      <c r="M783" s="79"/>
      <c r="N783" s="74"/>
      <c r="O783" s="81" t="s">
        <v>1534</v>
      </c>
      <c r="P783" s="83">
        <v>44462.690567129626</v>
      </c>
      <c r="Q783" s="81" t="s">
        <v>1836</v>
      </c>
      <c r="R783" s="81"/>
      <c r="S783" s="81"/>
      <c r="T783" s="81"/>
      <c r="U783" s="81"/>
      <c r="V783" s="84" t="str">
        <f>HYPERLINK("https://pbs.twimg.com/profile_images/1441080284074573827/4YyfEZ39_normal.jpg")</f>
        <v>https://pbs.twimg.com/profile_images/1441080284074573827/4YyfEZ39_normal.jpg</v>
      </c>
      <c r="W783" s="83">
        <v>44462.690567129626</v>
      </c>
      <c r="X783" s="89">
        <v>44462</v>
      </c>
      <c r="Y783" s="86" t="s">
        <v>3371</v>
      </c>
      <c r="Z783" s="84" t="str">
        <f>HYPERLINK("https://twitter.com/canduayamgeprek/status/1441078511259635720")</f>
        <v>https://twitter.com/canduayamgeprek/status/1441078511259635720</v>
      </c>
      <c r="AA783" s="81"/>
      <c r="AB783" s="81"/>
      <c r="AC783" s="86" t="s">
        <v>4835</v>
      </c>
      <c r="AD783" s="86" t="s">
        <v>6085</v>
      </c>
      <c r="AE783" s="81" t="b">
        <v>0</v>
      </c>
      <c r="AF783" s="81">
        <v>0</v>
      </c>
      <c r="AG783" s="86" t="s">
        <v>6345</v>
      </c>
      <c r="AH783" s="81" t="b">
        <v>0</v>
      </c>
      <c r="AI783" s="81" t="s">
        <v>6478</v>
      </c>
      <c r="AJ783" s="81"/>
      <c r="AK783" s="86" t="s">
        <v>6240</v>
      </c>
      <c r="AL783" s="81" t="b">
        <v>0</v>
      </c>
      <c r="AM783" s="81">
        <v>0</v>
      </c>
      <c r="AN783" s="86" t="s">
        <v>6240</v>
      </c>
      <c r="AO783" s="86" t="s">
        <v>6508</v>
      </c>
      <c r="AP783" s="81" t="b">
        <v>0</v>
      </c>
      <c r="AQ783" s="86" t="s">
        <v>6085</v>
      </c>
      <c r="AR783" s="81" t="s">
        <v>179</v>
      </c>
      <c r="AS783" s="81">
        <v>0</v>
      </c>
      <c r="AT783" s="81">
        <v>0</v>
      </c>
      <c r="AU783" s="81"/>
      <c r="AV783" s="81"/>
      <c r="AW783" s="81"/>
      <c r="AX783" s="81"/>
      <c r="AY783" s="81"/>
      <c r="AZ783" s="81"/>
      <c r="BA783" s="81"/>
      <c r="BB783" s="81"/>
    </row>
    <row r="784" spans="1:54" x14ac:dyDescent="0.35">
      <c r="A784" s="66" t="s">
        <v>773</v>
      </c>
      <c r="B784" s="66" t="s">
        <v>773</v>
      </c>
      <c r="C784" s="67"/>
      <c r="D784" s="68"/>
      <c r="E784" s="69"/>
      <c r="F784" s="70"/>
      <c r="G784" s="67"/>
      <c r="H784" s="71"/>
      <c r="I784" s="72"/>
      <c r="J784" s="72"/>
      <c r="K784" s="36"/>
      <c r="L784" s="79"/>
      <c r="M784" s="79"/>
      <c r="N784" s="74"/>
      <c r="O784" s="81" t="s">
        <v>179</v>
      </c>
      <c r="P784" s="83">
        <v>44462.693796296298</v>
      </c>
      <c r="Q784" s="81" t="s">
        <v>1837</v>
      </c>
      <c r="R784" s="81"/>
      <c r="S784" s="81"/>
      <c r="T784" s="81"/>
      <c r="U784" s="81"/>
      <c r="V784" s="84" t="str">
        <f>HYPERLINK("https://pbs.twimg.com/profile_images/1417059285914165253/tPOTzH3W_normal.jpg")</f>
        <v>https://pbs.twimg.com/profile_images/1417059285914165253/tPOTzH3W_normal.jpg</v>
      </c>
      <c r="W784" s="83">
        <v>44462.693796296298</v>
      </c>
      <c r="X784" s="89">
        <v>44462</v>
      </c>
      <c r="Y784" s="86" t="s">
        <v>3372</v>
      </c>
      <c r="Z784" s="84" t="str">
        <f>HYPERLINK("https://twitter.com/leezxv/status/1441079682418429956")</f>
        <v>https://twitter.com/leezxv/status/1441079682418429956</v>
      </c>
      <c r="AA784" s="81"/>
      <c r="AB784" s="81"/>
      <c r="AC784" s="86" t="s">
        <v>4836</v>
      </c>
      <c r="AD784" s="81"/>
      <c r="AE784" s="81" t="b">
        <v>0</v>
      </c>
      <c r="AF784" s="81">
        <v>5</v>
      </c>
      <c r="AG784" s="86" t="s">
        <v>6240</v>
      </c>
      <c r="AH784" s="81" t="b">
        <v>0</v>
      </c>
      <c r="AI784" s="81" t="s">
        <v>6478</v>
      </c>
      <c r="AJ784" s="81"/>
      <c r="AK784" s="86" t="s">
        <v>6240</v>
      </c>
      <c r="AL784" s="81" t="b">
        <v>0</v>
      </c>
      <c r="AM784" s="81">
        <v>0</v>
      </c>
      <c r="AN784" s="86" t="s">
        <v>6240</v>
      </c>
      <c r="AO784" s="86" t="s">
        <v>6503</v>
      </c>
      <c r="AP784" s="81" t="b">
        <v>0</v>
      </c>
      <c r="AQ784" s="86" t="s">
        <v>4836</v>
      </c>
      <c r="AR784" s="81" t="s">
        <v>179</v>
      </c>
      <c r="AS784" s="81">
        <v>0</v>
      </c>
      <c r="AT784" s="81">
        <v>0</v>
      </c>
      <c r="AU784" s="81"/>
      <c r="AV784" s="81"/>
      <c r="AW784" s="81"/>
      <c r="AX784" s="81"/>
      <c r="AY784" s="81"/>
      <c r="AZ784" s="81"/>
      <c r="BA784" s="81"/>
      <c r="BB784" s="81"/>
    </row>
    <row r="785" spans="1:54" x14ac:dyDescent="0.35">
      <c r="A785" s="66" t="s">
        <v>774</v>
      </c>
      <c r="B785" s="66" t="s">
        <v>928</v>
      </c>
      <c r="C785" s="67"/>
      <c r="D785" s="68"/>
      <c r="E785" s="69"/>
      <c r="F785" s="70"/>
      <c r="G785" s="67"/>
      <c r="H785" s="71"/>
      <c r="I785" s="72"/>
      <c r="J785" s="72"/>
      <c r="K785" s="36"/>
      <c r="L785" s="79"/>
      <c r="M785" s="79"/>
      <c r="N785" s="74"/>
      <c r="O785" s="81" t="s">
        <v>1532</v>
      </c>
      <c r="P785" s="83">
        <v>44462.703518518516</v>
      </c>
      <c r="Q785" s="81" t="s">
        <v>1781</v>
      </c>
      <c r="R785" s="81"/>
      <c r="S785" s="81"/>
      <c r="T785" s="86" t="s">
        <v>2681</v>
      </c>
      <c r="U785" s="84" t="str">
        <f>HYPERLINK("https://pbs.twimg.com/media/E_6-KvyVgAA0Zfe.jpg")</f>
        <v>https://pbs.twimg.com/media/E_6-KvyVgAA0Zfe.jpg</v>
      </c>
      <c r="V785" s="84" t="str">
        <f>HYPERLINK("https://pbs.twimg.com/media/E_6-KvyVgAA0Zfe.jpg")</f>
        <v>https://pbs.twimg.com/media/E_6-KvyVgAA0Zfe.jpg</v>
      </c>
      <c r="W785" s="83">
        <v>44462.703518518516</v>
      </c>
      <c r="X785" s="89">
        <v>44462</v>
      </c>
      <c r="Y785" s="86" t="s">
        <v>3373</v>
      </c>
      <c r="Z785" s="84" t="str">
        <f>HYPERLINK("https://twitter.com/ray_prakarsa/status/1441083202798448644")</f>
        <v>https://twitter.com/ray_prakarsa/status/1441083202798448644</v>
      </c>
      <c r="AA785" s="81"/>
      <c r="AB785" s="81"/>
      <c r="AC785" s="86" t="s">
        <v>4837</v>
      </c>
      <c r="AD785" s="81"/>
      <c r="AE785" s="81" t="b">
        <v>0</v>
      </c>
      <c r="AF785" s="81">
        <v>0</v>
      </c>
      <c r="AG785" s="86" t="s">
        <v>6240</v>
      </c>
      <c r="AH785" s="81" t="b">
        <v>0</v>
      </c>
      <c r="AI785" s="81" t="s">
        <v>6479</v>
      </c>
      <c r="AJ785" s="81"/>
      <c r="AK785" s="86" t="s">
        <v>6240</v>
      </c>
      <c r="AL785" s="81" t="b">
        <v>0</v>
      </c>
      <c r="AM785" s="81">
        <v>71</v>
      </c>
      <c r="AN785" s="86" t="s">
        <v>5039</v>
      </c>
      <c r="AO785" s="86" t="s">
        <v>6503</v>
      </c>
      <c r="AP785" s="81" t="b">
        <v>0</v>
      </c>
      <c r="AQ785" s="86" t="s">
        <v>5039</v>
      </c>
      <c r="AR785" s="81" t="s">
        <v>179</v>
      </c>
      <c r="AS785" s="81">
        <v>0</v>
      </c>
      <c r="AT785" s="81">
        <v>0</v>
      </c>
      <c r="AU785" s="81"/>
      <c r="AV785" s="81"/>
      <c r="AW785" s="81"/>
      <c r="AX785" s="81"/>
      <c r="AY785" s="81"/>
      <c r="AZ785" s="81"/>
      <c r="BA785" s="81"/>
      <c r="BB785" s="81"/>
    </row>
    <row r="786" spans="1:54" x14ac:dyDescent="0.35">
      <c r="A786" s="66" t="s">
        <v>775</v>
      </c>
      <c r="B786" s="66" t="s">
        <v>775</v>
      </c>
      <c r="C786" s="67"/>
      <c r="D786" s="68"/>
      <c r="E786" s="69"/>
      <c r="F786" s="70"/>
      <c r="G786" s="67"/>
      <c r="H786" s="71"/>
      <c r="I786" s="72"/>
      <c r="J786" s="72"/>
      <c r="K786" s="36"/>
      <c r="L786" s="79"/>
      <c r="M786" s="79"/>
      <c r="N786" s="74"/>
      <c r="O786" s="81" t="s">
        <v>179</v>
      </c>
      <c r="P786" s="83">
        <v>44462.739629629628</v>
      </c>
      <c r="Q786" s="81" t="s">
        <v>1838</v>
      </c>
      <c r="R786" s="84" t="str">
        <f>HYPERLINK("https://twitter.com/wintrouse/status/1441074519632842773")</f>
        <v>https://twitter.com/wintrouse/status/1441074519632842773</v>
      </c>
      <c r="S786" s="81" t="s">
        <v>2588</v>
      </c>
      <c r="T786" s="81"/>
      <c r="U786" s="81"/>
      <c r="V786" s="84" t="str">
        <f>HYPERLINK("https://pbs.twimg.com/profile_images/1442184760311177218/0fYeTgOu_normal.jpg")</f>
        <v>https://pbs.twimg.com/profile_images/1442184760311177218/0fYeTgOu_normal.jpg</v>
      </c>
      <c r="W786" s="83">
        <v>44462.739629629628</v>
      </c>
      <c r="X786" s="89">
        <v>44462</v>
      </c>
      <c r="Y786" s="86" t="s">
        <v>3374</v>
      </c>
      <c r="Z786" s="84" t="str">
        <f>HYPERLINK("https://twitter.com/nanasisterrr/status/1441096288544575490")</f>
        <v>https://twitter.com/nanasisterrr/status/1441096288544575490</v>
      </c>
      <c r="AA786" s="81"/>
      <c r="AB786" s="81"/>
      <c r="AC786" s="86" t="s">
        <v>4838</v>
      </c>
      <c r="AD786" s="81"/>
      <c r="AE786" s="81" t="b">
        <v>0</v>
      </c>
      <c r="AF786" s="81">
        <v>0</v>
      </c>
      <c r="AG786" s="86" t="s">
        <v>6240</v>
      </c>
      <c r="AH786" s="81" t="b">
        <v>1</v>
      </c>
      <c r="AI786" s="81" t="s">
        <v>6478</v>
      </c>
      <c r="AJ786" s="81"/>
      <c r="AK786" s="86" t="s">
        <v>6497</v>
      </c>
      <c r="AL786" s="81" t="b">
        <v>0</v>
      </c>
      <c r="AM786" s="81">
        <v>0</v>
      </c>
      <c r="AN786" s="86" t="s">
        <v>6240</v>
      </c>
      <c r="AO786" s="86" t="s">
        <v>6503</v>
      </c>
      <c r="AP786" s="81" t="b">
        <v>0</v>
      </c>
      <c r="AQ786" s="86" t="s">
        <v>4838</v>
      </c>
      <c r="AR786" s="81" t="s">
        <v>179</v>
      </c>
      <c r="AS786" s="81">
        <v>0</v>
      </c>
      <c r="AT786" s="81">
        <v>0</v>
      </c>
      <c r="AU786" s="81"/>
      <c r="AV786" s="81"/>
      <c r="AW786" s="81"/>
      <c r="AX786" s="81"/>
      <c r="AY786" s="81"/>
      <c r="AZ786" s="81"/>
      <c r="BA786" s="81"/>
      <c r="BB786" s="81"/>
    </row>
    <row r="787" spans="1:54" x14ac:dyDescent="0.35">
      <c r="A787" s="66" t="s">
        <v>776</v>
      </c>
      <c r="B787" s="66" t="s">
        <v>928</v>
      </c>
      <c r="C787" s="67"/>
      <c r="D787" s="68"/>
      <c r="E787" s="69"/>
      <c r="F787" s="70"/>
      <c r="G787" s="67"/>
      <c r="H787" s="71"/>
      <c r="I787" s="72"/>
      <c r="J787" s="72"/>
      <c r="K787" s="36"/>
      <c r="L787" s="79"/>
      <c r="M787" s="79"/>
      <c r="N787" s="74"/>
      <c r="O787" s="81" t="s">
        <v>1532</v>
      </c>
      <c r="P787" s="83">
        <v>44462.750972222224</v>
      </c>
      <c r="Q787" s="81" t="s">
        <v>1781</v>
      </c>
      <c r="R787" s="81"/>
      <c r="S787" s="81"/>
      <c r="T787" s="86" t="s">
        <v>2681</v>
      </c>
      <c r="U787" s="84" t="str">
        <f>HYPERLINK("https://pbs.twimg.com/media/E_6-KvyVgAA0Zfe.jpg")</f>
        <v>https://pbs.twimg.com/media/E_6-KvyVgAA0Zfe.jpg</v>
      </c>
      <c r="V787" s="84" t="str">
        <f>HYPERLINK("https://pbs.twimg.com/media/E_6-KvyVgAA0Zfe.jpg")</f>
        <v>https://pbs.twimg.com/media/E_6-KvyVgAA0Zfe.jpg</v>
      </c>
      <c r="W787" s="83">
        <v>44462.750972222224</v>
      </c>
      <c r="X787" s="89">
        <v>44462</v>
      </c>
      <c r="Y787" s="86" t="s">
        <v>3375</v>
      </c>
      <c r="Z787" s="84" t="str">
        <f>HYPERLINK("https://twitter.com/nugraha16_/status/1441100402548621320")</f>
        <v>https://twitter.com/nugraha16_/status/1441100402548621320</v>
      </c>
      <c r="AA787" s="81"/>
      <c r="AB787" s="81"/>
      <c r="AC787" s="86" t="s">
        <v>4839</v>
      </c>
      <c r="AD787" s="81"/>
      <c r="AE787" s="81" t="b">
        <v>0</v>
      </c>
      <c r="AF787" s="81">
        <v>0</v>
      </c>
      <c r="AG787" s="86" t="s">
        <v>6240</v>
      </c>
      <c r="AH787" s="81" t="b">
        <v>0</v>
      </c>
      <c r="AI787" s="81" t="s">
        <v>6479</v>
      </c>
      <c r="AJ787" s="81"/>
      <c r="AK787" s="86" t="s">
        <v>6240</v>
      </c>
      <c r="AL787" s="81" t="b">
        <v>0</v>
      </c>
      <c r="AM787" s="81">
        <v>71</v>
      </c>
      <c r="AN787" s="86" t="s">
        <v>5039</v>
      </c>
      <c r="AO787" s="86" t="s">
        <v>6503</v>
      </c>
      <c r="AP787" s="81" t="b">
        <v>0</v>
      </c>
      <c r="AQ787" s="86" t="s">
        <v>5039</v>
      </c>
      <c r="AR787" s="81" t="s">
        <v>179</v>
      </c>
      <c r="AS787" s="81">
        <v>0</v>
      </c>
      <c r="AT787" s="81">
        <v>0</v>
      </c>
      <c r="AU787" s="81"/>
      <c r="AV787" s="81"/>
      <c r="AW787" s="81"/>
      <c r="AX787" s="81"/>
      <c r="AY787" s="81"/>
      <c r="AZ787" s="81"/>
      <c r="BA787" s="81"/>
      <c r="BB787" s="81"/>
    </row>
    <row r="788" spans="1:54" x14ac:dyDescent="0.35">
      <c r="A788" s="66" t="s">
        <v>777</v>
      </c>
      <c r="B788" s="66" t="s">
        <v>928</v>
      </c>
      <c r="C788" s="67"/>
      <c r="D788" s="68"/>
      <c r="E788" s="69"/>
      <c r="F788" s="70"/>
      <c r="G788" s="67"/>
      <c r="H788" s="71"/>
      <c r="I788" s="72"/>
      <c r="J788" s="72"/>
      <c r="K788" s="36"/>
      <c r="L788" s="79"/>
      <c r="M788" s="79"/>
      <c r="N788" s="74"/>
      <c r="O788" s="81" t="s">
        <v>1532</v>
      </c>
      <c r="P788" s="83">
        <v>44462.755127314813</v>
      </c>
      <c r="Q788" s="81" t="s">
        <v>1781</v>
      </c>
      <c r="R788" s="81"/>
      <c r="S788" s="81"/>
      <c r="T788" s="86" t="s">
        <v>2681</v>
      </c>
      <c r="U788" s="84" t="str">
        <f>HYPERLINK("https://pbs.twimg.com/media/E_6-KvyVgAA0Zfe.jpg")</f>
        <v>https://pbs.twimg.com/media/E_6-KvyVgAA0Zfe.jpg</v>
      </c>
      <c r="V788" s="84" t="str">
        <f>HYPERLINK("https://pbs.twimg.com/media/E_6-KvyVgAA0Zfe.jpg")</f>
        <v>https://pbs.twimg.com/media/E_6-KvyVgAA0Zfe.jpg</v>
      </c>
      <c r="W788" s="83">
        <v>44462.755127314813</v>
      </c>
      <c r="X788" s="89">
        <v>44462</v>
      </c>
      <c r="Y788" s="86" t="s">
        <v>3376</v>
      </c>
      <c r="Z788" s="84" t="str">
        <f>HYPERLINK("https://twitter.com/rezaaadtya/status/1441101904843476994")</f>
        <v>https://twitter.com/rezaaadtya/status/1441101904843476994</v>
      </c>
      <c r="AA788" s="81"/>
      <c r="AB788" s="81"/>
      <c r="AC788" s="86" t="s">
        <v>4840</v>
      </c>
      <c r="AD788" s="81"/>
      <c r="AE788" s="81" t="b">
        <v>0</v>
      </c>
      <c r="AF788" s="81">
        <v>0</v>
      </c>
      <c r="AG788" s="86" t="s">
        <v>6240</v>
      </c>
      <c r="AH788" s="81" t="b">
        <v>0</v>
      </c>
      <c r="AI788" s="81" t="s">
        <v>6479</v>
      </c>
      <c r="AJ788" s="81"/>
      <c r="AK788" s="86" t="s">
        <v>6240</v>
      </c>
      <c r="AL788" s="81" t="b">
        <v>0</v>
      </c>
      <c r="AM788" s="81">
        <v>71</v>
      </c>
      <c r="AN788" s="86" t="s">
        <v>5039</v>
      </c>
      <c r="AO788" s="86" t="s">
        <v>6503</v>
      </c>
      <c r="AP788" s="81" t="b">
        <v>0</v>
      </c>
      <c r="AQ788" s="86" t="s">
        <v>5039</v>
      </c>
      <c r="AR788" s="81" t="s">
        <v>179</v>
      </c>
      <c r="AS788" s="81">
        <v>0</v>
      </c>
      <c r="AT788" s="81">
        <v>0</v>
      </c>
      <c r="AU788" s="81"/>
      <c r="AV788" s="81"/>
      <c r="AW788" s="81"/>
      <c r="AX788" s="81"/>
      <c r="AY788" s="81"/>
      <c r="AZ788" s="81"/>
      <c r="BA788" s="81"/>
      <c r="BB788" s="81"/>
    </row>
    <row r="789" spans="1:54" x14ac:dyDescent="0.35">
      <c r="A789" s="66" t="s">
        <v>778</v>
      </c>
      <c r="B789" s="66" t="s">
        <v>928</v>
      </c>
      <c r="C789" s="67"/>
      <c r="D789" s="68"/>
      <c r="E789" s="69"/>
      <c r="F789" s="70"/>
      <c r="G789" s="67"/>
      <c r="H789" s="71"/>
      <c r="I789" s="72"/>
      <c r="J789" s="72"/>
      <c r="K789" s="36"/>
      <c r="L789" s="79"/>
      <c r="M789" s="79"/>
      <c r="N789" s="74"/>
      <c r="O789" s="81" t="s">
        <v>1532</v>
      </c>
      <c r="P789" s="83">
        <v>44462.773680555554</v>
      </c>
      <c r="Q789" s="81" t="s">
        <v>1781</v>
      </c>
      <c r="R789" s="81"/>
      <c r="S789" s="81"/>
      <c r="T789" s="86" t="s">
        <v>2681</v>
      </c>
      <c r="U789" s="84" t="str">
        <f>HYPERLINK("https://pbs.twimg.com/media/E_6-KvyVgAA0Zfe.jpg")</f>
        <v>https://pbs.twimg.com/media/E_6-KvyVgAA0Zfe.jpg</v>
      </c>
      <c r="V789" s="84" t="str">
        <f>HYPERLINK("https://pbs.twimg.com/media/E_6-KvyVgAA0Zfe.jpg")</f>
        <v>https://pbs.twimg.com/media/E_6-KvyVgAA0Zfe.jpg</v>
      </c>
      <c r="W789" s="83">
        <v>44462.773680555554</v>
      </c>
      <c r="X789" s="89">
        <v>44462</v>
      </c>
      <c r="Y789" s="86" t="s">
        <v>3377</v>
      </c>
      <c r="Z789" s="84" t="str">
        <f>HYPERLINK("https://twitter.com/derryaulia/status/1441108628904112128")</f>
        <v>https://twitter.com/derryaulia/status/1441108628904112128</v>
      </c>
      <c r="AA789" s="81"/>
      <c r="AB789" s="81"/>
      <c r="AC789" s="86" t="s">
        <v>4841</v>
      </c>
      <c r="AD789" s="81"/>
      <c r="AE789" s="81" t="b">
        <v>0</v>
      </c>
      <c r="AF789" s="81">
        <v>0</v>
      </c>
      <c r="AG789" s="86" t="s">
        <v>6240</v>
      </c>
      <c r="AH789" s="81" t="b">
        <v>0</v>
      </c>
      <c r="AI789" s="81" t="s">
        <v>6479</v>
      </c>
      <c r="AJ789" s="81"/>
      <c r="AK789" s="86" t="s">
        <v>6240</v>
      </c>
      <c r="AL789" s="81" t="b">
        <v>0</v>
      </c>
      <c r="AM789" s="81">
        <v>71</v>
      </c>
      <c r="AN789" s="86" t="s">
        <v>5039</v>
      </c>
      <c r="AO789" s="86" t="s">
        <v>6505</v>
      </c>
      <c r="AP789" s="81" t="b">
        <v>0</v>
      </c>
      <c r="AQ789" s="86" t="s">
        <v>5039</v>
      </c>
      <c r="AR789" s="81" t="s">
        <v>179</v>
      </c>
      <c r="AS789" s="81">
        <v>0</v>
      </c>
      <c r="AT789" s="81">
        <v>0</v>
      </c>
      <c r="AU789" s="81"/>
      <c r="AV789" s="81"/>
      <c r="AW789" s="81"/>
      <c r="AX789" s="81"/>
      <c r="AY789" s="81"/>
      <c r="AZ789" s="81"/>
      <c r="BA789" s="81"/>
      <c r="BB789" s="81"/>
    </row>
    <row r="790" spans="1:54" x14ac:dyDescent="0.35">
      <c r="A790" s="66" t="s">
        <v>779</v>
      </c>
      <c r="B790" s="66" t="s">
        <v>1395</v>
      </c>
      <c r="C790" s="67"/>
      <c r="D790" s="68"/>
      <c r="E790" s="69"/>
      <c r="F790" s="70"/>
      <c r="G790" s="67"/>
      <c r="H790" s="71"/>
      <c r="I790" s="72"/>
      <c r="J790" s="72"/>
      <c r="K790" s="36"/>
      <c r="L790" s="79"/>
      <c r="M790" s="79"/>
      <c r="N790" s="74"/>
      <c r="O790" s="81" t="s">
        <v>1534</v>
      </c>
      <c r="P790" s="83">
        <v>44463.040381944447</v>
      </c>
      <c r="Q790" s="81" t="s">
        <v>1839</v>
      </c>
      <c r="R790" s="81"/>
      <c r="S790" s="81"/>
      <c r="T790" s="81"/>
      <c r="U790" s="81"/>
      <c r="V790" s="84" t="str">
        <f>HYPERLINK("https://pbs.twimg.com/profile_images/1426958855834009607/EF41PtQ1_normal.jpg")</f>
        <v>https://pbs.twimg.com/profile_images/1426958855834009607/EF41PtQ1_normal.jpg</v>
      </c>
      <c r="W790" s="83">
        <v>44463.040381944447</v>
      </c>
      <c r="X790" s="89">
        <v>44463</v>
      </c>
      <c r="Y790" s="86" t="s">
        <v>3378</v>
      </c>
      <c r="Z790" s="84" t="str">
        <f>HYPERLINK("https://twitter.com/bukansamsmith/status/1441205279320723456")</f>
        <v>https://twitter.com/bukansamsmith/status/1441205279320723456</v>
      </c>
      <c r="AA790" s="81"/>
      <c r="AB790" s="81"/>
      <c r="AC790" s="86" t="s">
        <v>4842</v>
      </c>
      <c r="AD790" s="86" t="s">
        <v>6086</v>
      </c>
      <c r="AE790" s="81" t="b">
        <v>0</v>
      </c>
      <c r="AF790" s="81">
        <v>0</v>
      </c>
      <c r="AG790" s="86" t="s">
        <v>6346</v>
      </c>
      <c r="AH790" s="81" t="b">
        <v>0</v>
      </c>
      <c r="AI790" s="81" t="s">
        <v>6478</v>
      </c>
      <c r="AJ790" s="81"/>
      <c r="AK790" s="86" t="s">
        <v>6240</v>
      </c>
      <c r="AL790" s="81" t="b">
        <v>0</v>
      </c>
      <c r="AM790" s="81">
        <v>0</v>
      </c>
      <c r="AN790" s="86" t="s">
        <v>6240</v>
      </c>
      <c r="AO790" s="86" t="s">
        <v>6503</v>
      </c>
      <c r="AP790" s="81" t="b">
        <v>0</v>
      </c>
      <c r="AQ790" s="86" t="s">
        <v>6086</v>
      </c>
      <c r="AR790" s="81" t="s">
        <v>179</v>
      </c>
      <c r="AS790" s="81">
        <v>0</v>
      </c>
      <c r="AT790" s="81">
        <v>0</v>
      </c>
      <c r="AU790" s="81"/>
      <c r="AV790" s="81"/>
      <c r="AW790" s="81"/>
      <c r="AX790" s="81"/>
      <c r="AY790" s="81"/>
      <c r="AZ790" s="81"/>
      <c r="BA790" s="81"/>
      <c r="BB790" s="81"/>
    </row>
    <row r="791" spans="1:54" x14ac:dyDescent="0.35">
      <c r="A791" s="66" t="s">
        <v>780</v>
      </c>
      <c r="B791" s="66" t="s">
        <v>780</v>
      </c>
      <c r="C791" s="67"/>
      <c r="D791" s="68"/>
      <c r="E791" s="69"/>
      <c r="F791" s="70"/>
      <c r="G791" s="67"/>
      <c r="H791" s="71"/>
      <c r="I791" s="72"/>
      <c r="J791" s="72"/>
      <c r="K791" s="36"/>
      <c r="L791" s="79"/>
      <c r="M791" s="79"/>
      <c r="N791" s="74"/>
      <c r="O791" s="81" t="s">
        <v>179</v>
      </c>
      <c r="P791" s="83">
        <v>44443.824374999997</v>
      </c>
      <c r="Q791" s="81" t="s">
        <v>1840</v>
      </c>
      <c r="R791" s="84" t="str">
        <f>HYPERLINK("https://koran.tempo.co/read/topik/467693/kisah-para-penggemar-kartu-pos-dan-postcrossing-di-indonesia?utm_source=Digital%20Marketing&amp;utm_medium=Twitter&amp;utm_campaign=dlvrit")</f>
        <v>https://koran.tempo.co/read/topik/467693/kisah-para-penggemar-kartu-pos-dan-postcrossing-di-indonesia?utm_source=Digital%20Marketing&amp;utm_medium=Twitter&amp;utm_campaign=dlvrit</v>
      </c>
      <c r="S791" s="81" t="s">
        <v>2615</v>
      </c>
      <c r="T791" s="86" t="s">
        <v>780</v>
      </c>
      <c r="U791" s="81"/>
      <c r="V791" s="84" t="str">
        <f>HYPERLINK("https://pbs.twimg.com/profile_images/800667202240188420/Ir6SVYp7_normal.jpg")</f>
        <v>https://pbs.twimg.com/profile_images/800667202240188420/Ir6SVYp7_normal.jpg</v>
      </c>
      <c r="W791" s="83">
        <v>44443.824374999997</v>
      </c>
      <c r="X791" s="89">
        <v>44443</v>
      </c>
      <c r="Y791" s="86" t="s">
        <v>3379</v>
      </c>
      <c r="Z791" s="84" t="str">
        <f>HYPERLINK("https://twitter.com/korantempo/status/1434241631708798980")</f>
        <v>https://twitter.com/korantempo/status/1434241631708798980</v>
      </c>
      <c r="AA791" s="81"/>
      <c r="AB791" s="81"/>
      <c r="AC791" s="86" t="s">
        <v>4843</v>
      </c>
      <c r="AD791" s="81"/>
      <c r="AE791" s="81" t="b">
        <v>0</v>
      </c>
      <c r="AF791" s="81">
        <v>5</v>
      </c>
      <c r="AG791" s="86" t="s">
        <v>6240</v>
      </c>
      <c r="AH791" s="81" t="b">
        <v>0</v>
      </c>
      <c r="AI791" s="81" t="s">
        <v>6478</v>
      </c>
      <c r="AJ791" s="81"/>
      <c r="AK791" s="86" t="s">
        <v>6240</v>
      </c>
      <c r="AL791" s="81" t="b">
        <v>0</v>
      </c>
      <c r="AM791" s="81">
        <v>8</v>
      </c>
      <c r="AN791" s="86" t="s">
        <v>6240</v>
      </c>
      <c r="AO791" s="86" t="s">
        <v>6515</v>
      </c>
      <c r="AP791" s="81" t="b">
        <v>0</v>
      </c>
      <c r="AQ791" s="86" t="s">
        <v>4843</v>
      </c>
      <c r="AR791" s="81" t="s">
        <v>1532</v>
      </c>
      <c r="AS791" s="81">
        <v>0</v>
      </c>
      <c r="AT791" s="81">
        <v>0</v>
      </c>
      <c r="AU791" s="81"/>
      <c r="AV791" s="81"/>
      <c r="AW791" s="81"/>
      <c r="AX791" s="81"/>
      <c r="AY791" s="81"/>
      <c r="AZ791" s="81"/>
      <c r="BA791" s="81"/>
      <c r="BB791" s="81"/>
    </row>
    <row r="792" spans="1:54" x14ac:dyDescent="0.35">
      <c r="A792" s="66" t="s">
        <v>781</v>
      </c>
      <c r="B792" s="66" t="s">
        <v>780</v>
      </c>
      <c r="C792" s="67"/>
      <c r="D792" s="68"/>
      <c r="E792" s="69"/>
      <c r="F792" s="70"/>
      <c r="G792" s="67"/>
      <c r="H792" s="71"/>
      <c r="I792" s="72"/>
      <c r="J792" s="72"/>
      <c r="K792" s="36"/>
      <c r="L792" s="79"/>
      <c r="M792" s="79"/>
      <c r="N792" s="74"/>
      <c r="O792" s="81" t="s">
        <v>1532</v>
      </c>
      <c r="P792" s="83">
        <v>44463.042858796296</v>
      </c>
      <c r="Q792" s="81" t="s">
        <v>1840</v>
      </c>
      <c r="R792" s="84" t="str">
        <f>HYPERLINK("https://koran.tempo.co/read/topik/467693/kisah-para-penggemar-kartu-pos-dan-postcrossing-di-indonesia?utm_source=Digital%20Marketing&amp;utm_medium=Twitter&amp;utm_campaign=dlvrit")</f>
        <v>https://koran.tempo.co/read/topik/467693/kisah-para-penggemar-kartu-pos-dan-postcrossing-di-indonesia?utm_source=Digital%20Marketing&amp;utm_medium=Twitter&amp;utm_campaign=dlvrit</v>
      </c>
      <c r="S792" s="81" t="s">
        <v>2615</v>
      </c>
      <c r="T792" s="86" t="s">
        <v>780</v>
      </c>
      <c r="U792" s="81"/>
      <c r="V792" s="84" t="str">
        <f>HYPERLINK("https://pbs.twimg.com/profile_images/1233293041181442048/l9ILqFS7_normal.jpg")</f>
        <v>https://pbs.twimg.com/profile_images/1233293041181442048/l9ILqFS7_normal.jpg</v>
      </c>
      <c r="W792" s="83">
        <v>44463.042858796296</v>
      </c>
      <c r="X792" s="89">
        <v>44463</v>
      </c>
      <c r="Y792" s="86" t="s">
        <v>3380</v>
      </c>
      <c r="Z792" s="84" t="str">
        <f>HYPERLINK("https://twitter.com/sokojogja/status/1441206175135985665")</f>
        <v>https://twitter.com/sokojogja/status/1441206175135985665</v>
      </c>
      <c r="AA792" s="81"/>
      <c r="AB792" s="81"/>
      <c r="AC792" s="86" t="s">
        <v>4844</v>
      </c>
      <c r="AD792" s="81"/>
      <c r="AE792" s="81" t="b">
        <v>0</v>
      </c>
      <c r="AF792" s="81">
        <v>0</v>
      </c>
      <c r="AG792" s="86" t="s">
        <v>6240</v>
      </c>
      <c r="AH792" s="81" t="b">
        <v>0</v>
      </c>
      <c r="AI792" s="81" t="s">
        <v>6478</v>
      </c>
      <c r="AJ792" s="81"/>
      <c r="AK792" s="86" t="s">
        <v>6240</v>
      </c>
      <c r="AL792" s="81" t="b">
        <v>0</v>
      </c>
      <c r="AM792" s="81">
        <v>8</v>
      </c>
      <c r="AN792" s="86" t="s">
        <v>4843</v>
      </c>
      <c r="AO792" s="86" t="s">
        <v>6503</v>
      </c>
      <c r="AP792" s="81" t="b">
        <v>0</v>
      </c>
      <c r="AQ792" s="86" t="s">
        <v>4843</v>
      </c>
      <c r="AR792" s="81" t="s">
        <v>179</v>
      </c>
      <c r="AS792" s="81">
        <v>0</v>
      </c>
      <c r="AT792" s="81">
        <v>0</v>
      </c>
      <c r="AU792" s="81"/>
      <c r="AV792" s="81"/>
      <c r="AW792" s="81"/>
      <c r="AX792" s="81"/>
      <c r="AY792" s="81"/>
      <c r="AZ792" s="81"/>
      <c r="BA792" s="81"/>
      <c r="BB792" s="81"/>
    </row>
    <row r="793" spans="1:54" x14ac:dyDescent="0.35">
      <c r="A793" s="66" t="s">
        <v>782</v>
      </c>
      <c r="B793" s="66" t="s">
        <v>1396</v>
      </c>
      <c r="C793" s="67"/>
      <c r="D793" s="68"/>
      <c r="E793" s="69"/>
      <c r="F793" s="70"/>
      <c r="G793" s="67"/>
      <c r="H793" s="71"/>
      <c r="I793" s="72"/>
      <c r="J793" s="72"/>
      <c r="K793" s="36"/>
      <c r="L793" s="79"/>
      <c r="M793" s="79"/>
      <c r="N793" s="74"/>
      <c r="O793" s="81" t="s">
        <v>1534</v>
      </c>
      <c r="P793" s="83">
        <v>44463.065405092595</v>
      </c>
      <c r="Q793" s="81" t="s">
        <v>1841</v>
      </c>
      <c r="R793" s="81"/>
      <c r="S793" s="81"/>
      <c r="T793" s="81"/>
      <c r="U793" s="81"/>
      <c r="V793" s="84" t="str">
        <f>HYPERLINK("https://pbs.twimg.com/profile_images/1437679449378414593/BZLwPPmC_normal.jpg")</f>
        <v>https://pbs.twimg.com/profile_images/1437679449378414593/BZLwPPmC_normal.jpg</v>
      </c>
      <c r="W793" s="83">
        <v>44463.065405092595</v>
      </c>
      <c r="X793" s="89">
        <v>44463</v>
      </c>
      <c r="Y793" s="86" t="s">
        <v>3381</v>
      </c>
      <c r="Z793" s="84" t="str">
        <f>HYPERLINK("https://twitter.com/jggkkie/status/1441214345422069760")</f>
        <v>https://twitter.com/jggkkie/status/1441214345422069760</v>
      </c>
      <c r="AA793" s="81"/>
      <c r="AB793" s="81"/>
      <c r="AC793" s="86" t="s">
        <v>4845</v>
      </c>
      <c r="AD793" s="86" t="s">
        <v>6087</v>
      </c>
      <c r="AE793" s="81" t="b">
        <v>0</v>
      </c>
      <c r="AF793" s="81">
        <v>0</v>
      </c>
      <c r="AG793" s="86" t="s">
        <v>6347</v>
      </c>
      <c r="AH793" s="81" t="b">
        <v>0</v>
      </c>
      <c r="AI793" s="81" t="s">
        <v>6478</v>
      </c>
      <c r="AJ793" s="81"/>
      <c r="AK793" s="86" t="s">
        <v>6240</v>
      </c>
      <c r="AL793" s="81" t="b">
        <v>0</v>
      </c>
      <c r="AM793" s="81">
        <v>0</v>
      </c>
      <c r="AN793" s="86" t="s">
        <v>6240</v>
      </c>
      <c r="AO793" s="86" t="s">
        <v>6505</v>
      </c>
      <c r="AP793" s="81" t="b">
        <v>0</v>
      </c>
      <c r="AQ793" s="86" t="s">
        <v>6087</v>
      </c>
      <c r="AR793" s="81" t="s">
        <v>179</v>
      </c>
      <c r="AS793" s="81">
        <v>0</v>
      </c>
      <c r="AT793" s="81">
        <v>0</v>
      </c>
      <c r="AU793" s="81"/>
      <c r="AV793" s="81"/>
      <c r="AW793" s="81"/>
      <c r="AX793" s="81"/>
      <c r="AY793" s="81"/>
      <c r="AZ793" s="81"/>
      <c r="BA793" s="81"/>
      <c r="BB793" s="81"/>
    </row>
    <row r="794" spans="1:54" x14ac:dyDescent="0.35">
      <c r="A794" s="66" t="s">
        <v>783</v>
      </c>
      <c r="B794" s="66" t="s">
        <v>1397</v>
      </c>
      <c r="C794" s="67"/>
      <c r="D794" s="68"/>
      <c r="E794" s="69"/>
      <c r="F794" s="70"/>
      <c r="G794" s="67"/>
      <c r="H794" s="71"/>
      <c r="I794" s="72"/>
      <c r="J794" s="72"/>
      <c r="K794" s="36"/>
      <c r="L794" s="79"/>
      <c r="M794" s="79"/>
      <c r="N794" s="74"/>
      <c r="O794" s="81" t="s">
        <v>1534</v>
      </c>
      <c r="P794" s="83">
        <v>44463.067037037035</v>
      </c>
      <c r="Q794" s="81" t="s">
        <v>1842</v>
      </c>
      <c r="R794" s="81"/>
      <c r="S794" s="81"/>
      <c r="T794" s="81"/>
      <c r="U794" s="81"/>
      <c r="V794" s="84" t="str">
        <f>HYPERLINK("https://pbs.twimg.com/profile_images/1429474268207742981/qODhKOyF_normal.jpg")</f>
        <v>https://pbs.twimg.com/profile_images/1429474268207742981/qODhKOyF_normal.jpg</v>
      </c>
      <c r="W794" s="83">
        <v>44463.067037037035</v>
      </c>
      <c r="X794" s="89">
        <v>44463</v>
      </c>
      <c r="Y794" s="86" t="s">
        <v>3382</v>
      </c>
      <c r="Z794" s="84" t="str">
        <f>HYPERLINK("https://twitter.com/floraisonvie/status/1441214937573978114")</f>
        <v>https://twitter.com/floraisonvie/status/1441214937573978114</v>
      </c>
      <c r="AA794" s="81"/>
      <c r="AB794" s="81"/>
      <c r="AC794" s="86" t="s">
        <v>4846</v>
      </c>
      <c r="AD794" s="86" t="s">
        <v>6088</v>
      </c>
      <c r="AE794" s="81" t="b">
        <v>0</v>
      </c>
      <c r="AF794" s="81">
        <v>0</v>
      </c>
      <c r="AG794" s="86" t="s">
        <v>6348</v>
      </c>
      <c r="AH794" s="81" t="b">
        <v>0</v>
      </c>
      <c r="AI794" s="81" t="s">
        <v>6478</v>
      </c>
      <c r="AJ794" s="81"/>
      <c r="AK794" s="86" t="s">
        <v>6240</v>
      </c>
      <c r="AL794" s="81" t="b">
        <v>0</v>
      </c>
      <c r="AM794" s="81">
        <v>0</v>
      </c>
      <c r="AN794" s="86" t="s">
        <v>6240</v>
      </c>
      <c r="AO794" s="86" t="s">
        <v>6503</v>
      </c>
      <c r="AP794" s="81" t="b">
        <v>0</v>
      </c>
      <c r="AQ794" s="86" t="s">
        <v>6088</v>
      </c>
      <c r="AR794" s="81" t="s">
        <v>179</v>
      </c>
      <c r="AS794" s="81">
        <v>0</v>
      </c>
      <c r="AT794" s="81">
        <v>0</v>
      </c>
      <c r="AU794" s="81"/>
      <c r="AV794" s="81"/>
      <c r="AW794" s="81"/>
      <c r="AX794" s="81"/>
      <c r="AY794" s="81"/>
      <c r="AZ794" s="81"/>
      <c r="BA794" s="81"/>
      <c r="BB794" s="81"/>
    </row>
    <row r="795" spans="1:54" x14ac:dyDescent="0.35">
      <c r="A795" s="66" t="s">
        <v>784</v>
      </c>
      <c r="B795" s="66" t="s">
        <v>848</v>
      </c>
      <c r="C795" s="67"/>
      <c r="D795" s="68"/>
      <c r="E795" s="69"/>
      <c r="F795" s="70"/>
      <c r="G795" s="67"/>
      <c r="H795" s="71"/>
      <c r="I795" s="72"/>
      <c r="J795" s="72"/>
      <c r="K795" s="36"/>
      <c r="L795" s="79"/>
      <c r="M795" s="79"/>
      <c r="N795" s="74"/>
      <c r="O795" s="81" t="s">
        <v>1532</v>
      </c>
      <c r="P795" s="83">
        <v>44463.081087962964</v>
      </c>
      <c r="Q795" s="81" t="s">
        <v>1810</v>
      </c>
      <c r="R795" s="81"/>
      <c r="S795" s="81"/>
      <c r="T795" s="86" t="s">
        <v>2682</v>
      </c>
      <c r="U795" s="84" t="str">
        <f>HYPERLINK("https://pbs.twimg.com/media/E_9V_ibVEAYc8c_.jpg")</f>
        <v>https://pbs.twimg.com/media/E_9V_ibVEAYc8c_.jpg</v>
      </c>
      <c r="V795" s="84" t="str">
        <f>HYPERLINK("https://pbs.twimg.com/media/E_9V_ibVEAYc8c_.jpg")</f>
        <v>https://pbs.twimg.com/media/E_9V_ibVEAYc8c_.jpg</v>
      </c>
      <c r="W795" s="83">
        <v>44463.081087962964</v>
      </c>
      <c r="X795" s="89">
        <v>44463</v>
      </c>
      <c r="Y795" s="86" t="s">
        <v>3383</v>
      </c>
      <c r="Z795" s="84" t="str">
        <f>HYPERLINK("https://twitter.com/pasartheboyz/status/1441220032344645636")</f>
        <v>https://twitter.com/pasartheboyz/status/1441220032344645636</v>
      </c>
      <c r="AA795" s="81"/>
      <c r="AB795" s="81"/>
      <c r="AC795" s="86" t="s">
        <v>4847</v>
      </c>
      <c r="AD795" s="81"/>
      <c r="AE795" s="81" t="b">
        <v>0</v>
      </c>
      <c r="AF795" s="81">
        <v>0</v>
      </c>
      <c r="AG795" s="86" t="s">
        <v>6240</v>
      </c>
      <c r="AH795" s="81" t="b">
        <v>0</v>
      </c>
      <c r="AI795" s="81" t="s">
        <v>6479</v>
      </c>
      <c r="AJ795" s="81"/>
      <c r="AK795" s="86" t="s">
        <v>6240</v>
      </c>
      <c r="AL795" s="81" t="b">
        <v>0</v>
      </c>
      <c r="AM795" s="81">
        <v>12</v>
      </c>
      <c r="AN795" s="86" t="s">
        <v>4924</v>
      </c>
      <c r="AO795" s="86" t="s">
        <v>6505</v>
      </c>
      <c r="AP795" s="81" t="b">
        <v>0</v>
      </c>
      <c r="AQ795" s="86" t="s">
        <v>4924</v>
      </c>
      <c r="AR795" s="81" t="s">
        <v>179</v>
      </c>
      <c r="AS795" s="81">
        <v>0</v>
      </c>
      <c r="AT795" s="81">
        <v>0</v>
      </c>
      <c r="AU795" s="81"/>
      <c r="AV795" s="81"/>
      <c r="AW795" s="81"/>
      <c r="AX795" s="81"/>
      <c r="AY795" s="81"/>
      <c r="AZ795" s="81"/>
      <c r="BA795" s="81"/>
      <c r="BB795" s="81"/>
    </row>
    <row r="796" spans="1:54" x14ac:dyDescent="0.35">
      <c r="A796" s="66" t="s">
        <v>785</v>
      </c>
      <c r="B796" s="66" t="s">
        <v>785</v>
      </c>
      <c r="C796" s="67"/>
      <c r="D796" s="68"/>
      <c r="E796" s="69"/>
      <c r="F796" s="70"/>
      <c r="G796" s="67"/>
      <c r="H796" s="71"/>
      <c r="I796" s="72"/>
      <c r="J796" s="72"/>
      <c r="K796" s="36"/>
      <c r="L796" s="79"/>
      <c r="M796" s="79"/>
      <c r="N796" s="74"/>
      <c r="O796" s="81" t="s">
        <v>179</v>
      </c>
      <c r="P796" s="83">
        <v>44463.085787037038</v>
      </c>
      <c r="Q796" s="81" t="s">
        <v>1843</v>
      </c>
      <c r="R796" s="84" t="str">
        <f>HYPERLINK("https://www.gudangloker.com/2021/06/lowongan-kerja-pt-pos-logistik.html#.YU0x6e8YerY.twitter")</f>
        <v>https://www.gudangloker.com/2021/06/lowongan-kerja-pt-pos-logistik.html#.YU0x6e8YerY.twitter</v>
      </c>
      <c r="S796" s="81" t="s">
        <v>2618</v>
      </c>
      <c r="T796" s="81"/>
      <c r="U796" s="81"/>
      <c r="V796" s="84" t="str">
        <f>HYPERLINK("https://pbs.twimg.com/profile_images/1321548073516986369/LR76zNyN_normal.png")</f>
        <v>https://pbs.twimg.com/profile_images/1321548073516986369/LR76zNyN_normal.png</v>
      </c>
      <c r="W796" s="83">
        <v>44463.085787037038</v>
      </c>
      <c r="X796" s="89">
        <v>44463</v>
      </c>
      <c r="Y796" s="86" t="s">
        <v>3384</v>
      </c>
      <c r="Z796" s="84" t="str">
        <f>HYPERLINK("https://twitter.com/gudangloker_com/status/1441221732195471365")</f>
        <v>https://twitter.com/gudangloker_com/status/1441221732195471365</v>
      </c>
      <c r="AA796" s="81"/>
      <c r="AB796" s="81"/>
      <c r="AC796" s="86" t="s">
        <v>4848</v>
      </c>
      <c r="AD796" s="81"/>
      <c r="AE796" s="81" t="b">
        <v>0</v>
      </c>
      <c r="AF796" s="81">
        <v>1</v>
      </c>
      <c r="AG796" s="86" t="s">
        <v>6240</v>
      </c>
      <c r="AH796" s="81" t="b">
        <v>0</v>
      </c>
      <c r="AI796" s="81" t="s">
        <v>6478</v>
      </c>
      <c r="AJ796" s="81"/>
      <c r="AK796" s="86" t="s">
        <v>6240</v>
      </c>
      <c r="AL796" s="81" t="b">
        <v>0</v>
      </c>
      <c r="AM796" s="81">
        <v>0</v>
      </c>
      <c r="AN796" s="86" t="s">
        <v>6240</v>
      </c>
      <c r="AO796" s="86" t="s">
        <v>6507</v>
      </c>
      <c r="AP796" s="81" t="b">
        <v>0</v>
      </c>
      <c r="AQ796" s="86" t="s">
        <v>4848</v>
      </c>
      <c r="AR796" s="81" t="s">
        <v>179</v>
      </c>
      <c r="AS796" s="81">
        <v>0</v>
      </c>
      <c r="AT796" s="81">
        <v>0</v>
      </c>
      <c r="AU796" s="81"/>
      <c r="AV796" s="81"/>
      <c r="AW796" s="81"/>
      <c r="AX796" s="81"/>
      <c r="AY796" s="81"/>
      <c r="AZ796" s="81"/>
      <c r="BA796" s="81"/>
      <c r="BB796" s="81"/>
    </row>
    <row r="797" spans="1:54" x14ac:dyDescent="0.35">
      <c r="A797" s="66" t="s">
        <v>786</v>
      </c>
      <c r="B797" s="66" t="s">
        <v>1398</v>
      </c>
      <c r="C797" s="67"/>
      <c r="D797" s="68"/>
      <c r="E797" s="69"/>
      <c r="F797" s="70"/>
      <c r="G797" s="67"/>
      <c r="H797" s="71"/>
      <c r="I797" s="72"/>
      <c r="J797" s="72"/>
      <c r="K797" s="36"/>
      <c r="L797" s="79"/>
      <c r="M797" s="79"/>
      <c r="N797" s="74"/>
      <c r="O797" s="81" t="s">
        <v>1534</v>
      </c>
      <c r="P797" s="83">
        <v>44463.091782407406</v>
      </c>
      <c r="Q797" s="81" t="s">
        <v>1844</v>
      </c>
      <c r="R797" s="81"/>
      <c r="S797" s="81"/>
      <c r="T797" s="81"/>
      <c r="U797" s="81"/>
      <c r="V797" s="84" t="str">
        <f>HYPERLINK("https://pbs.twimg.com/profile_images/1440260568397463553/rMvuR8dG_normal.jpg")</f>
        <v>https://pbs.twimg.com/profile_images/1440260568397463553/rMvuR8dG_normal.jpg</v>
      </c>
      <c r="W797" s="83">
        <v>44463.091782407406</v>
      </c>
      <c r="X797" s="89">
        <v>44463</v>
      </c>
      <c r="Y797" s="86" t="s">
        <v>3385</v>
      </c>
      <c r="Z797" s="84" t="str">
        <f>HYPERLINK("https://twitter.com/_n0t4lfiaccount/status/1441223905859944455")</f>
        <v>https://twitter.com/_n0t4lfiaccount/status/1441223905859944455</v>
      </c>
      <c r="AA797" s="81"/>
      <c r="AB797" s="81"/>
      <c r="AC797" s="86" t="s">
        <v>4849</v>
      </c>
      <c r="AD797" s="86" t="s">
        <v>6089</v>
      </c>
      <c r="AE797" s="81" t="b">
        <v>0</v>
      </c>
      <c r="AF797" s="81">
        <v>0</v>
      </c>
      <c r="AG797" s="86" t="s">
        <v>6349</v>
      </c>
      <c r="AH797" s="81" t="b">
        <v>0</v>
      </c>
      <c r="AI797" s="81" t="s">
        <v>6478</v>
      </c>
      <c r="AJ797" s="81"/>
      <c r="AK797" s="86" t="s">
        <v>6240</v>
      </c>
      <c r="AL797" s="81" t="b">
        <v>0</v>
      </c>
      <c r="AM797" s="81">
        <v>0</v>
      </c>
      <c r="AN797" s="86" t="s">
        <v>6240</v>
      </c>
      <c r="AO797" s="86" t="s">
        <v>6507</v>
      </c>
      <c r="AP797" s="81" t="b">
        <v>0</v>
      </c>
      <c r="AQ797" s="86" t="s">
        <v>6089</v>
      </c>
      <c r="AR797" s="81" t="s">
        <v>179</v>
      </c>
      <c r="AS797" s="81">
        <v>0</v>
      </c>
      <c r="AT797" s="81">
        <v>0</v>
      </c>
      <c r="AU797" s="81"/>
      <c r="AV797" s="81"/>
      <c r="AW797" s="81"/>
      <c r="AX797" s="81"/>
      <c r="AY797" s="81"/>
      <c r="AZ797" s="81"/>
      <c r="BA797" s="81"/>
      <c r="BB797" s="81"/>
    </row>
    <row r="798" spans="1:54" x14ac:dyDescent="0.35">
      <c r="A798" s="66" t="s">
        <v>787</v>
      </c>
      <c r="B798" s="66" t="s">
        <v>787</v>
      </c>
      <c r="C798" s="67"/>
      <c r="D798" s="68"/>
      <c r="E798" s="69"/>
      <c r="F798" s="70"/>
      <c r="G798" s="67"/>
      <c r="H798" s="71"/>
      <c r="I798" s="72"/>
      <c r="J798" s="72"/>
      <c r="K798" s="36"/>
      <c r="L798" s="79"/>
      <c r="M798" s="79"/>
      <c r="N798" s="74"/>
      <c r="O798" s="81" t="s">
        <v>179</v>
      </c>
      <c r="P798" s="83">
        <v>44463.100335648145</v>
      </c>
      <c r="Q798" s="81" t="s">
        <v>1845</v>
      </c>
      <c r="R798" s="84" t="str">
        <f>HYPERLINK("https://www.lokernesia.id/2021/09/lowongan-kerja-pos-logistik-indonesia.html")</f>
        <v>https://www.lokernesia.id/2021/09/lowongan-kerja-pos-logistik-indonesia.html</v>
      </c>
      <c r="S798" s="81" t="s">
        <v>2619</v>
      </c>
      <c r="T798" s="81"/>
      <c r="U798" s="81"/>
      <c r="V798" s="84" t="str">
        <f>HYPERLINK("https://pbs.twimg.com/profile_images/1301215673914327040/xgAaFG1f_normal.jpg")</f>
        <v>https://pbs.twimg.com/profile_images/1301215673914327040/xgAaFG1f_normal.jpg</v>
      </c>
      <c r="W798" s="83">
        <v>44463.100335648145</v>
      </c>
      <c r="X798" s="89">
        <v>44463</v>
      </c>
      <c r="Y798" s="86" t="s">
        <v>3386</v>
      </c>
      <c r="Z798" s="84" t="str">
        <f>HYPERLINK("https://twitter.com/lokernesiaid/status/1441227006851444752")</f>
        <v>https://twitter.com/lokernesiaid/status/1441227006851444752</v>
      </c>
      <c r="AA798" s="81"/>
      <c r="AB798" s="81"/>
      <c r="AC798" s="86" t="s">
        <v>4850</v>
      </c>
      <c r="AD798" s="81"/>
      <c r="AE798" s="81" t="b">
        <v>0</v>
      </c>
      <c r="AF798" s="81">
        <v>0</v>
      </c>
      <c r="AG798" s="86" t="s">
        <v>6240</v>
      </c>
      <c r="AH798" s="81" t="b">
        <v>0</v>
      </c>
      <c r="AI798" s="81" t="s">
        <v>6478</v>
      </c>
      <c r="AJ798" s="81"/>
      <c r="AK798" s="86" t="s">
        <v>6240</v>
      </c>
      <c r="AL798" s="81" t="b">
        <v>0</v>
      </c>
      <c r="AM798" s="81">
        <v>0</v>
      </c>
      <c r="AN798" s="86" t="s">
        <v>6240</v>
      </c>
      <c r="AO798" s="86" t="s">
        <v>6509</v>
      </c>
      <c r="AP798" s="81" t="b">
        <v>0</v>
      </c>
      <c r="AQ798" s="86" t="s">
        <v>4850</v>
      </c>
      <c r="AR798" s="81" t="s">
        <v>179</v>
      </c>
      <c r="AS798" s="81">
        <v>0</v>
      </c>
      <c r="AT798" s="81">
        <v>0</v>
      </c>
      <c r="AU798" s="81"/>
      <c r="AV798" s="81"/>
      <c r="AW798" s="81"/>
      <c r="AX798" s="81"/>
      <c r="AY798" s="81"/>
      <c r="AZ798" s="81"/>
      <c r="BA798" s="81"/>
      <c r="BB798" s="81"/>
    </row>
    <row r="799" spans="1:54" x14ac:dyDescent="0.35">
      <c r="A799" s="66" t="s">
        <v>788</v>
      </c>
      <c r="B799" s="66" t="s">
        <v>788</v>
      </c>
      <c r="C799" s="67"/>
      <c r="D799" s="68"/>
      <c r="E799" s="69"/>
      <c r="F799" s="70"/>
      <c r="G799" s="67"/>
      <c r="H799" s="71"/>
      <c r="I799" s="72"/>
      <c r="J799" s="72"/>
      <c r="K799" s="36"/>
      <c r="L799" s="79"/>
      <c r="M799" s="79"/>
      <c r="N799" s="74"/>
      <c r="O799" s="81" t="s">
        <v>179</v>
      </c>
      <c r="P799" s="83">
        <v>44463.126493055555</v>
      </c>
      <c r="Q799" s="81" t="s">
        <v>1846</v>
      </c>
      <c r="R799" s="81"/>
      <c r="S799" s="81"/>
      <c r="T799" s="81"/>
      <c r="U799" s="81"/>
      <c r="V799" s="84" t="str">
        <f>HYPERLINK("https://pbs.twimg.com/profile_images/1432936433539452928/IBaLEnRc_normal.jpg")</f>
        <v>https://pbs.twimg.com/profile_images/1432936433539452928/IBaLEnRc_normal.jpg</v>
      </c>
      <c r="W799" s="83">
        <v>44463.126493055555</v>
      </c>
      <c r="X799" s="89">
        <v>44463</v>
      </c>
      <c r="Y799" s="86" t="s">
        <v>3387</v>
      </c>
      <c r="Z799" s="84" t="str">
        <f>HYPERLINK("https://twitter.com/eunhatelkomsel/status/1441236484246278149")</f>
        <v>https://twitter.com/eunhatelkomsel/status/1441236484246278149</v>
      </c>
      <c r="AA799" s="81"/>
      <c r="AB799" s="81"/>
      <c r="AC799" s="86" t="s">
        <v>4851</v>
      </c>
      <c r="AD799" s="81"/>
      <c r="AE799" s="81" t="b">
        <v>0</v>
      </c>
      <c r="AF799" s="81">
        <v>0</v>
      </c>
      <c r="AG799" s="86" t="s">
        <v>6240</v>
      </c>
      <c r="AH799" s="81" t="b">
        <v>0</v>
      </c>
      <c r="AI799" s="81" t="s">
        <v>6478</v>
      </c>
      <c r="AJ799" s="81"/>
      <c r="AK799" s="86" t="s">
        <v>6240</v>
      </c>
      <c r="AL799" s="81" t="b">
        <v>0</v>
      </c>
      <c r="AM799" s="81">
        <v>0</v>
      </c>
      <c r="AN799" s="86" t="s">
        <v>6240</v>
      </c>
      <c r="AO799" s="86" t="s">
        <v>6505</v>
      </c>
      <c r="AP799" s="81" t="b">
        <v>0</v>
      </c>
      <c r="AQ799" s="86" t="s">
        <v>4851</v>
      </c>
      <c r="AR799" s="81" t="s">
        <v>179</v>
      </c>
      <c r="AS799" s="81">
        <v>0</v>
      </c>
      <c r="AT799" s="81">
        <v>0</v>
      </c>
      <c r="AU799" s="81"/>
      <c r="AV799" s="81"/>
      <c r="AW799" s="81"/>
      <c r="AX799" s="81"/>
      <c r="AY799" s="81"/>
      <c r="AZ799" s="81"/>
      <c r="BA799" s="81"/>
      <c r="BB799" s="81"/>
    </row>
    <row r="800" spans="1:54" x14ac:dyDescent="0.35">
      <c r="A800" s="66" t="s">
        <v>789</v>
      </c>
      <c r="B800" s="66" t="s">
        <v>789</v>
      </c>
      <c r="C800" s="67"/>
      <c r="D800" s="68"/>
      <c r="E800" s="69"/>
      <c r="F800" s="70"/>
      <c r="G800" s="67"/>
      <c r="H800" s="71"/>
      <c r="I800" s="72"/>
      <c r="J800" s="72"/>
      <c r="K800" s="36"/>
      <c r="L800" s="79"/>
      <c r="M800" s="79"/>
      <c r="N800" s="74"/>
      <c r="O800" s="81" t="s">
        <v>179</v>
      </c>
      <c r="P800" s="83">
        <v>44458.125</v>
      </c>
      <c r="Q800" s="81" t="s">
        <v>1847</v>
      </c>
      <c r="R800" s="84" t="str">
        <f>HYPERLINK("https://akurat.co/pos-indonesia-buka-lowongan-untuk-posisi-oranger-loket-ijazah-slta-bisa")</f>
        <v>https://akurat.co/pos-indonesia-buka-lowongan-untuk-posisi-oranger-loket-ijazah-slta-bisa</v>
      </c>
      <c r="S800" s="81" t="s">
        <v>2620</v>
      </c>
      <c r="T800" s="81"/>
      <c r="U800" s="81"/>
      <c r="V800" s="84" t="str">
        <f>HYPERLINK("https://pbs.twimg.com/profile_images/1144132838951809026/UsSe9lTl_normal.png")</f>
        <v>https://pbs.twimg.com/profile_images/1144132838951809026/UsSe9lTl_normal.png</v>
      </c>
      <c r="W800" s="83">
        <v>44458.125</v>
      </c>
      <c r="X800" s="89">
        <v>44458</v>
      </c>
      <c r="Y800" s="86" t="s">
        <v>3388</v>
      </c>
      <c r="Z800" s="84" t="str">
        <f>HYPERLINK("https://twitter.com/akuratco/status/1439424006202052613")</f>
        <v>https://twitter.com/akuratco/status/1439424006202052613</v>
      </c>
      <c r="AA800" s="81"/>
      <c r="AB800" s="81"/>
      <c r="AC800" s="86" t="s">
        <v>4852</v>
      </c>
      <c r="AD800" s="81"/>
      <c r="AE800" s="81" t="b">
        <v>0</v>
      </c>
      <c r="AF800" s="81">
        <v>0</v>
      </c>
      <c r="AG800" s="86" t="s">
        <v>6240</v>
      </c>
      <c r="AH800" s="81" t="b">
        <v>0</v>
      </c>
      <c r="AI800" s="81" t="s">
        <v>6478</v>
      </c>
      <c r="AJ800" s="81"/>
      <c r="AK800" s="86" t="s">
        <v>6240</v>
      </c>
      <c r="AL800" s="81" t="b">
        <v>0</v>
      </c>
      <c r="AM800" s="81">
        <v>0</v>
      </c>
      <c r="AN800" s="86" t="s">
        <v>6240</v>
      </c>
      <c r="AO800" s="86" t="s">
        <v>6507</v>
      </c>
      <c r="AP800" s="81" t="b">
        <v>0</v>
      </c>
      <c r="AQ800" s="86" t="s">
        <v>4852</v>
      </c>
      <c r="AR800" s="81" t="s">
        <v>179</v>
      </c>
      <c r="AS800" s="81">
        <v>0</v>
      </c>
      <c r="AT800" s="81">
        <v>0</v>
      </c>
      <c r="AU800" s="81"/>
      <c r="AV800" s="81"/>
      <c r="AW800" s="81"/>
      <c r="AX800" s="81"/>
      <c r="AY800" s="81"/>
      <c r="AZ800" s="81"/>
      <c r="BA800" s="81"/>
      <c r="BB800" s="81"/>
    </row>
    <row r="801" spans="1:54" x14ac:dyDescent="0.35">
      <c r="A801" s="66" t="s">
        <v>789</v>
      </c>
      <c r="B801" s="66" t="s">
        <v>789</v>
      </c>
      <c r="C801" s="67"/>
      <c r="D801" s="68"/>
      <c r="E801" s="69"/>
      <c r="F801" s="70"/>
      <c r="G801" s="67"/>
      <c r="H801" s="71"/>
      <c r="I801" s="72"/>
      <c r="J801" s="72"/>
      <c r="K801" s="36"/>
      <c r="L801" s="79"/>
      <c r="M801" s="79"/>
      <c r="N801" s="74"/>
      <c r="O801" s="81" t="s">
        <v>179</v>
      </c>
      <c r="P801" s="83">
        <v>44461.666689814818</v>
      </c>
      <c r="Q801" s="81" t="s">
        <v>1848</v>
      </c>
      <c r="R801" s="84" t="str">
        <f>HYPERLINK("https://akurat.co/mengenal-sejarah-pos-indonesia-dan-cerita-mistisnya")</f>
        <v>https://akurat.co/mengenal-sejarah-pos-indonesia-dan-cerita-mistisnya</v>
      </c>
      <c r="S801" s="81" t="s">
        <v>2620</v>
      </c>
      <c r="T801" s="81"/>
      <c r="U801" s="81"/>
      <c r="V801" s="84" t="str">
        <f>HYPERLINK("https://pbs.twimg.com/profile_images/1144132838951809026/UsSe9lTl_normal.png")</f>
        <v>https://pbs.twimg.com/profile_images/1144132838951809026/UsSe9lTl_normal.png</v>
      </c>
      <c r="W801" s="83">
        <v>44461.666689814818</v>
      </c>
      <c r="X801" s="89">
        <v>44461</v>
      </c>
      <c r="Y801" s="86" t="s">
        <v>3389</v>
      </c>
      <c r="Z801" s="84" t="str">
        <f>HYPERLINK("https://twitter.com/akuratco/status/1440707468519034896")</f>
        <v>https://twitter.com/akuratco/status/1440707468519034896</v>
      </c>
      <c r="AA801" s="81"/>
      <c r="AB801" s="81"/>
      <c r="AC801" s="86" t="s">
        <v>4853</v>
      </c>
      <c r="AD801" s="81"/>
      <c r="AE801" s="81" t="b">
        <v>0</v>
      </c>
      <c r="AF801" s="81">
        <v>0</v>
      </c>
      <c r="AG801" s="86" t="s">
        <v>6240</v>
      </c>
      <c r="AH801" s="81" t="b">
        <v>0</v>
      </c>
      <c r="AI801" s="81" t="s">
        <v>6478</v>
      </c>
      <c r="AJ801" s="81"/>
      <c r="AK801" s="86" t="s">
        <v>6240</v>
      </c>
      <c r="AL801" s="81" t="b">
        <v>0</v>
      </c>
      <c r="AM801" s="81">
        <v>0</v>
      </c>
      <c r="AN801" s="86" t="s">
        <v>6240</v>
      </c>
      <c r="AO801" s="86" t="s">
        <v>6507</v>
      </c>
      <c r="AP801" s="81" t="b">
        <v>0</v>
      </c>
      <c r="AQ801" s="86" t="s">
        <v>4853</v>
      </c>
      <c r="AR801" s="81" t="s">
        <v>179</v>
      </c>
      <c r="AS801" s="81">
        <v>0</v>
      </c>
      <c r="AT801" s="81">
        <v>0</v>
      </c>
      <c r="AU801" s="81"/>
      <c r="AV801" s="81"/>
      <c r="AW801" s="81"/>
      <c r="AX801" s="81"/>
      <c r="AY801" s="81"/>
      <c r="AZ801" s="81"/>
      <c r="BA801" s="81"/>
      <c r="BB801" s="81"/>
    </row>
    <row r="802" spans="1:54" x14ac:dyDescent="0.35">
      <c r="A802" s="66" t="s">
        <v>789</v>
      </c>
      <c r="B802" s="66" t="s">
        <v>789</v>
      </c>
      <c r="C802" s="67"/>
      <c r="D802" s="68"/>
      <c r="E802" s="69"/>
      <c r="F802" s="70"/>
      <c r="G802" s="67"/>
      <c r="H802" s="71"/>
      <c r="I802" s="72"/>
      <c r="J802" s="72"/>
      <c r="K802" s="36"/>
      <c r="L802" s="79"/>
      <c r="M802" s="79"/>
      <c r="N802" s="74"/>
      <c r="O802" s="81" t="s">
        <v>179</v>
      </c>
      <c r="P802" s="83">
        <v>44463.138888888891</v>
      </c>
      <c r="Q802" s="81" t="s">
        <v>1849</v>
      </c>
      <c r="R802" s="84" t="str">
        <f>HYPERLINK("https://akurat.co/anak-usaha-pos-indonesia-buka-lowongan-kerja-tutup-tiga-hari-lagi-lho")</f>
        <v>https://akurat.co/anak-usaha-pos-indonesia-buka-lowongan-kerja-tutup-tiga-hari-lagi-lho</v>
      </c>
      <c r="S802" s="81" t="s">
        <v>2620</v>
      </c>
      <c r="T802" s="81"/>
      <c r="U802" s="81"/>
      <c r="V802" s="84" t="str">
        <f>HYPERLINK("https://pbs.twimg.com/profile_images/1144132838951809026/UsSe9lTl_normal.png")</f>
        <v>https://pbs.twimg.com/profile_images/1144132838951809026/UsSe9lTl_normal.png</v>
      </c>
      <c r="W802" s="83">
        <v>44463.138888888891</v>
      </c>
      <c r="X802" s="89">
        <v>44463</v>
      </c>
      <c r="Y802" s="86" t="s">
        <v>3390</v>
      </c>
      <c r="Z802" s="84" t="str">
        <f>HYPERLINK("https://twitter.com/akuratco/status/1441240975926509569")</f>
        <v>https://twitter.com/akuratco/status/1441240975926509569</v>
      </c>
      <c r="AA802" s="81"/>
      <c r="AB802" s="81"/>
      <c r="AC802" s="86" t="s">
        <v>4854</v>
      </c>
      <c r="AD802" s="81"/>
      <c r="AE802" s="81" t="b">
        <v>0</v>
      </c>
      <c r="AF802" s="81">
        <v>0</v>
      </c>
      <c r="AG802" s="86" t="s">
        <v>6240</v>
      </c>
      <c r="AH802" s="81" t="b">
        <v>0</v>
      </c>
      <c r="AI802" s="81" t="s">
        <v>6478</v>
      </c>
      <c r="AJ802" s="81"/>
      <c r="AK802" s="86" t="s">
        <v>6240</v>
      </c>
      <c r="AL802" s="81" t="b">
        <v>0</v>
      </c>
      <c r="AM802" s="81">
        <v>0</v>
      </c>
      <c r="AN802" s="86" t="s">
        <v>6240</v>
      </c>
      <c r="AO802" s="86" t="s">
        <v>6507</v>
      </c>
      <c r="AP802" s="81" t="b">
        <v>0</v>
      </c>
      <c r="AQ802" s="86" t="s">
        <v>4854</v>
      </c>
      <c r="AR802" s="81" t="s">
        <v>179</v>
      </c>
      <c r="AS802" s="81">
        <v>0</v>
      </c>
      <c r="AT802" s="81">
        <v>0</v>
      </c>
      <c r="AU802" s="81"/>
      <c r="AV802" s="81"/>
      <c r="AW802" s="81"/>
      <c r="AX802" s="81"/>
      <c r="AY802" s="81"/>
      <c r="AZ802" s="81"/>
      <c r="BA802" s="81"/>
      <c r="BB802" s="81"/>
    </row>
    <row r="803" spans="1:54" x14ac:dyDescent="0.35">
      <c r="A803" s="66" t="s">
        <v>790</v>
      </c>
      <c r="B803" s="66" t="s">
        <v>790</v>
      </c>
      <c r="C803" s="67"/>
      <c r="D803" s="68"/>
      <c r="E803" s="69"/>
      <c r="F803" s="70"/>
      <c r="G803" s="67"/>
      <c r="H803" s="71"/>
      <c r="I803" s="72"/>
      <c r="J803" s="72"/>
      <c r="K803" s="36"/>
      <c r="L803" s="79"/>
      <c r="M803" s="79"/>
      <c r="N803" s="74"/>
      <c r="O803" s="81" t="s">
        <v>179</v>
      </c>
      <c r="P803" s="83">
        <v>44463.104166666664</v>
      </c>
      <c r="Q803" s="81" t="s">
        <v>1850</v>
      </c>
      <c r="R803" s="81"/>
      <c r="S803" s="81"/>
      <c r="T803" s="81"/>
      <c r="U803" s="84" t="str">
        <f>HYPERLINK("https://pbs.twimg.com/media/FAAzlnVVEAokraj.jpg")</f>
        <v>https://pbs.twimg.com/media/FAAzlnVVEAokraj.jpg</v>
      </c>
      <c r="V803" s="84" t="str">
        <f>HYPERLINK("https://pbs.twimg.com/media/FAAzlnVVEAokraj.jpg")</f>
        <v>https://pbs.twimg.com/media/FAAzlnVVEAokraj.jpg</v>
      </c>
      <c r="W803" s="83">
        <v>44463.104166666664</v>
      </c>
      <c r="X803" s="89">
        <v>44463</v>
      </c>
      <c r="Y803" s="86" t="s">
        <v>3391</v>
      </c>
      <c r="Z803" s="84" t="str">
        <f>HYPERLINK("https://twitter.com/muse_indonesia/status/1441228393303916544")</f>
        <v>https://twitter.com/muse_indonesia/status/1441228393303916544</v>
      </c>
      <c r="AA803" s="81"/>
      <c r="AB803" s="81"/>
      <c r="AC803" s="86" t="s">
        <v>4855</v>
      </c>
      <c r="AD803" s="81"/>
      <c r="AE803" s="81" t="b">
        <v>0</v>
      </c>
      <c r="AF803" s="81">
        <v>594</v>
      </c>
      <c r="AG803" s="86" t="s">
        <v>6240</v>
      </c>
      <c r="AH803" s="81" t="b">
        <v>0</v>
      </c>
      <c r="AI803" s="81" t="s">
        <v>6478</v>
      </c>
      <c r="AJ803" s="81"/>
      <c r="AK803" s="86" t="s">
        <v>6240</v>
      </c>
      <c r="AL803" s="81" t="b">
        <v>0</v>
      </c>
      <c r="AM803" s="81">
        <v>73</v>
      </c>
      <c r="AN803" s="86" t="s">
        <v>6240</v>
      </c>
      <c r="AO803" s="86" t="s">
        <v>6507</v>
      </c>
      <c r="AP803" s="81" t="b">
        <v>0</v>
      </c>
      <c r="AQ803" s="86" t="s">
        <v>4855</v>
      </c>
      <c r="AR803" s="81" t="s">
        <v>179</v>
      </c>
      <c r="AS803" s="81">
        <v>0</v>
      </c>
      <c r="AT803" s="81">
        <v>0</v>
      </c>
      <c r="AU803" s="81"/>
      <c r="AV803" s="81"/>
      <c r="AW803" s="81"/>
      <c r="AX803" s="81"/>
      <c r="AY803" s="81"/>
      <c r="AZ803" s="81"/>
      <c r="BA803" s="81"/>
      <c r="BB803" s="81"/>
    </row>
    <row r="804" spans="1:54" x14ac:dyDescent="0.35">
      <c r="A804" s="66" t="s">
        <v>790</v>
      </c>
      <c r="B804" s="66" t="s">
        <v>790</v>
      </c>
      <c r="C804" s="67"/>
      <c r="D804" s="68"/>
      <c r="E804" s="69"/>
      <c r="F804" s="70"/>
      <c r="G804" s="67"/>
      <c r="H804" s="71"/>
      <c r="I804" s="72"/>
      <c r="J804" s="72"/>
      <c r="K804" s="36"/>
      <c r="L804" s="79"/>
      <c r="M804" s="79"/>
      <c r="N804" s="74"/>
      <c r="O804" s="81" t="s">
        <v>179</v>
      </c>
      <c r="P804" s="83">
        <v>44463.145833333336</v>
      </c>
      <c r="Q804" s="81" t="s">
        <v>1851</v>
      </c>
      <c r="R804" s="84" t="str">
        <f>HYPERLINK("https://kaginado.com/")</f>
        <v>https://kaginado.com/</v>
      </c>
      <c r="S804" s="81" t="s">
        <v>2621</v>
      </c>
      <c r="T804" s="81"/>
      <c r="U804" s="84" t="str">
        <f>HYPERLINK("https://pbs.twimg.com/media/FAA5JFVUcAA16B2.jpg")</f>
        <v>https://pbs.twimg.com/media/FAA5JFVUcAA16B2.jpg</v>
      </c>
      <c r="V804" s="84" t="str">
        <f>HYPERLINK("https://pbs.twimg.com/media/FAA5JFVUcAA16B2.jpg")</f>
        <v>https://pbs.twimg.com/media/FAA5JFVUcAA16B2.jpg</v>
      </c>
      <c r="W804" s="83">
        <v>44463.145833333336</v>
      </c>
      <c r="X804" s="89">
        <v>44463</v>
      </c>
      <c r="Y804" s="86" t="s">
        <v>3392</v>
      </c>
      <c r="Z804" s="84" t="str">
        <f>HYPERLINK("https://twitter.com/muse_indonesia/status/1441243493226229761")</f>
        <v>https://twitter.com/muse_indonesia/status/1441243493226229761</v>
      </c>
      <c r="AA804" s="81"/>
      <c r="AB804" s="81"/>
      <c r="AC804" s="86" t="s">
        <v>4856</v>
      </c>
      <c r="AD804" s="81"/>
      <c r="AE804" s="81" t="b">
        <v>0</v>
      </c>
      <c r="AF804" s="81">
        <v>116</v>
      </c>
      <c r="AG804" s="86" t="s">
        <v>6240</v>
      </c>
      <c r="AH804" s="81" t="b">
        <v>0</v>
      </c>
      <c r="AI804" s="81" t="s">
        <v>6478</v>
      </c>
      <c r="AJ804" s="81"/>
      <c r="AK804" s="86" t="s">
        <v>6240</v>
      </c>
      <c r="AL804" s="81" t="b">
        <v>0</v>
      </c>
      <c r="AM804" s="81">
        <v>5</v>
      </c>
      <c r="AN804" s="86" t="s">
        <v>6240</v>
      </c>
      <c r="AO804" s="86" t="s">
        <v>6507</v>
      </c>
      <c r="AP804" s="81" t="b">
        <v>0</v>
      </c>
      <c r="AQ804" s="86" t="s">
        <v>4856</v>
      </c>
      <c r="AR804" s="81" t="s">
        <v>179</v>
      </c>
      <c r="AS804" s="81">
        <v>0</v>
      </c>
      <c r="AT804" s="81">
        <v>0</v>
      </c>
      <c r="AU804" s="81"/>
      <c r="AV804" s="81"/>
      <c r="AW804" s="81"/>
      <c r="AX804" s="81"/>
      <c r="AY804" s="81"/>
      <c r="AZ804" s="81"/>
      <c r="BA804" s="81"/>
      <c r="BB804" s="81"/>
    </row>
    <row r="805" spans="1:54" x14ac:dyDescent="0.35">
      <c r="A805" s="66" t="s">
        <v>791</v>
      </c>
      <c r="B805" s="66" t="s">
        <v>1399</v>
      </c>
      <c r="C805" s="67"/>
      <c r="D805" s="68"/>
      <c r="E805" s="69"/>
      <c r="F805" s="70"/>
      <c r="G805" s="67"/>
      <c r="H805" s="71"/>
      <c r="I805" s="72"/>
      <c r="J805" s="72"/>
      <c r="K805" s="36"/>
      <c r="L805" s="79"/>
      <c r="M805" s="79"/>
      <c r="N805" s="74"/>
      <c r="O805" s="81" t="s">
        <v>1534</v>
      </c>
      <c r="P805" s="83">
        <v>44463.14634259259</v>
      </c>
      <c r="Q805" s="81" t="s">
        <v>1852</v>
      </c>
      <c r="R805" s="81"/>
      <c r="S805" s="81"/>
      <c r="T805" s="81"/>
      <c r="U805" s="81"/>
      <c r="V805" s="84" t="str">
        <f>HYPERLINK("https://pbs.twimg.com/profile_images/1441400418081251331/WGMR94Lj_normal.jpg")</f>
        <v>https://pbs.twimg.com/profile_images/1441400418081251331/WGMR94Lj_normal.jpg</v>
      </c>
      <c r="W805" s="83">
        <v>44463.14634259259</v>
      </c>
      <c r="X805" s="89">
        <v>44463</v>
      </c>
      <c r="Y805" s="86" t="s">
        <v>3393</v>
      </c>
      <c r="Z805" s="84" t="str">
        <f>HYPERLINK("https://twitter.com/sparklingpjh/status/1441243679591579653")</f>
        <v>https://twitter.com/sparklingpjh/status/1441243679591579653</v>
      </c>
      <c r="AA805" s="81"/>
      <c r="AB805" s="81"/>
      <c r="AC805" s="86" t="s">
        <v>4857</v>
      </c>
      <c r="AD805" s="86" t="s">
        <v>6090</v>
      </c>
      <c r="AE805" s="81" t="b">
        <v>0</v>
      </c>
      <c r="AF805" s="81">
        <v>0</v>
      </c>
      <c r="AG805" s="86" t="s">
        <v>6350</v>
      </c>
      <c r="AH805" s="81" t="b">
        <v>0</v>
      </c>
      <c r="AI805" s="81" t="s">
        <v>6478</v>
      </c>
      <c r="AJ805" s="81"/>
      <c r="AK805" s="86" t="s">
        <v>6240</v>
      </c>
      <c r="AL805" s="81" t="b">
        <v>0</v>
      </c>
      <c r="AM805" s="81">
        <v>0</v>
      </c>
      <c r="AN805" s="86" t="s">
        <v>6240</v>
      </c>
      <c r="AO805" s="86" t="s">
        <v>6503</v>
      </c>
      <c r="AP805" s="81" t="b">
        <v>0</v>
      </c>
      <c r="AQ805" s="86" t="s">
        <v>6090</v>
      </c>
      <c r="AR805" s="81" t="s">
        <v>179</v>
      </c>
      <c r="AS805" s="81">
        <v>0</v>
      </c>
      <c r="AT805" s="81">
        <v>0</v>
      </c>
      <c r="AU805" s="81"/>
      <c r="AV805" s="81"/>
      <c r="AW805" s="81"/>
      <c r="AX805" s="81"/>
      <c r="AY805" s="81"/>
      <c r="AZ805" s="81"/>
      <c r="BA805" s="81"/>
      <c r="BB805" s="81"/>
    </row>
    <row r="806" spans="1:54" x14ac:dyDescent="0.35">
      <c r="A806" s="66" t="s">
        <v>792</v>
      </c>
      <c r="B806" s="66" t="s">
        <v>1400</v>
      </c>
      <c r="C806" s="67"/>
      <c r="D806" s="68"/>
      <c r="E806" s="69"/>
      <c r="F806" s="70"/>
      <c r="G806" s="67"/>
      <c r="H806" s="71"/>
      <c r="I806" s="72"/>
      <c r="J806" s="72"/>
      <c r="K806" s="36"/>
      <c r="L806" s="79"/>
      <c r="M806" s="79"/>
      <c r="N806" s="74"/>
      <c r="O806" s="81" t="s">
        <v>1534</v>
      </c>
      <c r="P806" s="83">
        <v>44463.149305555555</v>
      </c>
      <c r="Q806" s="81" t="s">
        <v>1853</v>
      </c>
      <c r="R806" s="81"/>
      <c r="S806" s="81"/>
      <c r="T806" s="81"/>
      <c r="U806" s="81"/>
      <c r="V806" s="84" t="str">
        <f>HYPERLINK("https://pbs.twimg.com/profile_images/1372948355576328195/DfczWfzu_normal.jpg")</f>
        <v>https://pbs.twimg.com/profile_images/1372948355576328195/DfczWfzu_normal.jpg</v>
      </c>
      <c r="W806" s="83">
        <v>44463.149305555555</v>
      </c>
      <c r="X806" s="89">
        <v>44463</v>
      </c>
      <c r="Y806" s="86" t="s">
        <v>3394</v>
      </c>
      <c r="Z806" s="84" t="str">
        <f>HYPERLINK("https://twitter.com/sendalpupus/status/1441244751777255434")</f>
        <v>https://twitter.com/sendalpupus/status/1441244751777255434</v>
      </c>
      <c r="AA806" s="81"/>
      <c r="AB806" s="81"/>
      <c r="AC806" s="86" t="s">
        <v>4858</v>
      </c>
      <c r="AD806" s="86" t="s">
        <v>6091</v>
      </c>
      <c r="AE806" s="81" t="b">
        <v>0</v>
      </c>
      <c r="AF806" s="81">
        <v>0</v>
      </c>
      <c r="AG806" s="86" t="s">
        <v>6351</v>
      </c>
      <c r="AH806" s="81" t="b">
        <v>0</v>
      </c>
      <c r="AI806" s="81" t="s">
        <v>6479</v>
      </c>
      <c r="AJ806" s="81"/>
      <c r="AK806" s="86" t="s">
        <v>6240</v>
      </c>
      <c r="AL806" s="81" t="b">
        <v>0</v>
      </c>
      <c r="AM806" s="81">
        <v>0</v>
      </c>
      <c r="AN806" s="86" t="s">
        <v>6240</v>
      </c>
      <c r="AO806" s="86" t="s">
        <v>6503</v>
      </c>
      <c r="AP806" s="81" t="b">
        <v>0</v>
      </c>
      <c r="AQ806" s="86" t="s">
        <v>6091</v>
      </c>
      <c r="AR806" s="81" t="s">
        <v>179</v>
      </c>
      <c r="AS806" s="81">
        <v>0</v>
      </c>
      <c r="AT806" s="81">
        <v>0</v>
      </c>
      <c r="AU806" s="81"/>
      <c r="AV806" s="81"/>
      <c r="AW806" s="81"/>
      <c r="AX806" s="81"/>
      <c r="AY806" s="81"/>
      <c r="AZ806" s="81"/>
      <c r="BA806" s="81"/>
      <c r="BB806" s="81"/>
    </row>
    <row r="807" spans="1:54" x14ac:dyDescent="0.35">
      <c r="A807" s="66" t="s">
        <v>793</v>
      </c>
      <c r="B807" s="66" t="s">
        <v>793</v>
      </c>
      <c r="C807" s="67"/>
      <c r="D807" s="68"/>
      <c r="E807" s="69"/>
      <c r="F807" s="70"/>
      <c r="G807" s="67"/>
      <c r="H807" s="71"/>
      <c r="I807" s="72"/>
      <c r="J807" s="72"/>
      <c r="K807" s="36"/>
      <c r="L807" s="79"/>
      <c r="M807" s="79"/>
      <c r="N807" s="74"/>
      <c r="O807" s="81" t="s">
        <v>179</v>
      </c>
      <c r="P807" s="83">
        <v>44463.160937499997</v>
      </c>
      <c r="Q807" s="81" t="s">
        <v>1854</v>
      </c>
      <c r="R807" s="81"/>
      <c r="S807" s="81"/>
      <c r="T807" s="81"/>
      <c r="U807" s="81"/>
      <c r="V807" s="84" t="str">
        <f>HYPERLINK("https://pbs.twimg.com/profile_images/1433080538311528453/mEI8ycFo_normal.jpg")</f>
        <v>https://pbs.twimg.com/profile_images/1433080538311528453/mEI8ycFo_normal.jpg</v>
      </c>
      <c r="W807" s="83">
        <v>44463.160937499997</v>
      </c>
      <c r="X807" s="89">
        <v>44463</v>
      </c>
      <c r="Y807" s="86" t="s">
        <v>3395</v>
      </c>
      <c r="Z807" s="84" t="str">
        <f>HYPERLINK("https://twitter.com/smootieskies/status/1441248966910234634")</f>
        <v>https://twitter.com/smootieskies/status/1441248966910234634</v>
      </c>
      <c r="AA807" s="81"/>
      <c r="AB807" s="81"/>
      <c r="AC807" s="86" t="s">
        <v>4859</v>
      </c>
      <c r="AD807" s="81"/>
      <c r="AE807" s="81" t="b">
        <v>0</v>
      </c>
      <c r="AF807" s="81">
        <v>0</v>
      </c>
      <c r="AG807" s="86" t="s">
        <v>6240</v>
      </c>
      <c r="AH807" s="81" t="b">
        <v>0</v>
      </c>
      <c r="AI807" s="81" t="s">
        <v>6478</v>
      </c>
      <c r="AJ807" s="81"/>
      <c r="AK807" s="86" t="s">
        <v>6240</v>
      </c>
      <c r="AL807" s="81" t="b">
        <v>0</v>
      </c>
      <c r="AM807" s="81">
        <v>0</v>
      </c>
      <c r="AN807" s="86" t="s">
        <v>6240</v>
      </c>
      <c r="AO807" s="86" t="s">
        <v>6505</v>
      </c>
      <c r="AP807" s="81" t="b">
        <v>0</v>
      </c>
      <c r="AQ807" s="86" t="s">
        <v>4859</v>
      </c>
      <c r="AR807" s="81" t="s">
        <v>179</v>
      </c>
      <c r="AS807" s="81">
        <v>0</v>
      </c>
      <c r="AT807" s="81">
        <v>0</v>
      </c>
      <c r="AU807" s="81"/>
      <c r="AV807" s="81"/>
      <c r="AW807" s="81"/>
      <c r="AX807" s="81"/>
      <c r="AY807" s="81"/>
      <c r="AZ807" s="81"/>
      <c r="BA807" s="81"/>
      <c r="BB807" s="81"/>
    </row>
    <row r="808" spans="1:54" x14ac:dyDescent="0.35">
      <c r="A808" s="66" t="s">
        <v>794</v>
      </c>
      <c r="B808" s="66" t="s">
        <v>794</v>
      </c>
      <c r="C808" s="67"/>
      <c r="D808" s="68"/>
      <c r="E808" s="69"/>
      <c r="F808" s="70"/>
      <c r="G808" s="67"/>
      <c r="H808" s="71"/>
      <c r="I808" s="72"/>
      <c r="J808" s="72"/>
      <c r="K808" s="36"/>
      <c r="L808" s="79"/>
      <c r="M808" s="79"/>
      <c r="N808" s="74"/>
      <c r="O808" s="81" t="s">
        <v>179</v>
      </c>
      <c r="P808" s="83">
        <v>44463.178865740738</v>
      </c>
      <c r="Q808" s="81" t="s">
        <v>1855</v>
      </c>
      <c r="R808" s="84" t="str">
        <f>HYPERLINK("https://www.rekrutmen.net/2021/09/lowongan-kerja-oranger-antaran-pos.html?utm_source=dlvr.it&amp;utm_medium=twitter")</f>
        <v>https://www.rekrutmen.net/2021/09/lowongan-kerja-oranger-antaran-pos.html?utm_source=dlvr.it&amp;utm_medium=twitter</v>
      </c>
      <c r="S808" s="81" t="s">
        <v>2622</v>
      </c>
      <c r="T808" s="81"/>
      <c r="U808" s="81"/>
      <c r="V808" s="84" t="str">
        <f>HYPERLINK("https://pbs.twimg.com/profile_images/521783012321529857/jxYnIjmW_normal.jpeg")</f>
        <v>https://pbs.twimg.com/profile_images/521783012321529857/jxYnIjmW_normal.jpeg</v>
      </c>
      <c r="W808" s="83">
        <v>44463.178865740738</v>
      </c>
      <c r="X808" s="89">
        <v>44463</v>
      </c>
      <c r="Y808" s="86" t="s">
        <v>3396</v>
      </c>
      <c r="Z808" s="84" t="str">
        <f>HYPERLINK("https://twitter.com/mitraloker/status/1441255465661308932")</f>
        <v>https://twitter.com/mitraloker/status/1441255465661308932</v>
      </c>
      <c r="AA808" s="81"/>
      <c r="AB808" s="81"/>
      <c r="AC808" s="86" t="s">
        <v>4860</v>
      </c>
      <c r="AD808" s="81"/>
      <c r="AE808" s="81" t="b">
        <v>0</v>
      </c>
      <c r="AF808" s="81">
        <v>0</v>
      </c>
      <c r="AG808" s="86" t="s">
        <v>6240</v>
      </c>
      <c r="AH808" s="81" t="b">
        <v>0</v>
      </c>
      <c r="AI808" s="81" t="s">
        <v>6478</v>
      </c>
      <c r="AJ808" s="81"/>
      <c r="AK808" s="86" t="s">
        <v>6240</v>
      </c>
      <c r="AL808" s="81" t="b">
        <v>0</v>
      </c>
      <c r="AM808" s="81">
        <v>0</v>
      </c>
      <c r="AN808" s="86" t="s">
        <v>6240</v>
      </c>
      <c r="AO808" s="86" t="s">
        <v>6515</v>
      </c>
      <c r="AP808" s="81" t="b">
        <v>0</v>
      </c>
      <c r="AQ808" s="86" t="s">
        <v>4860</v>
      </c>
      <c r="AR808" s="81" t="s">
        <v>179</v>
      </c>
      <c r="AS808" s="81">
        <v>0</v>
      </c>
      <c r="AT808" s="81">
        <v>0</v>
      </c>
      <c r="AU808" s="81"/>
      <c r="AV808" s="81"/>
      <c r="AW808" s="81"/>
      <c r="AX808" s="81"/>
      <c r="AY808" s="81"/>
      <c r="AZ808" s="81"/>
      <c r="BA808" s="81"/>
      <c r="BB808" s="81"/>
    </row>
    <row r="809" spans="1:54" x14ac:dyDescent="0.35">
      <c r="A809" s="66" t="s">
        <v>794</v>
      </c>
      <c r="B809" s="66" t="s">
        <v>794</v>
      </c>
      <c r="C809" s="67"/>
      <c r="D809" s="68"/>
      <c r="E809" s="69"/>
      <c r="F809" s="70"/>
      <c r="G809" s="67"/>
      <c r="H809" s="71"/>
      <c r="I809" s="72"/>
      <c r="J809" s="72"/>
      <c r="K809" s="36"/>
      <c r="L809" s="79"/>
      <c r="M809" s="79"/>
      <c r="N809" s="74"/>
      <c r="O809" s="81" t="s">
        <v>179</v>
      </c>
      <c r="P809" s="83">
        <v>44463.178935185184</v>
      </c>
      <c r="Q809" s="81" t="s">
        <v>1856</v>
      </c>
      <c r="R809" s="84" t="str">
        <f>HYPERLINK("https://www.rekrutmen.net/2021/09/lowongan-kerja-semua-jurusan-pt-pos.html?utm_source=dlvr.it&amp;utm_medium=twitter")</f>
        <v>https://www.rekrutmen.net/2021/09/lowongan-kerja-semua-jurusan-pt-pos.html?utm_source=dlvr.it&amp;utm_medium=twitter</v>
      </c>
      <c r="S809" s="81" t="s">
        <v>2622</v>
      </c>
      <c r="T809" s="81"/>
      <c r="U809" s="81"/>
      <c r="V809" s="84" t="str">
        <f>HYPERLINK("https://pbs.twimg.com/profile_images/521783012321529857/jxYnIjmW_normal.jpeg")</f>
        <v>https://pbs.twimg.com/profile_images/521783012321529857/jxYnIjmW_normal.jpeg</v>
      </c>
      <c r="W809" s="83">
        <v>44463.178935185184</v>
      </c>
      <c r="X809" s="89">
        <v>44463</v>
      </c>
      <c r="Y809" s="86" t="s">
        <v>3397</v>
      </c>
      <c r="Z809" s="84" t="str">
        <f>HYPERLINK("https://twitter.com/mitraloker/status/1441255490940325894")</f>
        <v>https://twitter.com/mitraloker/status/1441255490940325894</v>
      </c>
      <c r="AA809" s="81"/>
      <c r="AB809" s="81"/>
      <c r="AC809" s="86" t="s">
        <v>4861</v>
      </c>
      <c r="AD809" s="81"/>
      <c r="AE809" s="81" t="b">
        <v>0</v>
      </c>
      <c r="AF809" s="81">
        <v>0</v>
      </c>
      <c r="AG809" s="86" t="s">
        <v>6240</v>
      </c>
      <c r="AH809" s="81" t="b">
        <v>0</v>
      </c>
      <c r="AI809" s="81" t="s">
        <v>6478</v>
      </c>
      <c r="AJ809" s="81"/>
      <c r="AK809" s="86" t="s">
        <v>6240</v>
      </c>
      <c r="AL809" s="81" t="b">
        <v>0</v>
      </c>
      <c r="AM809" s="81">
        <v>0</v>
      </c>
      <c r="AN809" s="86" t="s">
        <v>6240</v>
      </c>
      <c r="AO809" s="86" t="s">
        <v>6515</v>
      </c>
      <c r="AP809" s="81" t="b">
        <v>0</v>
      </c>
      <c r="AQ809" s="86" t="s">
        <v>4861</v>
      </c>
      <c r="AR809" s="81" t="s">
        <v>179</v>
      </c>
      <c r="AS809" s="81">
        <v>0</v>
      </c>
      <c r="AT809" s="81">
        <v>0</v>
      </c>
      <c r="AU809" s="81"/>
      <c r="AV809" s="81"/>
      <c r="AW809" s="81"/>
      <c r="AX809" s="81"/>
      <c r="AY809" s="81"/>
      <c r="AZ809" s="81"/>
      <c r="BA809" s="81"/>
      <c r="BB809" s="81"/>
    </row>
    <row r="810" spans="1:54" x14ac:dyDescent="0.35">
      <c r="A810" s="66" t="s">
        <v>795</v>
      </c>
      <c r="B810" s="66" t="s">
        <v>795</v>
      </c>
      <c r="C810" s="67"/>
      <c r="D810" s="68"/>
      <c r="E810" s="69"/>
      <c r="F810" s="70"/>
      <c r="G810" s="67"/>
      <c r="H810" s="71"/>
      <c r="I810" s="72"/>
      <c r="J810" s="72"/>
      <c r="K810" s="36"/>
      <c r="L810" s="79"/>
      <c r="M810" s="79"/>
      <c r="N810" s="74"/>
      <c r="O810" s="81" t="s">
        <v>179</v>
      </c>
      <c r="P810" s="83">
        <v>44463.179618055554</v>
      </c>
      <c r="Q810" s="81" t="s">
        <v>1857</v>
      </c>
      <c r="R810" s="81"/>
      <c r="S810" s="81"/>
      <c r="T810" s="81"/>
      <c r="U810" s="81"/>
      <c r="V810" s="84" t="str">
        <f>HYPERLINK("https://pbs.twimg.com/profile_images/1406551823230541826/qNMPRivD_normal.jpg")</f>
        <v>https://pbs.twimg.com/profile_images/1406551823230541826/qNMPRivD_normal.jpg</v>
      </c>
      <c r="W810" s="83">
        <v>44463.179618055554</v>
      </c>
      <c r="X810" s="89">
        <v>44463</v>
      </c>
      <c r="Y810" s="86" t="s">
        <v>3398</v>
      </c>
      <c r="Z810" s="84" t="str">
        <f>HYPERLINK("https://twitter.com/_44ngel_/status/1441255738580504585")</f>
        <v>https://twitter.com/_44ngel_/status/1441255738580504585</v>
      </c>
      <c r="AA810" s="81"/>
      <c r="AB810" s="81"/>
      <c r="AC810" s="86" t="s">
        <v>4862</v>
      </c>
      <c r="AD810" s="81"/>
      <c r="AE810" s="81" t="b">
        <v>0</v>
      </c>
      <c r="AF810" s="81">
        <v>0</v>
      </c>
      <c r="AG810" s="86" t="s">
        <v>6240</v>
      </c>
      <c r="AH810" s="81" t="b">
        <v>0</v>
      </c>
      <c r="AI810" s="81" t="s">
        <v>6478</v>
      </c>
      <c r="AJ810" s="81"/>
      <c r="AK810" s="86" t="s">
        <v>6240</v>
      </c>
      <c r="AL810" s="81" t="b">
        <v>0</v>
      </c>
      <c r="AM810" s="81">
        <v>0</v>
      </c>
      <c r="AN810" s="86" t="s">
        <v>6240</v>
      </c>
      <c r="AO810" s="86" t="s">
        <v>6505</v>
      </c>
      <c r="AP810" s="81" t="b">
        <v>0</v>
      </c>
      <c r="AQ810" s="86" t="s">
        <v>4862</v>
      </c>
      <c r="AR810" s="81" t="s">
        <v>179</v>
      </c>
      <c r="AS810" s="81">
        <v>0</v>
      </c>
      <c r="AT810" s="81">
        <v>0</v>
      </c>
      <c r="AU810" s="81"/>
      <c r="AV810" s="81"/>
      <c r="AW810" s="81"/>
      <c r="AX810" s="81"/>
      <c r="AY810" s="81"/>
      <c r="AZ810" s="81"/>
      <c r="BA810" s="81"/>
      <c r="BB810" s="81"/>
    </row>
    <row r="811" spans="1:54" x14ac:dyDescent="0.35">
      <c r="A811" s="66" t="s">
        <v>796</v>
      </c>
      <c r="B811" s="66" t="s">
        <v>796</v>
      </c>
      <c r="C811" s="67"/>
      <c r="D811" s="68"/>
      <c r="E811" s="69"/>
      <c r="F811" s="70"/>
      <c r="G811" s="67"/>
      <c r="H811" s="71"/>
      <c r="I811" s="72"/>
      <c r="J811" s="72"/>
      <c r="K811" s="36"/>
      <c r="L811" s="79"/>
      <c r="M811" s="79"/>
      <c r="N811" s="74"/>
      <c r="O811" s="81" t="s">
        <v>179</v>
      </c>
      <c r="P811" s="83">
        <v>44463.180613425924</v>
      </c>
      <c r="Q811" s="81" t="s">
        <v>1858</v>
      </c>
      <c r="R811" s="84" t="str">
        <f>HYPERLINK("https://www.rekrutmen.net/2021/09/lowongan-kerja-oranger-antaran-pos.html?utm_source=dlvr.it&amp;utm_medium=twitter")</f>
        <v>https://www.rekrutmen.net/2021/09/lowongan-kerja-oranger-antaran-pos.html?utm_source=dlvr.it&amp;utm_medium=twitter</v>
      </c>
      <c r="S811" s="81" t="s">
        <v>2622</v>
      </c>
      <c r="T811" s="81"/>
      <c r="U811" s="81"/>
      <c r="V811" s="84" t="str">
        <f>HYPERLINK("https://pbs.twimg.com/profile_images/461691104329359360/Y5j2ASJP_normal.jpeg")</f>
        <v>https://pbs.twimg.com/profile_images/461691104329359360/Y5j2ASJP_normal.jpeg</v>
      </c>
      <c r="W811" s="83">
        <v>44463.180613425924</v>
      </c>
      <c r="X811" s="89">
        <v>44463</v>
      </c>
      <c r="Y811" s="86" t="s">
        <v>3399</v>
      </c>
      <c r="Z811" s="84" t="str">
        <f>HYPERLINK("https://twitter.com/indojobinfo/status/1441256099210956802")</f>
        <v>https://twitter.com/indojobinfo/status/1441256099210956802</v>
      </c>
      <c r="AA811" s="81"/>
      <c r="AB811" s="81"/>
      <c r="AC811" s="86" t="s">
        <v>4863</v>
      </c>
      <c r="AD811" s="81"/>
      <c r="AE811" s="81" t="b">
        <v>0</v>
      </c>
      <c r="AF811" s="81">
        <v>0</v>
      </c>
      <c r="AG811" s="86" t="s">
        <v>6240</v>
      </c>
      <c r="AH811" s="81" t="b">
        <v>0</v>
      </c>
      <c r="AI811" s="81" t="s">
        <v>6478</v>
      </c>
      <c r="AJ811" s="81"/>
      <c r="AK811" s="86" t="s">
        <v>6240</v>
      </c>
      <c r="AL811" s="81" t="b">
        <v>0</v>
      </c>
      <c r="AM811" s="81">
        <v>0</v>
      </c>
      <c r="AN811" s="86" t="s">
        <v>6240</v>
      </c>
      <c r="AO811" s="86" t="s">
        <v>6515</v>
      </c>
      <c r="AP811" s="81" t="b">
        <v>0</v>
      </c>
      <c r="AQ811" s="86" t="s">
        <v>4863</v>
      </c>
      <c r="AR811" s="81" t="s">
        <v>179</v>
      </c>
      <c r="AS811" s="81">
        <v>0</v>
      </c>
      <c r="AT811" s="81">
        <v>0</v>
      </c>
      <c r="AU811" s="81"/>
      <c r="AV811" s="81"/>
      <c r="AW811" s="81"/>
      <c r="AX811" s="81"/>
      <c r="AY811" s="81"/>
      <c r="AZ811" s="81"/>
      <c r="BA811" s="81"/>
      <c r="BB811" s="81"/>
    </row>
    <row r="812" spans="1:54" x14ac:dyDescent="0.35">
      <c r="A812" s="66" t="s">
        <v>796</v>
      </c>
      <c r="B812" s="66" t="s">
        <v>796</v>
      </c>
      <c r="C812" s="67"/>
      <c r="D812" s="68"/>
      <c r="E812" s="69"/>
      <c r="F812" s="70"/>
      <c r="G812" s="67"/>
      <c r="H812" s="71"/>
      <c r="I812" s="72"/>
      <c r="J812" s="72"/>
      <c r="K812" s="36"/>
      <c r="L812" s="79"/>
      <c r="M812" s="79"/>
      <c r="N812" s="74"/>
      <c r="O812" s="81" t="s">
        <v>179</v>
      </c>
      <c r="P812" s="83">
        <v>44463.180694444447</v>
      </c>
      <c r="Q812" s="81" t="s">
        <v>1859</v>
      </c>
      <c r="R812" s="84" t="str">
        <f>HYPERLINK("https://www.rekrutmen.net/2021/09/lowongan-kerja-semua-jurusan-pt-pos.html?utm_source=dlvr.it&amp;utm_medium=twitter")</f>
        <v>https://www.rekrutmen.net/2021/09/lowongan-kerja-semua-jurusan-pt-pos.html?utm_source=dlvr.it&amp;utm_medium=twitter</v>
      </c>
      <c r="S812" s="81" t="s">
        <v>2622</v>
      </c>
      <c r="T812" s="81"/>
      <c r="U812" s="81"/>
      <c r="V812" s="84" t="str">
        <f>HYPERLINK("https://pbs.twimg.com/profile_images/461691104329359360/Y5j2ASJP_normal.jpeg")</f>
        <v>https://pbs.twimg.com/profile_images/461691104329359360/Y5j2ASJP_normal.jpeg</v>
      </c>
      <c r="W812" s="83">
        <v>44463.180694444447</v>
      </c>
      <c r="X812" s="89">
        <v>44463</v>
      </c>
      <c r="Y812" s="86" t="s">
        <v>3400</v>
      </c>
      <c r="Z812" s="84" t="str">
        <f>HYPERLINK("https://twitter.com/indojobinfo/status/1441256124645183498")</f>
        <v>https://twitter.com/indojobinfo/status/1441256124645183498</v>
      </c>
      <c r="AA812" s="81"/>
      <c r="AB812" s="81"/>
      <c r="AC812" s="86" t="s">
        <v>4864</v>
      </c>
      <c r="AD812" s="81"/>
      <c r="AE812" s="81" t="b">
        <v>0</v>
      </c>
      <c r="AF812" s="81">
        <v>0</v>
      </c>
      <c r="AG812" s="86" t="s">
        <v>6240</v>
      </c>
      <c r="AH812" s="81" t="b">
        <v>0</v>
      </c>
      <c r="AI812" s="81" t="s">
        <v>6478</v>
      </c>
      <c r="AJ812" s="81"/>
      <c r="AK812" s="86" t="s">
        <v>6240</v>
      </c>
      <c r="AL812" s="81" t="b">
        <v>0</v>
      </c>
      <c r="AM812" s="81">
        <v>0</v>
      </c>
      <c r="AN812" s="86" t="s">
        <v>6240</v>
      </c>
      <c r="AO812" s="86" t="s">
        <v>6515</v>
      </c>
      <c r="AP812" s="81" t="b">
        <v>0</v>
      </c>
      <c r="AQ812" s="86" t="s">
        <v>4864</v>
      </c>
      <c r="AR812" s="81" t="s">
        <v>179</v>
      </c>
      <c r="AS812" s="81">
        <v>0</v>
      </c>
      <c r="AT812" s="81">
        <v>0</v>
      </c>
      <c r="AU812" s="81"/>
      <c r="AV812" s="81"/>
      <c r="AW812" s="81"/>
      <c r="AX812" s="81"/>
      <c r="AY812" s="81"/>
      <c r="AZ812" s="81"/>
      <c r="BA812" s="81"/>
      <c r="BB812" s="81"/>
    </row>
    <row r="813" spans="1:54" x14ac:dyDescent="0.35">
      <c r="A813" s="66" t="s">
        <v>797</v>
      </c>
      <c r="B813" s="66" t="s">
        <v>797</v>
      </c>
      <c r="C813" s="67"/>
      <c r="D813" s="68"/>
      <c r="E813" s="69"/>
      <c r="F813" s="70"/>
      <c r="G813" s="67"/>
      <c r="H813" s="71"/>
      <c r="I813" s="72"/>
      <c r="J813" s="72"/>
      <c r="K813" s="36"/>
      <c r="L813" s="79"/>
      <c r="M813" s="79"/>
      <c r="N813" s="74"/>
      <c r="O813" s="81" t="s">
        <v>179</v>
      </c>
      <c r="P813" s="83">
        <v>44463.188414351855</v>
      </c>
      <c r="Q813" s="81" t="s">
        <v>1860</v>
      </c>
      <c r="R813" s="81"/>
      <c r="S813" s="81"/>
      <c r="T813" s="81"/>
      <c r="U813" s="81"/>
      <c r="V813" s="84" t="str">
        <f>HYPERLINK("https://pbs.twimg.com/profile_images/1354267278695485440/XudgKeDn_normal.jpg")</f>
        <v>https://pbs.twimg.com/profile_images/1354267278695485440/XudgKeDn_normal.jpg</v>
      </c>
      <c r="W813" s="83">
        <v>44463.188414351855</v>
      </c>
      <c r="X813" s="89">
        <v>44463</v>
      </c>
      <c r="Y813" s="86" t="s">
        <v>3401</v>
      </c>
      <c r="Z813" s="84" t="str">
        <f>HYPERLINK("https://twitter.com/dyodks/status/1441258922384388106")</f>
        <v>https://twitter.com/dyodks/status/1441258922384388106</v>
      </c>
      <c r="AA813" s="81"/>
      <c r="AB813" s="81"/>
      <c r="AC813" s="86" t="s">
        <v>4865</v>
      </c>
      <c r="AD813" s="81"/>
      <c r="AE813" s="81" t="b">
        <v>0</v>
      </c>
      <c r="AF813" s="81">
        <v>0</v>
      </c>
      <c r="AG813" s="86" t="s">
        <v>6240</v>
      </c>
      <c r="AH813" s="81" t="b">
        <v>0</v>
      </c>
      <c r="AI813" s="81" t="s">
        <v>6478</v>
      </c>
      <c r="AJ813" s="81"/>
      <c r="AK813" s="86" t="s">
        <v>6240</v>
      </c>
      <c r="AL813" s="81" t="b">
        <v>0</v>
      </c>
      <c r="AM813" s="81">
        <v>0</v>
      </c>
      <c r="AN813" s="86" t="s">
        <v>6240</v>
      </c>
      <c r="AO813" s="86" t="s">
        <v>6505</v>
      </c>
      <c r="AP813" s="81" t="b">
        <v>0</v>
      </c>
      <c r="AQ813" s="86" t="s">
        <v>4865</v>
      </c>
      <c r="AR813" s="81" t="s">
        <v>179</v>
      </c>
      <c r="AS813" s="81">
        <v>0</v>
      </c>
      <c r="AT813" s="81">
        <v>0</v>
      </c>
      <c r="AU813" s="81"/>
      <c r="AV813" s="81"/>
      <c r="AW813" s="81"/>
      <c r="AX813" s="81"/>
      <c r="AY813" s="81"/>
      <c r="AZ813" s="81"/>
      <c r="BA813" s="81"/>
      <c r="BB813" s="81"/>
    </row>
    <row r="814" spans="1:54" x14ac:dyDescent="0.35">
      <c r="A814" s="66" t="s">
        <v>798</v>
      </c>
      <c r="B814" s="66" t="s">
        <v>1232</v>
      </c>
      <c r="C814" s="67"/>
      <c r="D814" s="68"/>
      <c r="E814" s="69"/>
      <c r="F814" s="70"/>
      <c r="G814" s="67"/>
      <c r="H814" s="71"/>
      <c r="I814" s="72"/>
      <c r="J814" s="72"/>
      <c r="K814" s="36"/>
      <c r="L814" s="79"/>
      <c r="M814" s="79"/>
      <c r="N814" s="74"/>
      <c r="O814" s="81" t="s">
        <v>1534</v>
      </c>
      <c r="P814" s="83">
        <v>44463.189131944448</v>
      </c>
      <c r="Q814" s="81" t="s">
        <v>1861</v>
      </c>
      <c r="R814" s="81"/>
      <c r="S814" s="81"/>
      <c r="T814" s="81"/>
      <c r="U814" s="81"/>
      <c r="V814" s="84" t="str">
        <f>HYPERLINK("https://pbs.twimg.com/profile_images/1272175655405289477/4WBxUk5I_normal.jpg")</f>
        <v>https://pbs.twimg.com/profile_images/1272175655405289477/4WBxUk5I_normal.jpg</v>
      </c>
      <c r="W814" s="83">
        <v>44463.189131944448</v>
      </c>
      <c r="X814" s="89">
        <v>44463</v>
      </c>
      <c r="Y814" s="86" t="s">
        <v>3402</v>
      </c>
      <c r="Z814" s="84" t="str">
        <f>HYPERLINK("https://twitter.com/meneertang/status/1441259184633253900")</f>
        <v>https://twitter.com/meneertang/status/1441259184633253900</v>
      </c>
      <c r="AA814" s="81"/>
      <c r="AB814" s="81"/>
      <c r="AC814" s="86" t="s">
        <v>4866</v>
      </c>
      <c r="AD814" s="86" t="s">
        <v>6092</v>
      </c>
      <c r="AE814" s="81" t="b">
        <v>0</v>
      </c>
      <c r="AF814" s="81">
        <v>0</v>
      </c>
      <c r="AG814" s="86" t="s">
        <v>6352</v>
      </c>
      <c r="AH814" s="81" t="b">
        <v>0</v>
      </c>
      <c r="AI814" s="81" t="s">
        <v>6478</v>
      </c>
      <c r="AJ814" s="81"/>
      <c r="AK814" s="86" t="s">
        <v>6240</v>
      </c>
      <c r="AL814" s="81" t="b">
        <v>0</v>
      </c>
      <c r="AM814" s="81">
        <v>0</v>
      </c>
      <c r="AN814" s="86" t="s">
        <v>6240</v>
      </c>
      <c r="AO814" s="86" t="s">
        <v>6505</v>
      </c>
      <c r="AP814" s="81" t="b">
        <v>0</v>
      </c>
      <c r="AQ814" s="86" t="s">
        <v>6092</v>
      </c>
      <c r="AR814" s="81" t="s">
        <v>179</v>
      </c>
      <c r="AS814" s="81">
        <v>0</v>
      </c>
      <c r="AT814" s="81">
        <v>0</v>
      </c>
      <c r="AU814" s="81"/>
      <c r="AV814" s="81"/>
      <c r="AW814" s="81"/>
      <c r="AX814" s="81"/>
      <c r="AY814" s="81"/>
      <c r="AZ814" s="81"/>
      <c r="BA814" s="81"/>
      <c r="BB814" s="81"/>
    </row>
    <row r="815" spans="1:54" x14ac:dyDescent="0.35">
      <c r="A815" s="66" t="s">
        <v>799</v>
      </c>
      <c r="B815" s="66" t="s">
        <v>799</v>
      </c>
      <c r="C815" s="67"/>
      <c r="D815" s="68"/>
      <c r="E815" s="69"/>
      <c r="F815" s="70"/>
      <c r="G815" s="67"/>
      <c r="H815" s="71"/>
      <c r="I815" s="72"/>
      <c r="J815" s="72"/>
      <c r="K815" s="36"/>
      <c r="L815" s="79"/>
      <c r="M815" s="79"/>
      <c r="N815" s="74"/>
      <c r="O815" s="81" t="s">
        <v>179</v>
      </c>
      <c r="P815" s="83">
        <v>44463.198391203703</v>
      </c>
      <c r="Q815" s="81" t="s">
        <v>1862</v>
      </c>
      <c r="R815" s="81"/>
      <c r="S815" s="81"/>
      <c r="T815" s="81"/>
      <c r="U815" s="81"/>
      <c r="V815" s="84" t="str">
        <f>HYPERLINK("https://pbs.twimg.com/profile_images/1425801081431363591/G4G6A8r-_normal.jpg")</f>
        <v>https://pbs.twimg.com/profile_images/1425801081431363591/G4G6A8r-_normal.jpg</v>
      </c>
      <c r="W815" s="83">
        <v>44463.198391203703</v>
      </c>
      <c r="X815" s="89">
        <v>44463</v>
      </c>
      <c r="Y815" s="86" t="s">
        <v>3403</v>
      </c>
      <c r="Z815" s="84" t="str">
        <f>HYPERLINK("https://twitter.com/crownjxno/status/1441262540797792275")</f>
        <v>https://twitter.com/crownjxno/status/1441262540797792275</v>
      </c>
      <c r="AA815" s="81"/>
      <c r="AB815" s="81"/>
      <c r="AC815" s="86" t="s">
        <v>4867</v>
      </c>
      <c r="AD815" s="86" t="s">
        <v>6093</v>
      </c>
      <c r="AE815" s="81" t="b">
        <v>0</v>
      </c>
      <c r="AF815" s="81">
        <v>0</v>
      </c>
      <c r="AG815" s="86" t="s">
        <v>6353</v>
      </c>
      <c r="AH815" s="81" t="b">
        <v>0</v>
      </c>
      <c r="AI815" s="81" t="s">
        <v>6478</v>
      </c>
      <c r="AJ815" s="81"/>
      <c r="AK815" s="86" t="s">
        <v>6240</v>
      </c>
      <c r="AL815" s="81" t="b">
        <v>0</v>
      </c>
      <c r="AM815" s="81">
        <v>0</v>
      </c>
      <c r="AN815" s="86" t="s">
        <v>6240</v>
      </c>
      <c r="AO815" s="86" t="s">
        <v>6505</v>
      </c>
      <c r="AP815" s="81" t="b">
        <v>0</v>
      </c>
      <c r="AQ815" s="86" t="s">
        <v>6093</v>
      </c>
      <c r="AR815" s="81" t="s">
        <v>179</v>
      </c>
      <c r="AS815" s="81">
        <v>0</v>
      </c>
      <c r="AT815" s="81">
        <v>0</v>
      </c>
      <c r="AU815" s="81"/>
      <c r="AV815" s="81"/>
      <c r="AW815" s="81"/>
      <c r="AX815" s="81"/>
      <c r="AY815" s="81"/>
      <c r="AZ815" s="81"/>
      <c r="BA815" s="81"/>
      <c r="BB815" s="81"/>
    </row>
    <row r="816" spans="1:54" x14ac:dyDescent="0.35">
      <c r="A816" s="66" t="s">
        <v>800</v>
      </c>
      <c r="B816" s="66" t="s">
        <v>1401</v>
      </c>
      <c r="C816" s="67"/>
      <c r="D816" s="68"/>
      <c r="E816" s="69"/>
      <c r="F816" s="70"/>
      <c r="G816" s="67"/>
      <c r="H816" s="71"/>
      <c r="I816" s="72"/>
      <c r="J816" s="72"/>
      <c r="K816" s="36"/>
      <c r="L816" s="79"/>
      <c r="M816" s="79"/>
      <c r="N816" s="74"/>
      <c r="O816" s="81" t="s">
        <v>1534</v>
      </c>
      <c r="P816" s="83">
        <v>44463.205995370372</v>
      </c>
      <c r="Q816" s="81" t="s">
        <v>1863</v>
      </c>
      <c r="R816" s="81"/>
      <c r="S816" s="81"/>
      <c r="T816" s="81"/>
      <c r="U816" s="81"/>
      <c r="V816" s="84" t="str">
        <f>HYPERLINK("https://pbs.twimg.com/profile_images/1407642938197168132/Ri8ZozSZ_normal.jpg")</f>
        <v>https://pbs.twimg.com/profile_images/1407642938197168132/Ri8ZozSZ_normal.jpg</v>
      </c>
      <c r="W816" s="83">
        <v>44463.205995370372</v>
      </c>
      <c r="X816" s="89">
        <v>44463</v>
      </c>
      <c r="Y816" s="86" t="s">
        <v>3404</v>
      </c>
      <c r="Z816" s="84" t="str">
        <f>HYPERLINK("https://twitter.com/dochil97/status/1441265296820486144")</f>
        <v>https://twitter.com/dochil97/status/1441265296820486144</v>
      </c>
      <c r="AA816" s="81"/>
      <c r="AB816" s="81"/>
      <c r="AC816" s="86" t="s">
        <v>4868</v>
      </c>
      <c r="AD816" s="86" t="s">
        <v>6094</v>
      </c>
      <c r="AE816" s="81" t="b">
        <v>0</v>
      </c>
      <c r="AF816" s="81">
        <v>0</v>
      </c>
      <c r="AG816" s="86" t="s">
        <v>6354</v>
      </c>
      <c r="AH816" s="81" t="b">
        <v>0</v>
      </c>
      <c r="AI816" s="81" t="s">
        <v>6478</v>
      </c>
      <c r="AJ816" s="81"/>
      <c r="AK816" s="86" t="s">
        <v>6240</v>
      </c>
      <c r="AL816" s="81" t="b">
        <v>0</v>
      </c>
      <c r="AM816" s="81">
        <v>0</v>
      </c>
      <c r="AN816" s="86" t="s">
        <v>6240</v>
      </c>
      <c r="AO816" s="86" t="s">
        <v>6503</v>
      </c>
      <c r="AP816" s="81" t="b">
        <v>0</v>
      </c>
      <c r="AQ816" s="86" t="s">
        <v>6094</v>
      </c>
      <c r="AR816" s="81" t="s">
        <v>179</v>
      </c>
      <c r="AS816" s="81">
        <v>0</v>
      </c>
      <c r="AT816" s="81">
        <v>0</v>
      </c>
      <c r="AU816" s="81"/>
      <c r="AV816" s="81"/>
      <c r="AW816" s="81"/>
      <c r="AX816" s="81"/>
      <c r="AY816" s="81"/>
      <c r="AZ816" s="81"/>
      <c r="BA816" s="81"/>
      <c r="BB816" s="81"/>
    </row>
    <row r="817" spans="1:54" x14ac:dyDescent="0.35">
      <c r="A817" s="66" t="s">
        <v>801</v>
      </c>
      <c r="B817" s="66" t="s">
        <v>801</v>
      </c>
      <c r="C817" s="67"/>
      <c r="D817" s="68"/>
      <c r="E817" s="69"/>
      <c r="F817" s="70"/>
      <c r="G817" s="67"/>
      <c r="H817" s="71"/>
      <c r="I817" s="72"/>
      <c r="J817" s="72"/>
      <c r="K817" s="36"/>
      <c r="L817" s="79"/>
      <c r="M817" s="79"/>
      <c r="N817" s="74"/>
      <c r="O817" s="81" t="s">
        <v>179</v>
      </c>
      <c r="P817" s="83">
        <v>44463.206782407404</v>
      </c>
      <c r="Q817" s="81" t="s">
        <v>1864</v>
      </c>
      <c r="R817" s="81"/>
      <c r="S817" s="81"/>
      <c r="T817" s="81"/>
      <c r="U817" s="81"/>
      <c r="V817" s="84" t="str">
        <f>HYPERLINK("https://pbs.twimg.com/profile_images/1419492047971520514/g7fp_zax_normal.jpg")</f>
        <v>https://pbs.twimg.com/profile_images/1419492047971520514/g7fp_zax_normal.jpg</v>
      </c>
      <c r="W817" s="83">
        <v>44463.206782407404</v>
      </c>
      <c r="X817" s="89">
        <v>44463</v>
      </c>
      <c r="Y817" s="86" t="s">
        <v>3405</v>
      </c>
      <c r="Z817" s="84" t="str">
        <f>HYPERLINK("https://twitter.com/birthhdayboyy/status/1441265580091199493")</f>
        <v>https://twitter.com/birthhdayboyy/status/1441265580091199493</v>
      </c>
      <c r="AA817" s="81"/>
      <c r="AB817" s="81"/>
      <c r="AC817" s="86" t="s">
        <v>4869</v>
      </c>
      <c r="AD817" s="86" t="s">
        <v>6093</v>
      </c>
      <c r="AE817" s="81" t="b">
        <v>0</v>
      </c>
      <c r="AF817" s="81">
        <v>0</v>
      </c>
      <c r="AG817" s="86" t="s">
        <v>6353</v>
      </c>
      <c r="AH817" s="81" t="b">
        <v>0</v>
      </c>
      <c r="AI817" s="81" t="s">
        <v>6478</v>
      </c>
      <c r="AJ817" s="81"/>
      <c r="AK817" s="86" t="s">
        <v>6240</v>
      </c>
      <c r="AL817" s="81" t="b">
        <v>0</v>
      </c>
      <c r="AM817" s="81">
        <v>0</v>
      </c>
      <c r="AN817" s="86" t="s">
        <v>6240</v>
      </c>
      <c r="AO817" s="86" t="s">
        <v>6505</v>
      </c>
      <c r="AP817" s="81" t="b">
        <v>0</v>
      </c>
      <c r="AQ817" s="86" t="s">
        <v>6093</v>
      </c>
      <c r="AR817" s="81" t="s">
        <v>179</v>
      </c>
      <c r="AS817" s="81">
        <v>0</v>
      </c>
      <c r="AT817" s="81">
        <v>0</v>
      </c>
      <c r="AU817" s="81"/>
      <c r="AV817" s="81"/>
      <c r="AW817" s="81"/>
      <c r="AX817" s="81"/>
      <c r="AY817" s="81"/>
      <c r="AZ817" s="81"/>
      <c r="BA817" s="81"/>
      <c r="BB817" s="81"/>
    </row>
    <row r="818" spans="1:54" x14ac:dyDescent="0.35">
      <c r="A818" s="66" t="s">
        <v>802</v>
      </c>
      <c r="B818" s="66" t="s">
        <v>802</v>
      </c>
      <c r="C818" s="67"/>
      <c r="D818" s="68"/>
      <c r="E818" s="69"/>
      <c r="F818" s="70"/>
      <c r="G818" s="67"/>
      <c r="H818" s="71"/>
      <c r="I818" s="72"/>
      <c r="J818" s="72"/>
      <c r="K818" s="36"/>
      <c r="L818" s="79"/>
      <c r="M818" s="79"/>
      <c r="N818" s="74"/>
      <c r="O818" s="81" t="s">
        <v>179</v>
      </c>
      <c r="P818" s="83">
        <v>44463.209305555552</v>
      </c>
      <c r="Q818" s="81" t="s">
        <v>1865</v>
      </c>
      <c r="R818" s="81"/>
      <c r="S818" s="81"/>
      <c r="T818" s="81"/>
      <c r="U818" s="81"/>
      <c r="V818" s="84" t="str">
        <f>HYPERLINK("https://pbs.twimg.com/profile_images/1426141741204140032/2TW5EjWd_normal.jpg")</f>
        <v>https://pbs.twimg.com/profile_images/1426141741204140032/2TW5EjWd_normal.jpg</v>
      </c>
      <c r="W818" s="83">
        <v>44463.209305555552</v>
      </c>
      <c r="X818" s="89">
        <v>44463</v>
      </c>
      <c r="Y818" s="86" t="s">
        <v>3406</v>
      </c>
      <c r="Z818" s="84" t="str">
        <f>HYPERLINK("https://twitter.com/jnvcarts/status/1441266494420054021")</f>
        <v>https://twitter.com/jnvcarts/status/1441266494420054021</v>
      </c>
      <c r="AA818" s="81"/>
      <c r="AB818" s="81"/>
      <c r="AC818" s="86" t="s">
        <v>4870</v>
      </c>
      <c r="AD818" s="86" t="s">
        <v>6093</v>
      </c>
      <c r="AE818" s="81" t="b">
        <v>0</v>
      </c>
      <c r="AF818" s="81">
        <v>1</v>
      </c>
      <c r="AG818" s="86" t="s">
        <v>6353</v>
      </c>
      <c r="AH818" s="81" t="b">
        <v>0</v>
      </c>
      <c r="AI818" s="81" t="s">
        <v>6478</v>
      </c>
      <c r="AJ818" s="81"/>
      <c r="AK818" s="86" t="s">
        <v>6240</v>
      </c>
      <c r="AL818" s="81" t="b">
        <v>0</v>
      </c>
      <c r="AM818" s="81">
        <v>0</v>
      </c>
      <c r="AN818" s="86" t="s">
        <v>6240</v>
      </c>
      <c r="AO818" s="86" t="s">
        <v>6505</v>
      </c>
      <c r="AP818" s="81" t="b">
        <v>0</v>
      </c>
      <c r="AQ818" s="86" t="s">
        <v>6093</v>
      </c>
      <c r="AR818" s="81" t="s">
        <v>179</v>
      </c>
      <c r="AS818" s="81">
        <v>0</v>
      </c>
      <c r="AT818" s="81">
        <v>0</v>
      </c>
      <c r="AU818" s="81"/>
      <c r="AV818" s="81"/>
      <c r="AW818" s="81"/>
      <c r="AX818" s="81"/>
      <c r="AY818" s="81"/>
      <c r="AZ818" s="81"/>
      <c r="BA818" s="81"/>
      <c r="BB818" s="81"/>
    </row>
    <row r="819" spans="1:54" x14ac:dyDescent="0.35">
      <c r="A819" s="66" t="s">
        <v>803</v>
      </c>
      <c r="B819" s="66" t="s">
        <v>1275</v>
      </c>
      <c r="C819" s="67"/>
      <c r="D819" s="68"/>
      <c r="E819" s="69"/>
      <c r="F819" s="70"/>
      <c r="G819" s="67"/>
      <c r="H819" s="71"/>
      <c r="I819" s="72"/>
      <c r="J819" s="72"/>
      <c r="K819" s="36"/>
      <c r="L819" s="79"/>
      <c r="M819" s="79"/>
      <c r="N819" s="74"/>
      <c r="O819" s="81" t="s">
        <v>1534</v>
      </c>
      <c r="P819" s="83">
        <v>44463.216932870368</v>
      </c>
      <c r="Q819" s="81" t="s">
        <v>1866</v>
      </c>
      <c r="R819" s="81"/>
      <c r="S819" s="81"/>
      <c r="T819" s="81"/>
      <c r="U819" s="81"/>
      <c r="V819" s="84" t="str">
        <f>HYPERLINK("https://pbs.twimg.com/profile_images/1442720404884258816/6TsKYuW3_normal.jpg")</f>
        <v>https://pbs.twimg.com/profile_images/1442720404884258816/6TsKYuW3_normal.jpg</v>
      </c>
      <c r="W819" s="83">
        <v>44463.216932870368</v>
      </c>
      <c r="X819" s="89">
        <v>44463</v>
      </c>
      <c r="Y819" s="86" t="s">
        <v>3407</v>
      </c>
      <c r="Z819" s="84" t="str">
        <f>HYPERLINK("https://twitter.com/meisyarahma0109/status/1441269260496424975")</f>
        <v>https://twitter.com/meisyarahma0109/status/1441269260496424975</v>
      </c>
      <c r="AA819" s="81"/>
      <c r="AB819" s="81"/>
      <c r="AC819" s="86" t="s">
        <v>4871</v>
      </c>
      <c r="AD819" s="86" t="s">
        <v>5974</v>
      </c>
      <c r="AE819" s="81" t="b">
        <v>0</v>
      </c>
      <c r="AF819" s="81">
        <v>0</v>
      </c>
      <c r="AG819" s="86" t="s">
        <v>6244</v>
      </c>
      <c r="AH819" s="81" t="b">
        <v>0</v>
      </c>
      <c r="AI819" s="81" t="s">
        <v>6478</v>
      </c>
      <c r="AJ819" s="81"/>
      <c r="AK819" s="86" t="s">
        <v>6240</v>
      </c>
      <c r="AL819" s="81" t="b">
        <v>0</v>
      </c>
      <c r="AM819" s="81">
        <v>0</v>
      </c>
      <c r="AN819" s="86" t="s">
        <v>6240</v>
      </c>
      <c r="AO819" s="86" t="s">
        <v>6503</v>
      </c>
      <c r="AP819" s="81" t="b">
        <v>0</v>
      </c>
      <c r="AQ819" s="86" t="s">
        <v>5974</v>
      </c>
      <c r="AR819" s="81" t="s">
        <v>179</v>
      </c>
      <c r="AS819" s="81">
        <v>0</v>
      </c>
      <c r="AT819" s="81">
        <v>0</v>
      </c>
      <c r="AU819" s="81"/>
      <c r="AV819" s="81"/>
      <c r="AW819" s="81"/>
      <c r="AX819" s="81"/>
      <c r="AY819" s="81"/>
      <c r="AZ819" s="81"/>
      <c r="BA819" s="81"/>
      <c r="BB819" s="81"/>
    </row>
    <row r="820" spans="1:54" x14ac:dyDescent="0.35">
      <c r="A820" s="66" t="s">
        <v>804</v>
      </c>
      <c r="B820" s="66" t="s">
        <v>804</v>
      </c>
      <c r="C820" s="67"/>
      <c r="D820" s="68"/>
      <c r="E820" s="69"/>
      <c r="F820" s="70"/>
      <c r="G820" s="67"/>
      <c r="H820" s="71"/>
      <c r="I820" s="72"/>
      <c r="J820" s="72"/>
      <c r="K820" s="36"/>
      <c r="L820" s="79"/>
      <c r="M820" s="79"/>
      <c r="N820" s="74"/>
      <c r="O820" s="81" t="s">
        <v>179</v>
      </c>
      <c r="P820" s="83">
        <v>44463.231296296297</v>
      </c>
      <c r="Q820" s="81" t="s">
        <v>1867</v>
      </c>
      <c r="R820" s="81"/>
      <c r="S820" s="81"/>
      <c r="T820" s="81"/>
      <c r="U820" s="81"/>
      <c r="V820" s="84" t="str">
        <f>HYPERLINK("https://pbs.twimg.com/profile_images/1442293094473351169/AuqSC7Ek_normal.jpg")</f>
        <v>https://pbs.twimg.com/profile_images/1442293094473351169/AuqSC7Ek_normal.jpg</v>
      </c>
      <c r="W820" s="83">
        <v>44463.231296296297</v>
      </c>
      <c r="X820" s="89">
        <v>44463</v>
      </c>
      <c r="Y820" s="86" t="s">
        <v>3408</v>
      </c>
      <c r="Z820" s="84" t="str">
        <f>HYPERLINK("https://twitter.com/draftanakunpad/status/1441274466126811140")</f>
        <v>https://twitter.com/draftanakunpad/status/1441274466126811140</v>
      </c>
      <c r="AA820" s="81"/>
      <c r="AB820" s="81"/>
      <c r="AC820" s="86" t="s">
        <v>4872</v>
      </c>
      <c r="AD820" s="81"/>
      <c r="AE820" s="81" t="b">
        <v>0</v>
      </c>
      <c r="AF820" s="81">
        <v>1</v>
      </c>
      <c r="AG820" s="86" t="s">
        <v>6240</v>
      </c>
      <c r="AH820" s="81" t="b">
        <v>0</v>
      </c>
      <c r="AI820" s="81" t="s">
        <v>6478</v>
      </c>
      <c r="AJ820" s="81"/>
      <c r="AK820" s="86" t="s">
        <v>6240</v>
      </c>
      <c r="AL820" s="81" t="b">
        <v>0</v>
      </c>
      <c r="AM820" s="81">
        <v>0</v>
      </c>
      <c r="AN820" s="86" t="s">
        <v>6240</v>
      </c>
      <c r="AO820" s="86" t="s">
        <v>6522</v>
      </c>
      <c r="AP820" s="81" t="b">
        <v>0</v>
      </c>
      <c r="AQ820" s="86" t="s">
        <v>4872</v>
      </c>
      <c r="AR820" s="81" t="s">
        <v>179</v>
      </c>
      <c r="AS820" s="81">
        <v>0</v>
      </c>
      <c r="AT820" s="81">
        <v>0</v>
      </c>
      <c r="AU820" s="81"/>
      <c r="AV820" s="81"/>
      <c r="AW820" s="81"/>
      <c r="AX820" s="81"/>
      <c r="AY820" s="81"/>
      <c r="AZ820" s="81"/>
      <c r="BA820" s="81"/>
      <c r="BB820" s="81"/>
    </row>
    <row r="821" spans="1:54" x14ac:dyDescent="0.35">
      <c r="A821" s="66" t="s">
        <v>805</v>
      </c>
      <c r="B821" s="66" t="s">
        <v>805</v>
      </c>
      <c r="C821" s="67"/>
      <c r="D821" s="68"/>
      <c r="E821" s="69"/>
      <c r="F821" s="70"/>
      <c r="G821" s="67"/>
      <c r="H821" s="71"/>
      <c r="I821" s="72"/>
      <c r="J821" s="72"/>
      <c r="K821" s="36"/>
      <c r="L821" s="79"/>
      <c r="M821" s="79"/>
      <c r="N821" s="74"/>
      <c r="O821" s="81" t="s">
        <v>179</v>
      </c>
      <c r="P821" s="83">
        <v>44463.246701388889</v>
      </c>
      <c r="Q821" s="81" t="s">
        <v>1868</v>
      </c>
      <c r="R821" s="81"/>
      <c r="S821" s="81"/>
      <c r="T821" s="81"/>
      <c r="U821" s="81"/>
      <c r="V821" s="84" t="str">
        <f>HYPERLINK("https://pbs.twimg.com/profile_images/1439083292297289733/deCd4MOZ_normal.jpg")</f>
        <v>https://pbs.twimg.com/profile_images/1439083292297289733/deCd4MOZ_normal.jpg</v>
      </c>
      <c r="W821" s="83">
        <v>44463.246701388889</v>
      </c>
      <c r="X821" s="89">
        <v>44463</v>
      </c>
      <c r="Y821" s="86" t="s">
        <v>3409</v>
      </c>
      <c r="Z821" s="84" t="str">
        <f>HYPERLINK("https://twitter.com/jieyalahh/status/1441280045943689218")</f>
        <v>https://twitter.com/jieyalahh/status/1441280045943689218</v>
      </c>
      <c r="AA821" s="81"/>
      <c r="AB821" s="81"/>
      <c r="AC821" s="86" t="s">
        <v>4873</v>
      </c>
      <c r="AD821" s="81"/>
      <c r="AE821" s="81" t="b">
        <v>0</v>
      </c>
      <c r="AF821" s="81">
        <v>0</v>
      </c>
      <c r="AG821" s="86" t="s">
        <v>6240</v>
      </c>
      <c r="AH821" s="81" t="b">
        <v>0</v>
      </c>
      <c r="AI821" s="81" t="s">
        <v>6478</v>
      </c>
      <c r="AJ821" s="81"/>
      <c r="AK821" s="86" t="s">
        <v>6240</v>
      </c>
      <c r="AL821" s="81" t="b">
        <v>0</v>
      </c>
      <c r="AM821" s="81">
        <v>0</v>
      </c>
      <c r="AN821" s="86" t="s">
        <v>6240</v>
      </c>
      <c r="AO821" s="86" t="s">
        <v>6503</v>
      </c>
      <c r="AP821" s="81" t="b">
        <v>0</v>
      </c>
      <c r="AQ821" s="86" t="s">
        <v>4873</v>
      </c>
      <c r="AR821" s="81" t="s">
        <v>179</v>
      </c>
      <c r="AS821" s="81">
        <v>0</v>
      </c>
      <c r="AT821" s="81">
        <v>0</v>
      </c>
      <c r="AU821" s="81"/>
      <c r="AV821" s="81"/>
      <c r="AW821" s="81"/>
      <c r="AX821" s="81"/>
      <c r="AY821" s="81"/>
      <c r="AZ821" s="81"/>
      <c r="BA821" s="81"/>
      <c r="BB821" s="81"/>
    </row>
    <row r="822" spans="1:54" x14ac:dyDescent="0.35">
      <c r="A822" s="66" t="s">
        <v>806</v>
      </c>
      <c r="B822" s="66" t="s">
        <v>806</v>
      </c>
      <c r="C822" s="67"/>
      <c r="D822" s="68"/>
      <c r="E822" s="69"/>
      <c r="F822" s="70"/>
      <c r="G822" s="67"/>
      <c r="H822" s="71"/>
      <c r="I822" s="72"/>
      <c r="J822" s="72"/>
      <c r="K822" s="36"/>
      <c r="L822" s="79"/>
      <c r="M822" s="79"/>
      <c r="N822" s="74"/>
      <c r="O822" s="81" t="s">
        <v>179</v>
      </c>
      <c r="P822" s="83">
        <v>44463.269490740742</v>
      </c>
      <c r="Q822" s="81" t="s">
        <v>1869</v>
      </c>
      <c r="R822" s="81"/>
      <c r="S822" s="81"/>
      <c r="T822" s="81"/>
      <c r="U822" s="81"/>
      <c r="V822" s="84" t="str">
        <f>HYPERLINK("https://pbs.twimg.com/profile_images/1440120960959406080/3-6w6Qjr_normal.jpg")</f>
        <v>https://pbs.twimg.com/profile_images/1440120960959406080/3-6w6Qjr_normal.jpg</v>
      </c>
      <c r="W822" s="83">
        <v>44463.269490740742</v>
      </c>
      <c r="X822" s="89">
        <v>44463</v>
      </c>
      <c r="Y822" s="86" t="s">
        <v>3410</v>
      </c>
      <c r="Z822" s="84" t="str">
        <f>HYPERLINK("https://twitter.com/nauttella/status/1441288306575089669")</f>
        <v>https://twitter.com/nauttella/status/1441288306575089669</v>
      </c>
      <c r="AA822" s="81"/>
      <c r="AB822" s="81"/>
      <c r="AC822" s="86" t="s">
        <v>4874</v>
      </c>
      <c r="AD822" s="81"/>
      <c r="AE822" s="81" t="b">
        <v>0</v>
      </c>
      <c r="AF822" s="81">
        <v>0</v>
      </c>
      <c r="AG822" s="86" t="s">
        <v>6240</v>
      </c>
      <c r="AH822" s="81" t="b">
        <v>0</v>
      </c>
      <c r="AI822" s="81" t="s">
        <v>6478</v>
      </c>
      <c r="AJ822" s="81"/>
      <c r="AK822" s="86" t="s">
        <v>6240</v>
      </c>
      <c r="AL822" s="81" t="b">
        <v>0</v>
      </c>
      <c r="AM822" s="81">
        <v>0</v>
      </c>
      <c r="AN822" s="86" t="s">
        <v>6240</v>
      </c>
      <c r="AO822" s="86" t="s">
        <v>6505</v>
      </c>
      <c r="AP822" s="81" t="b">
        <v>0</v>
      </c>
      <c r="AQ822" s="86" t="s">
        <v>4874</v>
      </c>
      <c r="AR822" s="81" t="s">
        <v>179</v>
      </c>
      <c r="AS822" s="81">
        <v>0</v>
      </c>
      <c r="AT822" s="81">
        <v>0</v>
      </c>
      <c r="AU822" s="81"/>
      <c r="AV822" s="81"/>
      <c r="AW822" s="81"/>
      <c r="AX822" s="81"/>
      <c r="AY822" s="81"/>
      <c r="AZ822" s="81"/>
      <c r="BA822" s="81"/>
      <c r="BB822" s="81"/>
    </row>
    <row r="823" spans="1:54" x14ac:dyDescent="0.35">
      <c r="A823" s="66" t="s">
        <v>807</v>
      </c>
      <c r="B823" s="66" t="s">
        <v>807</v>
      </c>
      <c r="C823" s="67"/>
      <c r="D823" s="68"/>
      <c r="E823" s="69"/>
      <c r="F823" s="70"/>
      <c r="G823" s="67"/>
      <c r="H823" s="71"/>
      <c r="I823" s="72"/>
      <c r="J823" s="72"/>
      <c r="K823" s="36"/>
      <c r="L823" s="79"/>
      <c r="M823" s="79"/>
      <c r="N823" s="74"/>
      <c r="O823" s="81" t="s">
        <v>179</v>
      </c>
      <c r="P823" s="83">
        <v>44463.27107638889</v>
      </c>
      <c r="Q823" s="81" t="s">
        <v>1870</v>
      </c>
      <c r="R823" s="81"/>
      <c r="S823" s="81"/>
      <c r="T823" s="81"/>
      <c r="U823" s="81"/>
      <c r="V823" s="84" t="str">
        <f>HYPERLINK("https://pbs.twimg.com/profile_images/1429107008678989827/IdojyRgp_normal.jpg")</f>
        <v>https://pbs.twimg.com/profile_images/1429107008678989827/IdojyRgp_normal.jpg</v>
      </c>
      <c r="W823" s="83">
        <v>44463.27107638889</v>
      </c>
      <c r="X823" s="89">
        <v>44463</v>
      </c>
      <c r="Y823" s="86" t="s">
        <v>3411</v>
      </c>
      <c r="Z823" s="84" t="str">
        <f>HYPERLINK("https://twitter.com/idealtouse/status/1441288878065815556")</f>
        <v>https://twitter.com/idealtouse/status/1441288878065815556</v>
      </c>
      <c r="AA823" s="81"/>
      <c r="AB823" s="81"/>
      <c r="AC823" s="86" t="s">
        <v>4875</v>
      </c>
      <c r="AD823" s="81"/>
      <c r="AE823" s="81" t="b">
        <v>0</v>
      </c>
      <c r="AF823" s="81">
        <v>0</v>
      </c>
      <c r="AG823" s="86" t="s">
        <v>6240</v>
      </c>
      <c r="AH823" s="81" t="b">
        <v>0</v>
      </c>
      <c r="AI823" s="81" t="s">
        <v>6478</v>
      </c>
      <c r="AJ823" s="81"/>
      <c r="AK823" s="86" t="s">
        <v>6240</v>
      </c>
      <c r="AL823" s="81" t="b">
        <v>0</v>
      </c>
      <c r="AM823" s="81">
        <v>0</v>
      </c>
      <c r="AN823" s="86" t="s">
        <v>6240</v>
      </c>
      <c r="AO823" s="86" t="s">
        <v>6507</v>
      </c>
      <c r="AP823" s="81" t="b">
        <v>0</v>
      </c>
      <c r="AQ823" s="86" t="s">
        <v>4875</v>
      </c>
      <c r="AR823" s="81" t="s">
        <v>179</v>
      </c>
      <c r="AS823" s="81">
        <v>0</v>
      </c>
      <c r="AT823" s="81">
        <v>0</v>
      </c>
      <c r="AU823" s="81"/>
      <c r="AV823" s="81"/>
      <c r="AW823" s="81"/>
      <c r="AX823" s="81"/>
      <c r="AY823" s="81"/>
      <c r="AZ823" s="81"/>
      <c r="BA823" s="81"/>
      <c r="BB823" s="81"/>
    </row>
    <row r="824" spans="1:54" x14ac:dyDescent="0.35">
      <c r="A824" s="66" t="s">
        <v>808</v>
      </c>
      <c r="B824" s="66" t="s">
        <v>808</v>
      </c>
      <c r="C824" s="67"/>
      <c r="D824" s="68"/>
      <c r="E824" s="69"/>
      <c r="F824" s="70"/>
      <c r="G824" s="67"/>
      <c r="H824" s="71"/>
      <c r="I824" s="72"/>
      <c r="J824" s="72"/>
      <c r="K824" s="36"/>
      <c r="L824" s="79"/>
      <c r="M824" s="79"/>
      <c r="N824" s="74"/>
      <c r="O824" s="81" t="s">
        <v>179</v>
      </c>
      <c r="P824" s="83">
        <v>44463.283009259256</v>
      </c>
      <c r="Q824" s="81" t="s">
        <v>1871</v>
      </c>
      <c r="R824" s="84" t="str">
        <f>HYPERLINK("https://infosemarangraya.pikiran-rakyat.com/ekonomi/pr-1602661666/info-loker-bumn-pt-pos-logistik-indonesia-buka-lowongan-untuk-lulusan-min-d3-terbaru-september-2021")</f>
        <v>https://infosemarangraya.pikiran-rakyat.com/ekonomi/pr-1602661666/info-loker-bumn-pt-pos-logistik-indonesia-buka-lowongan-untuk-lulusan-min-d3-terbaru-september-2021</v>
      </c>
      <c r="S824" s="81" t="s">
        <v>2605</v>
      </c>
      <c r="T824" s="86" t="s">
        <v>2688</v>
      </c>
      <c r="U824" s="81"/>
      <c r="V824" s="84" t="str">
        <f>HYPERLINK("https://pbs.twimg.com/profile_images/1434473050137792514/CApaT34-_normal.jpg")</f>
        <v>https://pbs.twimg.com/profile_images/1434473050137792514/CApaT34-_normal.jpg</v>
      </c>
      <c r="W824" s="83">
        <v>44463.283009259256</v>
      </c>
      <c r="X824" s="89">
        <v>44463</v>
      </c>
      <c r="Y824" s="86" t="s">
        <v>3412</v>
      </c>
      <c r="Z824" s="84" t="str">
        <f>HYPERLINK("https://twitter.com/isrdotcom/status/1441293203794128901")</f>
        <v>https://twitter.com/isrdotcom/status/1441293203794128901</v>
      </c>
      <c r="AA824" s="81"/>
      <c r="AB824" s="81"/>
      <c r="AC824" s="86" t="s">
        <v>4876</v>
      </c>
      <c r="AD824" s="81"/>
      <c r="AE824" s="81" t="b">
        <v>0</v>
      </c>
      <c r="AF824" s="81">
        <v>1</v>
      </c>
      <c r="AG824" s="86" t="s">
        <v>6240</v>
      </c>
      <c r="AH824" s="81" t="b">
        <v>0</v>
      </c>
      <c r="AI824" s="81" t="s">
        <v>6478</v>
      </c>
      <c r="AJ824" s="81"/>
      <c r="AK824" s="86" t="s">
        <v>6240</v>
      </c>
      <c r="AL824" s="81" t="b">
        <v>0</v>
      </c>
      <c r="AM824" s="81">
        <v>0</v>
      </c>
      <c r="AN824" s="86" t="s">
        <v>6240</v>
      </c>
      <c r="AO824" s="86" t="s">
        <v>6503</v>
      </c>
      <c r="AP824" s="81" t="b">
        <v>0</v>
      </c>
      <c r="AQ824" s="86" t="s">
        <v>4876</v>
      </c>
      <c r="AR824" s="81" t="s">
        <v>179</v>
      </c>
      <c r="AS824" s="81">
        <v>0</v>
      </c>
      <c r="AT824" s="81">
        <v>0</v>
      </c>
      <c r="AU824" s="81"/>
      <c r="AV824" s="81"/>
      <c r="AW824" s="81"/>
      <c r="AX824" s="81"/>
      <c r="AY824" s="81"/>
      <c r="AZ824" s="81"/>
      <c r="BA824" s="81"/>
      <c r="BB824" s="81"/>
    </row>
    <row r="825" spans="1:54" x14ac:dyDescent="0.35">
      <c r="A825" s="66" t="s">
        <v>809</v>
      </c>
      <c r="B825" s="66" t="s">
        <v>1402</v>
      </c>
      <c r="C825" s="67"/>
      <c r="D825" s="68"/>
      <c r="E825" s="69"/>
      <c r="F825" s="70"/>
      <c r="G825" s="67"/>
      <c r="H825" s="71"/>
      <c r="I825" s="72"/>
      <c r="J825" s="72"/>
      <c r="K825" s="36"/>
      <c r="L825" s="79"/>
      <c r="M825" s="79"/>
      <c r="N825" s="74"/>
      <c r="O825" s="81" t="s">
        <v>1535</v>
      </c>
      <c r="P825" s="83">
        <v>44462.25340277778</v>
      </c>
      <c r="Q825" s="81" t="s">
        <v>1872</v>
      </c>
      <c r="R825" s="81"/>
      <c r="S825" s="81"/>
      <c r="T825" s="81"/>
      <c r="U825" s="84" t="str">
        <f>HYPERLINK("https://pbs.twimg.com/media/E_8tK0CVQAMhEL4.jpg")</f>
        <v>https://pbs.twimg.com/media/E_8tK0CVQAMhEL4.jpg</v>
      </c>
      <c r="V825" s="84" t="str">
        <f>HYPERLINK("https://pbs.twimg.com/media/E_8tK0CVQAMhEL4.jpg")</f>
        <v>https://pbs.twimg.com/media/E_8tK0CVQAMhEL4.jpg</v>
      </c>
      <c r="W825" s="83">
        <v>44462.25340277778</v>
      </c>
      <c r="X825" s="89">
        <v>44462</v>
      </c>
      <c r="Y825" s="86" t="s">
        <v>3413</v>
      </c>
      <c r="Z825" s="84" t="str">
        <f>HYPERLINK("https://twitter.com/pajakbela/status/1440920085388939271")</f>
        <v>https://twitter.com/pajakbela/status/1440920085388939271</v>
      </c>
      <c r="AA825" s="81"/>
      <c r="AB825" s="81"/>
      <c r="AC825" s="86" t="s">
        <v>4877</v>
      </c>
      <c r="AD825" s="81"/>
      <c r="AE825" s="81" t="b">
        <v>0</v>
      </c>
      <c r="AF825" s="81">
        <v>0</v>
      </c>
      <c r="AG825" s="86" t="s">
        <v>6240</v>
      </c>
      <c r="AH825" s="81" t="b">
        <v>0</v>
      </c>
      <c r="AI825" s="81" t="s">
        <v>6478</v>
      </c>
      <c r="AJ825" s="81"/>
      <c r="AK825" s="86" t="s">
        <v>6240</v>
      </c>
      <c r="AL825" s="81" t="b">
        <v>0</v>
      </c>
      <c r="AM825" s="81">
        <v>1</v>
      </c>
      <c r="AN825" s="86" t="s">
        <v>6240</v>
      </c>
      <c r="AO825" s="86" t="s">
        <v>6503</v>
      </c>
      <c r="AP825" s="81" t="b">
        <v>0</v>
      </c>
      <c r="AQ825" s="86" t="s">
        <v>4877</v>
      </c>
      <c r="AR825" s="81" t="s">
        <v>179</v>
      </c>
      <c r="AS825" s="81">
        <v>0</v>
      </c>
      <c r="AT825" s="81">
        <v>0</v>
      </c>
      <c r="AU825" s="81"/>
      <c r="AV825" s="81"/>
      <c r="AW825" s="81"/>
      <c r="AX825" s="81"/>
      <c r="AY825" s="81"/>
      <c r="AZ825" s="81"/>
      <c r="BA825" s="81"/>
      <c r="BB825" s="81"/>
    </row>
    <row r="826" spans="1:54" x14ac:dyDescent="0.35">
      <c r="A826" s="66" t="s">
        <v>810</v>
      </c>
      <c r="B826" s="66" t="s">
        <v>1402</v>
      </c>
      <c r="C826" s="67"/>
      <c r="D826" s="68"/>
      <c r="E826" s="69"/>
      <c r="F826" s="70"/>
      <c r="G826" s="67"/>
      <c r="H826" s="71"/>
      <c r="I826" s="72"/>
      <c r="J826" s="72"/>
      <c r="K826" s="36"/>
      <c r="L826" s="79"/>
      <c r="M826" s="79"/>
      <c r="N826" s="74"/>
      <c r="O826" s="81" t="s">
        <v>1533</v>
      </c>
      <c r="P826" s="83">
        <v>44463.282986111109</v>
      </c>
      <c r="Q826" s="81" t="s">
        <v>1872</v>
      </c>
      <c r="R826" s="81"/>
      <c r="S826" s="81"/>
      <c r="T826" s="81"/>
      <c r="U826" s="84" t="str">
        <f>HYPERLINK("https://pbs.twimg.com/media/E_8tK0CVQAMhEL4.jpg")</f>
        <v>https://pbs.twimg.com/media/E_8tK0CVQAMhEL4.jpg</v>
      </c>
      <c r="V826" s="84" t="str">
        <f>HYPERLINK("https://pbs.twimg.com/media/E_8tK0CVQAMhEL4.jpg")</f>
        <v>https://pbs.twimg.com/media/E_8tK0CVQAMhEL4.jpg</v>
      </c>
      <c r="W826" s="83">
        <v>44463.282986111109</v>
      </c>
      <c r="X826" s="89">
        <v>44463</v>
      </c>
      <c r="Y826" s="86" t="s">
        <v>3414</v>
      </c>
      <c r="Z826" s="84" t="str">
        <f>HYPERLINK("https://twitter.com/pajakmanna/status/1441293196324003847")</f>
        <v>https://twitter.com/pajakmanna/status/1441293196324003847</v>
      </c>
      <c r="AA826" s="81"/>
      <c r="AB826" s="81"/>
      <c r="AC826" s="86" t="s">
        <v>4878</v>
      </c>
      <c r="AD826" s="81"/>
      <c r="AE826" s="81" t="b">
        <v>0</v>
      </c>
      <c r="AF826" s="81">
        <v>0</v>
      </c>
      <c r="AG826" s="86" t="s">
        <v>6240</v>
      </c>
      <c r="AH826" s="81" t="b">
        <v>0</v>
      </c>
      <c r="AI826" s="81" t="s">
        <v>6478</v>
      </c>
      <c r="AJ826" s="81"/>
      <c r="AK826" s="86" t="s">
        <v>6240</v>
      </c>
      <c r="AL826" s="81" t="b">
        <v>0</v>
      </c>
      <c r="AM826" s="81">
        <v>1</v>
      </c>
      <c r="AN826" s="86" t="s">
        <v>4877</v>
      </c>
      <c r="AO826" s="86" t="s">
        <v>6507</v>
      </c>
      <c r="AP826" s="81" t="b">
        <v>0</v>
      </c>
      <c r="AQ826" s="86" t="s">
        <v>4877</v>
      </c>
      <c r="AR826" s="81" t="s">
        <v>179</v>
      </c>
      <c r="AS826" s="81">
        <v>0</v>
      </c>
      <c r="AT826" s="81">
        <v>0</v>
      </c>
      <c r="AU826" s="81"/>
      <c r="AV826" s="81"/>
      <c r="AW826" s="81"/>
      <c r="AX826" s="81"/>
      <c r="AY826" s="81"/>
      <c r="AZ826" s="81"/>
      <c r="BA826" s="81"/>
      <c r="BB826" s="81"/>
    </row>
    <row r="827" spans="1:54" x14ac:dyDescent="0.35">
      <c r="A827" s="66" t="s">
        <v>809</v>
      </c>
      <c r="B827" s="66" t="s">
        <v>1315</v>
      </c>
      <c r="C827" s="67"/>
      <c r="D827" s="68"/>
      <c r="E827" s="69"/>
      <c r="F827" s="70"/>
      <c r="G827" s="67"/>
      <c r="H827" s="71"/>
      <c r="I827" s="72"/>
      <c r="J827" s="72"/>
      <c r="K827" s="36"/>
      <c r="L827" s="79"/>
      <c r="M827" s="79"/>
      <c r="N827" s="74"/>
      <c r="O827" s="81" t="s">
        <v>1535</v>
      </c>
      <c r="P827" s="83">
        <v>44462.25340277778</v>
      </c>
      <c r="Q827" s="81" t="s">
        <v>1873</v>
      </c>
      <c r="R827" s="81"/>
      <c r="S827" s="81"/>
      <c r="T827" s="86" t="s">
        <v>2689</v>
      </c>
      <c r="U827" s="81"/>
      <c r="V827" s="84" t="str">
        <f>HYPERLINK("https://pbs.twimg.com/profile_images/1197502479895711749/2_Xe98P1_normal.jpg")</f>
        <v>https://pbs.twimg.com/profile_images/1197502479895711749/2_Xe98P1_normal.jpg</v>
      </c>
      <c r="W827" s="83">
        <v>44462.25340277778</v>
      </c>
      <c r="X827" s="89">
        <v>44462</v>
      </c>
      <c r="Y827" s="86" t="s">
        <v>3413</v>
      </c>
      <c r="Z827" s="84" t="str">
        <f>HYPERLINK("https://twitter.com/pajakbela/status/1440920088471765004")</f>
        <v>https://twitter.com/pajakbela/status/1440920088471765004</v>
      </c>
      <c r="AA827" s="81"/>
      <c r="AB827" s="81"/>
      <c r="AC827" s="86" t="s">
        <v>4879</v>
      </c>
      <c r="AD827" s="86" t="s">
        <v>4877</v>
      </c>
      <c r="AE827" s="81" t="b">
        <v>0</v>
      </c>
      <c r="AF827" s="81">
        <v>0</v>
      </c>
      <c r="AG827" s="86" t="s">
        <v>6355</v>
      </c>
      <c r="AH827" s="81" t="b">
        <v>0</v>
      </c>
      <c r="AI827" s="81" t="s">
        <v>6478</v>
      </c>
      <c r="AJ827" s="81"/>
      <c r="AK827" s="86" t="s">
        <v>6240</v>
      </c>
      <c r="AL827" s="81" t="b">
        <v>0</v>
      </c>
      <c r="AM827" s="81">
        <v>1</v>
      </c>
      <c r="AN827" s="86" t="s">
        <v>6240</v>
      </c>
      <c r="AO827" s="86" t="s">
        <v>6503</v>
      </c>
      <c r="AP827" s="81" t="b">
        <v>0</v>
      </c>
      <c r="AQ827" s="86" t="s">
        <v>4877</v>
      </c>
      <c r="AR827" s="81" t="s">
        <v>179</v>
      </c>
      <c r="AS827" s="81">
        <v>0</v>
      </c>
      <c r="AT827" s="81">
        <v>0</v>
      </c>
      <c r="AU827" s="81"/>
      <c r="AV827" s="81"/>
      <c r="AW827" s="81"/>
      <c r="AX827" s="81"/>
      <c r="AY827" s="81"/>
      <c r="AZ827" s="81"/>
      <c r="BA827" s="81"/>
      <c r="BB827" s="81"/>
    </row>
    <row r="828" spans="1:54" x14ac:dyDescent="0.35">
      <c r="A828" s="66" t="s">
        <v>810</v>
      </c>
      <c r="B828" s="66" t="s">
        <v>809</v>
      </c>
      <c r="C828" s="67"/>
      <c r="D828" s="68"/>
      <c r="E828" s="69"/>
      <c r="F828" s="70"/>
      <c r="G828" s="67"/>
      <c r="H828" s="71"/>
      <c r="I828" s="72"/>
      <c r="J828" s="72"/>
      <c r="K828" s="36"/>
      <c r="L828" s="79"/>
      <c r="M828" s="79"/>
      <c r="N828" s="74"/>
      <c r="O828" s="81" t="s">
        <v>1532</v>
      </c>
      <c r="P828" s="83">
        <v>44463.282986111109</v>
      </c>
      <c r="Q828" s="81" t="s">
        <v>1872</v>
      </c>
      <c r="R828" s="81"/>
      <c r="S828" s="81"/>
      <c r="T828" s="81"/>
      <c r="U828" s="84" t="str">
        <f>HYPERLINK("https://pbs.twimg.com/media/E_8tK0CVQAMhEL4.jpg")</f>
        <v>https://pbs.twimg.com/media/E_8tK0CVQAMhEL4.jpg</v>
      </c>
      <c r="V828" s="84" t="str">
        <f>HYPERLINK("https://pbs.twimg.com/media/E_8tK0CVQAMhEL4.jpg")</f>
        <v>https://pbs.twimg.com/media/E_8tK0CVQAMhEL4.jpg</v>
      </c>
      <c r="W828" s="83">
        <v>44463.282986111109</v>
      </c>
      <c r="X828" s="89">
        <v>44463</v>
      </c>
      <c r="Y828" s="86" t="s">
        <v>3414</v>
      </c>
      <c r="Z828" s="84" t="str">
        <f>HYPERLINK("https://twitter.com/pajakmanna/status/1441293196324003847")</f>
        <v>https://twitter.com/pajakmanna/status/1441293196324003847</v>
      </c>
      <c r="AA828" s="81"/>
      <c r="AB828" s="81"/>
      <c r="AC828" s="86" t="s">
        <v>4878</v>
      </c>
      <c r="AD828" s="81"/>
      <c r="AE828" s="81" t="b">
        <v>0</v>
      </c>
      <c r="AF828" s="81">
        <v>0</v>
      </c>
      <c r="AG828" s="86" t="s">
        <v>6240</v>
      </c>
      <c r="AH828" s="81" t="b">
        <v>0</v>
      </c>
      <c r="AI828" s="81" t="s">
        <v>6478</v>
      </c>
      <c r="AJ828" s="81"/>
      <c r="AK828" s="86" t="s">
        <v>6240</v>
      </c>
      <c r="AL828" s="81" t="b">
        <v>0</v>
      </c>
      <c r="AM828" s="81">
        <v>1</v>
      </c>
      <c r="AN828" s="86" t="s">
        <v>4877</v>
      </c>
      <c r="AO828" s="86" t="s">
        <v>6507</v>
      </c>
      <c r="AP828" s="81" t="b">
        <v>0</v>
      </c>
      <c r="AQ828" s="86" t="s">
        <v>4877</v>
      </c>
      <c r="AR828" s="81" t="s">
        <v>179</v>
      </c>
      <c r="AS828" s="81">
        <v>0</v>
      </c>
      <c r="AT828" s="81">
        <v>0</v>
      </c>
      <c r="AU828" s="81"/>
      <c r="AV828" s="81"/>
      <c r="AW828" s="81"/>
      <c r="AX828" s="81"/>
      <c r="AY828" s="81"/>
      <c r="AZ828" s="81"/>
      <c r="BA828" s="81"/>
      <c r="BB828" s="81"/>
    </row>
    <row r="829" spans="1:54" x14ac:dyDescent="0.35">
      <c r="A829" s="66" t="s">
        <v>810</v>
      </c>
      <c r="B829" s="66" t="s">
        <v>809</v>
      </c>
      <c r="C829" s="67"/>
      <c r="D829" s="68"/>
      <c r="E829" s="69"/>
      <c r="F829" s="70"/>
      <c r="G829" s="67"/>
      <c r="H829" s="71"/>
      <c r="I829" s="72"/>
      <c r="J829" s="72"/>
      <c r="K829" s="36"/>
      <c r="L829" s="79"/>
      <c r="M829" s="79"/>
      <c r="N829" s="74"/>
      <c r="O829" s="81" t="s">
        <v>1532</v>
      </c>
      <c r="P829" s="83">
        <v>44463.28324074074</v>
      </c>
      <c r="Q829" s="81" t="s">
        <v>1873</v>
      </c>
      <c r="R829" s="81"/>
      <c r="S829" s="81"/>
      <c r="T829" s="86" t="s">
        <v>2689</v>
      </c>
      <c r="U829" s="81"/>
      <c r="V829" s="84" t="str">
        <f>HYPERLINK("https://pbs.twimg.com/profile_images/1224611759006175233/DX5u-J7U_normal.jpg")</f>
        <v>https://pbs.twimg.com/profile_images/1224611759006175233/DX5u-J7U_normal.jpg</v>
      </c>
      <c r="W829" s="83">
        <v>44463.28324074074</v>
      </c>
      <c r="X829" s="89">
        <v>44463</v>
      </c>
      <c r="Y829" s="86" t="s">
        <v>3415</v>
      </c>
      <c r="Z829" s="84" t="str">
        <f>HYPERLINK("https://twitter.com/pajakmanna/status/1441293287403311106")</f>
        <v>https://twitter.com/pajakmanna/status/1441293287403311106</v>
      </c>
      <c r="AA829" s="81"/>
      <c r="AB829" s="81"/>
      <c r="AC829" s="86" t="s">
        <v>4880</v>
      </c>
      <c r="AD829" s="81"/>
      <c r="AE829" s="81" t="b">
        <v>0</v>
      </c>
      <c r="AF829" s="81">
        <v>0</v>
      </c>
      <c r="AG829" s="86" t="s">
        <v>6240</v>
      </c>
      <c r="AH829" s="81" t="b">
        <v>0</v>
      </c>
      <c r="AI829" s="81" t="s">
        <v>6478</v>
      </c>
      <c r="AJ829" s="81"/>
      <c r="AK829" s="86" t="s">
        <v>6240</v>
      </c>
      <c r="AL829" s="81" t="b">
        <v>0</v>
      </c>
      <c r="AM829" s="81">
        <v>1</v>
      </c>
      <c r="AN829" s="86" t="s">
        <v>4879</v>
      </c>
      <c r="AO829" s="86" t="s">
        <v>6507</v>
      </c>
      <c r="AP829" s="81" t="b">
        <v>0</v>
      </c>
      <c r="AQ829" s="86" t="s">
        <v>4879</v>
      </c>
      <c r="AR829" s="81" t="s">
        <v>179</v>
      </c>
      <c r="AS829" s="81">
        <v>0</v>
      </c>
      <c r="AT829" s="81">
        <v>0</v>
      </c>
      <c r="AU829" s="81"/>
      <c r="AV829" s="81"/>
      <c r="AW829" s="81"/>
      <c r="AX829" s="81"/>
      <c r="AY829" s="81"/>
      <c r="AZ829" s="81"/>
      <c r="BA829" s="81"/>
      <c r="BB829" s="81"/>
    </row>
    <row r="830" spans="1:54" x14ac:dyDescent="0.35">
      <c r="A830" s="66" t="s">
        <v>810</v>
      </c>
      <c r="B830" s="66" t="s">
        <v>1315</v>
      </c>
      <c r="C830" s="67"/>
      <c r="D830" s="68"/>
      <c r="E830" s="69"/>
      <c r="F830" s="70"/>
      <c r="G830" s="67"/>
      <c r="H830" s="71"/>
      <c r="I830" s="72"/>
      <c r="J830" s="72"/>
      <c r="K830" s="36"/>
      <c r="L830" s="79"/>
      <c r="M830" s="79"/>
      <c r="N830" s="74"/>
      <c r="O830" s="81" t="s">
        <v>1533</v>
      </c>
      <c r="P830" s="83">
        <v>44463.28324074074</v>
      </c>
      <c r="Q830" s="81" t="s">
        <v>1873</v>
      </c>
      <c r="R830" s="81"/>
      <c r="S830" s="81"/>
      <c r="T830" s="86" t="s">
        <v>2689</v>
      </c>
      <c r="U830" s="81"/>
      <c r="V830" s="84" t="str">
        <f>HYPERLINK("https://pbs.twimg.com/profile_images/1224611759006175233/DX5u-J7U_normal.jpg")</f>
        <v>https://pbs.twimg.com/profile_images/1224611759006175233/DX5u-J7U_normal.jpg</v>
      </c>
      <c r="W830" s="83">
        <v>44463.28324074074</v>
      </c>
      <c r="X830" s="89">
        <v>44463</v>
      </c>
      <c r="Y830" s="86" t="s">
        <v>3415</v>
      </c>
      <c r="Z830" s="84" t="str">
        <f>HYPERLINK("https://twitter.com/pajakmanna/status/1441293287403311106")</f>
        <v>https://twitter.com/pajakmanna/status/1441293287403311106</v>
      </c>
      <c r="AA830" s="81"/>
      <c r="AB830" s="81"/>
      <c r="AC830" s="86" t="s">
        <v>4880</v>
      </c>
      <c r="AD830" s="81"/>
      <c r="AE830" s="81" t="b">
        <v>0</v>
      </c>
      <c r="AF830" s="81">
        <v>0</v>
      </c>
      <c r="AG830" s="86" t="s">
        <v>6240</v>
      </c>
      <c r="AH830" s="81" t="b">
        <v>0</v>
      </c>
      <c r="AI830" s="81" t="s">
        <v>6478</v>
      </c>
      <c r="AJ830" s="81"/>
      <c r="AK830" s="86" t="s">
        <v>6240</v>
      </c>
      <c r="AL830" s="81" t="b">
        <v>0</v>
      </c>
      <c r="AM830" s="81">
        <v>1</v>
      </c>
      <c r="AN830" s="86" t="s">
        <v>4879</v>
      </c>
      <c r="AO830" s="86" t="s">
        <v>6507</v>
      </c>
      <c r="AP830" s="81" t="b">
        <v>0</v>
      </c>
      <c r="AQ830" s="86" t="s">
        <v>4879</v>
      </c>
      <c r="AR830" s="81" t="s">
        <v>179</v>
      </c>
      <c r="AS830" s="81">
        <v>0</v>
      </c>
      <c r="AT830" s="81">
        <v>0</v>
      </c>
      <c r="AU830" s="81"/>
      <c r="AV830" s="81"/>
      <c r="AW830" s="81"/>
      <c r="AX830" s="81"/>
      <c r="AY830" s="81"/>
      <c r="AZ830" s="81"/>
      <c r="BA830" s="81"/>
      <c r="BB830" s="81"/>
    </row>
    <row r="831" spans="1:54" x14ac:dyDescent="0.35">
      <c r="A831" s="66" t="s">
        <v>811</v>
      </c>
      <c r="B831" s="66" t="s">
        <v>1367</v>
      </c>
      <c r="C831" s="67"/>
      <c r="D831" s="68"/>
      <c r="E831" s="69"/>
      <c r="F831" s="70"/>
      <c r="G831" s="67"/>
      <c r="H831" s="71"/>
      <c r="I831" s="72"/>
      <c r="J831" s="72"/>
      <c r="K831" s="36"/>
      <c r="L831" s="79"/>
      <c r="M831" s="79"/>
      <c r="N831" s="74"/>
      <c r="O831" s="81" t="s">
        <v>1534</v>
      </c>
      <c r="P831" s="83">
        <v>44463.287719907406</v>
      </c>
      <c r="Q831" s="81" t="s">
        <v>1874</v>
      </c>
      <c r="R831" s="81"/>
      <c r="S831" s="81"/>
      <c r="T831" s="81"/>
      <c r="U831" s="81"/>
      <c r="V831" s="84" t="str">
        <f>HYPERLINK("https://pbs.twimg.com/profile_images/1440316386513850370/n2SpEeqH_normal.jpg")</f>
        <v>https://pbs.twimg.com/profile_images/1440316386513850370/n2SpEeqH_normal.jpg</v>
      </c>
      <c r="W831" s="83">
        <v>44463.287719907406</v>
      </c>
      <c r="X831" s="89">
        <v>44463</v>
      </c>
      <c r="Y831" s="86" t="s">
        <v>3416</v>
      </c>
      <c r="Z831" s="84" t="str">
        <f>HYPERLINK("https://twitter.com/sherlynzlee/status/1441294911718887426")</f>
        <v>https://twitter.com/sherlynzlee/status/1441294911718887426</v>
      </c>
      <c r="AA831" s="81"/>
      <c r="AB831" s="81"/>
      <c r="AC831" s="86" t="s">
        <v>4881</v>
      </c>
      <c r="AD831" s="86" t="s">
        <v>6095</v>
      </c>
      <c r="AE831" s="81" t="b">
        <v>0</v>
      </c>
      <c r="AF831" s="81">
        <v>0</v>
      </c>
      <c r="AG831" s="86" t="s">
        <v>6331</v>
      </c>
      <c r="AH831" s="81" t="b">
        <v>0</v>
      </c>
      <c r="AI831" s="81" t="s">
        <v>6478</v>
      </c>
      <c r="AJ831" s="81"/>
      <c r="AK831" s="86" t="s">
        <v>6240</v>
      </c>
      <c r="AL831" s="81" t="b">
        <v>0</v>
      </c>
      <c r="AM831" s="81">
        <v>0</v>
      </c>
      <c r="AN831" s="86" t="s">
        <v>6240</v>
      </c>
      <c r="AO831" s="86" t="s">
        <v>6503</v>
      </c>
      <c r="AP831" s="81" t="b">
        <v>0</v>
      </c>
      <c r="AQ831" s="86" t="s">
        <v>6095</v>
      </c>
      <c r="AR831" s="81" t="s">
        <v>179</v>
      </c>
      <c r="AS831" s="81">
        <v>0</v>
      </c>
      <c r="AT831" s="81">
        <v>0</v>
      </c>
      <c r="AU831" s="81"/>
      <c r="AV831" s="81"/>
      <c r="AW831" s="81"/>
      <c r="AX831" s="81"/>
      <c r="AY831" s="81"/>
      <c r="AZ831" s="81"/>
      <c r="BA831" s="81"/>
      <c r="BB831" s="81"/>
    </row>
    <row r="832" spans="1:54" x14ac:dyDescent="0.35">
      <c r="A832" s="66" t="s">
        <v>812</v>
      </c>
      <c r="B832" s="66" t="s">
        <v>1367</v>
      </c>
      <c r="C832" s="67"/>
      <c r="D832" s="68"/>
      <c r="E832" s="69"/>
      <c r="F832" s="70"/>
      <c r="G832" s="67"/>
      <c r="H832" s="71"/>
      <c r="I832" s="72"/>
      <c r="J832" s="72"/>
      <c r="K832" s="36"/>
      <c r="L832" s="79"/>
      <c r="M832" s="79"/>
      <c r="N832" s="74"/>
      <c r="O832" s="81" t="s">
        <v>1534</v>
      </c>
      <c r="P832" s="83">
        <v>44463.290567129632</v>
      </c>
      <c r="Q832" s="81" t="s">
        <v>1875</v>
      </c>
      <c r="R832" s="81"/>
      <c r="S832" s="81"/>
      <c r="T832" s="81"/>
      <c r="U832" s="81"/>
      <c r="V832" s="84" t="str">
        <f>HYPERLINK("https://pbs.twimg.com/profile_images/1442483374593961984/iO-bL88c_normal.jpg")</f>
        <v>https://pbs.twimg.com/profile_images/1442483374593961984/iO-bL88c_normal.jpg</v>
      </c>
      <c r="W832" s="83">
        <v>44463.290567129632</v>
      </c>
      <c r="X832" s="89">
        <v>44463</v>
      </c>
      <c r="Y832" s="86" t="s">
        <v>3417</v>
      </c>
      <c r="Z832" s="84" t="str">
        <f>HYPERLINK("https://twitter.com/temandeeptalk/status/1441295944717246468")</f>
        <v>https://twitter.com/temandeeptalk/status/1441295944717246468</v>
      </c>
      <c r="AA832" s="81"/>
      <c r="AB832" s="81"/>
      <c r="AC832" s="86" t="s">
        <v>4882</v>
      </c>
      <c r="AD832" s="86" t="s">
        <v>6095</v>
      </c>
      <c r="AE832" s="81" t="b">
        <v>0</v>
      </c>
      <c r="AF832" s="81">
        <v>0</v>
      </c>
      <c r="AG832" s="86" t="s">
        <v>6331</v>
      </c>
      <c r="AH832" s="81" t="b">
        <v>0</v>
      </c>
      <c r="AI832" s="81" t="s">
        <v>6478</v>
      </c>
      <c r="AJ832" s="81"/>
      <c r="AK832" s="86" t="s">
        <v>6240</v>
      </c>
      <c r="AL832" s="81" t="b">
        <v>0</v>
      </c>
      <c r="AM832" s="81">
        <v>0</v>
      </c>
      <c r="AN832" s="86" t="s">
        <v>6240</v>
      </c>
      <c r="AO832" s="86" t="s">
        <v>6503</v>
      </c>
      <c r="AP832" s="81" t="b">
        <v>0</v>
      </c>
      <c r="AQ832" s="86" t="s">
        <v>6095</v>
      </c>
      <c r="AR832" s="81" t="s">
        <v>179</v>
      </c>
      <c r="AS832" s="81">
        <v>0</v>
      </c>
      <c r="AT832" s="81">
        <v>0</v>
      </c>
      <c r="AU832" s="81"/>
      <c r="AV832" s="81"/>
      <c r="AW832" s="81"/>
      <c r="AX832" s="81"/>
      <c r="AY832" s="81"/>
      <c r="AZ832" s="81"/>
      <c r="BA832" s="81"/>
      <c r="BB832" s="81"/>
    </row>
    <row r="833" spans="1:54" x14ac:dyDescent="0.35">
      <c r="A833" s="66" t="s">
        <v>813</v>
      </c>
      <c r="B833" s="66" t="s">
        <v>813</v>
      </c>
      <c r="C833" s="67"/>
      <c r="D833" s="68"/>
      <c r="E833" s="69"/>
      <c r="F833" s="70"/>
      <c r="G833" s="67"/>
      <c r="H833" s="71"/>
      <c r="I833" s="72"/>
      <c r="J833" s="72"/>
      <c r="K833" s="36"/>
      <c r="L833" s="79"/>
      <c r="M833" s="79"/>
      <c r="N833" s="74"/>
      <c r="O833" s="81" t="s">
        <v>179</v>
      </c>
      <c r="P833" s="83">
        <v>44463.295578703706</v>
      </c>
      <c r="Q833" s="81" t="s">
        <v>1876</v>
      </c>
      <c r="R833" s="81"/>
      <c r="S833" s="81"/>
      <c r="T833" s="81"/>
      <c r="U833" s="84" t="str">
        <f>HYPERLINK("https://pbs.twimg.com/media/FACEqzYVEAcg4KL.jpg")</f>
        <v>https://pbs.twimg.com/media/FACEqzYVEAcg4KL.jpg</v>
      </c>
      <c r="V833" s="84" t="str">
        <f>HYPERLINK("https://pbs.twimg.com/media/FACEqzYVEAcg4KL.jpg")</f>
        <v>https://pbs.twimg.com/media/FACEqzYVEAcg4KL.jpg</v>
      </c>
      <c r="W833" s="83">
        <v>44463.295578703706</v>
      </c>
      <c r="X833" s="89">
        <v>44463</v>
      </c>
      <c r="Y833" s="86" t="s">
        <v>3418</v>
      </c>
      <c r="Z833" s="84" t="str">
        <f>HYPERLINK("https://twitter.com/dodotcantik/status/1441297759680675844")</f>
        <v>https://twitter.com/dodotcantik/status/1441297759680675844</v>
      </c>
      <c r="AA833" s="81"/>
      <c r="AB833" s="81"/>
      <c r="AC833" s="86" t="s">
        <v>4883</v>
      </c>
      <c r="AD833" s="81"/>
      <c r="AE833" s="81" t="b">
        <v>0</v>
      </c>
      <c r="AF833" s="81">
        <v>0</v>
      </c>
      <c r="AG833" s="86" t="s">
        <v>6240</v>
      </c>
      <c r="AH833" s="81" t="b">
        <v>0</v>
      </c>
      <c r="AI833" s="81" t="s">
        <v>6478</v>
      </c>
      <c r="AJ833" s="81"/>
      <c r="AK833" s="86" t="s">
        <v>6240</v>
      </c>
      <c r="AL833" s="81" t="b">
        <v>0</v>
      </c>
      <c r="AM833" s="81">
        <v>0</v>
      </c>
      <c r="AN833" s="86" t="s">
        <v>6240</v>
      </c>
      <c r="AO833" s="86" t="s">
        <v>6505</v>
      </c>
      <c r="AP833" s="81" t="b">
        <v>0</v>
      </c>
      <c r="AQ833" s="86" t="s">
        <v>4883</v>
      </c>
      <c r="AR833" s="81" t="s">
        <v>179</v>
      </c>
      <c r="AS833" s="81">
        <v>0</v>
      </c>
      <c r="AT833" s="81">
        <v>0</v>
      </c>
      <c r="AU833" s="81"/>
      <c r="AV833" s="81"/>
      <c r="AW833" s="81"/>
      <c r="AX833" s="81"/>
      <c r="AY833" s="81"/>
      <c r="AZ833" s="81"/>
      <c r="BA833" s="81"/>
      <c r="BB833" s="81"/>
    </row>
    <row r="834" spans="1:54" x14ac:dyDescent="0.35">
      <c r="A834" s="66" t="s">
        <v>814</v>
      </c>
      <c r="B834" s="66" t="s">
        <v>1403</v>
      </c>
      <c r="C834" s="67"/>
      <c r="D834" s="68"/>
      <c r="E834" s="69"/>
      <c r="F834" s="70"/>
      <c r="G834" s="67"/>
      <c r="H834" s="71"/>
      <c r="I834" s="72"/>
      <c r="J834" s="72"/>
      <c r="K834" s="36"/>
      <c r="L834" s="79"/>
      <c r="M834" s="79"/>
      <c r="N834" s="74"/>
      <c r="O834" s="81" t="s">
        <v>1534</v>
      </c>
      <c r="P834" s="83">
        <v>44463.29619212963</v>
      </c>
      <c r="Q834" s="81" t="s">
        <v>1877</v>
      </c>
      <c r="R834" s="81"/>
      <c r="S834" s="81"/>
      <c r="T834" s="81"/>
      <c r="U834" s="81"/>
      <c r="V834" s="84" t="str">
        <f>HYPERLINK("https://pbs.twimg.com/profile_images/1436400795201593345/60s4ORzQ_normal.jpg")</f>
        <v>https://pbs.twimg.com/profile_images/1436400795201593345/60s4ORzQ_normal.jpg</v>
      </c>
      <c r="W834" s="83">
        <v>44463.29619212963</v>
      </c>
      <c r="X834" s="89">
        <v>44463</v>
      </c>
      <c r="Y834" s="86" t="s">
        <v>3419</v>
      </c>
      <c r="Z834" s="84" t="str">
        <f>HYPERLINK("https://twitter.com/shattapyou/status/1441297980204613638")</f>
        <v>https://twitter.com/shattapyou/status/1441297980204613638</v>
      </c>
      <c r="AA834" s="81"/>
      <c r="AB834" s="81"/>
      <c r="AC834" s="86" t="s">
        <v>4884</v>
      </c>
      <c r="AD834" s="86" t="s">
        <v>6096</v>
      </c>
      <c r="AE834" s="81" t="b">
        <v>0</v>
      </c>
      <c r="AF834" s="81">
        <v>0</v>
      </c>
      <c r="AG834" s="86" t="s">
        <v>6356</v>
      </c>
      <c r="AH834" s="81" t="b">
        <v>0</v>
      </c>
      <c r="AI834" s="81" t="s">
        <v>6478</v>
      </c>
      <c r="AJ834" s="81"/>
      <c r="AK834" s="86" t="s">
        <v>6240</v>
      </c>
      <c r="AL834" s="81" t="b">
        <v>0</v>
      </c>
      <c r="AM834" s="81">
        <v>0</v>
      </c>
      <c r="AN834" s="86" t="s">
        <v>6240</v>
      </c>
      <c r="AO834" s="86" t="s">
        <v>6505</v>
      </c>
      <c r="AP834" s="81" t="b">
        <v>0</v>
      </c>
      <c r="AQ834" s="86" t="s">
        <v>6096</v>
      </c>
      <c r="AR834" s="81" t="s">
        <v>179</v>
      </c>
      <c r="AS834" s="81">
        <v>0</v>
      </c>
      <c r="AT834" s="81">
        <v>0</v>
      </c>
      <c r="AU834" s="81"/>
      <c r="AV834" s="81"/>
      <c r="AW834" s="81"/>
      <c r="AX834" s="81"/>
      <c r="AY834" s="81"/>
      <c r="AZ834" s="81"/>
      <c r="BA834" s="81"/>
      <c r="BB834" s="81"/>
    </row>
    <row r="835" spans="1:54" x14ac:dyDescent="0.35">
      <c r="A835" s="66" t="s">
        <v>815</v>
      </c>
      <c r="B835" s="66" t="s">
        <v>815</v>
      </c>
      <c r="C835" s="67"/>
      <c r="D835" s="68"/>
      <c r="E835" s="69"/>
      <c r="F835" s="70"/>
      <c r="G835" s="67"/>
      <c r="H835" s="71"/>
      <c r="I835" s="72"/>
      <c r="J835" s="72"/>
      <c r="K835" s="36"/>
      <c r="L835" s="79"/>
      <c r="M835" s="79"/>
      <c r="N835" s="74"/>
      <c r="O835" s="81" t="s">
        <v>179</v>
      </c>
      <c r="P835" s="83">
        <v>44463.297465277778</v>
      </c>
      <c r="Q835" s="81" t="s">
        <v>1878</v>
      </c>
      <c r="R835" s="81"/>
      <c r="S835" s="81"/>
      <c r="T835" s="81"/>
      <c r="U835" s="81"/>
      <c r="V835" s="84" t="str">
        <f>HYPERLINK("https://pbs.twimg.com/profile_images/1336640123828543491/7YNLJsz__normal.jpg")</f>
        <v>https://pbs.twimg.com/profile_images/1336640123828543491/7YNLJsz__normal.jpg</v>
      </c>
      <c r="W835" s="83">
        <v>44463.297465277778</v>
      </c>
      <c r="X835" s="89">
        <v>44463</v>
      </c>
      <c r="Y835" s="86" t="s">
        <v>3420</v>
      </c>
      <c r="Z835" s="84" t="str">
        <f>HYPERLINK("https://twitter.com/tsyahana/status/1441298442249072646")</f>
        <v>https://twitter.com/tsyahana/status/1441298442249072646</v>
      </c>
      <c r="AA835" s="81"/>
      <c r="AB835" s="81"/>
      <c r="AC835" s="86" t="s">
        <v>4885</v>
      </c>
      <c r="AD835" s="81"/>
      <c r="AE835" s="81" t="b">
        <v>0</v>
      </c>
      <c r="AF835" s="81">
        <v>0</v>
      </c>
      <c r="AG835" s="86" t="s">
        <v>6240</v>
      </c>
      <c r="AH835" s="81" t="b">
        <v>0</v>
      </c>
      <c r="AI835" s="81" t="s">
        <v>6478</v>
      </c>
      <c r="AJ835" s="81"/>
      <c r="AK835" s="86" t="s">
        <v>6240</v>
      </c>
      <c r="AL835" s="81" t="b">
        <v>0</v>
      </c>
      <c r="AM835" s="81">
        <v>0</v>
      </c>
      <c r="AN835" s="86" t="s">
        <v>6240</v>
      </c>
      <c r="AO835" s="86" t="s">
        <v>6507</v>
      </c>
      <c r="AP835" s="81" t="b">
        <v>0</v>
      </c>
      <c r="AQ835" s="86" t="s">
        <v>4885</v>
      </c>
      <c r="AR835" s="81" t="s">
        <v>179</v>
      </c>
      <c r="AS835" s="81">
        <v>0</v>
      </c>
      <c r="AT835" s="81">
        <v>0</v>
      </c>
      <c r="AU835" s="81"/>
      <c r="AV835" s="81"/>
      <c r="AW835" s="81"/>
      <c r="AX835" s="81"/>
      <c r="AY835" s="81"/>
      <c r="AZ835" s="81"/>
      <c r="BA835" s="81"/>
      <c r="BB835" s="81"/>
    </row>
    <row r="836" spans="1:54" x14ac:dyDescent="0.35">
      <c r="A836" s="66" t="s">
        <v>816</v>
      </c>
      <c r="B836" s="66" t="s">
        <v>848</v>
      </c>
      <c r="C836" s="67"/>
      <c r="D836" s="68"/>
      <c r="E836" s="69"/>
      <c r="F836" s="70"/>
      <c r="G836" s="67"/>
      <c r="H836" s="71"/>
      <c r="I836" s="72"/>
      <c r="J836" s="72"/>
      <c r="K836" s="36"/>
      <c r="L836" s="79"/>
      <c r="M836" s="79"/>
      <c r="N836" s="74"/>
      <c r="O836" s="81" t="s">
        <v>1532</v>
      </c>
      <c r="P836" s="83">
        <v>44462.387928240743</v>
      </c>
      <c r="Q836" s="81" t="s">
        <v>1810</v>
      </c>
      <c r="R836" s="81"/>
      <c r="S836" s="81"/>
      <c r="T836" s="86" t="s">
        <v>2682</v>
      </c>
      <c r="U836" s="84" t="str">
        <f>HYPERLINK("https://pbs.twimg.com/media/E_9V_ibVEAYc8c_.jpg")</f>
        <v>https://pbs.twimg.com/media/E_9V_ibVEAYc8c_.jpg</v>
      </c>
      <c r="V836" s="84" t="str">
        <f>HYPERLINK("https://pbs.twimg.com/media/E_9V_ibVEAYc8c_.jpg")</f>
        <v>https://pbs.twimg.com/media/E_9V_ibVEAYc8c_.jpg</v>
      </c>
      <c r="W836" s="83">
        <v>44462.387928240743</v>
      </c>
      <c r="X836" s="89">
        <v>44462</v>
      </c>
      <c r="Y836" s="86" t="s">
        <v>3421</v>
      </c>
      <c r="Z836" s="84" t="str">
        <f>HYPERLINK("https://twitter.com/deobimarket/status/1440968837017440265")</f>
        <v>https://twitter.com/deobimarket/status/1440968837017440265</v>
      </c>
      <c r="AA836" s="81"/>
      <c r="AB836" s="81"/>
      <c r="AC836" s="86" t="s">
        <v>4886</v>
      </c>
      <c r="AD836" s="81"/>
      <c r="AE836" s="81" t="b">
        <v>0</v>
      </c>
      <c r="AF836" s="81">
        <v>0</v>
      </c>
      <c r="AG836" s="86" t="s">
        <v>6240</v>
      </c>
      <c r="AH836" s="81" t="b">
        <v>0</v>
      </c>
      <c r="AI836" s="81" t="s">
        <v>6479</v>
      </c>
      <c r="AJ836" s="81"/>
      <c r="AK836" s="86" t="s">
        <v>6240</v>
      </c>
      <c r="AL836" s="81" t="b">
        <v>0</v>
      </c>
      <c r="AM836" s="81">
        <v>12</v>
      </c>
      <c r="AN836" s="86" t="s">
        <v>4924</v>
      </c>
      <c r="AO836" s="86" t="s">
        <v>6505</v>
      </c>
      <c r="AP836" s="81" t="b">
        <v>0</v>
      </c>
      <c r="AQ836" s="86" t="s">
        <v>4924</v>
      </c>
      <c r="AR836" s="81" t="s">
        <v>179</v>
      </c>
      <c r="AS836" s="81">
        <v>0</v>
      </c>
      <c r="AT836" s="81">
        <v>0</v>
      </c>
      <c r="AU836" s="81"/>
      <c r="AV836" s="81"/>
      <c r="AW836" s="81"/>
      <c r="AX836" s="81"/>
      <c r="AY836" s="81"/>
      <c r="AZ836" s="81"/>
      <c r="BA836" s="81"/>
      <c r="BB836" s="81"/>
    </row>
    <row r="837" spans="1:54" x14ac:dyDescent="0.35">
      <c r="A837" s="66" t="s">
        <v>816</v>
      </c>
      <c r="B837" s="66" t="s">
        <v>848</v>
      </c>
      <c r="C837" s="67"/>
      <c r="D837" s="68"/>
      <c r="E837" s="69"/>
      <c r="F837" s="70"/>
      <c r="G837" s="67"/>
      <c r="H837" s="71"/>
      <c r="I837" s="72"/>
      <c r="J837" s="72"/>
      <c r="K837" s="36"/>
      <c r="L837" s="79"/>
      <c r="M837" s="79"/>
      <c r="N837" s="74"/>
      <c r="O837" s="81" t="s">
        <v>1532</v>
      </c>
      <c r="P837" s="83">
        <v>44463.302256944444</v>
      </c>
      <c r="Q837" s="81" t="s">
        <v>1879</v>
      </c>
      <c r="R837" s="81"/>
      <c r="S837" s="81"/>
      <c r="T837" s="86" t="s">
        <v>2682</v>
      </c>
      <c r="U837" s="84" t="str">
        <f>HYPERLINK("https://pbs.twimg.com/media/FACFXSrVUAEcVQU.jpg")</f>
        <v>https://pbs.twimg.com/media/FACFXSrVUAEcVQU.jpg</v>
      </c>
      <c r="V837" s="84" t="str">
        <f>HYPERLINK("https://pbs.twimg.com/media/FACFXSrVUAEcVQU.jpg")</f>
        <v>https://pbs.twimg.com/media/FACFXSrVUAEcVQU.jpg</v>
      </c>
      <c r="W837" s="83">
        <v>44463.302256944444</v>
      </c>
      <c r="X837" s="89">
        <v>44463</v>
      </c>
      <c r="Y837" s="86" t="s">
        <v>3422</v>
      </c>
      <c r="Z837" s="84" t="str">
        <f>HYPERLINK("https://twitter.com/deobimarket/status/1441300177906663426")</f>
        <v>https://twitter.com/deobimarket/status/1441300177906663426</v>
      </c>
      <c r="AA837" s="81"/>
      <c r="AB837" s="81"/>
      <c r="AC837" s="86" t="s">
        <v>4887</v>
      </c>
      <c r="AD837" s="81"/>
      <c r="AE837" s="81" t="b">
        <v>0</v>
      </c>
      <c r="AF837" s="81">
        <v>0</v>
      </c>
      <c r="AG837" s="86" t="s">
        <v>6240</v>
      </c>
      <c r="AH837" s="81" t="b">
        <v>0</v>
      </c>
      <c r="AI837" s="81" t="s">
        <v>6479</v>
      </c>
      <c r="AJ837" s="81"/>
      <c r="AK837" s="86" t="s">
        <v>6240</v>
      </c>
      <c r="AL837" s="81" t="b">
        <v>0</v>
      </c>
      <c r="AM837" s="81">
        <v>8</v>
      </c>
      <c r="AN837" s="86" t="s">
        <v>4925</v>
      </c>
      <c r="AO837" s="86" t="s">
        <v>6505</v>
      </c>
      <c r="AP837" s="81" t="b">
        <v>0</v>
      </c>
      <c r="AQ837" s="86" t="s">
        <v>4925</v>
      </c>
      <c r="AR837" s="81" t="s">
        <v>179</v>
      </c>
      <c r="AS837" s="81">
        <v>0</v>
      </c>
      <c r="AT837" s="81">
        <v>0</v>
      </c>
      <c r="AU837" s="81"/>
      <c r="AV837" s="81"/>
      <c r="AW837" s="81"/>
      <c r="AX837" s="81"/>
      <c r="AY837" s="81"/>
      <c r="AZ837" s="81"/>
      <c r="BA837" s="81"/>
      <c r="BB837" s="81"/>
    </row>
    <row r="838" spans="1:54" x14ac:dyDescent="0.35">
      <c r="A838" s="66" t="s">
        <v>817</v>
      </c>
      <c r="B838" s="66" t="s">
        <v>848</v>
      </c>
      <c r="C838" s="67"/>
      <c r="D838" s="68"/>
      <c r="E838" s="69"/>
      <c r="F838" s="70"/>
      <c r="G838" s="67"/>
      <c r="H838" s="71"/>
      <c r="I838" s="72"/>
      <c r="J838" s="72"/>
      <c r="K838" s="36"/>
      <c r="L838" s="79"/>
      <c r="M838" s="79"/>
      <c r="N838" s="74"/>
      <c r="O838" s="81" t="s">
        <v>1532</v>
      </c>
      <c r="P838" s="83">
        <v>44462.531006944446</v>
      </c>
      <c r="Q838" s="81" t="s">
        <v>1810</v>
      </c>
      <c r="R838" s="81"/>
      <c r="S838" s="81"/>
      <c r="T838" s="86" t="s">
        <v>2682</v>
      </c>
      <c r="U838" s="84" t="str">
        <f>HYPERLINK("https://pbs.twimg.com/media/E_9V_ibVEAYc8c_.jpg")</f>
        <v>https://pbs.twimg.com/media/E_9V_ibVEAYc8c_.jpg</v>
      </c>
      <c r="V838" s="84" t="str">
        <f>HYPERLINK("https://pbs.twimg.com/media/E_9V_ibVEAYc8c_.jpg")</f>
        <v>https://pbs.twimg.com/media/E_9V_ibVEAYc8c_.jpg</v>
      </c>
      <c r="W838" s="83">
        <v>44462.531006944446</v>
      </c>
      <c r="X838" s="89">
        <v>44462</v>
      </c>
      <c r="Y838" s="86" t="s">
        <v>3423</v>
      </c>
      <c r="Z838" s="84" t="str">
        <f>HYPERLINK("https://twitter.com/pasartheboyzmy/status/1441020686688866305")</f>
        <v>https://twitter.com/pasartheboyzmy/status/1441020686688866305</v>
      </c>
      <c r="AA838" s="81"/>
      <c r="AB838" s="81"/>
      <c r="AC838" s="86" t="s">
        <v>4888</v>
      </c>
      <c r="AD838" s="81"/>
      <c r="AE838" s="81" t="b">
        <v>0</v>
      </c>
      <c r="AF838" s="81">
        <v>0</v>
      </c>
      <c r="AG838" s="86" t="s">
        <v>6240</v>
      </c>
      <c r="AH838" s="81" t="b">
        <v>0</v>
      </c>
      <c r="AI838" s="81" t="s">
        <v>6479</v>
      </c>
      <c r="AJ838" s="81"/>
      <c r="AK838" s="86" t="s">
        <v>6240</v>
      </c>
      <c r="AL838" s="81" t="b">
        <v>0</v>
      </c>
      <c r="AM838" s="81">
        <v>12</v>
      </c>
      <c r="AN838" s="86" t="s">
        <v>4924</v>
      </c>
      <c r="AO838" s="86" t="s">
        <v>6505</v>
      </c>
      <c r="AP838" s="81" t="b">
        <v>0</v>
      </c>
      <c r="AQ838" s="86" t="s">
        <v>4924</v>
      </c>
      <c r="AR838" s="81" t="s">
        <v>179</v>
      </c>
      <c r="AS838" s="81">
        <v>0</v>
      </c>
      <c r="AT838" s="81">
        <v>0</v>
      </c>
      <c r="AU838" s="81"/>
      <c r="AV838" s="81"/>
      <c r="AW838" s="81"/>
      <c r="AX838" s="81"/>
      <c r="AY838" s="81"/>
      <c r="AZ838" s="81"/>
      <c r="BA838" s="81"/>
      <c r="BB838" s="81"/>
    </row>
    <row r="839" spans="1:54" x14ac:dyDescent="0.35">
      <c r="A839" s="66" t="s">
        <v>817</v>
      </c>
      <c r="B839" s="66" t="s">
        <v>848</v>
      </c>
      <c r="C839" s="67"/>
      <c r="D839" s="68"/>
      <c r="E839" s="69"/>
      <c r="F839" s="70"/>
      <c r="G839" s="67"/>
      <c r="H839" s="71"/>
      <c r="I839" s="72"/>
      <c r="J839" s="72"/>
      <c r="K839" s="36"/>
      <c r="L839" s="79"/>
      <c r="M839" s="79"/>
      <c r="N839" s="74"/>
      <c r="O839" s="81" t="s">
        <v>1532</v>
      </c>
      <c r="P839" s="83">
        <v>44463.30259259259</v>
      </c>
      <c r="Q839" s="81" t="s">
        <v>1879</v>
      </c>
      <c r="R839" s="81"/>
      <c r="S839" s="81"/>
      <c r="T839" s="86" t="s">
        <v>2682</v>
      </c>
      <c r="U839" s="84" t="str">
        <f>HYPERLINK("https://pbs.twimg.com/media/FACFXSrVUAEcVQU.jpg")</f>
        <v>https://pbs.twimg.com/media/FACFXSrVUAEcVQU.jpg</v>
      </c>
      <c r="V839" s="84" t="str">
        <f>HYPERLINK("https://pbs.twimg.com/media/FACFXSrVUAEcVQU.jpg")</f>
        <v>https://pbs.twimg.com/media/FACFXSrVUAEcVQU.jpg</v>
      </c>
      <c r="W839" s="83">
        <v>44463.30259259259</v>
      </c>
      <c r="X839" s="89">
        <v>44463</v>
      </c>
      <c r="Y839" s="86" t="s">
        <v>3424</v>
      </c>
      <c r="Z839" s="84" t="str">
        <f>HYPERLINK("https://twitter.com/pasartheboyzmy/status/1441300299314970624")</f>
        <v>https://twitter.com/pasartheboyzmy/status/1441300299314970624</v>
      </c>
      <c r="AA839" s="81"/>
      <c r="AB839" s="81"/>
      <c r="AC839" s="86" t="s">
        <v>4889</v>
      </c>
      <c r="AD839" s="81"/>
      <c r="AE839" s="81" t="b">
        <v>0</v>
      </c>
      <c r="AF839" s="81">
        <v>0</v>
      </c>
      <c r="AG839" s="86" t="s">
        <v>6240</v>
      </c>
      <c r="AH839" s="81" t="b">
        <v>0</v>
      </c>
      <c r="AI839" s="81" t="s">
        <v>6479</v>
      </c>
      <c r="AJ839" s="81"/>
      <c r="AK839" s="86" t="s">
        <v>6240</v>
      </c>
      <c r="AL839" s="81" t="b">
        <v>0</v>
      </c>
      <c r="AM839" s="81">
        <v>8</v>
      </c>
      <c r="AN839" s="86" t="s">
        <v>4925</v>
      </c>
      <c r="AO839" s="86" t="s">
        <v>6505</v>
      </c>
      <c r="AP839" s="81" t="b">
        <v>0</v>
      </c>
      <c r="AQ839" s="86" t="s">
        <v>4925</v>
      </c>
      <c r="AR839" s="81" t="s">
        <v>179</v>
      </c>
      <c r="AS839" s="81">
        <v>0</v>
      </c>
      <c r="AT839" s="81">
        <v>0</v>
      </c>
      <c r="AU839" s="81"/>
      <c r="AV839" s="81"/>
      <c r="AW839" s="81"/>
      <c r="AX839" s="81"/>
      <c r="AY839" s="81"/>
      <c r="AZ839" s="81"/>
      <c r="BA839" s="81"/>
      <c r="BB839" s="81"/>
    </row>
    <row r="840" spans="1:54" x14ac:dyDescent="0.35">
      <c r="A840" s="66" t="s">
        <v>818</v>
      </c>
      <c r="B840" s="66" t="s">
        <v>818</v>
      </c>
      <c r="C840" s="67"/>
      <c r="D840" s="68"/>
      <c r="E840" s="69"/>
      <c r="F840" s="70"/>
      <c r="G840" s="67"/>
      <c r="H840" s="71"/>
      <c r="I840" s="72"/>
      <c r="J840" s="72"/>
      <c r="K840" s="36"/>
      <c r="L840" s="79"/>
      <c r="M840" s="79"/>
      <c r="N840" s="74"/>
      <c r="O840" s="81" t="s">
        <v>179</v>
      </c>
      <c r="P840" s="83">
        <v>44459.388101851851</v>
      </c>
      <c r="Q840" s="81" t="s">
        <v>1880</v>
      </c>
      <c r="R840" s="84" t="str">
        <f>HYPERLINK("https://bursakerjadepnaker.com/lowongan-kerja-bumn-pt-pos-indonesia.html")</f>
        <v>https://bursakerjadepnaker.com/lowongan-kerja-bumn-pt-pos-indonesia.html</v>
      </c>
      <c r="S840" s="81" t="s">
        <v>2623</v>
      </c>
      <c r="T840" s="81"/>
      <c r="U840" s="84" t="str">
        <f>HYPERLINK("https://pbs.twimg.com/media/E_t8z1UXsAENfp-.png")</f>
        <v>https://pbs.twimg.com/media/E_t8z1UXsAENfp-.png</v>
      </c>
      <c r="V840" s="84" t="str">
        <f>HYPERLINK("https://pbs.twimg.com/media/E_t8z1UXsAENfp-.png")</f>
        <v>https://pbs.twimg.com/media/E_t8z1UXsAENfp-.png</v>
      </c>
      <c r="W840" s="83">
        <v>44459.388101851851</v>
      </c>
      <c r="X840" s="89">
        <v>44459</v>
      </c>
      <c r="Y840" s="86" t="s">
        <v>3425</v>
      </c>
      <c r="Z840" s="84" t="str">
        <f>HYPERLINK("https://twitter.com/mybigbozz/status/1439881737987837955")</f>
        <v>https://twitter.com/mybigbozz/status/1439881737987837955</v>
      </c>
      <c r="AA840" s="81"/>
      <c r="AB840" s="81"/>
      <c r="AC840" s="86" t="s">
        <v>4890</v>
      </c>
      <c r="AD840" s="81"/>
      <c r="AE840" s="81" t="b">
        <v>0</v>
      </c>
      <c r="AF840" s="81">
        <v>0</v>
      </c>
      <c r="AG840" s="86" t="s">
        <v>6240</v>
      </c>
      <c r="AH840" s="81" t="b">
        <v>0</v>
      </c>
      <c r="AI840" s="81" t="s">
        <v>6478</v>
      </c>
      <c r="AJ840" s="81"/>
      <c r="AK840" s="86" t="s">
        <v>6240</v>
      </c>
      <c r="AL840" s="81" t="b">
        <v>0</v>
      </c>
      <c r="AM840" s="81">
        <v>0</v>
      </c>
      <c r="AN840" s="86" t="s">
        <v>6240</v>
      </c>
      <c r="AO840" s="86" t="s">
        <v>6509</v>
      </c>
      <c r="AP840" s="81" t="b">
        <v>0</v>
      </c>
      <c r="AQ840" s="86" t="s">
        <v>4890</v>
      </c>
      <c r="AR840" s="81" t="s">
        <v>179</v>
      </c>
      <c r="AS840" s="81">
        <v>0</v>
      </c>
      <c r="AT840" s="81">
        <v>0</v>
      </c>
      <c r="AU840" s="81"/>
      <c r="AV840" s="81"/>
      <c r="AW840" s="81"/>
      <c r="AX840" s="81"/>
      <c r="AY840" s="81"/>
      <c r="AZ840" s="81"/>
      <c r="BA840" s="81"/>
      <c r="BB840" s="81"/>
    </row>
    <row r="841" spans="1:54" x14ac:dyDescent="0.35">
      <c r="A841" s="66" t="s">
        <v>818</v>
      </c>
      <c r="B841" s="66" t="s">
        <v>818</v>
      </c>
      <c r="C841" s="67"/>
      <c r="D841" s="68"/>
      <c r="E841" s="69"/>
      <c r="F841" s="70"/>
      <c r="G841" s="67"/>
      <c r="H841" s="71"/>
      <c r="I841" s="72"/>
      <c r="J841" s="72"/>
      <c r="K841" s="36"/>
      <c r="L841" s="79"/>
      <c r="M841" s="79"/>
      <c r="N841" s="74"/>
      <c r="O841" s="81" t="s">
        <v>179</v>
      </c>
      <c r="P841" s="83">
        <v>44460.304224537038</v>
      </c>
      <c r="Q841" s="81" t="s">
        <v>1881</v>
      </c>
      <c r="R841" s="84" t="str">
        <f>HYPERLINK("https://bursakerjadepnaker.com/lowongan-kerja-bumn-pt-pos-indonesia.html")</f>
        <v>https://bursakerjadepnaker.com/lowongan-kerja-bumn-pt-pos-indonesia.html</v>
      </c>
      <c r="S841" s="81" t="s">
        <v>2623</v>
      </c>
      <c r="T841" s="81"/>
      <c r="U841" s="84" t="str">
        <f>HYPERLINK("https://pbs.twimg.com/media/E_yqwYBVUAQ2uZH.png")</f>
        <v>https://pbs.twimg.com/media/E_yqwYBVUAQ2uZH.png</v>
      </c>
      <c r="V841" s="84" t="str">
        <f>HYPERLINK("https://pbs.twimg.com/media/E_yqwYBVUAQ2uZH.png")</f>
        <v>https://pbs.twimg.com/media/E_yqwYBVUAQ2uZH.png</v>
      </c>
      <c r="W841" s="83">
        <v>44460.304224537038</v>
      </c>
      <c r="X841" s="89">
        <v>44460</v>
      </c>
      <c r="Y841" s="86" t="s">
        <v>3426</v>
      </c>
      <c r="Z841" s="84" t="str">
        <f>HYPERLINK("https://twitter.com/mybigbozz/status/1440213730441105416")</f>
        <v>https://twitter.com/mybigbozz/status/1440213730441105416</v>
      </c>
      <c r="AA841" s="81"/>
      <c r="AB841" s="81"/>
      <c r="AC841" s="86" t="s">
        <v>4891</v>
      </c>
      <c r="AD841" s="81"/>
      <c r="AE841" s="81" t="b">
        <v>0</v>
      </c>
      <c r="AF841" s="81">
        <v>0</v>
      </c>
      <c r="AG841" s="86" t="s">
        <v>6240</v>
      </c>
      <c r="AH841" s="81" t="b">
        <v>0</v>
      </c>
      <c r="AI841" s="81" t="s">
        <v>6478</v>
      </c>
      <c r="AJ841" s="81"/>
      <c r="AK841" s="86" t="s">
        <v>6240</v>
      </c>
      <c r="AL841" s="81" t="b">
        <v>0</v>
      </c>
      <c r="AM841" s="81">
        <v>0</v>
      </c>
      <c r="AN841" s="86" t="s">
        <v>6240</v>
      </c>
      <c r="AO841" s="86" t="s">
        <v>6509</v>
      </c>
      <c r="AP841" s="81" t="b">
        <v>0</v>
      </c>
      <c r="AQ841" s="86" t="s">
        <v>4891</v>
      </c>
      <c r="AR841" s="81" t="s">
        <v>179</v>
      </c>
      <c r="AS841" s="81">
        <v>0</v>
      </c>
      <c r="AT841" s="81">
        <v>0</v>
      </c>
      <c r="AU841" s="81"/>
      <c r="AV841" s="81"/>
      <c r="AW841" s="81"/>
      <c r="AX841" s="81"/>
      <c r="AY841" s="81"/>
      <c r="AZ841" s="81"/>
      <c r="BA841" s="81"/>
      <c r="BB841" s="81"/>
    </row>
    <row r="842" spans="1:54" x14ac:dyDescent="0.35">
      <c r="A842" s="66" t="s">
        <v>818</v>
      </c>
      <c r="B842" s="66" t="s">
        <v>818</v>
      </c>
      <c r="C842" s="67"/>
      <c r="D842" s="68"/>
      <c r="E842" s="69"/>
      <c r="F842" s="70"/>
      <c r="G842" s="67"/>
      <c r="H842" s="71"/>
      <c r="I842" s="72"/>
      <c r="J842" s="72"/>
      <c r="K842" s="36"/>
      <c r="L842" s="79"/>
      <c r="M842" s="79"/>
      <c r="N842" s="74"/>
      <c r="O842" s="81" t="s">
        <v>179</v>
      </c>
      <c r="P842" s="83">
        <v>44463.304259259261</v>
      </c>
      <c r="Q842" s="81" t="s">
        <v>1882</v>
      </c>
      <c r="R842" s="84" t="str">
        <f>HYPERLINK("https://bursakerjadepnaker.com/lowongan-kerja-pt-pos-logistik-indonesia.html")</f>
        <v>https://bursakerjadepnaker.com/lowongan-kerja-pt-pos-logistik-indonesia.html</v>
      </c>
      <c r="S842" s="81" t="s">
        <v>2623</v>
      </c>
      <c r="T842" s="81"/>
      <c r="U842" s="84" t="str">
        <f>HYPERLINK("https://pbs.twimg.com/media/FACHiDxVkAMrvaz.png")</f>
        <v>https://pbs.twimg.com/media/FACHiDxVkAMrvaz.png</v>
      </c>
      <c r="V842" s="84" t="str">
        <f>HYPERLINK("https://pbs.twimg.com/media/FACHiDxVkAMrvaz.png")</f>
        <v>https://pbs.twimg.com/media/FACHiDxVkAMrvaz.png</v>
      </c>
      <c r="W842" s="83">
        <v>44463.304259259261</v>
      </c>
      <c r="X842" s="89">
        <v>44463</v>
      </c>
      <c r="Y842" s="86" t="s">
        <v>3427</v>
      </c>
      <c r="Z842" s="84" t="str">
        <f>HYPERLINK("https://twitter.com/mybigbozz/status/1441300903256985613")</f>
        <v>https://twitter.com/mybigbozz/status/1441300903256985613</v>
      </c>
      <c r="AA842" s="81"/>
      <c r="AB842" s="81"/>
      <c r="AC842" s="86" t="s">
        <v>4892</v>
      </c>
      <c r="AD842" s="81"/>
      <c r="AE842" s="81" t="b">
        <v>0</v>
      </c>
      <c r="AF842" s="81">
        <v>0</v>
      </c>
      <c r="AG842" s="86" t="s">
        <v>6240</v>
      </c>
      <c r="AH842" s="81" t="b">
        <v>0</v>
      </c>
      <c r="AI842" s="81" t="s">
        <v>6478</v>
      </c>
      <c r="AJ842" s="81"/>
      <c r="AK842" s="86" t="s">
        <v>6240</v>
      </c>
      <c r="AL842" s="81" t="b">
        <v>0</v>
      </c>
      <c r="AM842" s="81">
        <v>0</v>
      </c>
      <c r="AN842" s="86" t="s">
        <v>6240</v>
      </c>
      <c r="AO842" s="86" t="s">
        <v>6509</v>
      </c>
      <c r="AP842" s="81" t="b">
        <v>0</v>
      </c>
      <c r="AQ842" s="86" t="s">
        <v>4892</v>
      </c>
      <c r="AR842" s="81" t="s">
        <v>179</v>
      </c>
      <c r="AS842" s="81">
        <v>0</v>
      </c>
      <c r="AT842" s="81">
        <v>0</v>
      </c>
      <c r="AU842" s="81"/>
      <c r="AV842" s="81"/>
      <c r="AW842" s="81"/>
      <c r="AX842" s="81"/>
      <c r="AY842" s="81"/>
      <c r="AZ842" s="81"/>
      <c r="BA842" s="81"/>
      <c r="BB842" s="81"/>
    </row>
    <row r="843" spans="1:54" x14ac:dyDescent="0.35">
      <c r="A843" s="66" t="s">
        <v>819</v>
      </c>
      <c r="B843" s="66" t="s">
        <v>819</v>
      </c>
      <c r="C843" s="67"/>
      <c r="D843" s="68"/>
      <c r="E843" s="69"/>
      <c r="F843" s="70"/>
      <c r="G843" s="67"/>
      <c r="H843" s="71"/>
      <c r="I843" s="72"/>
      <c r="J843" s="72"/>
      <c r="K843" s="36"/>
      <c r="L843" s="79"/>
      <c r="M843" s="79"/>
      <c r="N843" s="74"/>
      <c r="O843" s="81" t="s">
        <v>179</v>
      </c>
      <c r="P843" s="83">
        <v>44463.304340277777</v>
      </c>
      <c r="Q843" s="81" t="s">
        <v>1883</v>
      </c>
      <c r="R843" s="81"/>
      <c r="S843" s="81"/>
      <c r="T843" s="81"/>
      <c r="U843" s="81"/>
      <c r="V843" s="84" t="str">
        <f>HYPERLINK("https://pbs.twimg.com/profile_images/1425827980761124864/VGZGjAhK_normal.jpg")</f>
        <v>https://pbs.twimg.com/profile_images/1425827980761124864/VGZGjAhK_normal.jpg</v>
      </c>
      <c r="W843" s="83">
        <v>44463.304340277777</v>
      </c>
      <c r="X843" s="89">
        <v>44463</v>
      </c>
      <c r="Y843" s="86" t="s">
        <v>3428</v>
      </c>
      <c r="Z843" s="84" t="str">
        <f>HYPERLINK("https://twitter.com/hyjinjinn/status/1441300935381184515")</f>
        <v>https://twitter.com/hyjinjinn/status/1441300935381184515</v>
      </c>
      <c r="AA843" s="81"/>
      <c r="AB843" s="81"/>
      <c r="AC843" s="86" t="s">
        <v>4893</v>
      </c>
      <c r="AD843" s="81"/>
      <c r="AE843" s="81" t="b">
        <v>0</v>
      </c>
      <c r="AF843" s="81">
        <v>0</v>
      </c>
      <c r="AG843" s="86" t="s">
        <v>6240</v>
      </c>
      <c r="AH843" s="81" t="b">
        <v>0</v>
      </c>
      <c r="AI843" s="81" t="s">
        <v>6478</v>
      </c>
      <c r="AJ843" s="81"/>
      <c r="AK843" s="86" t="s">
        <v>6240</v>
      </c>
      <c r="AL843" s="81" t="b">
        <v>0</v>
      </c>
      <c r="AM843" s="81">
        <v>0</v>
      </c>
      <c r="AN843" s="86" t="s">
        <v>6240</v>
      </c>
      <c r="AO843" s="86" t="s">
        <v>6505</v>
      </c>
      <c r="AP843" s="81" t="b">
        <v>0</v>
      </c>
      <c r="AQ843" s="86" t="s">
        <v>4893</v>
      </c>
      <c r="AR843" s="81" t="s">
        <v>179</v>
      </c>
      <c r="AS843" s="81">
        <v>0</v>
      </c>
      <c r="AT843" s="81">
        <v>0</v>
      </c>
      <c r="AU843" s="81"/>
      <c r="AV843" s="81"/>
      <c r="AW843" s="81"/>
      <c r="AX843" s="81"/>
      <c r="AY843" s="81"/>
      <c r="AZ843" s="81"/>
      <c r="BA843" s="81"/>
      <c r="BB843" s="81"/>
    </row>
    <row r="844" spans="1:54" x14ac:dyDescent="0.35">
      <c r="A844" s="66" t="s">
        <v>820</v>
      </c>
      <c r="B844" s="66" t="s">
        <v>1404</v>
      </c>
      <c r="C844" s="67"/>
      <c r="D844" s="68"/>
      <c r="E844" s="69"/>
      <c r="F844" s="70"/>
      <c r="G844" s="67"/>
      <c r="H844" s="71"/>
      <c r="I844" s="72"/>
      <c r="J844" s="72"/>
      <c r="K844" s="36"/>
      <c r="L844" s="79"/>
      <c r="M844" s="79"/>
      <c r="N844" s="74"/>
      <c r="O844" s="81" t="s">
        <v>1534</v>
      </c>
      <c r="P844" s="83">
        <v>44463.305555555555</v>
      </c>
      <c r="Q844" s="81" t="s">
        <v>1884</v>
      </c>
      <c r="R844" s="81"/>
      <c r="S844" s="81"/>
      <c r="T844" s="81"/>
      <c r="U844" s="81"/>
      <c r="V844" s="84" t="str">
        <f>HYPERLINK("https://pbs.twimg.com/profile_images/1271048734558883841/QbyPPeXW_normal.jpg")</f>
        <v>https://pbs.twimg.com/profile_images/1271048734558883841/QbyPPeXW_normal.jpg</v>
      </c>
      <c r="W844" s="83">
        <v>44463.305555555555</v>
      </c>
      <c r="X844" s="89">
        <v>44463</v>
      </c>
      <c r="Y844" s="86" t="s">
        <v>3429</v>
      </c>
      <c r="Z844" s="84" t="str">
        <f>HYPERLINK("https://twitter.com/cikguainan/status/1441301373006462976")</f>
        <v>https://twitter.com/cikguainan/status/1441301373006462976</v>
      </c>
      <c r="AA844" s="81"/>
      <c r="AB844" s="81"/>
      <c r="AC844" s="86" t="s">
        <v>4894</v>
      </c>
      <c r="AD844" s="86" t="s">
        <v>6097</v>
      </c>
      <c r="AE844" s="81" t="b">
        <v>0</v>
      </c>
      <c r="AF844" s="81">
        <v>3</v>
      </c>
      <c r="AG844" s="86" t="s">
        <v>6357</v>
      </c>
      <c r="AH844" s="81" t="b">
        <v>0</v>
      </c>
      <c r="AI844" s="81" t="s">
        <v>6478</v>
      </c>
      <c r="AJ844" s="81"/>
      <c r="AK844" s="86" t="s">
        <v>6240</v>
      </c>
      <c r="AL844" s="81" t="b">
        <v>0</v>
      </c>
      <c r="AM844" s="81">
        <v>0</v>
      </c>
      <c r="AN844" s="86" t="s">
        <v>6240</v>
      </c>
      <c r="AO844" s="86" t="s">
        <v>6503</v>
      </c>
      <c r="AP844" s="81" t="b">
        <v>0</v>
      </c>
      <c r="AQ844" s="86" t="s">
        <v>6097</v>
      </c>
      <c r="AR844" s="81" t="s">
        <v>179</v>
      </c>
      <c r="AS844" s="81">
        <v>0</v>
      </c>
      <c r="AT844" s="81">
        <v>0</v>
      </c>
      <c r="AU844" s="81"/>
      <c r="AV844" s="81"/>
      <c r="AW844" s="81"/>
      <c r="AX844" s="81"/>
      <c r="AY844" s="81"/>
      <c r="AZ844" s="81"/>
      <c r="BA844" s="81"/>
      <c r="BB844" s="81"/>
    </row>
    <row r="845" spans="1:54" x14ac:dyDescent="0.35">
      <c r="A845" s="66" t="s">
        <v>821</v>
      </c>
      <c r="B845" s="66" t="s">
        <v>848</v>
      </c>
      <c r="C845" s="67"/>
      <c r="D845" s="68"/>
      <c r="E845" s="69"/>
      <c r="F845" s="70"/>
      <c r="G845" s="67"/>
      <c r="H845" s="71"/>
      <c r="I845" s="72"/>
      <c r="J845" s="72"/>
      <c r="K845" s="36"/>
      <c r="L845" s="79"/>
      <c r="M845" s="79"/>
      <c r="N845" s="74"/>
      <c r="O845" s="81" t="s">
        <v>1532</v>
      </c>
      <c r="P845" s="83">
        <v>44463.016550925924</v>
      </c>
      <c r="Q845" s="81" t="s">
        <v>1810</v>
      </c>
      <c r="R845" s="81"/>
      <c r="S845" s="81"/>
      <c r="T845" s="86" t="s">
        <v>2682</v>
      </c>
      <c r="U845" s="84" t="str">
        <f>HYPERLINK("https://pbs.twimg.com/media/E_9V_ibVEAYc8c_.jpg")</f>
        <v>https://pbs.twimg.com/media/E_9V_ibVEAYc8c_.jpg</v>
      </c>
      <c r="V845" s="84" t="str">
        <f>HYPERLINK("https://pbs.twimg.com/media/E_9V_ibVEAYc8c_.jpg")</f>
        <v>https://pbs.twimg.com/media/E_9V_ibVEAYc8c_.jpg</v>
      </c>
      <c r="W845" s="83">
        <v>44463.016550925924</v>
      </c>
      <c r="X845" s="89">
        <v>44463</v>
      </c>
      <c r="Y845" s="86" t="s">
        <v>3430</v>
      </c>
      <c r="Z845" s="84" t="str">
        <f>HYPERLINK("https://twitter.com/bbyerics/status/1441196642254811136")</f>
        <v>https://twitter.com/bbyerics/status/1441196642254811136</v>
      </c>
      <c r="AA845" s="81"/>
      <c r="AB845" s="81"/>
      <c r="AC845" s="86" t="s">
        <v>4895</v>
      </c>
      <c r="AD845" s="81"/>
      <c r="AE845" s="81" t="b">
        <v>0</v>
      </c>
      <c r="AF845" s="81">
        <v>0</v>
      </c>
      <c r="AG845" s="86" t="s">
        <v>6240</v>
      </c>
      <c r="AH845" s="81" t="b">
        <v>0</v>
      </c>
      <c r="AI845" s="81" t="s">
        <v>6479</v>
      </c>
      <c r="AJ845" s="81"/>
      <c r="AK845" s="86" t="s">
        <v>6240</v>
      </c>
      <c r="AL845" s="81" t="b">
        <v>0</v>
      </c>
      <c r="AM845" s="81">
        <v>12</v>
      </c>
      <c r="AN845" s="86" t="s">
        <v>4924</v>
      </c>
      <c r="AO845" s="86" t="s">
        <v>6503</v>
      </c>
      <c r="AP845" s="81" t="b">
        <v>0</v>
      </c>
      <c r="AQ845" s="86" t="s">
        <v>4924</v>
      </c>
      <c r="AR845" s="81" t="s">
        <v>179</v>
      </c>
      <c r="AS845" s="81">
        <v>0</v>
      </c>
      <c r="AT845" s="81">
        <v>0</v>
      </c>
      <c r="AU845" s="81"/>
      <c r="AV845" s="81"/>
      <c r="AW845" s="81"/>
      <c r="AX845" s="81"/>
      <c r="AY845" s="81"/>
      <c r="AZ845" s="81"/>
      <c r="BA845" s="81"/>
      <c r="BB845" s="81"/>
    </row>
    <row r="846" spans="1:54" x14ac:dyDescent="0.35">
      <c r="A846" s="66" t="s">
        <v>821</v>
      </c>
      <c r="B846" s="66" t="s">
        <v>848</v>
      </c>
      <c r="C846" s="67"/>
      <c r="D846" s="68"/>
      <c r="E846" s="69"/>
      <c r="F846" s="70"/>
      <c r="G846" s="67"/>
      <c r="H846" s="71"/>
      <c r="I846" s="72"/>
      <c r="J846" s="72"/>
      <c r="K846" s="36"/>
      <c r="L846" s="79"/>
      <c r="M846" s="79"/>
      <c r="N846" s="74"/>
      <c r="O846" s="81" t="s">
        <v>1532</v>
      </c>
      <c r="P846" s="83">
        <v>44463.306446759256</v>
      </c>
      <c r="Q846" s="81" t="s">
        <v>1879</v>
      </c>
      <c r="R846" s="81"/>
      <c r="S846" s="81"/>
      <c r="T846" s="86" t="s">
        <v>2682</v>
      </c>
      <c r="U846" s="84" t="str">
        <f>HYPERLINK("https://pbs.twimg.com/media/FACFXSrVUAEcVQU.jpg")</f>
        <v>https://pbs.twimg.com/media/FACFXSrVUAEcVQU.jpg</v>
      </c>
      <c r="V846" s="84" t="str">
        <f>HYPERLINK("https://pbs.twimg.com/media/FACFXSrVUAEcVQU.jpg")</f>
        <v>https://pbs.twimg.com/media/FACFXSrVUAEcVQU.jpg</v>
      </c>
      <c r="W846" s="83">
        <v>44463.306446759256</v>
      </c>
      <c r="X846" s="89">
        <v>44463</v>
      </c>
      <c r="Y846" s="86" t="s">
        <v>3431</v>
      </c>
      <c r="Z846" s="84" t="str">
        <f>HYPERLINK("https://twitter.com/bbyerics/status/1441301697138024448")</f>
        <v>https://twitter.com/bbyerics/status/1441301697138024448</v>
      </c>
      <c r="AA846" s="81"/>
      <c r="AB846" s="81"/>
      <c r="AC846" s="86" t="s">
        <v>4896</v>
      </c>
      <c r="AD846" s="81"/>
      <c r="AE846" s="81" t="b">
        <v>0</v>
      </c>
      <c r="AF846" s="81">
        <v>0</v>
      </c>
      <c r="AG846" s="86" t="s">
        <v>6240</v>
      </c>
      <c r="AH846" s="81" t="b">
        <v>0</v>
      </c>
      <c r="AI846" s="81" t="s">
        <v>6479</v>
      </c>
      <c r="AJ846" s="81"/>
      <c r="AK846" s="86" t="s">
        <v>6240</v>
      </c>
      <c r="AL846" s="81" t="b">
        <v>0</v>
      </c>
      <c r="AM846" s="81">
        <v>8</v>
      </c>
      <c r="AN846" s="86" t="s">
        <v>4925</v>
      </c>
      <c r="AO846" s="86" t="s">
        <v>6503</v>
      </c>
      <c r="AP846" s="81" t="b">
        <v>0</v>
      </c>
      <c r="AQ846" s="86" t="s">
        <v>4925</v>
      </c>
      <c r="AR846" s="81" t="s">
        <v>179</v>
      </c>
      <c r="AS846" s="81">
        <v>0</v>
      </c>
      <c r="AT846" s="81">
        <v>0</v>
      </c>
      <c r="AU846" s="81"/>
      <c r="AV846" s="81"/>
      <c r="AW846" s="81"/>
      <c r="AX846" s="81"/>
      <c r="AY846" s="81"/>
      <c r="AZ846" s="81"/>
      <c r="BA846" s="81"/>
      <c r="BB846" s="81"/>
    </row>
    <row r="847" spans="1:54" x14ac:dyDescent="0.35">
      <c r="A847" s="66" t="s">
        <v>822</v>
      </c>
      <c r="B847" s="66" t="s">
        <v>822</v>
      </c>
      <c r="C847" s="67"/>
      <c r="D847" s="68"/>
      <c r="E847" s="69"/>
      <c r="F847" s="70"/>
      <c r="G847" s="67"/>
      <c r="H847" s="71"/>
      <c r="I847" s="72"/>
      <c r="J847" s="72"/>
      <c r="K847" s="36"/>
      <c r="L847" s="79"/>
      <c r="M847" s="79"/>
      <c r="N847" s="74"/>
      <c r="O847" s="81" t="s">
        <v>179</v>
      </c>
      <c r="P847" s="83">
        <v>44463.31653935185</v>
      </c>
      <c r="Q847" s="81" t="s">
        <v>1885</v>
      </c>
      <c r="R847" s="84" t="str">
        <f>HYPERLINK("https://www.openkerja.id/2020/09/lowongan-kerja-pt-pos-logistik-indonesia.html")</f>
        <v>https://www.openkerja.id/2020/09/lowongan-kerja-pt-pos-logistik-indonesia.html</v>
      </c>
      <c r="S847" s="81" t="s">
        <v>2624</v>
      </c>
      <c r="T847" s="81"/>
      <c r="U847" s="81"/>
      <c r="V847" s="84" t="str">
        <f>HYPERLINK("https://pbs.twimg.com/profile_images/1145695805237420033/Nal12BDa_normal.png")</f>
        <v>https://pbs.twimg.com/profile_images/1145695805237420033/Nal12BDa_normal.png</v>
      </c>
      <c r="W847" s="83">
        <v>44463.31653935185</v>
      </c>
      <c r="X847" s="89">
        <v>44463</v>
      </c>
      <c r="Y847" s="86" t="s">
        <v>3432</v>
      </c>
      <c r="Z847" s="84" t="str">
        <f>HYPERLINK("https://twitter.com/kharismaselaras/status/1441305355414171658")</f>
        <v>https://twitter.com/kharismaselaras/status/1441305355414171658</v>
      </c>
      <c r="AA847" s="81"/>
      <c r="AB847" s="81"/>
      <c r="AC847" s="86" t="s">
        <v>4897</v>
      </c>
      <c r="AD847" s="81"/>
      <c r="AE847" s="81" t="b">
        <v>0</v>
      </c>
      <c r="AF847" s="81">
        <v>0</v>
      </c>
      <c r="AG847" s="86" t="s">
        <v>6240</v>
      </c>
      <c r="AH847" s="81" t="b">
        <v>0</v>
      </c>
      <c r="AI847" s="81" t="s">
        <v>6478</v>
      </c>
      <c r="AJ847" s="81"/>
      <c r="AK847" s="86" t="s">
        <v>6240</v>
      </c>
      <c r="AL847" s="81" t="b">
        <v>0</v>
      </c>
      <c r="AM847" s="81">
        <v>0</v>
      </c>
      <c r="AN847" s="86" t="s">
        <v>6240</v>
      </c>
      <c r="AO847" s="86" t="s">
        <v>6509</v>
      </c>
      <c r="AP847" s="81" t="b">
        <v>0</v>
      </c>
      <c r="AQ847" s="86" t="s">
        <v>4897</v>
      </c>
      <c r="AR847" s="81" t="s">
        <v>179</v>
      </c>
      <c r="AS847" s="81">
        <v>0</v>
      </c>
      <c r="AT847" s="81">
        <v>0</v>
      </c>
      <c r="AU847" s="81"/>
      <c r="AV847" s="81"/>
      <c r="AW847" s="81"/>
      <c r="AX847" s="81"/>
      <c r="AY847" s="81"/>
      <c r="AZ847" s="81"/>
      <c r="BA847" s="81"/>
      <c r="BB847" s="81"/>
    </row>
    <row r="848" spans="1:54" x14ac:dyDescent="0.35">
      <c r="A848" s="66" t="s">
        <v>823</v>
      </c>
      <c r="B848" s="66" t="s">
        <v>823</v>
      </c>
      <c r="C848" s="67"/>
      <c r="D848" s="68"/>
      <c r="E848" s="69"/>
      <c r="F848" s="70"/>
      <c r="G848" s="67"/>
      <c r="H848" s="71"/>
      <c r="I848" s="72"/>
      <c r="J848" s="72"/>
      <c r="K848" s="36"/>
      <c r="L848" s="79"/>
      <c r="M848" s="79"/>
      <c r="N848" s="74"/>
      <c r="O848" s="81" t="s">
        <v>179</v>
      </c>
      <c r="P848" s="83">
        <v>44462.226412037038</v>
      </c>
      <c r="Q848" s="81" t="s">
        <v>1886</v>
      </c>
      <c r="R848" s="84" t="s">
        <v>2569</v>
      </c>
      <c r="S848" s="81" t="s">
        <v>2625</v>
      </c>
      <c r="T848" s="86" t="s">
        <v>2688</v>
      </c>
      <c r="U848" s="81"/>
      <c r="V848" s="84" t="str">
        <f>HYPERLINK("https://pbs.twimg.com/profile_images/1347980680597147648/bfOplA4w_normal.jpg")</f>
        <v>https://pbs.twimg.com/profile_images/1347980680597147648/bfOplA4w_normal.jpg</v>
      </c>
      <c r="W848" s="83">
        <v>44462.226412037038</v>
      </c>
      <c r="X848" s="89">
        <v>44462</v>
      </c>
      <c r="Y848" s="86" t="s">
        <v>3433</v>
      </c>
      <c r="Z848" s="84" t="str">
        <f>HYPERLINK("https://twitter.com/bursakerja20/status/1440910307501608965")</f>
        <v>https://twitter.com/bursakerja20/status/1440910307501608965</v>
      </c>
      <c r="AA848" s="81"/>
      <c r="AB848" s="81"/>
      <c r="AC848" s="86" t="s">
        <v>4898</v>
      </c>
      <c r="AD848" s="81"/>
      <c r="AE848" s="81" t="b">
        <v>0</v>
      </c>
      <c r="AF848" s="81">
        <v>0</v>
      </c>
      <c r="AG848" s="86" t="s">
        <v>6240</v>
      </c>
      <c r="AH848" s="81" t="b">
        <v>0</v>
      </c>
      <c r="AI848" s="81" t="s">
        <v>6478</v>
      </c>
      <c r="AJ848" s="81"/>
      <c r="AK848" s="86" t="s">
        <v>6240</v>
      </c>
      <c r="AL848" s="81" t="b">
        <v>0</v>
      </c>
      <c r="AM848" s="81">
        <v>0</v>
      </c>
      <c r="AN848" s="86" t="s">
        <v>6240</v>
      </c>
      <c r="AO848" s="86" t="s">
        <v>6515</v>
      </c>
      <c r="AP848" s="81" t="b">
        <v>0</v>
      </c>
      <c r="AQ848" s="86" t="s">
        <v>4898</v>
      </c>
      <c r="AR848" s="81" t="s">
        <v>179</v>
      </c>
      <c r="AS848" s="81">
        <v>0</v>
      </c>
      <c r="AT848" s="81">
        <v>0</v>
      </c>
      <c r="AU848" s="81"/>
      <c r="AV848" s="81"/>
      <c r="AW848" s="81"/>
      <c r="AX848" s="81"/>
      <c r="AY848" s="81"/>
      <c r="AZ848" s="81"/>
      <c r="BA848" s="81"/>
      <c r="BB848" s="81"/>
    </row>
    <row r="849" spans="1:54" x14ac:dyDescent="0.35">
      <c r="A849" s="66" t="s">
        <v>823</v>
      </c>
      <c r="B849" s="66" t="s">
        <v>823</v>
      </c>
      <c r="C849" s="67"/>
      <c r="D849" s="68"/>
      <c r="E849" s="69"/>
      <c r="F849" s="70"/>
      <c r="G849" s="67"/>
      <c r="H849" s="71"/>
      <c r="I849" s="72"/>
      <c r="J849" s="72"/>
      <c r="K849" s="36"/>
      <c r="L849" s="79"/>
      <c r="M849" s="79"/>
      <c r="N849" s="74"/>
      <c r="O849" s="81" t="s">
        <v>179</v>
      </c>
      <c r="P849" s="83">
        <v>44463.341006944444</v>
      </c>
      <c r="Q849" s="81" t="s">
        <v>1887</v>
      </c>
      <c r="R849" s="84" t="s">
        <v>2570</v>
      </c>
      <c r="S849" s="81" t="s">
        <v>2625</v>
      </c>
      <c r="T849" s="86" t="s">
        <v>2688</v>
      </c>
      <c r="U849" s="81"/>
      <c r="V849" s="84" t="str">
        <f>HYPERLINK("https://pbs.twimg.com/profile_images/1347980680597147648/bfOplA4w_normal.jpg")</f>
        <v>https://pbs.twimg.com/profile_images/1347980680597147648/bfOplA4w_normal.jpg</v>
      </c>
      <c r="W849" s="83">
        <v>44463.341006944444</v>
      </c>
      <c r="X849" s="89">
        <v>44463</v>
      </c>
      <c r="Y849" s="86" t="s">
        <v>3434</v>
      </c>
      <c r="Z849" s="84" t="str">
        <f>HYPERLINK("https://twitter.com/bursakerja20/status/1441314222202241035")</f>
        <v>https://twitter.com/bursakerja20/status/1441314222202241035</v>
      </c>
      <c r="AA849" s="81"/>
      <c r="AB849" s="81"/>
      <c r="AC849" s="86" t="s">
        <v>4899</v>
      </c>
      <c r="AD849" s="81"/>
      <c r="AE849" s="81" t="b">
        <v>0</v>
      </c>
      <c r="AF849" s="81">
        <v>0</v>
      </c>
      <c r="AG849" s="86" t="s">
        <v>6240</v>
      </c>
      <c r="AH849" s="81" t="b">
        <v>0</v>
      </c>
      <c r="AI849" s="81" t="s">
        <v>6478</v>
      </c>
      <c r="AJ849" s="81"/>
      <c r="AK849" s="86" t="s">
        <v>6240</v>
      </c>
      <c r="AL849" s="81" t="b">
        <v>0</v>
      </c>
      <c r="AM849" s="81">
        <v>0</v>
      </c>
      <c r="AN849" s="86" t="s">
        <v>6240</v>
      </c>
      <c r="AO849" s="86" t="s">
        <v>6515</v>
      </c>
      <c r="AP849" s="81" t="b">
        <v>0</v>
      </c>
      <c r="AQ849" s="86" t="s">
        <v>4899</v>
      </c>
      <c r="AR849" s="81" t="s">
        <v>179</v>
      </c>
      <c r="AS849" s="81">
        <v>0</v>
      </c>
      <c r="AT849" s="81">
        <v>0</v>
      </c>
      <c r="AU849" s="81"/>
      <c r="AV849" s="81"/>
      <c r="AW849" s="81"/>
      <c r="AX849" s="81"/>
      <c r="AY849" s="81"/>
      <c r="AZ849" s="81"/>
      <c r="BA849" s="81"/>
      <c r="BB849" s="81"/>
    </row>
    <row r="850" spans="1:54" x14ac:dyDescent="0.35">
      <c r="A850" s="66" t="s">
        <v>824</v>
      </c>
      <c r="B850" s="66" t="s">
        <v>1405</v>
      </c>
      <c r="C850" s="67"/>
      <c r="D850" s="68"/>
      <c r="E850" s="69"/>
      <c r="F850" s="70"/>
      <c r="G850" s="67"/>
      <c r="H850" s="71"/>
      <c r="I850" s="72"/>
      <c r="J850" s="72"/>
      <c r="K850" s="36"/>
      <c r="L850" s="79"/>
      <c r="M850" s="79"/>
      <c r="N850" s="74"/>
      <c r="O850" s="81" t="s">
        <v>1534</v>
      </c>
      <c r="P850" s="83">
        <v>44463.373923611114</v>
      </c>
      <c r="Q850" s="81" t="s">
        <v>1888</v>
      </c>
      <c r="R850" s="81"/>
      <c r="S850" s="81"/>
      <c r="T850" s="81"/>
      <c r="U850" s="81"/>
      <c r="V850" s="84" t="str">
        <f>HYPERLINK("https://pbs.twimg.com/profile_images/1442102691753168905/R89yPSDs_normal.jpg")</f>
        <v>https://pbs.twimg.com/profile_images/1442102691753168905/R89yPSDs_normal.jpg</v>
      </c>
      <c r="W850" s="83">
        <v>44463.373923611114</v>
      </c>
      <c r="X850" s="89">
        <v>44463</v>
      </c>
      <c r="Y850" s="86" t="s">
        <v>3435</v>
      </c>
      <c r="Z850" s="84" t="str">
        <f>HYPERLINK("https://twitter.com/makhlukhalusss/status/1441326149737480198")</f>
        <v>https://twitter.com/makhlukhalusss/status/1441326149737480198</v>
      </c>
      <c r="AA850" s="81"/>
      <c r="AB850" s="81"/>
      <c r="AC850" s="86" t="s">
        <v>4900</v>
      </c>
      <c r="AD850" s="86" t="s">
        <v>6098</v>
      </c>
      <c r="AE850" s="81" t="b">
        <v>0</v>
      </c>
      <c r="AF850" s="81">
        <v>0</v>
      </c>
      <c r="AG850" s="86" t="s">
        <v>6358</v>
      </c>
      <c r="AH850" s="81" t="b">
        <v>0</v>
      </c>
      <c r="AI850" s="81" t="s">
        <v>6478</v>
      </c>
      <c r="AJ850" s="81"/>
      <c r="AK850" s="86" t="s">
        <v>6240</v>
      </c>
      <c r="AL850" s="81" t="b">
        <v>0</v>
      </c>
      <c r="AM850" s="81">
        <v>0</v>
      </c>
      <c r="AN850" s="86" t="s">
        <v>6240</v>
      </c>
      <c r="AO850" s="86" t="s">
        <v>6503</v>
      </c>
      <c r="AP850" s="81" t="b">
        <v>0</v>
      </c>
      <c r="AQ850" s="86" t="s">
        <v>6098</v>
      </c>
      <c r="AR850" s="81" t="s">
        <v>179</v>
      </c>
      <c r="AS850" s="81">
        <v>0</v>
      </c>
      <c r="AT850" s="81">
        <v>0</v>
      </c>
      <c r="AU850" s="81"/>
      <c r="AV850" s="81"/>
      <c r="AW850" s="81"/>
      <c r="AX850" s="81"/>
      <c r="AY850" s="81"/>
      <c r="AZ850" s="81"/>
      <c r="BA850" s="81"/>
      <c r="BB850" s="81"/>
    </row>
    <row r="851" spans="1:54" x14ac:dyDescent="0.35">
      <c r="A851" s="66" t="s">
        <v>825</v>
      </c>
      <c r="B851" s="66" t="s">
        <v>848</v>
      </c>
      <c r="C851" s="67"/>
      <c r="D851" s="68"/>
      <c r="E851" s="69"/>
      <c r="F851" s="70"/>
      <c r="G851" s="67"/>
      <c r="H851" s="71"/>
      <c r="I851" s="72"/>
      <c r="J851" s="72"/>
      <c r="K851" s="36"/>
      <c r="L851" s="79"/>
      <c r="M851" s="79"/>
      <c r="N851" s="74"/>
      <c r="O851" s="81" t="s">
        <v>1532</v>
      </c>
      <c r="P851" s="83">
        <v>44463.405543981484</v>
      </c>
      <c r="Q851" s="81" t="s">
        <v>1879</v>
      </c>
      <c r="R851" s="81"/>
      <c r="S851" s="81"/>
      <c r="T851" s="86" t="s">
        <v>2682</v>
      </c>
      <c r="U851" s="84" t="str">
        <f>HYPERLINK("https://pbs.twimg.com/media/FACFXSrVUAEcVQU.jpg")</f>
        <v>https://pbs.twimg.com/media/FACFXSrVUAEcVQU.jpg</v>
      </c>
      <c r="V851" s="84" t="str">
        <f>HYPERLINK("https://pbs.twimg.com/media/FACFXSrVUAEcVQU.jpg")</f>
        <v>https://pbs.twimg.com/media/FACFXSrVUAEcVQU.jpg</v>
      </c>
      <c r="W851" s="83">
        <v>44463.405543981484</v>
      </c>
      <c r="X851" s="89">
        <v>44463</v>
      </c>
      <c r="Y851" s="86" t="s">
        <v>3436</v>
      </c>
      <c r="Z851" s="84" t="str">
        <f>HYPERLINK("https://twitter.com/bazaardeobi/status/1441337607372214272")</f>
        <v>https://twitter.com/bazaardeobi/status/1441337607372214272</v>
      </c>
      <c r="AA851" s="81"/>
      <c r="AB851" s="81"/>
      <c r="AC851" s="86" t="s">
        <v>4901</v>
      </c>
      <c r="AD851" s="81"/>
      <c r="AE851" s="81" t="b">
        <v>0</v>
      </c>
      <c r="AF851" s="81">
        <v>0</v>
      </c>
      <c r="AG851" s="86" t="s">
        <v>6240</v>
      </c>
      <c r="AH851" s="81" t="b">
        <v>0</v>
      </c>
      <c r="AI851" s="81" t="s">
        <v>6479</v>
      </c>
      <c r="AJ851" s="81"/>
      <c r="AK851" s="86" t="s">
        <v>6240</v>
      </c>
      <c r="AL851" s="81" t="b">
        <v>0</v>
      </c>
      <c r="AM851" s="81">
        <v>8</v>
      </c>
      <c r="AN851" s="86" t="s">
        <v>4925</v>
      </c>
      <c r="AO851" s="86" t="s">
        <v>6508</v>
      </c>
      <c r="AP851" s="81" t="b">
        <v>0</v>
      </c>
      <c r="AQ851" s="86" t="s">
        <v>4925</v>
      </c>
      <c r="AR851" s="81" t="s">
        <v>179</v>
      </c>
      <c r="AS851" s="81">
        <v>0</v>
      </c>
      <c r="AT851" s="81">
        <v>0</v>
      </c>
      <c r="AU851" s="81"/>
      <c r="AV851" s="81"/>
      <c r="AW851" s="81"/>
      <c r="AX851" s="81"/>
      <c r="AY851" s="81"/>
      <c r="AZ851" s="81"/>
      <c r="BA851" s="81"/>
      <c r="BB851" s="81"/>
    </row>
    <row r="852" spans="1:54" x14ac:dyDescent="0.35">
      <c r="A852" s="66" t="s">
        <v>826</v>
      </c>
      <c r="B852" s="66" t="s">
        <v>1406</v>
      </c>
      <c r="C852" s="67"/>
      <c r="D852" s="68"/>
      <c r="E852" s="69"/>
      <c r="F852" s="70"/>
      <c r="G852" s="67"/>
      <c r="H852" s="71"/>
      <c r="I852" s="72"/>
      <c r="J852" s="72"/>
      <c r="K852" s="36"/>
      <c r="L852" s="79"/>
      <c r="M852" s="79"/>
      <c r="N852" s="74"/>
      <c r="O852" s="81" t="s">
        <v>1534</v>
      </c>
      <c r="P852" s="83">
        <v>44463.416979166665</v>
      </c>
      <c r="Q852" s="81" t="s">
        <v>1889</v>
      </c>
      <c r="R852" s="81"/>
      <c r="S852" s="81"/>
      <c r="T852" s="81"/>
      <c r="U852" s="81"/>
      <c r="V852" s="84" t="str">
        <f>HYPERLINK("https://pbs.twimg.com/profile_images/1434556476190642183/_FNctcWC_normal.jpg")</f>
        <v>https://pbs.twimg.com/profile_images/1434556476190642183/_FNctcWC_normal.jpg</v>
      </c>
      <c r="W852" s="83">
        <v>44463.416979166665</v>
      </c>
      <c r="X852" s="89">
        <v>44463</v>
      </c>
      <c r="Y852" s="86" t="s">
        <v>3437</v>
      </c>
      <c r="Z852" s="84" t="str">
        <f>HYPERLINK("https://twitter.com/haiqal_mahtiar/status/1441341752380588037")</f>
        <v>https://twitter.com/haiqal_mahtiar/status/1441341752380588037</v>
      </c>
      <c r="AA852" s="81"/>
      <c r="AB852" s="81"/>
      <c r="AC852" s="86" t="s">
        <v>4902</v>
      </c>
      <c r="AD852" s="86" t="s">
        <v>6099</v>
      </c>
      <c r="AE852" s="81" t="b">
        <v>0</v>
      </c>
      <c r="AF852" s="81">
        <v>0</v>
      </c>
      <c r="AG852" s="86" t="s">
        <v>6359</v>
      </c>
      <c r="AH852" s="81" t="b">
        <v>0</v>
      </c>
      <c r="AI852" s="81" t="s">
        <v>6481</v>
      </c>
      <c r="AJ852" s="81"/>
      <c r="AK852" s="86" t="s">
        <v>6240</v>
      </c>
      <c r="AL852" s="81" t="b">
        <v>0</v>
      </c>
      <c r="AM852" s="81">
        <v>0</v>
      </c>
      <c r="AN852" s="86" t="s">
        <v>6240</v>
      </c>
      <c r="AO852" s="86" t="s">
        <v>6503</v>
      </c>
      <c r="AP852" s="81" t="b">
        <v>0</v>
      </c>
      <c r="AQ852" s="86" t="s">
        <v>6099</v>
      </c>
      <c r="AR852" s="81" t="s">
        <v>179</v>
      </c>
      <c r="AS852" s="81">
        <v>0</v>
      </c>
      <c r="AT852" s="81">
        <v>0</v>
      </c>
      <c r="AU852" s="81"/>
      <c r="AV852" s="81"/>
      <c r="AW852" s="81"/>
      <c r="AX852" s="81"/>
      <c r="AY852" s="81"/>
      <c r="AZ852" s="81"/>
      <c r="BA852" s="81"/>
      <c r="BB852" s="81"/>
    </row>
    <row r="853" spans="1:54" x14ac:dyDescent="0.35">
      <c r="A853" s="66" t="s">
        <v>827</v>
      </c>
      <c r="B853" s="66" t="s">
        <v>827</v>
      </c>
      <c r="C853" s="67"/>
      <c r="D853" s="68"/>
      <c r="E853" s="69"/>
      <c r="F853" s="70"/>
      <c r="G853" s="67"/>
      <c r="H853" s="71"/>
      <c r="I853" s="72"/>
      <c r="J853" s="72"/>
      <c r="K853" s="36"/>
      <c r="L853" s="79"/>
      <c r="M853" s="79"/>
      <c r="N853" s="74"/>
      <c r="O853" s="81" t="s">
        <v>179</v>
      </c>
      <c r="P853" s="83">
        <v>44463.42292824074</v>
      </c>
      <c r="Q853" s="81" t="s">
        <v>1890</v>
      </c>
      <c r="R853" s="81"/>
      <c r="S853" s="81"/>
      <c r="T853" s="81"/>
      <c r="U853" s="81"/>
      <c r="V853" s="84" t="str">
        <f>HYPERLINK("https://pbs.twimg.com/profile_images/1432384830486941696/VjHBj8OX_normal.jpg")</f>
        <v>https://pbs.twimg.com/profile_images/1432384830486941696/VjHBj8OX_normal.jpg</v>
      </c>
      <c r="W853" s="83">
        <v>44463.42292824074</v>
      </c>
      <c r="X853" s="89">
        <v>44463</v>
      </c>
      <c r="Y853" s="86" t="s">
        <v>3438</v>
      </c>
      <c r="Z853" s="84" t="str">
        <f>HYPERLINK("https://twitter.com/pingpongshh/status/1441343909376892929")</f>
        <v>https://twitter.com/pingpongshh/status/1441343909376892929</v>
      </c>
      <c r="AA853" s="81"/>
      <c r="AB853" s="81"/>
      <c r="AC853" s="86" t="s">
        <v>4903</v>
      </c>
      <c r="AD853" s="81"/>
      <c r="AE853" s="81" t="b">
        <v>0</v>
      </c>
      <c r="AF853" s="81">
        <v>0</v>
      </c>
      <c r="AG853" s="86" t="s">
        <v>6240</v>
      </c>
      <c r="AH853" s="81" t="b">
        <v>0</v>
      </c>
      <c r="AI853" s="81" t="s">
        <v>6478</v>
      </c>
      <c r="AJ853" s="81"/>
      <c r="AK853" s="86" t="s">
        <v>6240</v>
      </c>
      <c r="AL853" s="81" t="b">
        <v>0</v>
      </c>
      <c r="AM853" s="81">
        <v>0</v>
      </c>
      <c r="AN853" s="86" t="s">
        <v>6240</v>
      </c>
      <c r="AO853" s="86" t="s">
        <v>6505</v>
      </c>
      <c r="AP853" s="81" t="b">
        <v>0</v>
      </c>
      <c r="AQ853" s="86" t="s">
        <v>4903</v>
      </c>
      <c r="AR853" s="81" t="s">
        <v>179</v>
      </c>
      <c r="AS853" s="81">
        <v>0</v>
      </c>
      <c r="AT853" s="81">
        <v>0</v>
      </c>
      <c r="AU853" s="81"/>
      <c r="AV853" s="81"/>
      <c r="AW853" s="81"/>
      <c r="AX853" s="81"/>
      <c r="AY853" s="81"/>
      <c r="AZ853" s="81"/>
      <c r="BA853" s="81"/>
      <c r="BB853" s="81"/>
    </row>
    <row r="854" spans="1:54" x14ac:dyDescent="0.35">
      <c r="A854" s="66" t="s">
        <v>828</v>
      </c>
      <c r="B854" s="66" t="s">
        <v>828</v>
      </c>
      <c r="C854" s="67"/>
      <c r="D854" s="68"/>
      <c r="E854" s="69"/>
      <c r="F854" s="70"/>
      <c r="G854" s="67"/>
      <c r="H854" s="71"/>
      <c r="I854" s="72"/>
      <c r="J854" s="72"/>
      <c r="K854" s="36"/>
      <c r="L854" s="79"/>
      <c r="M854" s="79"/>
      <c r="N854" s="74"/>
      <c r="O854" s="81" t="s">
        <v>179</v>
      </c>
      <c r="P854" s="83">
        <v>44463.472060185188</v>
      </c>
      <c r="Q854" s="81" t="s">
        <v>1891</v>
      </c>
      <c r="R854" s="81"/>
      <c r="S854" s="81"/>
      <c r="T854" s="81"/>
      <c r="U854" s="81"/>
      <c r="V854" s="84" t="str">
        <f>HYPERLINK("https://pbs.twimg.com/profile_images/1430850932766429189/8OqrK0Mr_normal.jpg")</f>
        <v>https://pbs.twimg.com/profile_images/1430850932766429189/8OqrK0Mr_normal.jpg</v>
      </c>
      <c r="W854" s="83">
        <v>44463.472060185188</v>
      </c>
      <c r="X854" s="89">
        <v>44463</v>
      </c>
      <c r="Y854" s="86" t="s">
        <v>3439</v>
      </c>
      <c r="Z854" s="84" t="str">
        <f>HYPERLINK("https://twitter.com/ajisaazeez/status/1441361713018724352")</f>
        <v>https://twitter.com/ajisaazeez/status/1441361713018724352</v>
      </c>
      <c r="AA854" s="81"/>
      <c r="AB854" s="81"/>
      <c r="AC854" s="86" t="s">
        <v>4904</v>
      </c>
      <c r="AD854" s="81"/>
      <c r="AE854" s="81" t="b">
        <v>0</v>
      </c>
      <c r="AF854" s="81">
        <v>0</v>
      </c>
      <c r="AG854" s="86" t="s">
        <v>6240</v>
      </c>
      <c r="AH854" s="81" t="b">
        <v>0</v>
      </c>
      <c r="AI854" s="81" t="s">
        <v>6478</v>
      </c>
      <c r="AJ854" s="81"/>
      <c r="AK854" s="86" t="s">
        <v>6240</v>
      </c>
      <c r="AL854" s="81" t="b">
        <v>0</v>
      </c>
      <c r="AM854" s="81">
        <v>0</v>
      </c>
      <c r="AN854" s="86" t="s">
        <v>6240</v>
      </c>
      <c r="AO854" s="86" t="s">
        <v>6505</v>
      </c>
      <c r="AP854" s="81" t="b">
        <v>0</v>
      </c>
      <c r="AQ854" s="86" t="s">
        <v>4904</v>
      </c>
      <c r="AR854" s="81" t="s">
        <v>179</v>
      </c>
      <c r="AS854" s="81">
        <v>0</v>
      </c>
      <c r="AT854" s="81">
        <v>0</v>
      </c>
      <c r="AU854" s="81"/>
      <c r="AV854" s="81"/>
      <c r="AW854" s="81"/>
      <c r="AX854" s="81"/>
      <c r="AY854" s="81"/>
      <c r="AZ854" s="81"/>
      <c r="BA854" s="81"/>
      <c r="BB854" s="81"/>
    </row>
    <row r="855" spans="1:54" x14ac:dyDescent="0.35">
      <c r="A855" s="66" t="s">
        <v>829</v>
      </c>
      <c r="B855" s="66" t="s">
        <v>829</v>
      </c>
      <c r="C855" s="67"/>
      <c r="D855" s="68"/>
      <c r="E855" s="69"/>
      <c r="F855" s="70"/>
      <c r="G855" s="67"/>
      <c r="H855" s="71"/>
      <c r="I855" s="72"/>
      <c r="J855" s="72"/>
      <c r="K855" s="36"/>
      <c r="L855" s="79"/>
      <c r="M855" s="79"/>
      <c r="N855" s="74"/>
      <c r="O855" s="81" t="s">
        <v>179</v>
      </c>
      <c r="P855" s="83">
        <v>44463.488379629627</v>
      </c>
      <c r="Q855" s="81" t="s">
        <v>1892</v>
      </c>
      <c r="R855" s="81"/>
      <c r="S855" s="81"/>
      <c r="T855" s="81"/>
      <c r="U855" s="84" t="str">
        <f>HYPERLINK("https://pbs.twimg.com/tweet_video_thumb/FADENtbVUAMUp3I.jpg")</f>
        <v>https://pbs.twimg.com/tweet_video_thumb/FADENtbVUAMUp3I.jpg</v>
      </c>
      <c r="V855" s="84" t="str">
        <f>HYPERLINK("https://pbs.twimg.com/tweet_video_thumb/FADENtbVUAMUp3I.jpg")</f>
        <v>https://pbs.twimg.com/tweet_video_thumb/FADENtbVUAMUp3I.jpg</v>
      </c>
      <c r="W855" s="83">
        <v>44463.488379629627</v>
      </c>
      <c r="X855" s="89">
        <v>44463</v>
      </c>
      <c r="Y855" s="86" t="s">
        <v>3440</v>
      </c>
      <c r="Z855" s="84" t="str">
        <f>HYPERLINK("https://twitter.com/ireneizbaee/status/1441367628434403330")</f>
        <v>https://twitter.com/ireneizbaee/status/1441367628434403330</v>
      </c>
      <c r="AA855" s="81"/>
      <c r="AB855" s="81"/>
      <c r="AC855" s="86" t="s">
        <v>4905</v>
      </c>
      <c r="AD855" s="81"/>
      <c r="AE855" s="81" t="b">
        <v>0</v>
      </c>
      <c r="AF855" s="81">
        <v>0</v>
      </c>
      <c r="AG855" s="86" t="s">
        <v>6240</v>
      </c>
      <c r="AH855" s="81" t="b">
        <v>0</v>
      </c>
      <c r="AI855" s="81" t="s">
        <v>6478</v>
      </c>
      <c r="AJ855" s="81"/>
      <c r="AK855" s="86" t="s">
        <v>6240</v>
      </c>
      <c r="AL855" s="81" t="b">
        <v>0</v>
      </c>
      <c r="AM855" s="81">
        <v>0</v>
      </c>
      <c r="AN855" s="86" t="s">
        <v>6240</v>
      </c>
      <c r="AO855" s="86" t="s">
        <v>6505</v>
      </c>
      <c r="AP855" s="81" t="b">
        <v>0</v>
      </c>
      <c r="AQ855" s="86" t="s">
        <v>4905</v>
      </c>
      <c r="AR855" s="81" t="s">
        <v>179</v>
      </c>
      <c r="AS855" s="81">
        <v>0</v>
      </c>
      <c r="AT855" s="81">
        <v>0</v>
      </c>
      <c r="AU855" s="81"/>
      <c r="AV855" s="81"/>
      <c r="AW855" s="81"/>
      <c r="AX855" s="81"/>
      <c r="AY855" s="81"/>
      <c r="AZ855" s="81"/>
      <c r="BA855" s="81"/>
      <c r="BB855" s="81"/>
    </row>
    <row r="856" spans="1:54" x14ac:dyDescent="0.35">
      <c r="A856" s="66" t="s">
        <v>830</v>
      </c>
      <c r="B856" s="66" t="s">
        <v>848</v>
      </c>
      <c r="C856" s="67"/>
      <c r="D856" s="68"/>
      <c r="E856" s="69"/>
      <c r="F856" s="70"/>
      <c r="G856" s="67"/>
      <c r="H856" s="71"/>
      <c r="I856" s="72"/>
      <c r="J856" s="72"/>
      <c r="K856" s="36"/>
      <c r="L856" s="79"/>
      <c r="M856" s="79"/>
      <c r="N856" s="74"/>
      <c r="O856" s="81" t="s">
        <v>1532</v>
      </c>
      <c r="P856" s="83">
        <v>44463.50577546296</v>
      </c>
      <c r="Q856" s="81" t="s">
        <v>1879</v>
      </c>
      <c r="R856" s="81"/>
      <c r="S856" s="81"/>
      <c r="T856" s="86" t="s">
        <v>2682</v>
      </c>
      <c r="U856" s="84" t="str">
        <f>HYPERLINK("https://pbs.twimg.com/media/FACFXSrVUAEcVQU.jpg")</f>
        <v>https://pbs.twimg.com/media/FACFXSrVUAEcVQU.jpg</v>
      </c>
      <c r="V856" s="84" t="str">
        <f>HYPERLINK("https://pbs.twimg.com/media/FACFXSrVUAEcVQU.jpg")</f>
        <v>https://pbs.twimg.com/media/FACFXSrVUAEcVQU.jpg</v>
      </c>
      <c r="W856" s="83">
        <v>44463.50577546296</v>
      </c>
      <c r="X856" s="89">
        <v>44463</v>
      </c>
      <c r="Y856" s="86" t="s">
        <v>3441</v>
      </c>
      <c r="Z856" s="84" t="str">
        <f>HYPERLINK("https://twitter.com/nraisyah_12/status/1441373932209074179")</f>
        <v>https://twitter.com/nraisyah_12/status/1441373932209074179</v>
      </c>
      <c r="AA856" s="81"/>
      <c r="AB856" s="81"/>
      <c r="AC856" s="86" t="s">
        <v>4906</v>
      </c>
      <c r="AD856" s="81"/>
      <c r="AE856" s="81" t="b">
        <v>0</v>
      </c>
      <c r="AF856" s="81">
        <v>0</v>
      </c>
      <c r="AG856" s="86" t="s">
        <v>6240</v>
      </c>
      <c r="AH856" s="81" t="b">
        <v>0</v>
      </c>
      <c r="AI856" s="81" t="s">
        <v>6479</v>
      </c>
      <c r="AJ856" s="81"/>
      <c r="AK856" s="86" t="s">
        <v>6240</v>
      </c>
      <c r="AL856" s="81" t="b">
        <v>0</v>
      </c>
      <c r="AM856" s="81">
        <v>8</v>
      </c>
      <c r="AN856" s="86" t="s">
        <v>4925</v>
      </c>
      <c r="AO856" s="86" t="s">
        <v>6503</v>
      </c>
      <c r="AP856" s="81" t="b">
        <v>0</v>
      </c>
      <c r="AQ856" s="86" t="s">
        <v>4925</v>
      </c>
      <c r="AR856" s="81" t="s">
        <v>179</v>
      </c>
      <c r="AS856" s="81">
        <v>0</v>
      </c>
      <c r="AT856" s="81">
        <v>0</v>
      </c>
      <c r="AU856" s="81"/>
      <c r="AV856" s="81"/>
      <c r="AW856" s="81"/>
      <c r="AX856" s="81"/>
      <c r="AY856" s="81"/>
      <c r="AZ856" s="81"/>
      <c r="BA856" s="81"/>
      <c r="BB856" s="81"/>
    </row>
    <row r="857" spans="1:54" x14ac:dyDescent="0.35">
      <c r="A857" s="66" t="s">
        <v>831</v>
      </c>
      <c r="B857" s="66" t="s">
        <v>831</v>
      </c>
      <c r="C857" s="67"/>
      <c r="D857" s="68"/>
      <c r="E857" s="69"/>
      <c r="F857" s="70"/>
      <c r="G857" s="67"/>
      <c r="H857" s="71"/>
      <c r="I857" s="72"/>
      <c r="J857" s="72"/>
      <c r="K857" s="36"/>
      <c r="L857" s="79"/>
      <c r="M857" s="79"/>
      <c r="N857" s="74"/>
      <c r="O857" s="81" t="s">
        <v>179</v>
      </c>
      <c r="P857" s="83">
        <v>44462.309976851851</v>
      </c>
      <c r="Q857" s="81" t="s">
        <v>1822</v>
      </c>
      <c r="R857" s="84" t="str">
        <f>HYPERLINK("https://fraksi.pks.id/2021/09/22/selain-pos-lintas-batas-negara-aleg-pks-minta-pemerintah-perhatikan-jalur-tradisional/")</f>
        <v>https://fraksi.pks.id/2021/09/22/selain-pos-lintas-batas-negara-aleg-pks-minta-pemerintah-perhatikan-jalur-tradisional/</v>
      </c>
      <c r="S857" s="81" t="s">
        <v>2617</v>
      </c>
      <c r="T857" s="81"/>
      <c r="U857" s="81"/>
      <c r="V857" s="84" t="str">
        <f>HYPERLINK("https://pbs.twimg.com/profile_images/1332945968510078977/t6-d_J1C_normal.jpg")</f>
        <v>https://pbs.twimg.com/profile_images/1332945968510078977/t6-d_J1C_normal.jpg</v>
      </c>
      <c r="W857" s="83">
        <v>44462.309976851851</v>
      </c>
      <c r="X857" s="89">
        <v>44462</v>
      </c>
      <c r="Y857" s="86" t="s">
        <v>3442</v>
      </c>
      <c r="Z857" s="84" t="str">
        <f>HYPERLINK("https://twitter.com/pksejahtera/status/1440940587176247296")</f>
        <v>https://twitter.com/pksejahtera/status/1440940587176247296</v>
      </c>
      <c r="AA857" s="81"/>
      <c r="AB857" s="81"/>
      <c r="AC857" s="86" t="s">
        <v>4907</v>
      </c>
      <c r="AD857" s="81"/>
      <c r="AE857" s="81" t="b">
        <v>0</v>
      </c>
      <c r="AF857" s="81">
        <v>12</v>
      </c>
      <c r="AG857" s="86" t="s">
        <v>6240</v>
      </c>
      <c r="AH857" s="81" t="b">
        <v>0</v>
      </c>
      <c r="AI857" s="81" t="s">
        <v>6478</v>
      </c>
      <c r="AJ857" s="81"/>
      <c r="AK857" s="86" t="s">
        <v>6240</v>
      </c>
      <c r="AL857" s="81" t="b">
        <v>0</v>
      </c>
      <c r="AM857" s="81">
        <v>2</v>
      </c>
      <c r="AN857" s="86" t="s">
        <v>6240</v>
      </c>
      <c r="AO857" s="86" t="s">
        <v>6503</v>
      </c>
      <c r="AP857" s="81" t="b">
        <v>0</v>
      </c>
      <c r="AQ857" s="86" t="s">
        <v>4907</v>
      </c>
      <c r="AR857" s="81" t="s">
        <v>179</v>
      </c>
      <c r="AS857" s="81">
        <v>0</v>
      </c>
      <c r="AT857" s="81">
        <v>0</v>
      </c>
      <c r="AU857" s="81"/>
      <c r="AV857" s="81"/>
      <c r="AW857" s="81"/>
      <c r="AX857" s="81"/>
      <c r="AY857" s="81"/>
      <c r="AZ857" s="81"/>
      <c r="BA857" s="81"/>
      <c r="BB857" s="81"/>
    </row>
    <row r="858" spans="1:54" x14ac:dyDescent="0.35">
      <c r="A858" s="66" t="s">
        <v>832</v>
      </c>
      <c r="B858" s="66" t="s">
        <v>831</v>
      </c>
      <c r="C858" s="67"/>
      <c r="D858" s="68"/>
      <c r="E858" s="69"/>
      <c r="F858" s="70"/>
      <c r="G858" s="67"/>
      <c r="H858" s="71"/>
      <c r="I858" s="72"/>
      <c r="J858" s="72"/>
      <c r="K858" s="36"/>
      <c r="L858" s="79"/>
      <c r="M858" s="79"/>
      <c r="N858" s="74"/>
      <c r="O858" s="81" t="s">
        <v>1532</v>
      </c>
      <c r="P858" s="83">
        <v>44463.514733796299</v>
      </c>
      <c r="Q858" s="81" t="s">
        <v>1822</v>
      </c>
      <c r="R858" s="84" t="str">
        <f>HYPERLINK("https://fraksi.pks.id/2021/09/22/selain-pos-lintas-batas-negara-aleg-pks-minta-pemerintah-perhatikan-jalur-tradisional/")</f>
        <v>https://fraksi.pks.id/2021/09/22/selain-pos-lintas-batas-negara-aleg-pks-minta-pemerintah-perhatikan-jalur-tradisional/</v>
      </c>
      <c r="S858" s="81" t="s">
        <v>2617</v>
      </c>
      <c r="T858" s="81"/>
      <c r="U858" s="81"/>
      <c r="V858" s="84" t="str">
        <f>HYPERLINK("https://pbs.twimg.com/profile_images/1333014117100056576/ubbT06vT_normal.jpg")</f>
        <v>https://pbs.twimg.com/profile_images/1333014117100056576/ubbT06vT_normal.jpg</v>
      </c>
      <c r="W858" s="83">
        <v>44463.514733796299</v>
      </c>
      <c r="X858" s="89">
        <v>44463</v>
      </c>
      <c r="Y858" s="86" t="s">
        <v>3443</v>
      </c>
      <c r="Z858" s="84" t="str">
        <f>HYPERLINK("https://twitter.com/pks_psrebo/status/1441377177031753735")</f>
        <v>https://twitter.com/pks_psrebo/status/1441377177031753735</v>
      </c>
      <c r="AA858" s="81"/>
      <c r="AB858" s="81"/>
      <c r="AC858" s="86" t="s">
        <v>4908</v>
      </c>
      <c r="AD858" s="81"/>
      <c r="AE858" s="81" t="b">
        <v>0</v>
      </c>
      <c r="AF858" s="81">
        <v>0</v>
      </c>
      <c r="AG858" s="86" t="s">
        <v>6240</v>
      </c>
      <c r="AH858" s="81" t="b">
        <v>0</v>
      </c>
      <c r="AI858" s="81" t="s">
        <v>6478</v>
      </c>
      <c r="AJ858" s="81"/>
      <c r="AK858" s="86" t="s">
        <v>6240</v>
      </c>
      <c r="AL858" s="81" t="b">
        <v>0</v>
      </c>
      <c r="AM858" s="81">
        <v>2</v>
      </c>
      <c r="AN858" s="86" t="s">
        <v>4907</v>
      </c>
      <c r="AO858" s="86" t="s">
        <v>6503</v>
      </c>
      <c r="AP858" s="81" t="b">
        <v>0</v>
      </c>
      <c r="AQ858" s="86" t="s">
        <v>4907</v>
      </c>
      <c r="AR858" s="81" t="s">
        <v>179</v>
      </c>
      <c r="AS858" s="81">
        <v>0</v>
      </c>
      <c r="AT858" s="81">
        <v>0</v>
      </c>
      <c r="AU858" s="81"/>
      <c r="AV858" s="81"/>
      <c r="AW858" s="81"/>
      <c r="AX858" s="81"/>
      <c r="AY858" s="81"/>
      <c r="AZ858" s="81"/>
      <c r="BA858" s="81"/>
      <c r="BB858" s="81"/>
    </row>
    <row r="859" spans="1:54" x14ac:dyDescent="0.35">
      <c r="A859" s="66" t="s">
        <v>833</v>
      </c>
      <c r="B859" s="66" t="s">
        <v>907</v>
      </c>
      <c r="C859" s="67"/>
      <c r="D859" s="68"/>
      <c r="E859" s="69"/>
      <c r="F859" s="70"/>
      <c r="G859" s="67"/>
      <c r="H859" s="71"/>
      <c r="I859" s="72"/>
      <c r="J859" s="72"/>
      <c r="K859" s="36"/>
      <c r="L859" s="79"/>
      <c r="M859" s="79"/>
      <c r="N859" s="74"/>
      <c r="O859" s="81" t="s">
        <v>1532</v>
      </c>
      <c r="P859" s="83">
        <v>44463.517546296294</v>
      </c>
      <c r="Q859" s="81" t="s">
        <v>1893</v>
      </c>
      <c r="R859" s="81"/>
      <c r="S859" s="81"/>
      <c r="T859" s="86" t="s">
        <v>2667</v>
      </c>
      <c r="U859" s="84" t="str">
        <f>HYPERLINK("https://pbs.twimg.com/media/FADMBqAUUAAn8ca.jpg")</f>
        <v>https://pbs.twimg.com/media/FADMBqAUUAAn8ca.jpg</v>
      </c>
      <c r="V859" s="84" t="str">
        <f>HYPERLINK("https://pbs.twimg.com/media/FADMBqAUUAAn8ca.jpg")</f>
        <v>https://pbs.twimg.com/media/FADMBqAUUAAn8ca.jpg</v>
      </c>
      <c r="W859" s="83">
        <v>44463.517546296294</v>
      </c>
      <c r="X859" s="89">
        <v>44463</v>
      </c>
      <c r="Y859" s="86" t="s">
        <v>3444</v>
      </c>
      <c r="Z859" s="84" t="str">
        <f>HYPERLINK("https://twitter.com/soorisaa/status/1441378198634188813")</f>
        <v>https://twitter.com/soorisaa/status/1441378198634188813</v>
      </c>
      <c r="AA859" s="81"/>
      <c r="AB859" s="81"/>
      <c r="AC859" s="86" t="s">
        <v>4909</v>
      </c>
      <c r="AD859" s="81"/>
      <c r="AE859" s="81" t="b">
        <v>0</v>
      </c>
      <c r="AF859" s="81">
        <v>0</v>
      </c>
      <c r="AG859" s="86" t="s">
        <v>6240</v>
      </c>
      <c r="AH859" s="81" t="b">
        <v>0</v>
      </c>
      <c r="AI859" s="81" t="s">
        <v>6479</v>
      </c>
      <c r="AJ859" s="81"/>
      <c r="AK859" s="86" t="s">
        <v>6240</v>
      </c>
      <c r="AL859" s="81" t="b">
        <v>0</v>
      </c>
      <c r="AM859" s="81">
        <v>9</v>
      </c>
      <c r="AN859" s="86" t="s">
        <v>5014</v>
      </c>
      <c r="AO859" s="86" t="s">
        <v>6503</v>
      </c>
      <c r="AP859" s="81" t="b">
        <v>0</v>
      </c>
      <c r="AQ859" s="86" t="s">
        <v>5014</v>
      </c>
      <c r="AR859" s="81" t="s">
        <v>179</v>
      </c>
      <c r="AS859" s="81">
        <v>0</v>
      </c>
      <c r="AT859" s="81">
        <v>0</v>
      </c>
      <c r="AU859" s="81"/>
      <c r="AV859" s="81"/>
      <c r="AW859" s="81"/>
      <c r="AX859" s="81"/>
      <c r="AY859" s="81"/>
      <c r="AZ859" s="81"/>
      <c r="BA859" s="81"/>
      <c r="BB859" s="81"/>
    </row>
    <row r="860" spans="1:54" x14ac:dyDescent="0.35">
      <c r="A860" s="66" t="s">
        <v>834</v>
      </c>
      <c r="B860" s="66" t="s">
        <v>907</v>
      </c>
      <c r="C860" s="67"/>
      <c r="D860" s="68"/>
      <c r="E860" s="69"/>
      <c r="F860" s="70"/>
      <c r="G860" s="67"/>
      <c r="H860" s="71"/>
      <c r="I860" s="72"/>
      <c r="J860" s="72"/>
      <c r="K860" s="36"/>
      <c r="L860" s="79"/>
      <c r="M860" s="79"/>
      <c r="N860" s="74"/>
      <c r="O860" s="81" t="s">
        <v>1532</v>
      </c>
      <c r="P860" s="83">
        <v>44463.517997685187</v>
      </c>
      <c r="Q860" s="81" t="s">
        <v>1893</v>
      </c>
      <c r="R860" s="81"/>
      <c r="S860" s="81"/>
      <c r="T860" s="86" t="s">
        <v>2667</v>
      </c>
      <c r="U860" s="84" t="str">
        <f>HYPERLINK("https://pbs.twimg.com/media/FADMBqAUUAAn8ca.jpg")</f>
        <v>https://pbs.twimg.com/media/FADMBqAUUAAn8ca.jpg</v>
      </c>
      <c r="V860" s="84" t="str">
        <f>HYPERLINK("https://pbs.twimg.com/media/FADMBqAUUAAn8ca.jpg")</f>
        <v>https://pbs.twimg.com/media/FADMBqAUUAAn8ca.jpg</v>
      </c>
      <c r="W860" s="83">
        <v>44463.517997685187</v>
      </c>
      <c r="X860" s="89">
        <v>44463</v>
      </c>
      <c r="Y860" s="86" t="s">
        <v>3445</v>
      </c>
      <c r="Z860" s="84" t="str">
        <f>HYPERLINK("https://twitter.com/lcvely_wn/status/1441378362899918857")</f>
        <v>https://twitter.com/lcvely_wn/status/1441378362899918857</v>
      </c>
      <c r="AA860" s="81"/>
      <c r="AB860" s="81"/>
      <c r="AC860" s="86" t="s">
        <v>4910</v>
      </c>
      <c r="AD860" s="81"/>
      <c r="AE860" s="81" t="b">
        <v>0</v>
      </c>
      <c r="AF860" s="81">
        <v>0</v>
      </c>
      <c r="AG860" s="86" t="s">
        <v>6240</v>
      </c>
      <c r="AH860" s="81" t="b">
        <v>0</v>
      </c>
      <c r="AI860" s="81" t="s">
        <v>6479</v>
      </c>
      <c r="AJ860" s="81"/>
      <c r="AK860" s="86" t="s">
        <v>6240</v>
      </c>
      <c r="AL860" s="81" t="b">
        <v>0</v>
      </c>
      <c r="AM860" s="81">
        <v>9</v>
      </c>
      <c r="AN860" s="86" t="s">
        <v>5014</v>
      </c>
      <c r="AO860" s="86" t="s">
        <v>6503</v>
      </c>
      <c r="AP860" s="81" t="b">
        <v>0</v>
      </c>
      <c r="AQ860" s="86" t="s">
        <v>5014</v>
      </c>
      <c r="AR860" s="81" t="s">
        <v>179</v>
      </c>
      <c r="AS860" s="81">
        <v>0</v>
      </c>
      <c r="AT860" s="81">
        <v>0</v>
      </c>
      <c r="AU860" s="81"/>
      <c r="AV860" s="81"/>
      <c r="AW860" s="81"/>
      <c r="AX860" s="81"/>
      <c r="AY860" s="81"/>
      <c r="AZ860" s="81"/>
      <c r="BA860" s="81"/>
      <c r="BB860" s="81"/>
    </row>
    <row r="861" spans="1:54" x14ac:dyDescent="0.35">
      <c r="A861" s="66" t="s">
        <v>835</v>
      </c>
      <c r="B861" s="66" t="s">
        <v>1407</v>
      </c>
      <c r="C861" s="67"/>
      <c r="D861" s="68"/>
      <c r="E861" s="69"/>
      <c r="F861" s="70"/>
      <c r="G861" s="67"/>
      <c r="H861" s="71"/>
      <c r="I861" s="72"/>
      <c r="J861" s="72"/>
      <c r="K861" s="36"/>
      <c r="L861" s="79"/>
      <c r="M861" s="79"/>
      <c r="N861" s="74"/>
      <c r="O861" s="81" t="s">
        <v>1534</v>
      </c>
      <c r="P861" s="83">
        <v>44463.525578703702</v>
      </c>
      <c r="Q861" s="81" t="s">
        <v>1894</v>
      </c>
      <c r="R861" s="81"/>
      <c r="S861" s="81"/>
      <c r="T861" s="81"/>
      <c r="U861" s="81"/>
      <c r="V861" s="84" t="str">
        <f>HYPERLINK("https://pbs.twimg.com/profile_images/1413423289272131588/kvf9DODN_normal.jpg")</f>
        <v>https://pbs.twimg.com/profile_images/1413423289272131588/kvf9DODN_normal.jpg</v>
      </c>
      <c r="W861" s="83">
        <v>44463.525578703702</v>
      </c>
      <c r="X861" s="89">
        <v>44463</v>
      </c>
      <c r="Y861" s="86" t="s">
        <v>3446</v>
      </c>
      <c r="Z861" s="84" t="str">
        <f>HYPERLINK("https://twitter.com/widodo025/status/1441381106494808073")</f>
        <v>https://twitter.com/widodo025/status/1441381106494808073</v>
      </c>
      <c r="AA861" s="81"/>
      <c r="AB861" s="81"/>
      <c r="AC861" s="86" t="s">
        <v>4911</v>
      </c>
      <c r="AD861" s="86" t="s">
        <v>6100</v>
      </c>
      <c r="AE861" s="81" t="b">
        <v>0</v>
      </c>
      <c r="AF861" s="81">
        <v>0</v>
      </c>
      <c r="AG861" s="86" t="s">
        <v>6360</v>
      </c>
      <c r="AH861" s="81" t="b">
        <v>0</v>
      </c>
      <c r="AI861" s="81" t="s">
        <v>6478</v>
      </c>
      <c r="AJ861" s="81"/>
      <c r="AK861" s="86" t="s">
        <v>6240</v>
      </c>
      <c r="AL861" s="81" t="b">
        <v>0</v>
      </c>
      <c r="AM861" s="81">
        <v>0</v>
      </c>
      <c r="AN861" s="86" t="s">
        <v>6240</v>
      </c>
      <c r="AO861" s="86" t="s">
        <v>6503</v>
      </c>
      <c r="AP861" s="81" t="b">
        <v>0</v>
      </c>
      <c r="AQ861" s="86" t="s">
        <v>6100</v>
      </c>
      <c r="AR861" s="81" t="s">
        <v>179</v>
      </c>
      <c r="AS861" s="81">
        <v>0</v>
      </c>
      <c r="AT861" s="81">
        <v>0</v>
      </c>
      <c r="AU861" s="81"/>
      <c r="AV861" s="81"/>
      <c r="AW861" s="81"/>
      <c r="AX861" s="81"/>
      <c r="AY861" s="81"/>
      <c r="AZ861" s="81"/>
      <c r="BA861" s="81"/>
      <c r="BB861" s="81"/>
    </row>
    <row r="862" spans="1:54" x14ac:dyDescent="0.35">
      <c r="A862" s="66" t="s">
        <v>836</v>
      </c>
      <c r="B862" s="66" t="s">
        <v>1268</v>
      </c>
      <c r="C862" s="67"/>
      <c r="D862" s="68"/>
      <c r="E862" s="69"/>
      <c r="F862" s="70"/>
      <c r="G862" s="67"/>
      <c r="H862" s="71"/>
      <c r="I862" s="72"/>
      <c r="J862" s="72"/>
      <c r="K862" s="36"/>
      <c r="L862" s="79"/>
      <c r="M862" s="79"/>
      <c r="N862" s="74"/>
      <c r="O862" s="81" t="s">
        <v>1535</v>
      </c>
      <c r="P862" s="83">
        <v>44463.54896990741</v>
      </c>
      <c r="Q862" s="81" t="s">
        <v>1895</v>
      </c>
      <c r="R862" s="81"/>
      <c r="S862" s="81"/>
      <c r="T862" s="86" t="s">
        <v>2690</v>
      </c>
      <c r="U862" s="81"/>
      <c r="V862" s="84" t="str">
        <f>HYPERLINK("https://pbs.twimg.com/profile_images/1305458527683506178/4nCYgxVn_normal.jpg")</f>
        <v>https://pbs.twimg.com/profile_images/1305458527683506178/4nCYgxVn_normal.jpg</v>
      </c>
      <c r="W862" s="83">
        <v>44463.54896990741</v>
      </c>
      <c r="X862" s="89">
        <v>44463</v>
      </c>
      <c r="Y862" s="86" t="s">
        <v>3447</v>
      </c>
      <c r="Z862" s="84" t="str">
        <f>HYPERLINK("https://twitter.com/nabilaaptrs/status/1441389584739303426")</f>
        <v>https://twitter.com/nabilaaptrs/status/1441389584739303426</v>
      </c>
      <c r="AA862" s="81"/>
      <c r="AB862" s="81"/>
      <c r="AC862" s="86" t="s">
        <v>4912</v>
      </c>
      <c r="AD862" s="81"/>
      <c r="AE862" s="81" t="b">
        <v>0</v>
      </c>
      <c r="AF862" s="81">
        <v>0</v>
      </c>
      <c r="AG862" s="86" t="s">
        <v>6240</v>
      </c>
      <c r="AH862" s="81" t="b">
        <v>0</v>
      </c>
      <c r="AI862" s="81" t="s">
        <v>6478</v>
      </c>
      <c r="AJ862" s="81"/>
      <c r="AK862" s="86" t="s">
        <v>6240</v>
      </c>
      <c r="AL862" s="81" t="b">
        <v>0</v>
      </c>
      <c r="AM862" s="81">
        <v>0</v>
      </c>
      <c r="AN862" s="86" t="s">
        <v>6240</v>
      </c>
      <c r="AO862" s="86" t="s">
        <v>6503</v>
      </c>
      <c r="AP862" s="81" t="b">
        <v>0</v>
      </c>
      <c r="AQ862" s="86" t="s">
        <v>4912</v>
      </c>
      <c r="AR862" s="81" t="s">
        <v>179</v>
      </c>
      <c r="AS862" s="81">
        <v>0</v>
      </c>
      <c r="AT862" s="81">
        <v>0</v>
      </c>
      <c r="AU862" s="81"/>
      <c r="AV862" s="81"/>
      <c r="AW862" s="81"/>
      <c r="AX862" s="81"/>
      <c r="AY862" s="81"/>
      <c r="AZ862" s="81"/>
      <c r="BA862" s="81"/>
      <c r="BB862" s="81"/>
    </row>
    <row r="863" spans="1:54" x14ac:dyDescent="0.35">
      <c r="A863" s="66" t="s">
        <v>836</v>
      </c>
      <c r="B863" s="66" t="s">
        <v>1372</v>
      </c>
      <c r="C863" s="67"/>
      <c r="D863" s="68"/>
      <c r="E863" s="69"/>
      <c r="F863" s="70"/>
      <c r="G863" s="67"/>
      <c r="H863" s="71"/>
      <c r="I863" s="72"/>
      <c r="J863" s="72"/>
      <c r="K863" s="36"/>
      <c r="L863" s="79"/>
      <c r="M863" s="79"/>
      <c r="N863" s="74"/>
      <c r="O863" s="81" t="s">
        <v>1535</v>
      </c>
      <c r="P863" s="83">
        <v>44463.54896990741</v>
      </c>
      <c r="Q863" s="81" t="s">
        <v>1895</v>
      </c>
      <c r="R863" s="81"/>
      <c r="S863" s="81"/>
      <c r="T863" s="86" t="s">
        <v>2690</v>
      </c>
      <c r="U863" s="81"/>
      <c r="V863" s="84" t="str">
        <f>HYPERLINK("https://pbs.twimg.com/profile_images/1305458527683506178/4nCYgxVn_normal.jpg")</f>
        <v>https://pbs.twimg.com/profile_images/1305458527683506178/4nCYgxVn_normal.jpg</v>
      </c>
      <c r="W863" s="83">
        <v>44463.54896990741</v>
      </c>
      <c r="X863" s="89">
        <v>44463</v>
      </c>
      <c r="Y863" s="86" t="s">
        <v>3447</v>
      </c>
      <c r="Z863" s="84" t="str">
        <f>HYPERLINK("https://twitter.com/nabilaaptrs/status/1441389584739303426")</f>
        <v>https://twitter.com/nabilaaptrs/status/1441389584739303426</v>
      </c>
      <c r="AA863" s="81"/>
      <c r="AB863" s="81"/>
      <c r="AC863" s="86" t="s">
        <v>4912</v>
      </c>
      <c r="AD863" s="81"/>
      <c r="AE863" s="81" t="b">
        <v>0</v>
      </c>
      <c r="AF863" s="81">
        <v>0</v>
      </c>
      <c r="AG863" s="86" t="s">
        <v>6240</v>
      </c>
      <c r="AH863" s="81" t="b">
        <v>0</v>
      </c>
      <c r="AI863" s="81" t="s">
        <v>6478</v>
      </c>
      <c r="AJ863" s="81"/>
      <c r="AK863" s="86" t="s">
        <v>6240</v>
      </c>
      <c r="AL863" s="81" t="b">
        <v>0</v>
      </c>
      <c r="AM863" s="81">
        <v>0</v>
      </c>
      <c r="AN863" s="86" t="s">
        <v>6240</v>
      </c>
      <c r="AO863" s="86" t="s">
        <v>6503</v>
      </c>
      <c r="AP863" s="81" t="b">
        <v>0</v>
      </c>
      <c r="AQ863" s="86" t="s">
        <v>4912</v>
      </c>
      <c r="AR863" s="81" t="s">
        <v>179</v>
      </c>
      <c r="AS863" s="81">
        <v>0</v>
      </c>
      <c r="AT863" s="81">
        <v>0</v>
      </c>
      <c r="AU863" s="81"/>
      <c r="AV863" s="81"/>
      <c r="AW863" s="81"/>
      <c r="AX863" s="81"/>
      <c r="AY863" s="81"/>
      <c r="AZ863" s="81"/>
      <c r="BA863" s="81"/>
      <c r="BB863" s="81"/>
    </row>
    <row r="864" spans="1:54" x14ac:dyDescent="0.35">
      <c r="A864" s="66" t="s">
        <v>836</v>
      </c>
      <c r="B864" s="66" t="s">
        <v>1373</v>
      </c>
      <c r="C864" s="67"/>
      <c r="D864" s="68"/>
      <c r="E864" s="69"/>
      <c r="F864" s="70"/>
      <c r="G864" s="67"/>
      <c r="H864" s="71"/>
      <c r="I864" s="72"/>
      <c r="J864" s="72"/>
      <c r="K864" s="36"/>
      <c r="L864" s="79"/>
      <c r="M864" s="79"/>
      <c r="N864" s="74"/>
      <c r="O864" s="81" t="s">
        <v>1535</v>
      </c>
      <c r="P864" s="83">
        <v>44463.54896990741</v>
      </c>
      <c r="Q864" s="81" t="s">
        <v>1895</v>
      </c>
      <c r="R864" s="81"/>
      <c r="S864" s="81"/>
      <c r="T864" s="86" t="s">
        <v>2690</v>
      </c>
      <c r="U864" s="81"/>
      <c r="V864" s="84" t="str">
        <f>HYPERLINK("https://pbs.twimg.com/profile_images/1305458527683506178/4nCYgxVn_normal.jpg")</f>
        <v>https://pbs.twimg.com/profile_images/1305458527683506178/4nCYgxVn_normal.jpg</v>
      </c>
      <c r="W864" s="83">
        <v>44463.54896990741</v>
      </c>
      <c r="X864" s="89">
        <v>44463</v>
      </c>
      <c r="Y864" s="86" t="s">
        <v>3447</v>
      </c>
      <c r="Z864" s="84" t="str">
        <f>HYPERLINK("https://twitter.com/nabilaaptrs/status/1441389584739303426")</f>
        <v>https://twitter.com/nabilaaptrs/status/1441389584739303426</v>
      </c>
      <c r="AA864" s="81"/>
      <c r="AB864" s="81"/>
      <c r="AC864" s="86" t="s">
        <v>4912</v>
      </c>
      <c r="AD864" s="81"/>
      <c r="AE864" s="81" t="b">
        <v>0</v>
      </c>
      <c r="AF864" s="81">
        <v>0</v>
      </c>
      <c r="AG864" s="86" t="s">
        <v>6240</v>
      </c>
      <c r="AH864" s="81" t="b">
        <v>0</v>
      </c>
      <c r="AI864" s="81" t="s">
        <v>6478</v>
      </c>
      <c r="AJ864" s="81"/>
      <c r="AK864" s="86" t="s">
        <v>6240</v>
      </c>
      <c r="AL864" s="81" t="b">
        <v>0</v>
      </c>
      <c r="AM864" s="81">
        <v>0</v>
      </c>
      <c r="AN864" s="86" t="s">
        <v>6240</v>
      </c>
      <c r="AO864" s="86" t="s">
        <v>6503</v>
      </c>
      <c r="AP864" s="81" t="b">
        <v>0</v>
      </c>
      <c r="AQ864" s="86" t="s">
        <v>4912</v>
      </c>
      <c r="AR864" s="81" t="s">
        <v>179</v>
      </c>
      <c r="AS864" s="81">
        <v>0</v>
      </c>
      <c r="AT864" s="81">
        <v>0</v>
      </c>
      <c r="AU864" s="81"/>
      <c r="AV864" s="81"/>
      <c r="AW864" s="81"/>
      <c r="AX864" s="81"/>
      <c r="AY864" s="81"/>
      <c r="AZ864" s="81"/>
      <c r="BA864" s="81"/>
      <c r="BB864" s="81"/>
    </row>
    <row r="865" spans="1:54" x14ac:dyDescent="0.35">
      <c r="A865" s="66" t="s">
        <v>837</v>
      </c>
      <c r="B865" s="66" t="s">
        <v>837</v>
      </c>
      <c r="C865" s="67"/>
      <c r="D865" s="68"/>
      <c r="E865" s="69"/>
      <c r="F865" s="70"/>
      <c r="G865" s="67"/>
      <c r="H865" s="71"/>
      <c r="I865" s="72"/>
      <c r="J865" s="72"/>
      <c r="K865" s="36"/>
      <c r="L865" s="79"/>
      <c r="M865" s="79"/>
      <c r="N865" s="74"/>
      <c r="O865" s="81" t="s">
        <v>179</v>
      </c>
      <c r="P865" s="83">
        <v>44463.551493055558</v>
      </c>
      <c r="Q865" s="81" t="s">
        <v>1896</v>
      </c>
      <c r="R865" s="81"/>
      <c r="S865" s="81"/>
      <c r="T865" s="81"/>
      <c r="U865" s="81"/>
      <c r="V865" s="84" t="str">
        <f>HYPERLINK("https://pbs.twimg.com/profile_images/1439556159824797699/BS2cgdfr_normal.jpg")</f>
        <v>https://pbs.twimg.com/profile_images/1439556159824797699/BS2cgdfr_normal.jpg</v>
      </c>
      <c r="W865" s="83">
        <v>44463.551493055558</v>
      </c>
      <c r="X865" s="89">
        <v>44463</v>
      </c>
      <c r="Y865" s="86" t="s">
        <v>3448</v>
      </c>
      <c r="Z865" s="84" t="str">
        <f>HYPERLINK("https://twitter.com/shadatuzn/status/1441390498879471621")</f>
        <v>https://twitter.com/shadatuzn/status/1441390498879471621</v>
      </c>
      <c r="AA865" s="81"/>
      <c r="AB865" s="81"/>
      <c r="AC865" s="86" t="s">
        <v>4913</v>
      </c>
      <c r="AD865" s="81"/>
      <c r="AE865" s="81" t="b">
        <v>0</v>
      </c>
      <c r="AF865" s="81">
        <v>0</v>
      </c>
      <c r="AG865" s="86" t="s">
        <v>6240</v>
      </c>
      <c r="AH865" s="81" t="b">
        <v>0</v>
      </c>
      <c r="AI865" s="81" t="s">
        <v>6478</v>
      </c>
      <c r="AJ865" s="81"/>
      <c r="AK865" s="86" t="s">
        <v>6240</v>
      </c>
      <c r="AL865" s="81" t="b">
        <v>0</v>
      </c>
      <c r="AM865" s="81">
        <v>0</v>
      </c>
      <c r="AN865" s="86" t="s">
        <v>6240</v>
      </c>
      <c r="AO865" s="86" t="s">
        <v>6503</v>
      </c>
      <c r="AP865" s="81" t="b">
        <v>0</v>
      </c>
      <c r="AQ865" s="86" t="s">
        <v>4913</v>
      </c>
      <c r="AR865" s="81" t="s">
        <v>179</v>
      </c>
      <c r="AS865" s="81">
        <v>0</v>
      </c>
      <c r="AT865" s="81">
        <v>0</v>
      </c>
      <c r="AU865" s="81"/>
      <c r="AV865" s="81"/>
      <c r="AW865" s="81"/>
      <c r="AX865" s="81"/>
      <c r="AY865" s="81"/>
      <c r="AZ865" s="81"/>
      <c r="BA865" s="81"/>
      <c r="BB865" s="81"/>
    </row>
    <row r="866" spans="1:54" x14ac:dyDescent="0.35">
      <c r="A866" s="66" t="s">
        <v>838</v>
      </c>
      <c r="B866" s="66" t="s">
        <v>907</v>
      </c>
      <c r="C866" s="67"/>
      <c r="D866" s="68"/>
      <c r="E866" s="69"/>
      <c r="F866" s="70"/>
      <c r="G866" s="67"/>
      <c r="H866" s="71"/>
      <c r="I866" s="72"/>
      <c r="J866" s="72"/>
      <c r="K866" s="36"/>
      <c r="L866" s="79"/>
      <c r="M866" s="79"/>
      <c r="N866" s="74"/>
      <c r="O866" s="81" t="s">
        <v>1532</v>
      </c>
      <c r="P866" s="83">
        <v>44463.571145833332</v>
      </c>
      <c r="Q866" s="81" t="s">
        <v>1893</v>
      </c>
      <c r="R866" s="81"/>
      <c r="S866" s="81"/>
      <c r="T866" s="86" t="s">
        <v>2667</v>
      </c>
      <c r="U866" s="84" t="str">
        <f>HYPERLINK("https://pbs.twimg.com/media/FADMBqAUUAAn8ca.jpg")</f>
        <v>https://pbs.twimg.com/media/FADMBqAUUAAn8ca.jpg</v>
      </c>
      <c r="V866" s="84" t="str">
        <f>HYPERLINK("https://pbs.twimg.com/media/FADMBqAUUAAn8ca.jpg")</f>
        <v>https://pbs.twimg.com/media/FADMBqAUUAAn8ca.jpg</v>
      </c>
      <c r="W866" s="83">
        <v>44463.571145833332</v>
      </c>
      <c r="X866" s="89">
        <v>44463</v>
      </c>
      <c r="Y866" s="86" t="s">
        <v>3449</v>
      </c>
      <c r="Z866" s="84" t="str">
        <f>HYPERLINK("https://twitter.com/jeonginfoxyy/status/1441397622158204946")</f>
        <v>https://twitter.com/jeonginfoxyy/status/1441397622158204946</v>
      </c>
      <c r="AA866" s="81"/>
      <c r="AB866" s="81"/>
      <c r="AC866" s="86" t="s">
        <v>4914</v>
      </c>
      <c r="AD866" s="81"/>
      <c r="AE866" s="81" t="b">
        <v>0</v>
      </c>
      <c r="AF866" s="81">
        <v>0</v>
      </c>
      <c r="AG866" s="86" t="s">
        <v>6240</v>
      </c>
      <c r="AH866" s="81" t="b">
        <v>0</v>
      </c>
      <c r="AI866" s="81" t="s">
        <v>6479</v>
      </c>
      <c r="AJ866" s="81"/>
      <c r="AK866" s="86" t="s">
        <v>6240</v>
      </c>
      <c r="AL866" s="81" t="b">
        <v>0</v>
      </c>
      <c r="AM866" s="81">
        <v>9</v>
      </c>
      <c r="AN866" s="86" t="s">
        <v>5014</v>
      </c>
      <c r="AO866" s="86" t="s">
        <v>6505</v>
      </c>
      <c r="AP866" s="81" t="b">
        <v>0</v>
      </c>
      <c r="AQ866" s="86" t="s">
        <v>5014</v>
      </c>
      <c r="AR866" s="81" t="s">
        <v>179</v>
      </c>
      <c r="AS866" s="81">
        <v>0</v>
      </c>
      <c r="AT866" s="81">
        <v>0</v>
      </c>
      <c r="AU866" s="81"/>
      <c r="AV866" s="81"/>
      <c r="AW866" s="81"/>
      <c r="AX866" s="81"/>
      <c r="AY866" s="81"/>
      <c r="AZ866" s="81"/>
      <c r="BA866" s="81"/>
      <c r="BB866" s="81"/>
    </row>
    <row r="867" spans="1:54" x14ac:dyDescent="0.35">
      <c r="A867" s="66" t="s">
        <v>839</v>
      </c>
      <c r="B867" s="66" t="s">
        <v>907</v>
      </c>
      <c r="C867" s="67"/>
      <c r="D867" s="68"/>
      <c r="E867" s="69"/>
      <c r="F867" s="70"/>
      <c r="G867" s="67"/>
      <c r="H867" s="71"/>
      <c r="I867" s="72"/>
      <c r="J867" s="72"/>
      <c r="K867" s="36"/>
      <c r="L867" s="79"/>
      <c r="M867" s="79"/>
      <c r="N867" s="74"/>
      <c r="O867" s="81" t="s">
        <v>1532</v>
      </c>
      <c r="P867" s="83">
        <v>44463.571342592593</v>
      </c>
      <c r="Q867" s="81" t="s">
        <v>1893</v>
      </c>
      <c r="R867" s="81"/>
      <c r="S867" s="81"/>
      <c r="T867" s="86" t="s">
        <v>2667</v>
      </c>
      <c r="U867" s="84" t="str">
        <f>HYPERLINK("https://pbs.twimg.com/media/FADMBqAUUAAn8ca.jpg")</f>
        <v>https://pbs.twimg.com/media/FADMBqAUUAAn8ca.jpg</v>
      </c>
      <c r="V867" s="84" t="str">
        <f>HYPERLINK("https://pbs.twimg.com/media/FADMBqAUUAAn8ca.jpg")</f>
        <v>https://pbs.twimg.com/media/FADMBqAUUAAn8ca.jpg</v>
      </c>
      <c r="W867" s="83">
        <v>44463.571342592593</v>
      </c>
      <c r="X867" s="89">
        <v>44463</v>
      </c>
      <c r="Y867" s="86" t="s">
        <v>3450</v>
      </c>
      <c r="Z867" s="84" t="str">
        <f>HYPERLINK("https://twitter.com/teutoong21/status/1441397691037016067")</f>
        <v>https://twitter.com/teutoong21/status/1441397691037016067</v>
      </c>
      <c r="AA867" s="81"/>
      <c r="AB867" s="81"/>
      <c r="AC867" s="86" t="s">
        <v>4915</v>
      </c>
      <c r="AD867" s="81"/>
      <c r="AE867" s="81" t="b">
        <v>0</v>
      </c>
      <c r="AF867" s="81">
        <v>0</v>
      </c>
      <c r="AG867" s="86" t="s">
        <v>6240</v>
      </c>
      <c r="AH867" s="81" t="b">
        <v>0</v>
      </c>
      <c r="AI867" s="81" t="s">
        <v>6479</v>
      </c>
      <c r="AJ867" s="81"/>
      <c r="AK867" s="86" t="s">
        <v>6240</v>
      </c>
      <c r="AL867" s="81" t="b">
        <v>0</v>
      </c>
      <c r="AM867" s="81">
        <v>9</v>
      </c>
      <c r="AN867" s="86" t="s">
        <v>5014</v>
      </c>
      <c r="AO867" s="86" t="s">
        <v>6503</v>
      </c>
      <c r="AP867" s="81" t="b">
        <v>0</v>
      </c>
      <c r="AQ867" s="86" t="s">
        <v>5014</v>
      </c>
      <c r="AR867" s="81" t="s">
        <v>179</v>
      </c>
      <c r="AS867" s="81">
        <v>0</v>
      </c>
      <c r="AT867" s="81">
        <v>0</v>
      </c>
      <c r="AU867" s="81"/>
      <c r="AV867" s="81"/>
      <c r="AW867" s="81"/>
      <c r="AX867" s="81"/>
      <c r="AY867" s="81"/>
      <c r="AZ867" s="81"/>
      <c r="BA867" s="81"/>
      <c r="BB867" s="81"/>
    </row>
    <row r="868" spans="1:54" x14ac:dyDescent="0.35">
      <c r="A868" s="66" t="s">
        <v>840</v>
      </c>
      <c r="B868" s="66" t="s">
        <v>1408</v>
      </c>
      <c r="C868" s="67"/>
      <c r="D868" s="68"/>
      <c r="E868" s="69"/>
      <c r="F868" s="70"/>
      <c r="G868" s="67"/>
      <c r="H868" s="71"/>
      <c r="I868" s="72"/>
      <c r="J868" s="72"/>
      <c r="K868" s="36"/>
      <c r="L868" s="79"/>
      <c r="M868" s="79"/>
      <c r="N868" s="74"/>
      <c r="O868" s="81" t="s">
        <v>1534</v>
      </c>
      <c r="P868" s="83">
        <v>44463.583275462966</v>
      </c>
      <c r="Q868" s="81" t="s">
        <v>1897</v>
      </c>
      <c r="R868" s="81"/>
      <c r="S868" s="81"/>
      <c r="T868" s="81"/>
      <c r="U868" s="81"/>
      <c r="V868" s="84" t="str">
        <f>HYPERLINK("https://pbs.twimg.com/profile_images/1440666330298863618/DhYKA586_normal.jpg")</f>
        <v>https://pbs.twimg.com/profile_images/1440666330298863618/DhYKA586_normal.jpg</v>
      </c>
      <c r="W868" s="83">
        <v>44463.583275462966</v>
      </c>
      <c r="X868" s="89">
        <v>44463</v>
      </c>
      <c r="Y868" s="86" t="s">
        <v>3451</v>
      </c>
      <c r="Z868" s="84" t="str">
        <f>HYPERLINK("https://twitter.com/guardianfa/status/1441402015922282502")</f>
        <v>https://twitter.com/guardianfa/status/1441402015922282502</v>
      </c>
      <c r="AA868" s="81"/>
      <c r="AB868" s="81"/>
      <c r="AC868" s="86" t="s">
        <v>4916</v>
      </c>
      <c r="AD868" s="86" t="s">
        <v>6101</v>
      </c>
      <c r="AE868" s="81" t="b">
        <v>0</v>
      </c>
      <c r="AF868" s="81">
        <v>0</v>
      </c>
      <c r="AG868" s="86" t="s">
        <v>6361</v>
      </c>
      <c r="AH868" s="81" t="b">
        <v>0</v>
      </c>
      <c r="AI868" s="81" t="s">
        <v>6478</v>
      </c>
      <c r="AJ868" s="81"/>
      <c r="AK868" s="86" t="s">
        <v>6240</v>
      </c>
      <c r="AL868" s="81" t="b">
        <v>0</v>
      </c>
      <c r="AM868" s="81">
        <v>0</v>
      </c>
      <c r="AN868" s="86" t="s">
        <v>6240</v>
      </c>
      <c r="AO868" s="86" t="s">
        <v>6503</v>
      </c>
      <c r="AP868" s="81" t="b">
        <v>0</v>
      </c>
      <c r="AQ868" s="86" t="s">
        <v>6101</v>
      </c>
      <c r="AR868" s="81" t="s">
        <v>179</v>
      </c>
      <c r="AS868" s="81">
        <v>0</v>
      </c>
      <c r="AT868" s="81">
        <v>0</v>
      </c>
      <c r="AU868" s="81"/>
      <c r="AV868" s="81"/>
      <c r="AW868" s="81"/>
      <c r="AX868" s="81"/>
      <c r="AY868" s="81"/>
      <c r="AZ868" s="81"/>
      <c r="BA868" s="81"/>
      <c r="BB868" s="81"/>
    </row>
    <row r="869" spans="1:54" x14ac:dyDescent="0.35">
      <c r="A869" s="66" t="s">
        <v>841</v>
      </c>
      <c r="B869" s="66" t="s">
        <v>907</v>
      </c>
      <c r="C869" s="67"/>
      <c r="D869" s="68"/>
      <c r="E869" s="69"/>
      <c r="F869" s="70"/>
      <c r="G869" s="67"/>
      <c r="H869" s="71"/>
      <c r="I869" s="72"/>
      <c r="J869" s="72"/>
      <c r="K869" s="36"/>
      <c r="L869" s="79"/>
      <c r="M869" s="79"/>
      <c r="N869" s="74"/>
      <c r="O869" s="81" t="s">
        <v>1532</v>
      </c>
      <c r="P869" s="83">
        <v>44463.599618055552</v>
      </c>
      <c r="Q869" s="81" t="s">
        <v>1893</v>
      </c>
      <c r="R869" s="81"/>
      <c r="S869" s="81"/>
      <c r="T869" s="86" t="s">
        <v>2667</v>
      </c>
      <c r="U869" s="84" t="str">
        <f>HYPERLINK("https://pbs.twimg.com/media/FADMBqAUUAAn8ca.jpg")</f>
        <v>https://pbs.twimg.com/media/FADMBqAUUAAn8ca.jpg</v>
      </c>
      <c r="V869" s="84" t="str">
        <f>HYPERLINK("https://pbs.twimg.com/media/FADMBqAUUAAn8ca.jpg")</f>
        <v>https://pbs.twimg.com/media/FADMBqAUUAAn8ca.jpg</v>
      </c>
      <c r="W869" s="83">
        <v>44463.599618055552</v>
      </c>
      <c r="X869" s="89">
        <v>44463</v>
      </c>
      <c r="Y869" s="86" t="s">
        <v>3452</v>
      </c>
      <c r="Z869" s="84" t="str">
        <f>HYPERLINK("https://twitter.com/iyenstars/status/1441407938480902152")</f>
        <v>https://twitter.com/iyenstars/status/1441407938480902152</v>
      </c>
      <c r="AA869" s="81"/>
      <c r="AB869" s="81"/>
      <c r="AC869" s="86" t="s">
        <v>4917</v>
      </c>
      <c r="AD869" s="81"/>
      <c r="AE869" s="81" t="b">
        <v>0</v>
      </c>
      <c r="AF869" s="81">
        <v>0</v>
      </c>
      <c r="AG869" s="86" t="s">
        <v>6240</v>
      </c>
      <c r="AH869" s="81" t="b">
        <v>0</v>
      </c>
      <c r="AI869" s="81" t="s">
        <v>6479</v>
      </c>
      <c r="AJ869" s="81"/>
      <c r="AK869" s="86" t="s">
        <v>6240</v>
      </c>
      <c r="AL869" s="81" t="b">
        <v>0</v>
      </c>
      <c r="AM869" s="81">
        <v>9</v>
      </c>
      <c r="AN869" s="86" t="s">
        <v>5014</v>
      </c>
      <c r="AO869" s="86" t="s">
        <v>6503</v>
      </c>
      <c r="AP869" s="81" t="b">
        <v>0</v>
      </c>
      <c r="AQ869" s="86" t="s">
        <v>5014</v>
      </c>
      <c r="AR869" s="81" t="s">
        <v>179</v>
      </c>
      <c r="AS869" s="81">
        <v>0</v>
      </c>
      <c r="AT869" s="81">
        <v>0</v>
      </c>
      <c r="AU869" s="81"/>
      <c r="AV869" s="81"/>
      <c r="AW869" s="81"/>
      <c r="AX869" s="81"/>
      <c r="AY869" s="81"/>
      <c r="AZ869" s="81"/>
      <c r="BA869" s="81"/>
      <c r="BB869" s="81"/>
    </row>
    <row r="870" spans="1:54" x14ac:dyDescent="0.35">
      <c r="A870" s="66" t="s">
        <v>842</v>
      </c>
      <c r="B870" s="66" t="s">
        <v>842</v>
      </c>
      <c r="C870" s="67"/>
      <c r="D870" s="68"/>
      <c r="E870" s="69"/>
      <c r="F870" s="70"/>
      <c r="G870" s="67"/>
      <c r="H870" s="71"/>
      <c r="I870" s="72"/>
      <c r="J870" s="72"/>
      <c r="K870" s="36"/>
      <c r="L870" s="79"/>
      <c r="M870" s="79"/>
      <c r="N870" s="74"/>
      <c r="O870" s="81" t="s">
        <v>179</v>
      </c>
      <c r="P870" s="83">
        <v>44463.607488425929</v>
      </c>
      <c r="Q870" s="81" t="s">
        <v>1898</v>
      </c>
      <c r="R870" s="81"/>
      <c r="S870" s="81"/>
      <c r="T870" s="81"/>
      <c r="U870" s="81"/>
      <c r="V870" s="84" t="str">
        <f>HYPERLINK("https://pbs.twimg.com/profile_images/1435526693821640712/0uhnL1Qm_normal.jpg")</f>
        <v>https://pbs.twimg.com/profile_images/1435526693821640712/0uhnL1Qm_normal.jpg</v>
      </c>
      <c r="W870" s="83">
        <v>44463.607488425929</v>
      </c>
      <c r="X870" s="89">
        <v>44463</v>
      </c>
      <c r="Y870" s="86" t="s">
        <v>3453</v>
      </c>
      <c r="Z870" s="84" t="str">
        <f>HYPERLINK("https://twitter.com/iouhrj/status/1441410791974998022")</f>
        <v>https://twitter.com/iouhrj/status/1441410791974998022</v>
      </c>
      <c r="AA870" s="81"/>
      <c r="AB870" s="81"/>
      <c r="AC870" s="86" t="s">
        <v>4918</v>
      </c>
      <c r="AD870" s="81"/>
      <c r="AE870" s="81" t="b">
        <v>0</v>
      </c>
      <c r="AF870" s="81">
        <v>0</v>
      </c>
      <c r="AG870" s="86" t="s">
        <v>6240</v>
      </c>
      <c r="AH870" s="81" t="b">
        <v>0</v>
      </c>
      <c r="AI870" s="81" t="s">
        <v>6478</v>
      </c>
      <c r="AJ870" s="81"/>
      <c r="AK870" s="86" t="s">
        <v>6240</v>
      </c>
      <c r="AL870" s="81" t="b">
        <v>0</v>
      </c>
      <c r="AM870" s="81">
        <v>0</v>
      </c>
      <c r="AN870" s="86" t="s">
        <v>6240</v>
      </c>
      <c r="AO870" s="86" t="s">
        <v>6503</v>
      </c>
      <c r="AP870" s="81" t="b">
        <v>0</v>
      </c>
      <c r="AQ870" s="86" t="s">
        <v>4918</v>
      </c>
      <c r="AR870" s="81" t="s">
        <v>179</v>
      </c>
      <c r="AS870" s="81">
        <v>0</v>
      </c>
      <c r="AT870" s="81">
        <v>0</v>
      </c>
      <c r="AU870" s="81"/>
      <c r="AV870" s="81"/>
      <c r="AW870" s="81"/>
      <c r="AX870" s="81"/>
      <c r="AY870" s="81"/>
      <c r="AZ870" s="81"/>
      <c r="BA870" s="81"/>
      <c r="BB870" s="81"/>
    </row>
    <row r="871" spans="1:54" x14ac:dyDescent="0.35">
      <c r="A871" s="66" t="s">
        <v>843</v>
      </c>
      <c r="B871" s="66" t="s">
        <v>848</v>
      </c>
      <c r="C871" s="67"/>
      <c r="D871" s="68"/>
      <c r="E871" s="69"/>
      <c r="F871" s="70"/>
      <c r="G871" s="67"/>
      <c r="H871" s="71"/>
      <c r="I871" s="72"/>
      <c r="J871" s="72"/>
      <c r="K871" s="36"/>
      <c r="L871" s="79"/>
      <c r="M871" s="79"/>
      <c r="N871" s="74"/>
      <c r="O871" s="81" t="s">
        <v>1532</v>
      </c>
      <c r="P871" s="83">
        <v>44463.617604166669</v>
      </c>
      <c r="Q871" s="81" t="s">
        <v>1899</v>
      </c>
      <c r="R871" s="81"/>
      <c r="S871" s="81"/>
      <c r="T871" s="86" t="s">
        <v>847</v>
      </c>
      <c r="U871" s="84" t="str">
        <f>HYPERLINK("https://pbs.twimg.com/media/FADr0CKUUAkUzTj.jpg")</f>
        <v>https://pbs.twimg.com/media/FADr0CKUUAkUzTj.jpg</v>
      </c>
      <c r="V871" s="84" t="str">
        <f>HYPERLINK("https://pbs.twimg.com/media/FADr0CKUUAkUzTj.jpg")</f>
        <v>https://pbs.twimg.com/media/FADr0CKUUAkUzTj.jpg</v>
      </c>
      <c r="W871" s="83">
        <v>44463.617604166669</v>
      </c>
      <c r="X871" s="89">
        <v>44463</v>
      </c>
      <c r="Y871" s="86" t="s">
        <v>3454</v>
      </c>
      <c r="Z871" s="84" t="str">
        <f>HYPERLINK("https://twitter.com/cthe0luvr/status/1441414457331093517")</f>
        <v>https://twitter.com/cthe0luvr/status/1441414457331093517</v>
      </c>
      <c r="AA871" s="81"/>
      <c r="AB871" s="81"/>
      <c r="AC871" s="86" t="s">
        <v>4919</v>
      </c>
      <c r="AD871" s="81"/>
      <c r="AE871" s="81" t="b">
        <v>0</v>
      </c>
      <c r="AF871" s="81">
        <v>0</v>
      </c>
      <c r="AG871" s="86" t="s">
        <v>6240</v>
      </c>
      <c r="AH871" s="81" t="b">
        <v>0</v>
      </c>
      <c r="AI871" s="81" t="s">
        <v>6479</v>
      </c>
      <c r="AJ871" s="81"/>
      <c r="AK871" s="86" t="s">
        <v>6240</v>
      </c>
      <c r="AL871" s="81" t="b">
        <v>0</v>
      </c>
      <c r="AM871" s="81">
        <v>2</v>
      </c>
      <c r="AN871" s="86" t="s">
        <v>4927</v>
      </c>
      <c r="AO871" s="86" t="s">
        <v>6503</v>
      </c>
      <c r="AP871" s="81" t="b">
        <v>0</v>
      </c>
      <c r="AQ871" s="86" t="s">
        <v>4927</v>
      </c>
      <c r="AR871" s="81" t="s">
        <v>179</v>
      </c>
      <c r="AS871" s="81">
        <v>0</v>
      </c>
      <c r="AT871" s="81">
        <v>0</v>
      </c>
      <c r="AU871" s="81"/>
      <c r="AV871" s="81"/>
      <c r="AW871" s="81"/>
      <c r="AX871" s="81"/>
      <c r="AY871" s="81"/>
      <c r="AZ871" s="81"/>
      <c r="BA871" s="81"/>
      <c r="BB871" s="81"/>
    </row>
    <row r="872" spans="1:54" x14ac:dyDescent="0.35">
      <c r="A872" s="66" t="s">
        <v>844</v>
      </c>
      <c r="B872" s="66" t="s">
        <v>844</v>
      </c>
      <c r="C872" s="67"/>
      <c r="D872" s="68"/>
      <c r="E872" s="69"/>
      <c r="F872" s="70"/>
      <c r="G872" s="67"/>
      <c r="H872" s="71"/>
      <c r="I872" s="72"/>
      <c r="J872" s="72"/>
      <c r="K872" s="36"/>
      <c r="L872" s="79"/>
      <c r="M872" s="79"/>
      <c r="N872" s="74"/>
      <c r="O872" s="81" t="s">
        <v>179</v>
      </c>
      <c r="P872" s="83">
        <v>44463.615405092591</v>
      </c>
      <c r="Q872" s="81" t="s">
        <v>1900</v>
      </c>
      <c r="R872" s="81"/>
      <c r="S872" s="81"/>
      <c r="T872" s="81"/>
      <c r="U872" s="81"/>
      <c r="V872" s="84" t="str">
        <f>HYPERLINK("https://pbs.twimg.com/profile_images/1439437047396282374/mcFO4rGG_normal.jpg")</f>
        <v>https://pbs.twimg.com/profile_images/1439437047396282374/mcFO4rGG_normal.jpg</v>
      </c>
      <c r="W872" s="83">
        <v>44463.615405092591</v>
      </c>
      <c r="X872" s="89">
        <v>44463</v>
      </c>
      <c r="Y872" s="86" t="s">
        <v>3455</v>
      </c>
      <c r="Z872" s="84" t="str">
        <f>HYPERLINK("https://twitter.com/briankhis/status/1441413661726162945")</f>
        <v>https://twitter.com/briankhis/status/1441413661726162945</v>
      </c>
      <c r="AA872" s="81"/>
      <c r="AB872" s="81"/>
      <c r="AC872" s="86" t="s">
        <v>4920</v>
      </c>
      <c r="AD872" s="81"/>
      <c r="AE872" s="81" t="b">
        <v>0</v>
      </c>
      <c r="AF872" s="81">
        <v>0</v>
      </c>
      <c r="AG872" s="86" t="s">
        <v>6240</v>
      </c>
      <c r="AH872" s="81" t="b">
        <v>0</v>
      </c>
      <c r="AI872" s="81" t="s">
        <v>6478</v>
      </c>
      <c r="AJ872" s="81"/>
      <c r="AK872" s="86" t="s">
        <v>6240</v>
      </c>
      <c r="AL872" s="81" t="b">
        <v>0</v>
      </c>
      <c r="AM872" s="81">
        <v>0</v>
      </c>
      <c r="AN872" s="86" t="s">
        <v>6240</v>
      </c>
      <c r="AO872" s="86" t="s">
        <v>6503</v>
      </c>
      <c r="AP872" s="81" t="b">
        <v>0</v>
      </c>
      <c r="AQ872" s="86" t="s">
        <v>4920</v>
      </c>
      <c r="AR872" s="81" t="s">
        <v>179</v>
      </c>
      <c r="AS872" s="81">
        <v>0</v>
      </c>
      <c r="AT872" s="81">
        <v>0</v>
      </c>
      <c r="AU872" s="81"/>
      <c r="AV872" s="81"/>
      <c r="AW872" s="81"/>
      <c r="AX872" s="81"/>
      <c r="AY872" s="81"/>
      <c r="AZ872" s="81"/>
      <c r="BA872" s="81"/>
      <c r="BB872" s="81"/>
    </row>
    <row r="873" spans="1:54" x14ac:dyDescent="0.35">
      <c r="A873" s="66" t="s">
        <v>845</v>
      </c>
      <c r="B873" s="66" t="s">
        <v>844</v>
      </c>
      <c r="C873" s="67"/>
      <c r="D873" s="68"/>
      <c r="E873" s="69"/>
      <c r="F873" s="70"/>
      <c r="G873" s="67"/>
      <c r="H873" s="71"/>
      <c r="I873" s="72"/>
      <c r="J873" s="72"/>
      <c r="K873" s="36"/>
      <c r="L873" s="79"/>
      <c r="M873" s="79"/>
      <c r="N873" s="74"/>
      <c r="O873" s="81" t="s">
        <v>1534</v>
      </c>
      <c r="P873" s="83">
        <v>44463.618055555555</v>
      </c>
      <c r="Q873" s="81" t="s">
        <v>1901</v>
      </c>
      <c r="R873" s="81"/>
      <c r="S873" s="81"/>
      <c r="T873" s="81"/>
      <c r="U873" s="81"/>
      <c r="V873" s="84" t="str">
        <f>HYPERLINK("https://pbs.twimg.com/profile_images/1436728340748980228/BbUga0Sv_normal.jpg")</f>
        <v>https://pbs.twimg.com/profile_images/1436728340748980228/BbUga0Sv_normal.jpg</v>
      </c>
      <c r="W873" s="83">
        <v>44463.618055555555</v>
      </c>
      <c r="X873" s="89">
        <v>44463</v>
      </c>
      <c r="Y873" s="86" t="s">
        <v>3456</v>
      </c>
      <c r="Z873" s="84" t="str">
        <f>HYPERLINK("https://twitter.com/ainthesame/status/1441414622536298512")</f>
        <v>https://twitter.com/ainthesame/status/1441414622536298512</v>
      </c>
      <c r="AA873" s="81"/>
      <c r="AB873" s="81"/>
      <c r="AC873" s="86" t="s">
        <v>4921</v>
      </c>
      <c r="AD873" s="86" t="s">
        <v>6102</v>
      </c>
      <c r="AE873" s="81" t="b">
        <v>0</v>
      </c>
      <c r="AF873" s="81">
        <v>0</v>
      </c>
      <c r="AG873" s="86" t="s">
        <v>6362</v>
      </c>
      <c r="AH873" s="81" t="b">
        <v>0</v>
      </c>
      <c r="AI873" s="81" t="s">
        <v>6478</v>
      </c>
      <c r="AJ873" s="81"/>
      <c r="AK873" s="86" t="s">
        <v>6240</v>
      </c>
      <c r="AL873" s="81" t="b">
        <v>0</v>
      </c>
      <c r="AM873" s="81">
        <v>0</v>
      </c>
      <c r="AN873" s="86" t="s">
        <v>6240</v>
      </c>
      <c r="AO873" s="86" t="s">
        <v>6503</v>
      </c>
      <c r="AP873" s="81" t="b">
        <v>0</v>
      </c>
      <c r="AQ873" s="86" t="s">
        <v>6102</v>
      </c>
      <c r="AR873" s="81" t="s">
        <v>179</v>
      </c>
      <c r="AS873" s="81">
        <v>0</v>
      </c>
      <c r="AT873" s="81">
        <v>0</v>
      </c>
      <c r="AU873" s="81"/>
      <c r="AV873" s="81"/>
      <c r="AW873" s="81"/>
      <c r="AX873" s="81"/>
      <c r="AY873" s="81"/>
      <c r="AZ873" s="81"/>
      <c r="BA873" s="81"/>
      <c r="BB873" s="81"/>
    </row>
    <row r="874" spans="1:54" x14ac:dyDescent="0.35">
      <c r="A874" s="66" t="s">
        <v>846</v>
      </c>
      <c r="B874" s="66" t="s">
        <v>1409</v>
      </c>
      <c r="C874" s="67"/>
      <c r="D874" s="68"/>
      <c r="E874" s="69"/>
      <c r="F874" s="70"/>
      <c r="G874" s="67"/>
      <c r="H874" s="71"/>
      <c r="I874" s="72"/>
      <c r="J874" s="72"/>
      <c r="K874" s="36"/>
      <c r="L874" s="79"/>
      <c r="M874" s="79"/>
      <c r="N874" s="74"/>
      <c r="O874" s="81" t="s">
        <v>1534</v>
      </c>
      <c r="P874" s="83">
        <v>44463.641273148147</v>
      </c>
      <c r="Q874" s="81" t="s">
        <v>1902</v>
      </c>
      <c r="R874" s="81"/>
      <c r="S874" s="81"/>
      <c r="T874" s="81"/>
      <c r="U874" s="81"/>
      <c r="V874" s="84" t="str">
        <f>HYPERLINK("https://pbs.twimg.com/profile_images/1441792797640515591/KG3GN7gn_normal.jpg")</f>
        <v>https://pbs.twimg.com/profile_images/1441792797640515591/KG3GN7gn_normal.jpg</v>
      </c>
      <c r="W874" s="83">
        <v>44463.641273148147</v>
      </c>
      <c r="X874" s="89">
        <v>44463</v>
      </c>
      <c r="Y874" s="86" t="s">
        <v>3457</v>
      </c>
      <c r="Z874" s="84" t="str">
        <f>HYPERLINK("https://twitter.com/hopills/status/1441423036658294785")</f>
        <v>https://twitter.com/hopills/status/1441423036658294785</v>
      </c>
      <c r="AA874" s="81"/>
      <c r="AB874" s="81"/>
      <c r="AC874" s="86" t="s">
        <v>4922</v>
      </c>
      <c r="AD874" s="86" t="s">
        <v>6103</v>
      </c>
      <c r="AE874" s="81" t="b">
        <v>0</v>
      </c>
      <c r="AF874" s="81">
        <v>0</v>
      </c>
      <c r="AG874" s="86" t="s">
        <v>6363</v>
      </c>
      <c r="AH874" s="81" t="b">
        <v>0</v>
      </c>
      <c r="AI874" s="81" t="s">
        <v>6478</v>
      </c>
      <c r="AJ874" s="81"/>
      <c r="AK874" s="86" t="s">
        <v>6240</v>
      </c>
      <c r="AL874" s="81" t="b">
        <v>0</v>
      </c>
      <c r="AM874" s="81">
        <v>0</v>
      </c>
      <c r="AN874" s="86" t="s">
        <v>6240</v>
      </c>
      <c r="AO874" s="86" t="s">
        <v>6503</v>
      </c>
      <c r="AP874" s="81" t="b">
        <v>0</v>
      </c>
      <c r="AQ874" s="86" t="s">
        <v>6103</v>
      </c>
      <c r="AR874" s="81" t="s">
        <v>179</v>
      </c>
      <c r="AS874" s="81">
        <v>0</v>
      </c>
      <c r="AT874" s="81">
        <v>0</v>
      </c>
      <c r="AU874" s="81"/>
      <c r="AV874" s="81"/>
      <c r="AW874" s="81"/>
      <c r="AX874" s="81"/>
      <c r="AY874" s="81"/>
      <c r="AZ874" s="81"/>
      <c r="BA874" s="81"/>
      <c r="BB874" s="81"/>
    </row>
    <row r="875" spans="1:54" x14ac:dyDescent="0.35">
      <c r="A875" s="66" t="s">
        <v>847</v>
      </c>
      <c r="B875" s="66" t="s">
        <v>848</v>
      </c>
      <c r="C875" s="67"/>
      <c r="D875" s="68"/>
      <c r="E875" s="69"/>
      <c r="F875" s="70"/>
      <c r="G875" s="67"/>
      <c r="H875" s="71"/>
      <c r="I875" s="72"/>
      <c r="J875" s="72"/>
      <c r="K875" s="36"/>
      <c r="L875" s="79"/>
      <c r="M875" s="79"/>
      <c r="N875" s="74"/>
      <c r="O875" s="81" t="s">
        <v>1532</v>
      </c>
      <c r="P875" s="83">
        <v>44463.644629629627</v>
      </c>
      <c r="Q875" s="81" t="s">
        <v>1899</v>
      </c>
      <c r="R875" s="81"/>
      <c r="S875" s="81"/>
      <c r="T875" s="86" t="s">
        <v>847</v>
      </c>
      <c r="U875" s="84" t="str">
        <f>HYPERLINK("https://pbs.twimg.com/media/FADr0CKUUAkUzTj.jpg")</f>
        <v>https://pbs.twimg.com/media/FADr0CKUUAkUzTj.jpg</v>
      </c>
      <c r="V875" s="84" t="str">
        <f>HYPERLINK("https://pbs.twimg.com/media/FADr0CKUUAkUzTj.jpg")</f>
        <v>https://pbs.twimg.com/media/FADr0CKUUAkUzTj.jpg</v>
      </c>
      <c r="W875" s="83">
        <v>44463.644629629627</v>
      </c>
      <c r="X875" s="89">
        <v>44463</v>
      </c>
      <c r="Y875" s="86" t="s">
        <v>3458</v>
      </c>
      <c r="Z875" s="84" t="str">
        <f>HYPERLINK("https://twitter.com/pasarpiwon/status/1441424251475546116")</f>
        <v>https://twitter.com/pasarpiwon/status/1441424251475546116</v>
      </c>
      <c r="AA875" s="81"/>
      <c r="AB875" s="81"/>
      <c r="AC875" s="86" t="s">
        <v>4923</v>
      </c>
      <c r="AD875" s="81"/>
      <c r="AE875" s="81" t="b">
        <v>0</v>
      </c>
      <c r="AF875" s="81">
        <v>0</v>
      </c>
      <c r="AG875" s="86" t="s">
        <v>6240</v>
      </c>
      <c r="AH875" s="81" t="b">
        <v>0</v>
      </c>
      <c r="AI875" s="81" t="s">
        <v>6479</v>
      </c>
      <c r="AJ875" s="81"/>
      <c r="AK875" s="86" t="s">
        <v>6240</v>
      </c>
      <c r="AL875" s="81" t="b">
        <v>0</v>
      </c>
      <c r="AM875" s="81">
        <v>2</v>
      </c>
      <c r="AN875" s="86" t="s">
        <v>4927</v>
      </c>
      <c r="AO875" s="86" t="s">
        <v>6505</v>
      </c>
      <c r="AP875" s="81" t="b">
        <v>0</v>
      </c>
      <c r="AQ875" s="86" t="s">
        <v>4927</v>
      </c>
      <c r="AR875" s="81" t="s">
        <v>179</v>
      </c>
      <c r="AS875" s="81">
        <v>0</v>
      </c>
      <c r="AT875" s="81">
        <v>0</v>
      </c>
      <c r="AU875" s="81"/>
      <c r="AV875" s="81"/>
      <c r="AW875" s="81"/>
      <c r="AX875" s="81"/>
      <c r="AY875" s="81"/>
      <c r="AZ875" s="81"/>
      <c r="BA875" s="81"/>
      <c r="BB875" s="81"/>
    </row>
    <row r="876" spans="1:54" x14ac:dyDescent="0.35">
      <c r="A876" s="66" t="s">
        <v>848</v>
      </c>
      <c r="B876" s="66" t="s">
        <v>848</v>
      </c>
      <c r="C876" s="67"/>
      <c r="D876" s="68"/>
      <c r="E876" s="69"/>
      <c r="F876" s="70"/>
      <c r="G876" s="67"/>
      <c r="H876" s="71"/>
      <c r="I876" s="72"/>
      <c r="J876" s="72"/>
      <c r="K876" s="36"/>
      <c r="L876" s="79"/>
      <c r="M876" s="79"/>
      <c r="N876" s="74"/>
      <c r="O876" s="81" t="s">
        <v>179</v>
      </c>
      <c r="P876" s="83">
        <v>44462.377256944441</v>
      </c>
      <c r="Q876" s="81" t="s">
        <v>1810</v>
      </c>
      <c r="R876" s="81"/>
      <c r="S876" s="81"/>
      <c r="T876" s="86" t="s">
        <v>2682</v>
      </c>
      <c r="U876" s="84" t="str">
        <f>HYPERLINK("https://pbs.twimg.com/media/E_9V_ibVEAYc8c_.jpg")</f>
        <v>https://pbs.twimg.com/media/E_9V_ibVEAYc8c_.jpg</v>
      </c>
      <c r="V876" s="84" t="str">
        <f>HYPERLINK("https://pbs.twimg.com/media/E_9V_ibVEAYc8c_.jpg")</f>
        <v>https://pbs.twimg.com/media/E_9V_ibVEAYc8c_.jpg</v>
      </c>
      <c r="W876" s="83">
        <v>44462.377256944441</v>
      </c>
      <c r="X876" s="89">
        <v>44462</v>
      </c>
      <c r="Y876" s="86" t="s">
        <v>3459</v>
      </c>
      <c r="Z876" s="84" t="str">
        <f>HYPERLINK("https://twitter.com/tyongluvb/status/1440964970536058881")</f>
        <v>https://twitter.com/tyongluvb/status/1440964970536058881</v>
      </c>
      <c r="AA876" s="81"/>
      <c r="AB876" s="81"/>
      <c r="AC876" s="86" t="s">
        <v>4924</v>
      </c>
      <c r="AD876" s="81"/>
      <c r="AE876" s="81" t="b">
        <v>0</v>
      </c>
      <c r="AF876" s="81">
        <v>5</v>
      </c>
      <c r="AG876" s="86" t="s">
        <v>6240</v>
      </c>
      <c r="AH876" s="81" t="b">
        <v>0</v>
      </c>
      <c r="AI876" s="81" t="s">
        <v>6479</v>
      </c>
      <c r="AJ876" s="81"/>
      <c r="AK876" s="86" t="s">
        <v>6240</v>
      </c>
      <c r="AL876" s="81" t="b">
        <v>0</v>
      </c>
      <c r="AM876" s="81">
        <v>12</v>
      </c>
      <c r="AN876" s="86" t="s">
        <v>6240</v>
      </c>
      <c r="AO876" s="86" t="s">
        <v>6505</v>
      </c>
      <c r="AP876" s="81" t="b">
        <v>0</v>
      </c>
      <c r="AQ876" s="86" t="s">
        <v>4924</v>
      </c>
      <c r="AR876" s="81" t="s">
        <v>179</v>
      </c>
      <c r="AS876" s="81">
        <v>0</v>
      </c>
      <c r="AT876" s="81">
        <v>0</v>
      </c>
      <c r="AU876" s="81"/>
      <c r="AV876" s="81"/>
      <c r="AW876" s="81"/>
      <c r="AX876" s="81"/>
      <c r="AY876" s="81"/>
      <c r="AZ876" s="81"/>
      <c r="BA876" s="81"/>
      <c r="BB876" s="81"/>
    </row>
    <row r="877" spans="1:54" x14ac:dyDescent="0.35">
      <c r="A877" s="66" t="s">
        <v>848</v>
      </c>
      <c r="B877" s="66" t="s">
        <v>848</v>
      </c>
      <c r="C877" s="67"/>
      <c r="D877" s="68"/>
      <c r="E877" s="69"/>
      <c r="F877" s="70"/>
      <c r="G877" s="67"/>
      <c r="H877" s="71"/>
      <c r="I877" s="72"/>
      <c r="J877" s="72"/>
      <c r="K877" s="36"/>
      <c r="L877" s="79"/>
      <c r="M877" s="79"/>
      <c r="N877" s="74"/>
      <c r="O877" s="81" t="s">
        <v>179</v>
      </c>
      <c r="P877" s="83">
        <v>44463.297708333332</v>
      </c>
      <c r="Q877" s="81" t="s">
        <v>1879</v>
      </c>
      <c r="R877" s="81"/>
      <c r="S877" s="81"/>
      <c r="T877" s="86" t="s">
        <v>2682</v>
      </c>
      <c r="U877" s="84" t="str">
        <f>HYPERLINK("https://pbs.twimg.com/media/FACFXSrVUAEcVQU.jpg")</f>
        <v>https://pbs.twimg.com/media/FACFXSrVUAEcVQU.jpg</v>
      </c>
      <c r="V877" s="84" t="str">
        <f>HYPERLINK("https://pbs.twimg.com/media/FACFXSrVUAEcVQU.jpg")</f>
        <v>https://pbs.twimg.com/media/FACFXSrVUAEcVQU.jpg</v>
      </c>
      <c r="W877" s="83">
        <v>44463.297708333332</v>
      </c>
      <c r="X877" s="89">
        <v>44463</v>
      </c>
      <c r="Y877" s="86" t="s">
        <v>3460</v>
      </c>
      <c r="Z877" s="84" t="str">
        <f>HYPERLINK("https://twitter.com/tyongluvb/status/1441298531675901958")</f>
        <v>https://twitter.com/tyongluvb/status/1441298531675901958</v>
      </c>
      <c r="AA877" s="81"/>
      <c r="AB877" s="81"/>
      <c r="AC877" s="86" t="s">
        <v>4925</v>
      </c>
      <c r="AD877" s="81"/>
      <c r="AE877" s="81" t="b">
        <v>0</v>
      </c>
      <c r="AF877" s="81">
        <v>2</v>
      </c>
      <c r="AG877" s="86" t="s">
        <v>6240</v>
      </c>
      <c r="AH877" s="81" t="b">
        <v>0</v>
      </c>
      <c r="AI877" s="81" t="s">
        <v>6479</v>
      </c>
      <c r="AJ877" s="81"/>
      <c r="AK877" s="86" t="s">
        <v>6240</v>
      </c>
      <c r="AL877" s="81" t="b">
        <v>0</v>
      </c>
      <c r="AM877" s="81">
        <v>8</v>
      </c>
      <c r="AN877" s="86" t="s">
        <v>6240</v>
      </c>
      <c r="AO877" s="86" t="s">
        <v>6505</v>
      </c>
      <c r="AP877" s="81" t="b">
        <v>0</v>
      </c>
      <c r="AQ877" s="86" t="s">
        <v>4925</v>
      </c>
      <c r="AR877" s="81" t="s">
        <v>179</v>
      </c>
      <c r="AS877" s="81">
        <v>0</v>
      </c>
      <c r="AT877" s="81">
        <v>0</v>
      </c>
      <c r="AU877" s="81"/>
      <c r="AV877" s="81"/>
      <c r="AW877" s="81"/>
      <c r="AX877" s="81"/>
      <c r="AY877" s="81"/>
      <c r="AZ877" s="81"/>
      <c r="BA877" s="81"/>
      <c r="BB877" s="81"/>
    </row>
    <row r="878" spans="1:54" x14ac:dyDescent="0.35">
      <c r="A878" s="66" t="s">
        <v>848</v>
      </c>
      <c r="B878" s="66" t="s">
        <v>848</v>
      </c>
      <c r="C878" s="67"/>
      <c r="D878" s="68"/>
      <c r="E878" s="69"/>
      <c r="F878" s="70"/>
      <c r="G878" s="67"/>
      <c r="H878" s="71"/>
      <c r="I878" s="72"/>
      <c r="J878" s="72"/>
      <c r="K878" s="36"/>
      <c r="L878" s="79"/>
      <c r="M878" s="79"/>
      <c r="N878" s="74"/>
      <c r="O878" s="81" t="s">
        <v>1532</v>
      </c>
      <c r="P878" s="83">
        <v>44463.3046412037</v>
      </c>
      <c r="Q878" s="81" t="s">
        <v>1879</v>
      </c>
      <c r="R878" s="81"/>
      <c r="S878" s="81"/>
      <c r="T878" s="86" t="s">
        <v>2682</v>
      </c>
      <c r="U878" s="84" t="str">
        <f>HYPERLINK("https://pbs.twimg.com/media/FACFXSrVUAEcVQU.jpg")</f>
        <v>https://pbs.twimg.com/media/FACFXSrVUAEcVQU.jpg</v>
      </c>
      <c r="V878" s="84" t="str">
        <f>HYPERLINK("https://pbs.twimg.com/media/FACFXSrVUAEcVQU.jpg")</f>
        <v>https://pbs.twimg.com/media/FACFXSrVUAEcVQU.jpg</v>
      </c>
      <c r="W878" s="83">
        <v>44463.3046412037</v>
      </c>
      <c r="X878" s="89">
        <v>44463</v>
      </c>
      <c r="Y878" s="86" t="s">
        <v>3461</v>
      </c>
      <c r="Z878" s="84" t="str">
        <f>HYPERLINK("https://twitter.com/tyongluvb/status/1441301044726665223")</f>
        <v>https://twitter.com/tyongluvb/status/1441301044726665223</v>
      </c>
      <c r="AA878" s="81"/>
      <c r="AB878" s="81"/>
      <c r="AC878" s="86" t="s">
        <v>4926</v>
      </c>
      <c r="AD878" s="81"/>
      <c r="AE878" s="81" t="b">
        <v>0</v>
      </c>
      <c r="AF878" s="81">
        <v>0</v>
      </c>
      <c r="AG878" s="86" t="s">
        <v>6240</v>
      </c>
      <c r="AH878" s="81" t="b">
        <v>0</v>
      </c>
      <c r="AI878" s="81" t="s">
        <v>6479</v>
      </c>
      <c r="AJ878" s="81"/>
      <c r="AK878" s="86" t="s">
        <v>6240</v>
      </c>
      <c r="AL878" s="81" t="b">
        <v>0</v>
      </c>
      <c r="AM878" s="81">
        <v>8</v>
      </c>
      <c r="AN878" s="86" t="s">
        <v>4925</v>
      </c>
      <c r="AO878" s="86" t="s">
        <v>6505</v>
      </c>
      <c r="AP878" s="81" t="b">
        <v>0</v>
      </c>
      <c r="AQ878" s="86" t="s">
        <v>4925</v>
      </c>
      <c r="AR878" s="81" t="s">
        <v>179</v>
      </c>
      <c r="AS878" s="81">
        <v>0</v>
      </c>
      <c r="AT878" s="81">
        <v>0</v>
      </c>
      <c r="AU878" s="81"/>
      <c r="AV878" s="81"/>
      <c r="AW878" s="81"/>
      <c r="AX878" s="81"/>
      <c r="AY878" s="81"/>
      <c r="AZ878" s="81"/>
      <c r="BA878" s="81"/>
      <c r="BB878" s="81"/>
    </row>
    <row r="879" spans="1:54" x14ac:dyDescent="0.35">
      <c r="A879" s="66" t="s">
        <v>848</v>
      </c>
      <c r="B879" s="66" t="s">
        <v>848</v>
      </c>
      <c r="C879" s="67"/>
      <c r="D879" s="68"/>
      <c r="E879" s="69"/>
      <c r="F879" s="70"/>
      <c r="G879" s="67"/>
      <c r="H879" s="71"/>
      <c r="I879" s="72"/>
      <c r="J879" s="72"/>
      <c r="K879" s="36"/>
      <c r="L879" s="79"/>
      <c r="M879" s="79"/>
      <c r="N879" s="74"/>
      <c r="O879" s="81" t="s">
        <v>179</v>
      </c>
      <c r="P879" s="83">
        <v>44463.608530092592</v>
      </c>
      <c r="Q879" s="81" t="s">
        <v>1899</v>
      </c>
      <c r="R879" s="81"/>
      <c r="S879" s="81"/>
      <c r="T879" s="86" t="s">
        <v>847</v>
      </c>
      <c r="U879" s="84" t="str">
        <f>HYPERLINK("https://pbs.twimg.com/media/FADr0CKUUAkUzTj.jpg")</f>
        <v>https://pbs.twimg.com/media/FADr0CKUUAkUzTj.jpg</v>
      </c>
      <c r="V879" s="84" t="str">
        <f>HYPERLINK("https://pbs.twimg.com/media/FADr0CKUUAkUzTj.jpg")</f>
        <v>https://pbs.twimg.com/media/FADr0CKUUAkUzTj.jpg</v>
      </c>
      <c r="W879" s="83">
        <v>44463.608530092592</v>
      </c>
      <c r="X879" s="89">
        <v>44463</v>
      </c>
      <c r="Y879" s="86" t="s">
        <v>3462</v>
      </c>
      <c r="Z879" s="84" t="str">
        <f>HYPERLINK("https://twitter.com/tyongluvb/status/1441411168690573318")</f>
        <v>https://twitter.com/tyongluvb/status/1441411168690573318</v>
      </c>
      <c r="AA879" s="81"/>
      <c r="AB879" s="81"/>
      <c r="AC879" s="86" t="s">
        <v>4927</v>
      </c>
      <c r="AD879" s="81"/>
      <c r="AE879" s="81" t="b">
        <v>0</v>
      </c>
      <c r="AF879" s="81">
        <v>1</v>
      </c>
      <c r="AG879" s="86" t="s">
        <v>6240</v>
      </c>
      <c r="AH879" s="81" t="b">
        <v>0</v>
      </c>
      <c r="AI879" s="81" t="s">
        <v>6479</v>
      </c>
      <c r="AJ879" s="81"/>
      <c r="AK879" s="86" t="s">
        <v>6240</v>
      </c>
      <c r="AL879" s="81" t="b">
        <v>0</v>
      </c>
      <c r="AM879" s="81">
        <v>2</v>
      </c>
      <c r="AN879" s="86" t="s">
        <v>6240</v>
      </c>
      <c r="AO879" s="86" t="s">
        <v>6505</v>
      </c>
      <c r="AP879" s="81" t="b">
        <v>0</v>
      </c>
      <c r="AQ879" s="86" t="s">
        <v>4927</v>
      </c>
      <c r="AR879" s="81" t="s">
        <v>179</v>
      </c>
      <c r="AS879" s="81">
        <v>0</v>
      </c>
      <c r="AT879" s="81">
        <v>0</v>
      </c>
      <c r="AU879" s="81"/>
      <c r="AV879" s="81"/>
      <c r="AW879" s="81"/>
      <c r="AX879" s="81"/>
      <c r="AY879" s="81"/>
      <c r="AZ879" s="81"/>
      <c r="BA879" s="81"/>
      <c r="BB879" s="81"/>
    </row>
    <row r="880" spans="1:54" x14ac:dyDescent="0.35">
      <c r="A880" s="66" t="s">
        <v>849</v>
      </c>
      <c r="B880" s="66" t="s">
        <v>848</v>
      </c>
      <c r="C880" s="67"/>
      <c r="D880" s="68"/>
      <c r="E880" s="69"/>
      <c r="F880" s="70"/>
      <c r="G880" s="67"/>
      <c r="H880" s="71"/>
      <c r="I880" s="72"/>
      <c r="J880" s="72"/>
      <c r="K880" s="36"/>
      <c r="L880" s="79"/>
      <c r="M880" s="79"/>
      <c r="N880" s="74"/>
      <c r="O880" s="81" t="s">
        <v>1532</v>
      </c>
      <c r="P880" s="83">
        <v>44463.646574074075</v>
      </c>
      <c r="Q880" s="81" t="s">
        <v>1879</v>
      </c>
      <c r="R880" s="81"/>
      <c r="S880" s="81"/>
      <c r="T880" s="86" t="s">
        <v>2682</v>
      </c>
      <c r="U880" s="84" t="str">
        <f>HYPERLINK("https://pbs.twimg.com/media/FACFXSrVUAEcVQU.jpg")</f>
        <v>https://pbs.twimg.com/media/FACFXSrVUAEcVQU.jpg</v>
      </c>
      <c r="V880" s="84" t="str">
        <f>HYPERLINK("https://pbs.twimg.com/media/FACFXSrVUAEcVQU.jpg")</f>
        <v>https://pbs.twimg.com/media/FACFXSrVUAEcVQU.jpg</v>
      </c>
      <c r="W880" s="83">
        <v>44463.646574074075</v>
      </c>
      <c r="X880" s="89">
        <v>44463</v>
      </c>
      <c r="Y880" s="86" t="s">
        <v>3463</v>
      </c>
      <c r="Z880" s="84" t="str">
        <f>HYPERLINK("https://twitter.com/jeromechanhee/status/1441424954927370245")</f>
        <v>https://twitter.com/jeromechanhee/status/1441424954927370245</v>
      </c>
      <c r="AA880" s="81"/>
      <c r="AB880" s="81"/>
      <c r="AC880" s="86" t="s">
        <v>4928</v>
      </c>
      <c r="AD880" s="81"/>
      <c r="AE880" s="81" t="b">
        <v>0</v>
      </c>
      <c r="AF880" s="81">
        <v>0</v>
      </c>
      <c r="AG880" s="86" t="s">
        <v>6240</v>
      </c>
      <c r="AH880" s="81" t="b">
        <v>0</v>
      </c>
      <c r="AI880" s="81" t="s">
        <v>6479</v>
      </c>
      <c r="AJ880" s="81"/>
      <c r="AK880" s="86" t="s">
        <v>6240</v>
      </c>
      <c r="AL880" s="81" t="b">
        <v>0</v>
      </c>
      <c r="AM880" s="81">
        <v>8</v>
      </c>
      <c r="AN880" s="86" t="s">
        <v>4925</v>
      </c>
      <c r="AO880" s="86" t="s">
        <v>6507</v>
      </c>
      <c r="AP880" s="81" t="b">
        <v>0</v>
      </c>
      <c r="AQ880" s="86" t="s">
        <v>4925</v>
      </c>
      <c r="AR880" s="81" t="s">
        <v>179</v>
      </c>
      <c r="AS880" s="81">
        <v>0</v>
      </c>
      <c r="AT880" s="81">
        <v>0</v>
      </c>
      <c r="AU880" s="81"/>
      <c r="AV880" s="81"/>
      <c r="AW880" s="81"/>
      <c r="AX880" s="81"/>
      <c r="AY880" s="81"/>
      <c r="AZ880" s="81"/>
      <c r="BA880" s="81"/>
      <c r="BB880" s="81"/>
    </row>
    <row r="881" spans="1:54" x14ac:dyDescent="0.35">
      <c r="A881" s="66" t="s">
        <v>850</v>
      </c>
      <c r="B881" s="66" t="s">
        <v>850</v>
      </c>
      <c r="C881" s="67"/>
      <c r="D881" s="68"/>
      <c r="E881" s="69"/>
      <c r="F881" s="70"/>
      <c r="G881" s="67"/>
      <c r="H881" s="71"/>
      <c r="I881" s="72"/>
      <c r="J881" s="72"/>
      <c r="K881" s="36"/>
      <c r="L881" s="79"/>
      <c r="M881" s="79"/>
      <c r="N881" s="74"/>
      <c r="O881" s="81" t="s">
        <v>179</v>
      </c>
      <c r="P881" s="83">
        <v>44463.663124999999</v>
      </c>
      <c r="Q881" s="81" t="s">
        <v>1903</v>
      </c>
      <c r="R881" s="84" t="str">
        <f>HYPERLINK("https://twitter.com/mixlr26h/status/1441407236698304521")</f>
        <v>https://twitter.com/mixlr26h/status/1441407236698304521</v>
      </c>
      <c r="S881" s="81" t="s">
        <v>2588</v>
      </c>
      <c r="T881" s="81"/>
      <c r="U881" s="81"/>
      <c r="V881" s="84" t="str">
        <f>HYPERLINK("https://pbs.twimg.com/profile_images/1442519116359684108/hNaELLb7_normal.jpg")</f>
        <v>https://pbs.twimg.com/profile_images/1442519116359684108/hNaELLb7_normal.jpg</v>
      </c>
      <c r="W881" s="83">
        <v>44463.663124999999</v>
      </c>
      <c r="X881" s="89">
        <v>44463</v>
      </c>
      <c r="Y881" s="86" t="s">
        <v>3464</v>
      </c>
      <c r="Z881" s="84" t="str">
        <f>HYPERLINK("https://twitter.com/depoksenju/status/1441430952299823105")</f>
        <v>https://twitter.com/depoksenju/status/1441430952299823105</v>
      </c>
      <c r="AA881" s="81"/>
      <c r="AB881" s="81"/>
      <c r="AC881" s="86" t="s">
        <v>4929</v>
      </c>
      <c r="AD881" s="81"/>
      <c r="AE881" s="81" t="b">
        <v>0</v>
      </c>
      <c r="AF881" s="81">
        <v>0</v>
      </c>
      <c r="AG881" s="86" t="s">
        <v>6240</v>
      </c>
      <c r="AH881" s="81" t="b">
        <v>1</v>
      </c>
      <c r="AI881" s="81" t="s">
        <v>6478</v>
      </c>
      <c r="AJ881" s="81"/>
      <c r="AK881" s="86" t="s">
        <v>6498</v>
      </c>
      <c r="AL881" s="81" t="b">
        <v>0</v>
      </c>
      <c r="AM881" s="81">
        <v>0</v>
      </c>
      <c r="AN881" s="86" t="s">
        <v>6240</v>
      </c>
      <c r="AO881" s="86" t="s">
        <v>6503</v>
      </c>
      <c r="AP881" s="81" t="b">
        <v>0</v>
      </c>
      <c r="AQ881" s="86" t="s">
        <v>4929</v>
      </c>
      <c r="AR881" s="81" t="s">
        <v>179</v>
      </c>
      <c r="AS881" s="81">
        <v>0</v>
      </c>
      <c r="AT881" s="81">
        <v>0</v>
      </c>
      <c r="AU881" s="81"/>
      <c r="AV881" s="81"/>
      <c r="AW881" s="81"/>
      <c r="AX881" s="81"/>
      <c r="AY881" s="81"/>
      <c r="AZ881" s="81"/>
      <c r="BA881" s="81"/>
      <c r="BB881" s="81"/>
    </row>
    <row r="882" spans="1:54" x14ac:dyDescent="0.35">
      <c r="A882" s="66" t="s">
        <v>851</v>
      </c>
      <c r="B882" s="66" t="s">
        <v>1365</v>
      </c>
      <c r="C882" s="67"/>
      <c r="D882" s="68"/>
      <c r="E882" s="69"/>
      <c r="F882" s="70"/>
      <c r="G882" s="67"/>
      <c r="H882" s="71"/>
      <c r="I882" s="72"/>
      <c r="J882" s="72"/>
      <c r="K882" s="36"/>
      <c r="L882" s="79"/>
      <c r="M882" s="79"/>
      <c r="N882" s="74"/>
      <c r="O882" s="81" t="s">
        <v>1534</v>
      </c>
      <c r="P882" s="83">
        <v>44463.668182870373</v>
      </c>
      <c r="Q882" s="81" t="s">
        <v>1904</v>
      </c>
      <c r="R882" s="81"/>
      <c r="S882" s="81"/>
      <c r="T882" s="81"/>
      <c r="U882" s="81"/>
      <c r="V882" s="84" t="str">
        <f>HYPERLINK("https://pbs.twimg.com/profile_images/1441471774227505153/8BMqqhsA_normal.jpg")</f>
        <v>https://pbs.twimg.com/profile_images/1441471774227505153/8BMqqhsA_normal.jpg</v>
      </c>
      <c r="W882" s="83">
        <v>44463.668182870373</v>
      </c>
      <c r="X882" s="89">
        <v>44463</v>
      </c>
      <c r="Y882" s="86" t="s">
        <v>3465</v>
      </c>
      <c r="Z882" s="84" t="str">
        <f>HYPERLINK("https://twitter.com/worriwart/status/1441432787039371268")</f>
        <v>https://twitter.com/worriwart/status/1441432787039371268</v>
      </c>
      <c r="AA882" s="81"/>
      <c r="AB882" s="81"/>
      <c r="AC882" s="86" t="s">
        <v>4930</v>
      </c>
      <c r="AD882" s="86" t="s">
        <v>6104</v>
      </c>
      <c r="AE882" s="81" t="b">
        <v>0</v>
      </c>
      <c r="AF882" s="81">
        <v>0</v>
      </c>
      <c r="AG882" s="86" t="s">
        <v>6329</v>
      </c>
      <c r="AH882" s="81" t="b">
        <v>0</v>
      </c>
      <c r="AI882" s="81" t="s">
        <v>6478</v>
      </c>
      <c r="AJ882" s="81"/>
      <c r="AK882" s="86" t="s">
        <v>6240</v>
      </c>
      <c r="AL882" s="81" t="b">
        <v>0</v>
      </c>
      <c r="AM882" s="81">
        <v>0</v>
      </c>
      <c r="AN882" s="86" t="s">
        <v>6240</v>
      </c>
      <c r="AO882" s="86" t="s">
        <v>6503</v>
      </c>
      <c r="AP882" s="81" t="b">
        <v>0</v>
      </c>
      <c r="AQ882" s="86" t="s">
        <v>6104</v>
      </c>
      <c r="AR882" s="81" t="s">
        <v>179</v>
      </c>
      <c r="AS882" s="81">
        <v>0</v>
      </c>
      <c r="AT882" s="81">
        <v>0</v>
      </c>
      <c r="AU882" s="81"/>
      <c r="AV882" s="81"/>
      <c r="AW882" s="81"/>
      <c r="AX882" s="81"/>
      <c r="AY882" s="81"/>
      <c r="AZ882" s="81"/>
      <c r="BA882" s="81"/>
      <c r="BB882" s="81"/>
    </row>
    <row r="883" spans="1:54" x14ac:dyDescent="0.35">
      <c r="A883" s="66" t="s">
        <v>852</v>
      </c>
      <c r="B883" s="66" t="s">
        <v>852</v>
      </c>
      <c r="C883" s="67"/>
      <c r="D883" s="68"/>
      <c r="E883" s="69"/>
      <c r="F883" s="70"/>
      <c r="G883" s="67"/>
      <c r="H883" s="71"/>
      <c r="I883" s="72"/>
      <c r="J883" s="72"/>
      <c r="K883" s="36"/>
      <c r="L883" s="79"/>
      <c r="M883" s="79"/>
      <c r="N883" s="74"/>
      <c r="O883" s="81" t="s">
        <v>179</v>
      </c>
      <c r="P883" s="83">
        <v>44451.332986111112</v>
      </c>
      <c r="Q883" s="81" t="s">
        <v>1905</v>
      </c>
      <c r="R883" s="84" t="str">
        <f>HYPERLINK("https://www.instagram.com/titipbagus")</f>
        <v>https://www.instagram.com/titipbagus</v>
      </c>
      <c r="S883" s="81" t="s">
        <v>2626</v>
      </c>
      <c r="T883" s="81"/>
      <c r="U883" s="84" t="str">
        <f>HYPERLINK("https://pbs.twimg.com/media/E_Ed7TgVUAAwwq8.png")</f>
        <v>https://pbs.twimg.com/media/E_Ed7TgVUAAwwq8.png</v>
      </c>
      <c r="V883" s="84" t="str">
        <f>HYPERLINK("https://pbs.twimg.com/media/E_Ed7TgVUAAwwq8.png")</f>
        <v>https://pbs.twimg.com/media/E_Ed7TgVUAAwwq8.png</v>
      </c>
      <c r="W883" s="83">
        <v>44451.332986111112</v>
      </c>
      <c r="X883" s="89">
        <v>44451</v>
      </c>
      <c r="Y883" s="86" t="s">
        <v>3466</v>
      </c>
      <c r="Z883" s="84" t="str">
        <f>HYPERLINK("https://twitter.com/kusumastianto/status/1436962662772985857")</f>
        <v>https://twitter.com/kusumastianto/status/1436962662772985857</v>
      </c>
      <c r="AA883" s="81"/>
      <c r="AB883" s="81"/>
      <c r="AC883" s="86" t="s">
        <v>4931</v>
      </c>
      <c r="AD883" s="81"/>
      <c r="AE883" s="81" t="b">
        <v>0</v>
      </c>
      <c r="AF883" s="81">
        <v>0</v>
      </c>
      <c r="AG883" s="86" t="s">
        <v>6240</v>
      </c>
      <c r="AH883" s="81" t="b">
        <v>0</v>
      </c>
      <c r="AI883" s="81" t="s">
        <v>6478</v>
      </c>
      <c r="AJ883" s="81"/>
      <c r="AK883" s="86" t="s">
        <v>6240</v>
      </c>
      <c r="AL883" s="81" t="b">
        <v>0</v>
      </c>
      <c r="AM883" s="81">
        <v>1</v>
      </c>
      <c r="AN883" s="86" t="s">
        <v>6240</v>
      </c>
      <c r="AO883" s="86" t="s">
        <v>6503</v>
      </c>
      <c r="AP883" s="81" t="b">
        <v>0</v>
      </c>
      <c r="AQ883" s="86" t="s">
        <v>4931</v>
      </c>
      <c r="AR883" s="81" t="s">
        <v>1532</v>
      </c>
      <c r="AS883" s="81">
        <v>0</v>
      </c>
      <c r="AT883" s="81">
        <v>0</v>
      </c>
      <c r="AU883" s="81"/>
      <c r="AV883" s="81"/>
      <c r="AW883" s="81"/>
      <c r="AX883" s="81"/>
      <c r="AY883" s="81"/>
      <c r="AZ883" s="81"/>
      <c r="BA883" s="81"/>
      <c r="BB883" s="81"/>
    </row>
    <row r="884" spans="1:54" x14ac:dyDescent="0.35">
      <c r="A884" s="66" t="s">
        <v>853</v>
      </c>
      <c r="B884" s="66" t="s">
        <v>852</v>
      </c>
      <c r="C884" s="67"/>
      <c r="D884" s="68"/>
      <c r="E884" s="69"/>
      <c r="F884" s="70"/>
      <c r="G884" s="67"/>
      <c r="H884" s="71"/>
      <c r="I884" s="72"/>
      <c r="J884" s="72"/>
      <c r="K884" s="36"/>
      <c r="L884" s="79"/>
      <c r="M884" s="79"/>
      <c r="N884" s="74"/>
      <c r="O884" s="81" t="s">
        <v>1532</v>
      </c>
      <c r="P884" s="83">
        <v>44463.672835648147</v>
      </c>
      <c r="Q884" s="81" t="s">
        <v>1905</v>
      </c>
      <c r="R884" s="84" t="str">
        <f>HYPERLINK("https://www.instagram.com/titipbagus")</f>
        <v>https://www.instagram.com/titipbagus</v>
      </c>
      <c r="S884" s="81" t="s">
        <v>2626</v>
      </c>
      <c r="T884" s="81"/>
      <c r="U884" s="84" t="str">
        <f>HYPERLINK("https://pbs.twimg.com/media/E_Ed7TgVUAAwwq8.png")</f>
        <v>https://pbs.twimg.com/media/E_Ed7TgVUAAwwq8.png</v>
      </c>
      <c r="V884" s="84" t="str">
        <f>HYPERLINK("https://pbs.twimg.com/media/E_Ed7TgVUAAwwq8.png")</f>
        <v>https://pbs.twimg.com/media/E_Ed7TgVUAAwwq8.png</v>
      </c>
      <c r="W884" s="83">
        <v>44463.672835648147</v>
      </c>
      <c r="X884" s="89">
        <v>44463</v>
      </c>
      <c r="Y884" s="86" t="s">
        <v>3467</v>
      </c>
      <c r="Z884" s="84" t="str">
        <f>HYPERLINK("https://twitter.com/bluebir56633512/status/1441434471425708034")</f>
        <v>https://twitter.com/bluebir56633512/status/1441434471425708034</v>
      </c>
      <c r="AA884" s="81"/>
      <c r="AB884" s="81"/>
      <c r="AC884" s="86" t="s">
        <v>4932</v>
      </c>
      <c r="AD884" s="81"/>
      <c r="AE884" s="81" t="b">
        <v>0</v>
      </c>
      <c r="AF884" s="81">
        <v>0</v>
      </c>
      <c r="AG884" s="86" t="s">
        <v>6240</v>
      </c>
      <c r="AH884" s="81" t="b">
        <v>0</v>
      </c>
      <c r="AI884" s="81" t="s">
        <v>6478</v>
      </c>
      <c r="AJ884" s="81"/>
      <c r="AK884" s="86" t="s">
        <v>6240</v>
      </c>
      <c r="AL884" s="81" t="b">
        <v>0</v>
      </c>
      <c r="AM884" s="81">
        <v>1</v>
      </c>
      <c r="AN884" s="86" t="s">
        <v>4931</v>
      </c>
      <c r="AO884" s="86" t="s">
        <v>6503</v>
      </c>
      <c r="AP884" s="81" t="b">
        <v>0</v>
      </c>
      <c r="AQ884" s="86" t="s">
        <v>4931</v>
      </c>
      <c r="AR884" s="81" t="s">
        <v>179</v>
      </c>
      <c r="AS884" s="81">
        <v>0</v>
      </c>
      <c r="AT884" s="81">
        <v>0</v>
      </c>
      <c r="AU884" s="81"/>
      <c r="AV884" s="81"/>
      <c r="AW884" s="81"/>
      <c r="AX884" s="81"/>
      <c r="AY884" s="81"/>
      <c r="AZ884" s="81"/>
      <c r="BA884" s="81"/>
      <c r="BB884" s="81"/>
    </row>
    <row r="885" spans="1:54" x14ac:dyDescent="0.35">
      <c r="A885" s="66" t="s">
        <v>854</v>
      </c>
      <c r="B885" s="66" t="s">
        <v>907</v>
      </c>
      <c r="C885" s="67"/>
      <c r="D885" s="68"/>
      <c r="E885" s="69"/>
      <c r="F885" s="70"/>
      <c r="G885" s="67"/>
      <c r="H885" s="71"/>
      <c r="I885" s="72"/>
      <c r="J885" s="72"/>
      <c r="K885" s="36"/>
      <c r="L885" s="79"/>
      <c r="M885" s="79"/>
      <c r="N885" s="74"/>
      <c r="O885" s="81" t="s">
        <v>1532</v>
      </c>
      <c r="P885" s="83">
        <v>44463.704328703701</v>
      </c>
      <c r="Q885" s="81" t="s">
        <v>1893</v>
      </c>
      <c r="R885" s="81"/>
      <c r="S885" s="81"/>
      <c r="T885" s="86" t="s">
        <v>2667</v>
      </c>
      <c r="U885" s="84" t="str">
        <f>HYPERLINK("https://pbs.twimg.com/media/FADMBqAUUAAn8ca.jpg")</f>
        <v>https://pbs.twimg.com/media/FADMBqAUUAAn8ca.jpg</v>
      </c>
      <c r="V885" s="84" t="str">
        <f>HYPERLINK("https://pbs.twimg.com/media/FADMBqAUUAAn8ca.jpg")</f>
        <v>https://pbs.twimg.com/media/FADMBqAUUAAn8ca.jpg</v>
      </c>
      <c r="W885" s="83">
        <v>44463.704328703701</v>
      </c>
      <c r="X885" s="89">
        <v>44463</v>
      </c>
      <c r="Y885" s="86" t="s">
        <v>3468</v>
      </c>
      <c r="Z885" s="84" t="str">
        <f>HYPERLINK("https://twitter.com/egghannie/status/1441445887276818435")</f>
        <v>https://twitter.com/egghannie/status/1441445887276818435</v>
      </c>
      <c r="AA885" s="81"/>
      <c r="AB885" s="81"/>
      <c r="AC885" s="86" t="s">
        <v>4933</v>
      </c>
      <c r="AD885" s="81"/>
      <c r="AE885" s="81" t="b">
        <v>0</v>
      </c>
      <c r="AF885" s="81">
        <v>0</v>
      </c>
      <c r="AG885" s="86" t="s">
        <v>6240</v>
      </c>
      <c r="AH885" s="81" t="b">
        <v>0</v>
      </c>
      <c r="AI885" s="81" t="s">
        <v>6479</v>
      </c>
      <c r="AJ885" s="81"/>
      <c r="AK885" s="86" t="s">
        <v>6240</v>
      </c>
      <c r="AL885" s="81" t="b">
        <v>0</v>
      </c>
      <c r="AM885" s="81">
        <v>9</v>
      </c>
      <c r="AN885" s="86" t="s">
        <v>5014</v>
      </c>
      <c r="AO885" s="86" t="s">
        <v>6503</v>
      </c>
      <c r="AP885" s="81" t="b">
        <v>0</v>
      </c>
      <c r="AQ885" s="86" t="s">
        <v>5014</v>
      </c>
      <c r="AR885" s="81" t="s">
        <v>179</v>
      </c>
      <c r="AS885" s="81">
        <v>0</v>
      </c>
      <c r="AT885" s="81">
        <v>0</v>
      </c>
      <c r="AU885" s="81"/>
      <c r="AV885" s="81"/>
      <c r="AW885" s="81"/>
      <c r="AX885" s="81"/>
      <c r="AY885" s="81"/>
      <c r="AZ885" s="81"/>
      <c r="BA885" s="81"/>
      <c r="BB885" s="81"/>
    </row>
    <row r="886" spans="1:54" x14ac:dyDescent="0.35">
      <c r="A886" s="66" t="s">
        <v>855</v>
      </c>
      <c r="B886" s="66" t="s">
        <v>855</v>
      </c>
      <c r="C886" s="67"/>
      <c r="D886" s="68"/>
      <c r="E886" s="69"/>
      <c r="F886" s="70"/>
      <c r="G886" s="67"/>
      <c r="H886" s="71"/>
      <c r="I886" s="72"/>
      <c r="J886" s="72"/>
      <c r="K886" s="36"/>
      <c r="L886" s="79"/>
      <c r="M886" s="79"/>
      <c r="N886" s="74"/>
      <c r="O886" s="81" t="s">
        <v>179</v>
      </c>
      <c r="P886" s="83">
        <v>44457.794976851852</v>
      </c>
      <c r="Q886" s="81" t="s">
        <v>1562</v>
      </c>
      <c r="R886" s="81"/>
      <c r="S886" s="81"/>
      <c r="T886" s="81"/>
      <c r="U886" s="84" t="str">
        <f>HYPERLINK("https://pbs.twimg.com/media/E_lvuyPVEAEa3Kn.jpg")</f>
        <v>https://pbs.twimg.com/media/E_lvuyPVEAEa3Kn.jpg</v>
      </c>
      <c r="V886" s="84" t="str">
        <f>HYPERLINK("https://pbs.twimg.com/media/E_lvuyPVEAEa3Kn.jpg")</f>
        <v>https://pbs.twimg.com/media/E_lvuyPVEAEa3Kn.jpg</v>
      </c>
      <c r="W886" s="83">
        <v>44457.794976851852</v>
      </c>
      <c r="X886" s="89">
        <v>44457</v>
      </c>
      <c r="Y886" s="86" t="s">
        <v>3469</v>
      </c>
      <c r="Z886" s="84" t="str">
        <f>HYPERLINK("https://twitter.com/shafigh/status/1439304408454496257")</f>
        <v>https://twitter.com/shafigh/status/1439304408454496257</v>
      </c>
      <c r="AA886" s="81"/>
      <c r="AB886" s="81"/>
      <c r="AC886" s="86" t="s">
        <v>4934</v>
      </c>
      <c r="AD886" s="81"/>
      <c r="AE886" s="81" t="b">
        <v>0</v>
      </c>
      <c r="AF886" s="81">
        <v>4</v>
      </c>
      <c r="AG886" s="86" t="s">
        <v>6240</v>
      </c>
      <c r="AH886" s="81" t="b">
        <v>0</v>
      </c>
      <c r="AI886" s="81" t="s">
        <v>6478</v>
      </c>
      <c r="AJ886" s="81"/>
      <c r="AK886" s="86" t="s">
        <v>6240</v>
      </c>
      <c r="AL886" s="81" t="b">
        <v>0</v>
      </c>
      <c r="AM886" s="81">
        <v>2</v>
      </c>
      <c r="AN886" s="86" t="s">
        <v>6240</v>
      </c>
      <c r="AO886" s="86" t="s">
        <v>6503</v>
      </c>
      <c r="AP886" s="81" t="b">
        <v>0</v>
      </c>
      <c r="AQ886" s="86" t="s">
        <v>4934</v>
      </c>
      <c r="AR886" s="81" t="s">
        <v>179</v>
      </c>
      <c r="AS886" s="81">
        <v>0</v>
      </c>
      <c r="AT886" s="81">
        <v>0</v>
      </c>
      <c r="AU886" s="81"/>
      <c r="AV886" s="81"/>
      <c r="AW886" s="81"/>
      <c r="AX886" s="81"/>
      <c r="AY886" s="81"/>
      <c r="AZ886" s="81"/>
      <c r="BA886" s="81"/>
      <c r="BB886" s="81"/>
    </row>
    <row r="887" spans="1:54" x14ac:dyDescent="0.35">
      <c r="A887" s="66" t="s">
        <v>856</v>
      </c>
      <c r="B887" s="66" t="s">
        <v>855</v>
      </c>
      <c r="C887" s="67"/>
      <c r="D887" s="68"/>
      <c r="E887" s="69"/>
      <c r="F887" s="70"/>
      <c r="G887" s="67"/>
      <c r="H887" s="71"/>
      <c r="I887" s="72"/>
      <c r="J887" s="72"/>
      <c r="K887" s="36"/>
      <c r="L887" s="79"/>
      <c r="M887" s="79"/>
      <c r="N887" s="74"/>
      <c r="O887" s="81" t="s">
        <v>1532</v>
      </c>
      <c r="P887" s="83">
        <v>44463.715219907404</v>
      </c>
      <c r="Q887" s="81" t="s">
        <v>1562</v>
      </c>
      <c r="R887" s="81"/>
      <c r="S887" s="81"/>
      <c r="T887" s="81"/>
      <c r="U887" s="84" t="str">
        <f>HYPERLINK("https://pbs.twimg.com/media/E_lvuyPVEAEa3Kn.jpg")</f>
        <v>https://pbs.twimg.com/media/E_lvuyPVEAEa3Kn.jpg</v>
      </c>
      <c r="V887" s="84" t="str">
        <f>HYPERLINK("https://pbs.twimg.com/media/E_lvuyPVEAEa3Kn.jpg")</f>
        <v>https://pbs.twimg.com/media/E_lvuyPVEAEa3Kn.jpg</v>
      </c>
      <c r="W887" s="83">
        <v>44463.715219907404</v>
      </c>
      <c r="X887" s="89">
        <v>44463</v>
      </c>
      <c r="Y887" s="86" t="s">
        <v>3470</v>
      </c>
      <c r="Z887" s="84" t="str">
        <f>HYPERLINK("https://twitter.com/spartanwisata/status/1441449832711741444")</f>
        <v>https://twitter.com/spartanwisata/status/1441449832711741444</v>
      </c>
      <c r="AA887" s="81"/>
      <c r="AB887" s="81"/>
      <c r="AC887" s="86" t="s">
        <v>4935</v>
      </c>
      <c r="AD887" s="81"/>
      <c r="AE887" s="81" t="b">
        <v>0</v>
      </c>
      <c r="AF887" s="81">
        <v>0</v>
      </c>
      <c r="AG887" s="86" t="s">
        <v>6240</v>
      </c>
      <c r="AH887" s="81" t="b">
        <v>0</v>
      </c>
      <c r="AI887" s="81" t="s">
        <v>6478</v>
      </c>
      <c r="AJ887" s="81"/>
      <c r="AK887" s="86" t="s">
        <v>6240</v>
      </c>
      <c r="AL887" s="81" t="b">
        <v>0</v>
      </c>
      <c r="AM887" s="81">
        <v>2</v>
      </c>
      <c r="AN887" s="86" t="s">
        <v>4934</v>
      </c>
      <c r="AO887" s="86" t="s">
        <v>6503</v>
      </c>
      <c r="AP887" s="81" t="b">
        <v>0</v>
      </c>
      <c r="AQ887" s="86" t="s">
        <v>4934</v>
      </c>
      <c r="AR887" s="81" t="s">
        <v>179</v>
      </c>
      <c r="AS887" s="81">
        <v>0</v>
      </c>
      <c r="AT887" s="81">
        <v>0</v>
      </c>
      <c r="AU887" s="81"/>
      <c r="AV887" s="81"/>
      <c r="AW887" s="81"/>
      <c r="AX887" s="81"/>
      <c r="AY887" s="81"/>
      <c r="AZ887" s="81"/>
      <c r="BA887" s="81"/>
      <c r="BB887" s="81"/>
    </row>
    <row r="888" spans="1:54" x14ac:dyDescent="0.35">
      <c r="A888" s="66" t="s">
        <v>857</v>
      </c>
      <c r="B888" s="66" t="s">
        <v>1410</v>
      </c>
      <c r="C888" s="67"/>
      <c r="D888" s="68"/>
      <c r="E888" s="69"/>
      <c r="F888" s="70"/>
      <c r="G888" s="67"/>
      <c r="H888" s="71"/>
      <c r="I888" s="72"/>
      <c r="J888" s="72"/>
      <c r="K888" s="36"/>
      <c r="L888" s="79"/>
      <c r="M888" s="79"/>
      <c r="N888" s="74"/>
      <c r="O888" s="81" t="s">
        <v>1533</v>
      </c>
      <c r="P888" s="83">
        <v>44463.753541666665</v>
      </c>
      <c r="Q888" s="81" t="s">
        <v>1906</v>
      </c>
      <c r="R888" s="81"/>
      <c r="S888" s="81"/>
      <c r="T888" s="86" t="s">
        <v>1413</v>
      </c>
      <c r="U888" s="84" t="str">
        <f>HYPERLINK("https://pbs.twimg.com/media/FAEbG8nUcA0oIOp.jpg")</f>
        <v>https://pbs.twimg.com/media/FAEbG8nUcA0oIOp.jpg</v>
      </c>
      <c r="V888" s="84" t="str">
        <f>HYPERLINK("https://pbs.twimg.com/media/FAEbG8nUcA0oIOp.jpg")</f>
        <v>https://pbs.twimg.com/media/FAEbG8nUcA0oIOp.jpg</v>
      </c>
      <c r="W888" s="83">
        <v>44463.753541666665</v>
      </c>
      <c r="X888" s="89">
        <v>44463</v>
      </c>
      <c r="Y888" s="86" t="s">
        <v>3471</v>
      </c>
      <c r="Z888" s="84" t="str">
        <f>HYPERLINK("https://twitter.com/sohyunjae/status/1441463719179919365")</f>
        <v>https://twitter.com/sohyunjae/status/1441463719179919365</v>
      </c>
      <c r="AA888" s="81"/>
      <c r="AB888" s="81"/>
      <c r="AC888" s="86" t="s">
        <v>4936</v>
      </c>
      <c r="AD888" s="81"/>
      <c r="AE888" s="81" t="b">
        <v>0</v>
      </c>
      <c r="AF888" s="81">
        <v>0</v>
      </c>
      <c r="AG888" s="86" t="s">
        <v>6240</v>
      </c>
      <c r="AH888" s="81" t="b">
        <v>0</v>
      </c>
      <c r="AI888" s="81" t="s">
        <v>6479</v>
      </c>
      <c r="AJ888" s="81"/>
      <c r="AK888" s="86" t="s">
        <v>6240</v>
      </c>
      <c r="AL888" s="81" t="b">
        <v>0</v>
      </c>
      <c r="AM888" s="81">
        <v>5</v>
      </c>
      <c r="AN888" s="86" t="s">
        <v>5113</v>
      </c>
      <c r="AO888" s="86" t="s">
        <v>6505</v>
      </c>
      <c r="AP888" s="81" t="b">
        <v>0</v>
      </c>
      <c r="AQ888" s="86" t="s">
        <v>5113</v>
      </c>
      <c r="AR888" s="81" t="s">
        <v>179</v>
      </c>
      <c r="AS888" s="81">
        <v>0</v>
      </c>
      <c r="AT888" s="81">
        <v>0</v>
      </c>
      <c r="AU888" s="81"/>
      <c r="AV888" s="81"/>
      <c r="AW888" s="81"/>
      <c r="AX888" s="81"/>
      <c r="AY888" s="81"/>
      <c r="AZ888" s="81"/>
      <c r="BA888" s="81"/>
      <c r="BB888" s="81"/>
    </row>
    <row r="889" spans="1:54" x14ac:dyDescent="0.35">
      <c r="A889" s="66" t="s">
        <v>857</v>
      </c>
      <c r="B889" s="66" t="s">
        <v>1411</v>
      </c>
      <c r="C889" s="67"/>
      <c r="D889" s="68"/>
      <c r="E889" s="69"/>
      <c r="F889" s="70"/>
      <c r="G889" s="67"/>
      <c r="H889" s="71"/>
      <c r="I889" s="72"/>
      <c r="J889" s="72"/>
      <c r="K889" s="36"/>
      <c r="L889" s="79"/>
      <c r="M889" s="79"/>
      <c r="N889" s="74"/>
      <c r="O889" s="81" t="s">
        <v>1533</v>
      </c>
      <c r="P889" s="83">
        <v>44463.753541666665</v>
      </c>
      <c r="Q889" s="81" t="s">
        <v>1906</v>
      </c>
      <c r="R889" s="81"/>
      <c r="S889" s="81"/>
      <c r="T889" s="86" t="s">
        <v>1413</v>
      </c>
      <c r="U889" s="84" t="str">
        <f>HYPERLINK("https://pbs.twimg.com/media/FAEbG8nUcA0oIOp.jpg")</f>
        <v>https://pbs.twimg.com/media/FAEbG8nUcA0oIOp.jpg</v>
      </c>
      <c r="V889" s="84" t="str">
        <f>HYPERLINK("https://pbs.twimg.com/media/FAEbG8nUcA0oIOp.jpg")</f>
        <v>https://pbs.twimg.com/media/FAEbG8nUcA0oIOp.jpg</v>
      </c>
      <c r="W889" s="83">
        <v>44463.753541666665</v>
      </c>
      <c r="X889" s="89">
        <v>44463</v>
      </c>
      <c r="Y889" s="86" t="s">
        <v>3471</v>
      </c>
      <c r="Z889" s="84" t="str">
        <f>HYPERLINK("https://twitter.com/sohyunjae/status/1441463719179919365")</f>
        <v>https://twitter.com/sohyunjae/status/1441463719179919365</v>
      </c>
      <c r="AA889" s="81"/>
      <c r="AB889" s="81"/>
      <c r="AC889" s="86" t="s">
        <v>4936</v>
      </c>
      <c r="AD889" s="81"/>
      <c r="AE889" s="81" t="b">
        <v>0</v>
      </c>
      <c r="AF889" s="81">
        <v>0</v>
      </c>
      <c r="AG889" s="86" t="s">
        <v>6240</v>
      </c>
      <c r="AH889" s="81" t="b">
        <v>0</v>
      </c>
      <c r="AI889" s="81" t="s">
        <v>6479</v>
      </c>
      <c r="AJ889" s="81"/>
      <c r="AK889" s="86" t="s">
        <v>6240</v>
      </c>
      <c r="AL889" s="81" t="b">
        <v>0</v>
      </c>
      <c r="AM889" s="81">
        <v>5</v>
      </c>
      <c r="AN889" s="86" t="s">
        <v>5113</v>
      </c>
      <c r="AO889" s="86" t="s">
        <v>6505</v>
      </c>
      <c r="AP889" s="81" t="b">
        <v>0</v>
      </c>
      <c r="AQ889" s="86" t="s">
        <v>5113</v>
      </c>
      <c r="AR889" s="81" t="s">
        <v>179</v>
      </c>
      <c r="AS889" s="81">
        <v>0</v>
      </c>
      <c r="AT889" s="81">
        <v>0</v>
      </c>
      <c r="AU889" s="81"/>
      <c r="AV889" s="81"/>
      <c r="AW889" s="81"/>
      <c r="AX889" s="81"/>
      <c r="AY889" s="81"/>
      <c r="AZ889" s="81"/>
      <c r="BA889" s="81"/>
      <c r="BB889" s="81"/>
    </row>
    <row r="890" spans="1:54" x14ac:dyDescent="0.35">
      <c r="A890" s="66" t="s">
        <v>857</v>
      </c>
      <c r="B890" s="66" t="s">
        <v>1412</v>
      </c>
      <c r="C890" s="67"/>
      <c r="D890" s="68"/>
      <c r="E890" s="69"/>
      <c r="F890" s="70"/>
      <c r="G890" s="67"/>
      <c r="H890" s="71"/>
      <c r="I890" s="72"/>
      <c r="J890" s="72"/>
      <c r="K890" s="36"/>
      <c r="L890" s="79"/>
      <c r="M890" s="79"/>
      <c r="N890" s="74"/>
      <c r="O890" s="81" t="s">
        <v>1533</v>
      </c>
      <c r="P890" s="83">
        <v>44463.753541666665</v>
      </c>
      <c r="Q890" s="81" t="s">
        <v>1906</v>
      </c>
      <c r="R890" s="81"/>
      <c r="S890" s="81"/>
      <c r="T890" s="86" t="s">
        <v>1413</v>
      </c>
      <c r="U890" s="84" t="str">
        <f>HYPERLINK("https://pbs.twimg.com/media/FAEbG8nUcA0oIOp.jpg")</f>
        <v>https://pbs.twimg.com/media/FAEbG8nUcA0oIOp.jpg</v>
      </c>
      <c r="V890" s="84" t="str">
        <f>HYPERLINK("https://pbs.twimg.com/media/FAEbG8nUcA0oIOp.jpg")</f>
        <v>https://pbs.twimg.com/media/FAEbG8nUcA0oIOp.jpg</v>
      </c>
      <c r="W890" s="83">
        <v>44463.753541666665</v>
      </c>
      <c r="X890" s="89">
        <v>44463</v>
      </c>
      <c r="Y890" s="86" t="s">
        <v>3471</v>
      </c>
      <c r="Z890" s="84" t="str">
        <f>HYPERLINK("https://twitter.com/sohyunjae/status/1441463719179919365")</f>
        <v>https://twitter.com/sohyunjae/status/1441463719179919365</v>
      </c>
      <c r="AA890" s="81"/>
      <c r="AB890" s="81"/>
      <c r="AC890" s="86" t="s">
        <v>4936</v>
      </c>
      <c r="AD890" s="81"/>
      <c r="AE890" s="81" t="b">
        <v>0</v>
      </c>
      <c r="AF890" s="81">
        <v>0</v>
      </c>
      <c r="AG890" s="86" t="s">
        <v>6240</v>
      </c>
      <c r="AH890" s="81" t="b">
        <v>0</v>
      </c>
      <c r="AI890" s="81" t="s">
        <v>6479</v>
      </c>
      <c r="AJ890" s="81"/>
      <c r="AK890" s="86" t="s">
        <v>6240</v>
      </c>
      <c r="AL890" s="81" t="b">
        <v>0</v>
      </c>
      <c r="AM890" s="81">
        <v>5</v>
      </c>
      <c r="AN890" s="86" t="s">
        <v>5113</v>
      </c>
      <c r="AO890" s="86" t="s">
        <v>6505</v>
      </c>
      <c r="AP890" s="81" t="b">
        <v>0</v>
      </c>
      <c r="AQ890" s="86" t="s">
        <v>5113</v>
      </c>
      <c r="AR890" s="81" t="s">
        <v>179</v>
      </c>
      <c r="AS890" s="81">
        <v>0</v>
      </c>
      <c r="AT890" s="81">
        <v>0</v>
      </c>
      <c r="AU890" s="81"/>
      <c r="AV890" s="81"/>
      <c r="AW890" s="81"/>
      <c r="AX890" s="81"/>
      <c r="AY890" s="81"/>
      <c r="AZ890" s="81"/>
      <c r="BA890" s="81"/>
      <c r="BB890" s="81"/>
    </row>
    <row r="891" spans="1:54" x14ac:dyDescent="0.35">
      <c r="A891" s="66" t="s">
        <v>857</v>
      </c>
      <c r="B891" s="66" t="s">
        <v>1413</v>
      </c>
      <c r="C891" s="67"/>
      <c r="D891" s="68"/>
      <c r="E891" s="69"/>
      <c r="F891" s="70"/>
      <c r="G891" s="67"/>
      <c r="H891" s="71"/>
      <c r="I891" s="72"/>
      <c r="J891" s="72"/>
      <c r="K891" s="36"/>
      <c r="L891" s="79"/>
      <c r="M891" s="79"/>
      <c r="N891" s="74"/>
      <c r="O891" s="81" t="s">
        <v>1533</v>
      </c>
      <c r="P891" s="83">
        <v>44463.753541666665</v>
      </c>
      <c r="Q891" s="81" t="s">
        <v>1906</v>
      </c>
      <c r="R891" s="81"/>
      <c r="S891" s="81"/>
      <c r="T891" s="86" t="s">
        <v>1413</v>
      </c>
      <c r="U891" s="84" t="str">
        <f>HYPERLINK("https://pbs.twimg.com/media/FAEbG8nUcA0oIOp.jpg")</f>
        <v>https://pbs.twimg.com/media/FAEbG8nUcA0oIOp.jpg</v>
      </c>
      <c r="V891" s="84" t="str">
        <f>HYPERLINK("https://pbs.twimg.com/media/FAEbG8nUcA0oIOp.jpg")</f>
        <v>https://pbs.twimg.com/media/FAEbG8nUcA0oIOp.jpg</v>
      </c>
      <c r="W891" s="83">
        <v>44463.753541666665</v>
      </c>
      <c r="X891" s="89">
        <v>44463</v>
      </c>
      <c r="Y891" s="86" t="s">
        <v>3471</v>
      </c>
      <c r="Z891" s="84" t="str">
        <f>HYPERLINK("https://twitter.com/sohyunjae/status/1441463719179919365")</f>
        <v>https://twitter.com/sohyunjae/status/1441463719179919365</v>
      </c>
      <c r="AA891" s="81"/>
      <c r="AB891" s="81"/>
      <c r="AC891" s="86" t="s">
        <v>4936</v>
      </c>
      <c r="AD891" s="81"/>
      <c r="AE891" s="81" t="b">
        <v>0</v>
      </c>
      <c r="AF891" s="81">
        <v>0</v>
      </c>
      <c r="AG891" s="86" t="s">
        <v>6240</v>
      </c>
      <c r="AH891" s="81" t="b">
        <v>0</v>
      </c>
      <c r="AI891" s="81" t="s">
        <v>6479</v>
      </c>
      <c r="AJ891" s="81"/>
      <c r="AK891" s="86" t="s">
        <v>6240</v>
      </c>
      <c r="AL891" s="81" t="b">
        <v>0</v>
      </c>
      <c r="AM891" s="81">
        <v>5</v>
      </c>
      <c r="AN891" s="86" t="s">
        <v>5113</v>
      </c>
      <c r="AO891" s="86" t="s">
        <v>6505</v>
      </c>
      <c r="AP891" s="81" t="b">
        <v>0</v>
      </c>
      <c r="AQ891" s="86" t="s">
        <v>5113</v>
      </c>
      <c r="AR891" s="81" t="s">
        <v>179</v>
      </c>
      <c r="AS891" s="81">
        <v>0</v>
      </c>
      <c r="AT891" s="81">
        <v>0</v>
      </c>
      <c r="AU891" s="81"/>
      <c r="AV891" s="81"/>
      <c r="AW891" s="81"/>
      <c r="AX891" s="81"/>
      <c r="AY891" s="81"/>
      <c r="AZ891" s="81"/>
      <c r="BA891" s="81"/>
      <c r="BB891" s="81"/>
    </row>
    <row r="892" spans="1:54" x14ac:dyDescent="0.35">
      <c r="A892" s="66" t="s">
        <v>857</v>
      </c>
      <c r="B892" s="66" t="s">
        <v>990</v>
      </c>
      <c r="C892" s="67"/>
      <c r="D892" s="68"/>
      <c r="E892" s="69"/>
      <c r="F892" s="70"/>
      <c r="G892" s="67"/>
      <c r="H892" s="71"/>
      <c r="I892" s="72"/>
      <c r="J892" s="72"/>
      <c r="K892" s="36"/>
      <c r="L892" s="79"/>
      <c r="M892" s="79"/>
      <c r="N892" s="74"/>
      <c r="O892" s="81" t="s">
        <v>1532</v>
      </c>
      <c r="P892" s="83">
        <v>44463.753541666665</v>
      </c>
      <c r="Q892" s="81" t="s">
        <v>1906</v>
      </c>
      <c r="R892" s="81"/>
      <c r="S892" s="81"/>
      <c r="T892" s="86" t="s">
        <v>1413</v>
      </c>
      <c r="U892" s="84" t="str">
        <f>HYPERLINK("https://pbs.twimg.com/media/FAEbG8nUcA0oIOp.jpg")</f>
        <v>https://pbs.twimg.com/media/FAEbG8nUcA0oIOp.jpg</v>
      </c>
      <c r="V892" s="84" t="str">
        <f>HYPERLINK("https://pbs.twimg.com/media/FAEbG8nUcA0oIOp.jpg")</f>
        <v>https://pbs.twimg.com/media/FAEbG8nUcA0oIOp.jpg</v>
      </c>
      <c r="W892" s="83">
        <v>44463.753541666665</v>
      </c>
      <c r="X892" s="89">
        <v>44463</v>
      </c>
      <c r="Y892" s="86" t="s">
        <v>3471</v>
      </c>
      <c r="Z892" s="84" t="str">
        <f>HYPERLINK("https://twitter.com/sohyunjae/status/1441463719179919365")</f>
        <v>https://twitter.com/sohyunjae/status/1441463719179919365</v>
      </c>
      <c r="AA892" s="81"/>
      <c r="AB892" s="81"/>
      <c r="AC892" s="86" t="s">
        <v>4936</v>
      </c>
      <c r="AD892" s="81"/>
      <c r="AE892" s="81" t="b">
        <v>0</v>
      </c>
      <c r="AF892" s="81">
        <v>0</v>
      </c>
      <c r="AG892" s="86" t="s">
        <v>6240</v>
      </c>
      <c r="AH892" s="81" t="b">
        <v>0</v>
      </c>
      <c r="AI892" s="81" t="s">
        <v>6479</v>
      </c>
      <c r="AJ892" s="81"/>
      <c r="AK892" s="86" t="s">
        <v>6240</v>
      </c>
      <c r="AL892" s="81" t="b">
        <v>0</v>
      </c>
      <c r="AM892" s="81">
        <v>5</v>
      </c>
      <c r="AN892" s="86" t="s">
        <v>5113</v>
      </c>
      <c r="AO892" s="86" t="s">
        <v>6505</v>
      </c>
      <c r="AP892" s="81" t="b">
        <v>0</v>
      </c>
      <c r="AQ892" s="86" t="s">
        <v>5113</v>
      </c>
      <c r="AR892" s="81" t="s">
        <v>179</v>
      </c>
      <c r="AS892" s="81">
        <v>0</v>
      </c>
      <c r="AT892" s="81">
        <v>0</v>
      </c>
      <c r="AU892" s="81"/>
      <c r="AV892" s="81"/>
      <c r="AW892" s="81"/>
      <c r="AX892" s="81"/>
      <c r="AY892" s="81"/>
      <c r="AZ892" s="81"/>
      <c r="BA892" s="81"/>
      <c r="BB892" s="81"/>
    </row>
    <row r="893" spans="1:54" x14ac:dyDescent="0.35">
      <c r="A893" s="66" t="s">
        <v>857</v>
      </c>
      <c r="B893" s="66" t="s">
        <v>1410</v>
      </c>
      <c r="C893" s="67"/>
      <c r="D893" s="68"/>
      <c r="E893" s="69"/>
      <c r="F893" s="70"/>
      <c r="G893" s="67"/>
      <c r="H893" s="71"/>
      <c r="I893" s="72"/>
      <c r="J893" s="72"/>
      <c r="K893" s="36"/>
      <c r="L893" s="79"/>
      <c r="M893" s="79"/>
      <c r="N893" s="74"/>
      <c r="O893" s="81" t="s">
        <v>1533</v>
      </c>
      <c r="P893" s="83">
        <v>44463.753576388888</v>
      </c>
      <c r="Q893" s="81" t="s">
        <v>1907</v>
      </c>
      <c r="R893" s="81"/>
      <c r="S893" s="81"/>
      <c r="T893" s="86" t="s">
        <v>1413</v>
      </c>
      <c r="U893" s="84" t="str">
        <f>HYPERLINK("https://pbs.twimg.com/media/FAEbDOhVUAIE92y.jpg")</f>
        <v>https://pbs.twimg.com/media/FAEbDOhVUAIE92y.jpg</v>
      </c>
      <c r="V893" s="84" t="str">
        <f>HYPERLINK("https://pbs.twimg.com/media/FAEbDOhVUAIE92y.jpg")</f>
        <v>https://pbs.twimg.com/media/FAEbDOhVUAIE92y.jpg</v>
      </c>
      <c r="W893" s="83">
        <v>44463.753576388888</v>
      </c>
      <c r="X893" s="89">
        <v>44463</v>
      </c>
      <c r="Y893" s="86" t="s">
        <v>3472</v>
      </c>
      <c r="Z893" s="84" t="str">
        <f>HYPERLINK("https://twitter.com/sohyunjae/status/1441463731431436295")</f>
        <v>https://twitter.com/sohyunjae/status/1441463731431436295</v>
      </c>
      <c r="AA893" s="81"/>
      <c r="AB893" s="81"/>
      <c r="AC893" s="86" t="s">
        <v>4937</v>
      </c>
      <c r="AD893" s="81"/>
      <c r="AE893" s="81" t="b">
        <v>0</v>
      </c>
      <c r="AF893" s="81">
        <v>0</v>
      </c>
      <c r="AG893" s="86" t="s">
        <v>6240</v>
      </c>
      <c r="AH893" s="81" t="b">
        <v>0</v>
      </c>
      <c r="AI893" s="81" t="s">
        <v>6479</v>
      </c>
      <c r="AJ893" s="81"/>
      <c r="AK893" s="86" t="s">
        <v>6240</v>
      </c>
      <c r="AL893" s="81" t="b">
        <v>0</v>
      </c>
      <c r="AM893" s="81">
        <v>5</v>
      </c>
      <c r="AN893" s="86" t="s">
        <v>5112</v>
      </c>
      <c r="AO893" s="86" t="s">
        <v>6505</v>
      </c>
      <c r="AP893" s="81" t="b">
        <v>0</v>
      </c>
      <c r="AQ893" s="86" t="s">
        <v>5112</v>
      </c>
      <c r="AR893" s="81" t="s">
        <v>179</v>
      </c>
      <c r="AS893" s="81">
        <v>0</v>
      </c>
      <c r="AT893" s="81">
        <v>0</v>
      </c>
      <c r="AU893" s="81"/>
      <c r="AV893" s="81"/>
      <c r="AW893" s="81"/>
      <c r="AX893" s="81"/>
      <c r="AY893" s="81"/>
      <c r="AZ893" s="81"/>
      <c r="BA893" s="81"/>
      <c r="BB893" s="81"/>
    </row>
    <row r="894" spans="1:54" x14ac:dyDescent="0.35">
      <c r="A894" s="66" t="s">
        <v>857</v>
      </c>
      <c r="B894" s="66" t="s">
        <v>1411</v>
      </c>
      <c r="C894" s="67"/>
      <c r="D894" s="68"/>
      <c r="E894" s="69"/>
      <c r="F894" s="70"/>
      <c r="G894" s="67"/>
      <c r="H894" s="71"/>
      <c r="I894" s="72"/>
      <c r="J894" s="72"/>
      <c r="K894" s="36"/>
      <c r="L894" s="79"/>
      <c r="M894" s="79"/>
      <c r="N894" s="74"/>
      <c r="O894" s="81" t="s">
        <v>1533</v>
      </c>
      <c r="P894" s="83">
        <v>44463.753576388888</v>
      </c>
      <c r="Q894" s="81" t="s">
        <v>1907</v>
      </c>
      <c r="R894" s="81"/>
      <c r="S894" s="81"/>
      <c r="T894" s="86" t="s">
        <v>1413</v>
      </c>
      <c r="U894" s="84" t="str">
        <f>HYPERLINK("https://pbs.twimg.com/media/FAEbDOhVUAIE92y.jpg")</f>
        <v>https://pbs.twimg.com/media/FAEbDOhVUAIE92y.jpg</v>
      </c>
      <c r="V894" s="84" t="str">
        <f>HYPERLINK("https://pbs.twimg.com/media/FAEbDOhVUAIE92y.jpg")</f>
        <v>https://pbs.twimg.com/media/FAEbDOhVUAIE92y.jpg</v>
      </c>
      <c r="W894" s="83">
        <v>44463.753576388888</v>
      </c>
      <c r="X894" s="89">
        <v>44463</v>
      </c>
      <c r="Y894" s="86" t="s">
        <v>3472</v>
      </c>
      <c r="Z894" s="84" t="str">
        <f>HYPERLINK("https://twitter.com/sohyunjae/status/1441463731431436295")</f>
        <v>https://twitter.com/sohyunjae/status/1441463731431436295</v>
      </c>
      <c r="AA894" s="81"/>
      <c r="AB894" s="81"/>
      <c r="AC894" s="86" t="s">
        <v>4937</v>
      </c>
      <c r="AD894" s="81"/>
      <c r="AE894" s="81" t="b">
        <v>0</v>
      </c>
      <c r="AF894" s="81">
        <v>0</v>
      </c>
      <c r="AG894" s="86" t="s">
        <v>6240</v>
      </c>
      <c r="AH894" s="81" t="b">
        <v>0</v>
      </c>
      <c r="AI894" s="81" t="s">
        <v>6479</v>
      </c>
      <c r="AJ894" s="81"/>
      <c r="AK894" s="86" t="s">
        <v>6240</v>
      </c>
      <c r="AL894" s="81" t="b">
        <v>0</v>
      </c>
      <c r="AM894" s="81">
        <v>5</v>
      </c>
      <c r="AN894" s="86" t="s">
        <v>5112</v>
      </c>
      <c r="AO894" s="86" t="s">
        <v>6505</v>
      </c>
      <c r="AP894" s="81" t="b">
        <v>0</v>
      </c>
      <c r="AQ894" s="86" t="s">
        <v>5112</v>
      </c>
      <c r="AR894" s="81" t="s">
        <v>179</v>
      </c>
      <c r="AS894" s="81">
        <v>0</v>
      </c>
      <c r="AT894" s="81">
        <v>0</v>
      </c>
      <c r="AU894" s="81"/>
      <c r="AV894" s="81"/>
      <c r="AW894" s="81"/>
      <c r="AX894" s="81"/>
      <c r="AY894" s="81"/>
      <c r="AZ894" s="81"/>
      <c r="BA894" s="81"/>
      <c r="BB894" s="81"/>
    </row>
    <row r="895" spans="1:54" x14ac:dyDescent="0.35">
      <c r="A895" s="66" t="s">
        <v>857</v>
      </c>
      <c r="B895" s="66" t="s">
        <v>1412</v>
      </c>
      <c r="C895" s="67"/>
      <c r="D895" s="68"/>
      <c r="E895" s="69"/>
      <c r="F895" s="70"/>
      <c r="G895" s="67"/>
      <c r="H895" s="71"/>
      <c r="I895" s="72"/>
      <c r="J895" s="72"/>
      <c r="K895" s="36"/>
      <c r="L895" s="79"/>
      <c r="M895" s="79"/>
      <c r="N895" s="74"/>
      <c r="O895" s="81" t="s">
        <v>1533</v>
      </c>
      <c r="P895" s="83">
        <v>44463.753576388888</v>
      </c>
      <c r="Q895" s="81" t="s">
        <v>1907</v>
      </c>
      <c r="R895" s="81"/>
      <c r="S895" s="81"/>
      <c r="T895" s="86" t="s">
        <v>1413</v>
      </c>
      <c r="U895" s="84" t="str">
        <f>HYPERLINK("https://pbs.twimg.com/media/FAEbDOhVUAIE92y.jpg")</f>
        <v>https://pbs.twimg.com/media/FAEbDOhVUAIE92y.jpg</v>
      </c>
      <c r="V895" s="84" t="str">
        <f>HYPERLINK("https://pbs.twimg.com/media/FAEbDOhVUAIE92y.jpg")</f>
        <v>https://pbs.twimg.com/media/FAEbDOhVUAIE92y.jpg</v>
      </c>
      <c r="W895" s="83">
        <v>44463.753576388888</v>
      </c>
      <c r="X895" s="89">
        <v>44463</v>
      </c>
      <c r="Y895" s="86" t="s">
        <v>3472</v>
      </c>
      <c r="Z895" s="84" t="str">
        <f>HYPERLINK("https://twitter.com/sohyunjae/status/1441463731431436295")</f>
        <v>https://twitter.com/sohyunjae/status/1441463731431436295</v>
      </c>
      <c r="AA895" s="81"/>
      <c r="AB895" s="81"/>
      <c r="AC895" s="86" t="s">
        <v>4937</v>
      </c>
      <c r="AD895" s="81"/>
      <c r="AE895" s="81" t="b">
        <v>0</v>
      </c>
      <c r="AF895" s="81">
        <v>0</v>
      </c>
      <c r="AG895" s="86" t="s">
        <v>6240</v>
      </c>
      <c r="AH895" s="81" t="b">
        <v>0</v>
      </c>
      <c r="AI895" s="81" t="s">
        <v>6479</v>
      </c>
      <c r="AJ895" s="81"/>
      <c r="AK895" s="86" t="s">
        <v>6240</v>
      </c>
      <c r="AL895" s="81" t="b">
        <v>0</v>
      </c>
      <c r="AM895" s="81">
        <v>5</v>
      </c>
      <c r="AN895" s="86" t="s">
        <v>5112</v>
      </c>
      <c r="AO895" s="86" t="s">
        <v>6505</v>
      </c>
      <c r="AP895" s="81" t="b">
        <v>0</v>
      </c>
      <c r="AQ895" s="86" t="s">
        <v>5112</v>
      </c>
      <c r="AR895" s="81" t="s">
        <v>179</v>
      </c>
      <c r="AS895" s="81">
        <v>0</v>
      </c>
      <c r="AT895" s="81">
        <v>0</v>
      </c>
      <c r="AU895" s="81"/>
      <c r="AV895" s="81"/>
      <c r="AW895" s="81"/>
      <c r="AX895" s="81"/>
      <c r="AY895" s="81"/>
      <c r="AZ895" s="81"/>
      <c r="BA895" s="81"/>
      <c r="BB895" s="81"/>
    </row>
    <row r="896" spans="1:54" x14ac:dyDescent="0.35">
      <c r="A896" s="66" t="s">
        <v>857</v>
      </c>
      <c r="B896" s="66" t="s">
        <v>1413</v>
      </c>
      <c r="C896" s="67"/>
      <c r="D896" s="68"/>
      <c r="E896" s="69"/>
      <c r="F896" s="70"/>
      <c r="G896" s="67"/>
      <c r="H896" s="71"/>
      <c r="I896" s="72"/>
      <c r="J896" s="72"/>
      <c r="K896" s="36"/>
      <c r="L896" s="79"/>
      <c r="M896" s="79"/>
      <c r="N896" s="74"/>
      <c r="O896" s="81" t="s">
        <v>1533</v>
      </c>
      <c r="P896" s="83">
        <v>44463.753576388888</v>
      </c>
      <c r="Q896" s="81" t="s">
        <v>1907</v>
      </c>
      <c r="R896" s="81"/>
      <c r="S896" s="81"/>
      <c r="T896" s="86" t="s">
        <v>1413</v>
      </c>
      <c r="U896" s="84" t="str">
        <f>HYPERLINK("https://pbs.twimg.com/media/FAEbDOhVUAIE92y.jpg")</f>
        <v>https://pbs.twimg.com/media/FAEbDOhVUAIE92y.jpg</v>
      </c>
      <c r="V896" s="84" t="str">
        <f>HYPERLINK("https://pbs.twimg.com/media/FAEbDOhVUAIE92y.jpg")</f>
        <v>https://pbs.twimg.com/media/FAEbDOhVUAIE92y.jpg</v>
      </c>
      <c r="W896" s="83">
        <v>44463.753576388888</v>
      </c>
      <c r="X896" s="89">
        <v>44463</v>
      </c>
      <c r="Y896" s="86" t="s">
        <v>3472</v>
      </c>
      <c r="Z896" s="84" t="str">
        <f>HYPERLINK("https://twitter.com/sohyunjae/status/1441463731431436295")</f>
        <v>https://twitter.com/sohyunjae/status/1441463731431436295</v>
      </c>
      <c r="AA896" s="81"/>
      <c r="AB896" s="81"/>
      <c r="AC896" s="86" t="s">
        <v>4937</v>
      </c>
      <c r="AD896" s="81"/>
      <c r="AE896" s="81" t="b">
        <v>0</v>
      </c>
      <c r="AF896" s="81">
        <v>0</v>
      </c>
      <c r="AG896" s="86" t="s">
        <v>6240</v>
      </c>
      <c r="AH896" s="81" t="b">
        <v>0</v>
      </c>
      <c r="AI896" s="81" t="s">
        <v>6479</v>
      </c>
      <c r="AJ896" s="81"/>
      <c r="AK896" s="86" t="s">
        <v>6240</v>
      </c>
      <c r="AL896" s="81" t="b">
        <v>0</v>
      </c>
      <c r="AM896" s="81">
        <v>5</v>
      </c>
      <c r="AN896" s="86" t="s">
        <v>5112</v>
      </c>
      <c r="AO896" s="86" t="s">
        <v>6505</v>
      </c>
      <c r="AP896" s="81" t="b">
        <v>0</v>
      </c>
      <c r="AQ896" s="86" t="s">
        <v>5112</v>
      </c>
      <c r="AR896" s="81" t="s">
        <v>179</v>
      </c>
      <c r="AS896" s="81">
        <v>0</v>
      </c>
      <c r="AT896" s="81">
        <v>0</v>
      </c>
      <c r="AU896" s="81"/>
      <c r="AV896" s="81"/>
      <c r="AW896" s="81"/>
      <c r="AX896" s="81"/>
      <c r="AY896" s="81"/>
      <c r="AZ896" s="81"/>
      <c r="BA896" s="81"/>
      <c r="BB896" s="81"/>
    </row>
    <row r="897" spans="1:54" x14ac:dyDescent="0.35">
      <c r="A897" s="66" t="s">
        <v>857</v>
      </c>
      <c r="B897" s="66" t="s">
        <v>990</v>
      </c>
      <c r="C897" s="67"/>
      <c r="D897" s="68"/>
      <c r="E897" s="69"/>
      <c r="F897" s="70"/>
      <c r="G897" s="67"/>
      <c r="H897" s="71"/>
      <c r="I897" s="72"/>
      <c r="J897" s="72"/>
      <c r="K897" s="36"/>
      <c r="L897" s="79"/>
      <c r="M897" s="79"/>
      <c r="N897" s="74"/>
      <c r="O897" s="81" t="s">
        <v>1532</v>
      </c>
      <c r="P897" s="83">
        <v>44463.753576388888</v>
      </c>
      <c r="Q897" s="81" t="s">
        <v>1907</v>
      </c>
      <c r="R897" s="81"/>
      <c r="S897" s="81"/>
      <c r="T897" s="86" t="s">
        <v>1413</v>
      </c>
      <c r="U897" s="84" t="str">
        <f>HYPERLINK("https://pbs.twimg.com/media/FAEbDOhVUAIE92y.jpg")</f>
        <v>https://pbs.twimg.com/media/FAEbDOhVUAIE92y.jpg</v>
      </c>
      <c r="V897" s="84" t="str">
        <f>HYPERLINK("https://pbs.twimg.com/media/FAEbDOhVUAIE92y.jpg")</f>
        <v>https://pbs.twimg.com/media/FAEbDOhVUAIE92y.jpg</v>
      </c>
      <c r="W897" s="83">
        <v>44463.753576388888</v>
      </c>
      <c r="X897" s="89">
        <v>44463</v>
      </c>
      <c r="Y897" s="86" t="s">
        <v>3472</v>
      </c>
      <c r="Z897" s="84" t="str">
        <f>HYPERLINK("https://twitter.com/sohyunjae/status/1441463731431436295")</f>
        <v>https://twitter.com/sohyunjae/status/1441463731431436295</v>
      </c>
      <c r="AA897" s="81"/>
      <c r="AB897" s="81"/>
      <c r="AC897" s="86" t="s">
        <v>4937</v>
      </c>
      <c r="AD897" s="81"/>
      <c r="AE897" s="81" t="b">
        <v>0</v>
      </c>
      <c r="AF897" s="81">
        <v>0</v>
      </c>
      <c r="AG897" s="86" t="s">
        <v>6240</v>
      </c>
      <c r="AH897" s="81" t="b">
        <v>0</v>
      </c>
      <c r="AI897" s="81" t="s">
        <v>6479</v>
      </c>
      <c r="AJ897" s="81"/>
      <c r="AK897" s="86" t="s">
        <v>6240</v>
      </c>
      <c r="AL897" s="81" t="b">
        <v>0</v>
      </c>
      <c r="AM897" s="81">
        <v>5</v>
      </c>
      <c r="AN897" s="86" t="s">
        <v>5112</v>
      </c>
      <c r="AO897" s="86" t="s">
        <v>6505</v>
      </c>
      <c r="AP897" s="81" t="b">
        <v>0</v>
      </c>
      <c r="AQ897" s="86" t="s">
        <v>5112</v>
      </c>
      <c r="AR897" s="81" t="s">
        <v>179</v>
      </c>
      <c r="AS897" s="81">
        <v>0</v>
      </c>
      <c r="AT897" s="81">
        <v>0</v>
      </c>
      <c r="AU897" s="81"/>
      <c r="AV897" s="81"/>
      <c r="AW897" s="81"/>
      <c r="AX897" s="81"/>
      <c r="AY897" s="81"/>
      <c r="AZ897" s="81"/>
      <c r="BA897" s="81"/>
      <c r="BB897" s="81"/>
    </row>
    <row r="898" spans="1:54" x14ac:dyDescent="0.35">
      <c r="A898" s="66" t="s">
        <v>857</v>
      </c>
      <c r="B898" s="66" t="s">
        <v>1410</v>
      </c>
      <c r="C898" s="67"/>
      <c r="D898" s="68"/>
      <c r="E898" s="69"/>
      <c r="F898" s="70"/>
      <c r="G898" s="67"/>
      <c r="H898" s="71"/>
      <c r="I898" s="72"/>
      <c r="J898" s="72"/>
      <c r="K898" s="36"/>
      <c r="L898" s="79"/>
      <c r="M898" s="79"/>
      <c r="N898" s="74"/>
      <c r="O898" s="81" t="s">
        <v>1533</v>
      </c>
      <c r="P898" s="83">
        <v>44463.753622685188</v>
      </c>
      <c r="Q898" s="81" t="s">
        <v>1908</v>
      </c>
      <c r="R898" s="81"/>
      <c r="S898" s="81"/>
      <c r="T898" s="86" t="s">
        <v>1413</v>
      </c>
      <c r="U898" s="84" t="str">
        <f>HYPERLINK("https://pbs.twimg.com/media/FAEa_mFUYAcoKUu.jpg")</f>
        <v>https://pbs.twimg.com/media/FAEa_mFUYAcoKUu.jpg</v>
      </c>
      <c r="V898" s="84" t="str">
        <f>HYPERLINK("https://pbs.twimg.com/media/FAEa_mFUYAcoKUu.jpg")</f>
        <v>https://pbs.twimg.com/media/FAEa_mFUYAcoKUu.jpg</v>
      </c>
      <c r="W898" s="83">
        <v>44463.753622685188</v>
      </c>
      <c r="X898" s="89">
        <v>44463</v>
      </c>
      <c r="Y898" s="86" t="s">
        <v>3473</v>
      </c>
      <c r="Z898" s="84" t="str">
        <f>HYPERLINK("https://twitter.com/sohyunjae/status/1441463748288385024")</f>
        <v>https://twitter.com/sohyunjae/status/1441463748288385024</v>
      </c>
      <c r="AA898" s="81"/>
      <c r="AB898" s="81"/>
      <c r="AC898" s="86" t="s">
        <v>4938</v>
      </c>
      <c r="AD898" s="81"/>
      <c r="AE898" s="81" t="b">
        <v>0</v>
      </c>
      <c r="AF898" s="81">
        <v>0</v>
      </c>
      <c r="AG898" s="86" t="s">
        <v>6240</v>
      </c>
      <c r="AH898" s="81" t="b">
        <v>0</v>
      </c>
      <c r="AI898" s="81" t="s">
        <v>6479</v>
      </c>
      <c r="AJ898" s="81"/>
      <c r="AK898" s="86" t="s">
        <v>6240</v>
      </c>
      <c r="AL898" s="81" t="b">
        <v>0</v>
      </c>
      <c r="AM898" s="81">
        <v>23</v>
      </c>
      <c r="AN898" s="86" t="s">
        <v>5111</v>
      </c>
      <c r="AO898" s="86" t="s">
        <v>6505</v>
      </c>
      <c r="AP898" s="81" t="b">
        <v>0</v>
      </c>
      <c r="AQ898" s="86" t="s">
        <v>5111</v>
      </c>
      <c r="AR898" s="81" t="s">
        <v>179</v>
      </c>
      <c r="AS898" s="81">
        <v>0</v>
      </c>
      <c r="AT898" s="81">
        <v>0</v>
      </c>
      <c r="AU898" s="81"/>
      <c r="AV898" s="81"/>
      <c r="AW898" s="81"/>
      <c r="AX898" s="81"/>
      <c r="AY898" s="81"/>
      <c r="AZ898" s="81"/>
      <c r="BA898" s="81"/>
      <c r="BB898" s="81"/>
    </row>
    <row r="899" spans="1:54" x14ac:dyDescent="0.35">
      <c r="A899" s="66" t="s">
        <v>857</v>
      </c>
      <c r="B899" s="66" t="s">
        <v>1411</v>
      </c>
      <c r="C899" s="67"/>
      <c r="D899" s="68"/>
      <c r="E899" s="69"/>
      <c r="F899" s="70"/>
      <c r="G899" s="67"/>
      <c r="H899" s="71"/>
      <c r="I899" s="72"/>
      <c r="J899" s="72"/>
      <c r="K899" s="36"/>
      <c r="L899" s="79"/>
      <c r="M899" s="79"/>
      <c r="N899" s="74"/>
      <c r="O899" s="81" t="s">
        <v>1533</v>
      </c>
      <c r="P899" s="83">
        <v>44463.753622685188</v>
      </c>
      <c r="Q899" s="81" t="s">
        <v>1908</v>
      </c>
      <c r="R899" s="81"/>
      <c r="S899" s="81"/>
      <c r="T899" s="86" t="s">
        <v>1413</v>
      </c>
      <c r="U899" s="84" t="str">
        <f>HYPERLINK("https://pbs.twimg.com/media/FAEa_mFUYAcoKUu.jpg")</f>
        <v>https://pbs.twimg.com/media/FAEa_mFUYAcoKUu.jpg</v>
      </c>
      <c r="V899" s="84" t="str">
        <f>HYPERLINK("https://pbs.twimg.com/media/FAEa_mFUYAcoKUu.jpg")</f>
        <v>https://pbs.twimg.com/media/FAEa_mFUYAcoKUu.jpg</v>
      </c>
      <c r="W899" s="83">
        <v>44463.753622685188</v>
      </c>
      <c r="X899" s="89">
        <v>44463</v>
      </c>
      <c r="Y899" s="86" t="s">
        <v>3473</v>
      </c>
      <c r="Z899" s="84" t="str">
        <f>HYPERLINK("https://twitter.com/sohyunjae/status/1441463748288385024")</f>
        <v>https://twitter.com/sohyunjae/status/1441463748288385024</v>
      </c>
      <c r="AA899" s="81"/>
      <c r="AB899" s="81"/>
      <c r="AC899" s="86" t="s">
        <v>4938</v>
      </c>
      <c r="AD899" s="81"/>
      <c r="AE899" s="81" t="b">
        <v>0</v>
      </c>
      <c r="AF899" s="81">
        <v>0</v>
      </c>
      <c r="AG899" s="86" t="s">
        <v>6240</v>
      </c>
      <c r="AH899" s="81" t="b">
        <v>0</v>
      </c>
      <c r="AI899" s="81" t="s">
        <v>6479</v>
      </c>
      <c r="AJ899" s="81"/>
      <c r="AK899" s="86" t="s">
        <v>6240</v>
      </c>
      <c r="AL899" s="81" t="b">
        <v>0</v>
      </c>
      <c r="AM899" s="81">
        <v>23</v>
      </c>
      <c r="AN899" s="86" t="s">
        <v>5111</v>
      </c>
      <c r="AO899" s="86" t="s">
        <v>6505</v>
      </c>
      <c r="AP899" s="81" t="b">
        <v>0</v>
      </c>
      <c r="AQ899" s="86" t="s">
        <v>5111</v>
      </c>
      <c r="AR899" s="81" t="s">
        <v>179</v>
      </c>
      <c r="AS899" s="81">
        <v>0</v>
      </c>
      <c r="AT899" s="81">
        <v>0</v>
      </c>
      <c r="AU899" s="81"/>
      <c r="AV899" s="81"/>
      <c r="AW899" s="81"/>
      <c r="AX899" s="81"/>
      <c r="AY899" s="81"/>
      <c r="AZ899" s="81"/>
      <c r="BA899" s="81"/>
      <c r="BB899" s="81"/>
    </row>
    <row r="900" spans="1:54" x14ac:dyDescent="0.35">
      <c r="A900" s="66" t="s">
        <v>857</v>
      </c>
      <c r="B900" s="66" t="s">
        <v>1412</v>
      </c>
      <c r="C900" s="67"/>
      <c r="D900" s="68"/>
      <c r="E900" s="69"/>
      <c r="F900" s="70"/>
      <c r="G900" s="67"/>
      <c r="H900" s="71"/>
      <c r="I900" s="72"/>
      <c r="J900" s="72"/>
      <c r="K900" s="36"/>
      <c r="L900" s="79"/>
      <c r="M900" s="79"/>
      <c r="N900" s="74"/>
      <c r="O900" s="81" t="s">
        <v>1533</v>
      </c>
      <c r="P900" s="83">
        <v>44463.753622685188</v>
      </c>
      <c r="Q900" s="81" t="s">
        <v>1908</v>
      </c>
      <c r="R900" s="81"/>
      <c r="S900" s="81"/>
      <c r="T900" s="86" t="s">
        <v>1413</v>
      </c>
      <c r="U900" s="84" t="str">
        <f>HYPERLINK("https://pbs.twimg.com/media/FAEa_mFUYAcoKUu.jpg")</f>
        <v>https://pbs.twimg.com/media/FAEa_mFUYAcoKUu.jpg</v>
      </c>
      <c r="V900" s="84" t="str">
        <f>HYPERLINK("https://pbs.twimg.com/media/FAEa_mFUYAcoKUu.jpg")</f>
        <v>https://pbs.twimg.com/media/FAEa_mFUYAcoKUu.jpg</v>
      </c>
      <c r="W900" s="83">
        <v>44463.753622685188</v>
      </c>
      <c r="X900" s="89">
        <v>44463</v>
      </c>
      <c r="Y900" s="86" t="s">
        <v>3473</v>
      </c>
      <c r="Z900" s="84" t="str">
        <f>HYPERLINK("https://twitter.com/sohyunjae/status/1441463748288385024")</f>
        <v>https://twitter.com/sohyunjae/status/1441463748288385024</v>
      </c>
      <c r="AA900" s="81"/>
      <c r="AB900" s="81"/>
      <c r="AC900" s="86" t="s">
        <v>4938</v>
      </c>
      <c r="AD900" s="81"/>
      <c r="AE900" s="81" t="b">
        <v>0</v>
      </c>
      <c r="AF900" s="81">
        <v>0</v>
      </c>
      <c r="AG900" s="86" t="s">
        <v>6240</v>
      </c>
      <c r="AH900" s="81" t="b">
        <v>0</v>
      </c>
      <c r="AI900" s="81" t="s">
        <v>6479</v>
      </c>
      <c r="AJ900" s="81"/>
      <c r="AK900" s="86" t="s">
        <v>6240</v>
      </c>
      <c r="AL900" s="81" t="b">
        <v>0</v>
      </c>
      <c r="AM900" s="81">
        <v>23</v>
      </c>
      <c r="AN900" s="86" t="s">
        <v>5111</v>
      </c>
      <c r="AO900" s="86" t="s">
        <v>6505</v>
      </c>
      <c r="AP900" s="81" t="b">
        <v>0</v>
      </c>
      <c r="AQ900" s="86" t="s">
        <v>5111</v>
      </c>
      <c r="AR900" s="81" t="s">
        <v>179</v>
      </c>
      <c r="AS900" s="81">
        <v>0</v>
      </c>
      <c r="AT900" s="81">
        <v>0</v>
      </c>
      <c r="AU900" s="81"/>
      <c r="AV900" s="81"/>
      <c r="AW900" s="81"/>
      <c r="AX900" s="81"/>
      <c r="AY900" s="81"/>
      <c r="AZ900" s="81"/>
      <c r="BA900" s="81"/>
      <c r="BB900" s="81"/>
    </row>
    <row r="901" spans="1:54" x14ac:dyDescent="0.35">
      <c r="A901" s="66" t="s">
        <v>857</v>
      </c>
      <c r="B901" s="66" t="s">
        <v>1413</v>
      </c>
      <c r="C901" s="67"/>
      <c r="D901" s="68"/>
      <c r="E901" s="69"/>
      <c r="F901" s="70"/>
      <c r="G901" s="67"/>
      <c r="H901" s="71"/>
      <c r="I901" s="72"/>
      <c r="J901" s="72"/>
      <c r="K901" s="36"/>
      <c r="L901" s="79"/>
      <c r="M901" s="79"/>
      <c r="N901" s="74"/>
      <c r="O901" s="81" t="s">
        <v>1533</v>
      </c>
      <c r="P901" s="83">
        <v>44463.753622685188</v>
      </c>
      <c r="Q901" s="81" t="s">
        <v>1908</v>
      </c>
      <c r="R901" s="81"/>
      <c r="S901" s="81"/>
      <c r="T901" s="86" t="s">
        <v>1413</v>
      </c>
      <c r="U901" s="84" t="str">
        <f>HYPERLINK("https://pbs.twimg.com/media/FAEa_mFUYAcoKUu.jpg")</f>
        <v>https://pbs.twimg.com/media/FAEa_mFUYAcoKUu.jpg</v>
      </c>
      <c r="V901" s="84" t="str">
        <f>HYPERLINK("https://pbs.twimg.com/media/FAEa_mFUYAcoKUu.jpg")</f>
        <v>https://pbs.twimg.com/media/FAEa_mFUYAcoKUu.jpg</v>
      </c>
      <c r="W901" s="83">
        <v>44463.753622685188</v>
      </c>
      <c r="X901" s="89">
        <v>44463</v>
      </c>
      <c r="Y901" s="86" t="s">
        <v>3473</v>
      </c>
      <c r="Z901" s="84" t="str">
        <f>HYPERLINK("https://twitter.com/sohyunjae/status/1441463748288385024")</f>
        <v>https://twitter.com/sohyunjae/status/1441463748288385024</v>
      </c>
      <c r="AA901" s="81"/>
      <c r="AB901" s="81"/>
      <c r="AC901" s="86" t="s">
        <v>4938</v>
      </c>
      <c r="AD901" s="81"/>
      <c r="AE901" s="81" t="b">
        <v>0</v>
      </c>
      <c r="AF901" s="81">
        <v>0</v>
      </c>
      <c r="AG901" s="86" t="s">
        <v>6240</v>
      </c>
      <c r="AH901" s="81" t="b">
        <v>0</v>
      </c>
      <c r="AI901" s="81" t="s">
        <v>6479</v>
      </c>
      <c r="AJ901" s="81"/>
      <c r="AK901" s="86" t="s">
        <v>6240</v>
      </c>
      <c r="AL901" s="81" t="b">
        <v>0</v>
      </c>
      <c r="AM901" s="81">
        <v>23</v>
      </c>
      <c r="AN901" s="86" t="s">
        <v>5111</v>
      </c>
      <c r="AO901" s="86" t="s">
        <v>6505</v>
      </c>
      <c r="AP901" s="81" t="b">
        <v>0</v>
      </c>
      <c r="AQ901" s="86" t="s">
        <v>5111</v>
      </c>
      <c r="AR901" s="81" t="s">
        <v>179</v>
      </c>
      <c r="AS901" s="81">
        <v>0</v>
      </c>
      <c r="AT901" s="81">
        <v>0</v>
      </c>
      <c r="AU901" s="81"/>
      <c r="AV901" s="81"/>
      <c r="AW901" s="81"/>
      <c r="AX901" s="81"/>
      <c r="AY901" s="81"/>
      <c r="AZ901" s="81"/>
      <c r="BA901" s="81"/>
      <c r="BB901" s="81"/>
    </row>
    <row r="902" spans="1:54" x14ac:dyDescent="0.35">
      <c r="A902" s="66" t="s">
        <v>857</v>
      </c>
      <c r="B902" s="66" t="s">
        <v>990</v>
      </c>
      <c r="C902" s="67"/>
      <c r="D902" s="68"/>
      <c r="E902" s="69"/>
      <c r="F902" s="70"/>
      <c r="G902" s="67"/>
      <c r="H902" s="71"/>
      <c r="I902" s="72"/>
      <c r="J902" s="72"/>
      <c r="K902" s="36"/>
      <c r="L902" s="79"/>
      <c r="M902" s="79"/>
      <c r="N902" s="74"/>
      <c r="O902" s="81" t="s">
        <v>1532</v>
      </c>
      <c r="P902" s="83">
        <v>44463.753622685188</v>
      </c>
      <c r="Q902" s="81" t="s">
        <v>1908</v>
      </c>
      <c r="R902" s="81"/>
      <c r="S902" s="81"/>
      <c r="T902" s="86" t="s">
        <v>1413</v>
      </c>
      <c r="U902" s="84" t="str">
        <f>HYPERLINK("https://pbs.twimg.com/media/FAEa_mFUYAcoKUu.jpg")</f>
        <v>https://pbs.twimg.com/media/FAEa_mFUYAcoKUu.jpg</v>
      </c>
      <c r="V902" s="84" t="str">
        <f>HYPERLINK("https://pbs.twimg.com/media/FAEa_mFUYAcoKUu.jpg")</f>
        <v>https://pbs.twimg.com/media/FAEa_mFUYAcoKUu.jpg</v>
      </c>
      <c r="W902" s="83">
        <v>44463.753622685188</v>
      </c>
      <c r="X902" s="89">
        <v>44463</v>
      </c>
      <c r="Y902" s="86" t="s">
        <v>3473</v>
      </c>
      <c r="Z902" s="84" t="str">
        <f>HYPERLINK("https://twitter.com/sohyunjae/status/1441463748288385024")</f>
        <v>https://twitter.com/sohyunjae/status/1441463748288385024</v>
      </c>
      <c r="AA902" s="81"/>
      <c r="AB902" s="81"/>
      <c r="AC902" s="86" t="s">
        <v>4938</v>
      </c>
      <c r="AD902" s="81"/>
      <c r="AE902" s="81" t="b">
        <v>0</v>
      </c>
      <c r="AF902" s="81">
        <v>0</v>
      </c>
      <c r="AG902" s="86" t="s">
        <v>6240</v>
      </c>
      <c r="AH902" s="81" t="b">
        <v>0</v>
      </c>
      <c r="AI902" s="81" t="s">
        <v>6479</v>
      </c>
      <c r="AJ902" s="81"/>
      <c r="AK902" s="86" t="s">
        <v>6240</v>
      </c>
      <c r="AL902" s="81" t="b">
        <v>0</v>
      </c>
      <c r="AM902" s="81">
        <v>23</v>
      </c>
      <c r="AN902" s="86" t="s">
        <v>5111</v>
      </c>
      <c r="AO902" s="86" t="s">
        <v>6505</v>
      </c>
      <c r="AP902" s="81" t="b">
        <v>0</v>
      </c>
      <c r="AQ902" s="86" t="s">
        <v>5111</v>
      </c>
      <c r="AR902" s="81" t="s">
        <v>179</v>
      </c>
      <c r="AS902" s="81">
        <v>0</v>
      </c>
      <c r="AT902" s="81">
        <v>0</v>
      </c>
      <c r="AU902" s="81"/>
      <c r="AV902" s="81"/>
      <c r="AW902" s="81"/>
      <c r="AX902" s="81"/>
      <c r="AY902" s="81"/>
      <c r="AZ902" s="81"/>
      <c r="BA902" s="81"/>
      <c r="BB902" s="81"/>
    </row>
    <row r="903" spans="1:54" x14ac:dyDescent="0.35">
      <c r="A903" s="66" t="s">
        <v>857</v>
      </c>
      <c r="B903" s="66" t="s">
        <v>1410</v>
      </c>
      <c r="C903" s="67"/>
      <c r="D903" s="68"/>
      <c r="E903" s="69"/>
      <c r="F903" s="70"/>
      <c r="G903" s="67"/>
      <c r="H903" s="71"/>
      <c r="I903" s="72"/>
      <c r="J903" s="72"/>
      <c r="K903" s="36"/>
      <c r="L903" s="79"/>
      <c r="M903" s="79"/>
      <c r="N903" s="74"/>
      <c r="O903" s="81" t="s">
        <v>1533</v>
      </c>
      <c r="P903" s="83">
        <v>44463.753645833334</v>
      </c>
      <c r="Q903" s="81" t="s">
        <v>1909</v>
      </c>
      <c r="R903" s="81"/>
      <c r="S903" s="81"/>
      <c r="T903" s="86" t="s">
        <v>1413</v>
      </c>
      <c r="U903" s="84" t="str">
        <f>HYPERLINK("https://pbs.twimg.com/media/FAEa7dXVkAcjbKg.jpg")</f>
        <v>https://pbs.twimg.com/media/FAEa7dXVkAcjbKg.jpg</v>
      </c>
      <c r="V903" s="84" t="str">
        <f>HYPERLINK("https://pbs.twimg.com/media/FAEa7dXVkAcjbKg.jpg")</f>
        <v>https://pbs.twimg.com/media/FAEa7dXVkAcjbKg.jpg</v>
      </c>
      <c r="W903" s="83">
        <v>44463.753645833334</v>
      </c>
      <c r="X903" s="89">
        <v>44463</v>
      </c>
      <c r="Y903" s="86" t="s">
        <v>3474</v>
      </c>
      <c r="Z903" s="84" t="str">
        <f>HYPERLINK("https://twitter.com/sohyunjae/status/1441463756463038468")</f>
        <v>https://twitter.com/sohyunjae/status/1441463756463038468</v>
      </c>
      <c r="AA903" s="81"/>
      <c r="AB903" s="81"/>
      <c r="AC903" s="86" t="s">
        <v>4939</v>
      </c>
      <c r="AD903" s="81"/>
      <c r="AE903" s="81" t="b">
        <v>0</v>
      </c>
      <c r="AF903" s="81">
        <v>0</v>
      </c>
      <c r="AG903" s="86" t="s">
        <v>6240</v>
      </c>
      <c r="AH903" s="81" t="b">
        <v>0</v>
      </c>
      <c r="AI903" s="81" t="s">
        <v>6479</v>
      </c>
      <c r="AJ903" s="81"/>
      <c r="AK903" s="86" t="s">
        <v>6240</v>
      </c>
      <c r="AL903" s="81" t="b">
        <v>0</v>
      </c>
      <c r="AM903" s="81">
        <v>20</v>
      </c>
      <c r="AN903" s="86" t="s">
        <v>5110</v>
      </c>
      <c r="AO903" s="86" t="s">
        <v>6505</v>
      </c>
      <c r="AP903" s="81" t="b">
        <v>0</v>
      </c>
      <c r="AQ903" s="86" t="s">
        <v>5110</v>
      </c>
      <c r="AR903" s="81" t="s">
        <v>179</v>
      </c>
      <c r="AS903" s="81">
        <v>0</v>
      </c>
      <c r="AT903" s="81">
        <v>0</v>
      </c>
      <c r="AU903" s="81"/>
      <c r="AV903" s="81"/>
      <c r="AW903" s="81"/>
      <c r="AX903" s="81"/>
      <c r="AY903" s="81"/>
      <c r="AZ903" s="81"/>
      <c r="BA903" s="81"/>
      <c r="BB903" s="81"/>
    </row>
    <row r="904" spans="1:54" x14ac:dyDescent="0.35">
      <c r="A904" s="66" t="s">
        <v>857</v>
      </c>
      <c r="B904" s="66" t="s">
        <v>1411</v>
      </c>
      <c r="C904" s="67"/>
      <c r="D904" s="68"/>
      <c r="E904" s="69"/>
      <c r="F904" s="70"/>
      <c r="G904" s="67"/>
      <c r="H904" s="71"/>
      <c r="I904" s="72"/>
      <c r="J904" s="72"/>
      <c r="K904" s="36"/>
      <c r="L904" s="79"/>
      <c r="M904" s="79"/>
      <c r="N904" s="74"/>
      <c r="O904" s="81" t="s">
        <v>1533</v>
      </c>
      <c r="P904" s="83">
        <v>44463.753645833334</v>
      </c>
      <c r="Q904" s="81" t="s">
        <v>1909</v>
      </c>
      <c r="R904" s="81"/>
      <c r="S904" s="81"/>
      <c r="T904" s="86" t="s">
        <v>1413</v>
      </c>
      <c r="U904" s="84" t="str">
        <f>HYPERLINK("https://pbs.twimg.com/media/FAEa7dXVkAcjbKg.jpg")</f>
        <v>https://pbs.twimg.com/media/FAEa7dXVkAcjbKg.jpg</v>
      </c>
      <c r="V904" s="84" t="str">
        <f>HYPERLINK("https://pbs.twimg.com/media/FAEa7dXVkAcjbKg.jpg")</f>
        <v>https://pbs.twimg.com/media/FAEa7dXVkAcjbKg.jpg</v>
      </c>
      <c r="W904" s="83">
        <v>44463.753645833334</v>
      </c>
      <c r="X904" s="89">
        <v>44463</v>
      </c>
      <c r="Y904" s="86" t="s">
        <v>3474</v>
      </c>
      <c r="Z904" s="84" t="str">
        <f>HYPERLINK("https://twitter.com/sohyunjae/status/1441463756463038468")</f>
        <v>https://twitter.com/sohyunjae/status/1441463756463038468</v>
      </c>
      <c r="AA904" s="81"/>
      <c r="AB904" s="81"/>
      <c r="AC904" s="86" t="s">
        <v>4939</v>
      </c>
      <c r="AD904" s="81"/>
      <c r="AE904" s="81" t="b">
        <v>0</v>
      </c>
      <c r="AF904" s="81">
        <v>0</v>
      </c>
      <c r="AG904" s="86" t="s">
        <v>6240</v>
      </c>
      <c r="AH904" s="81" t="b">
        <v>0</v>
      </c>
      <c r="AI904" s="81" t="s">
        <v>6479</v>
      </c>
      <c r="AJ904" s="81"/>
      <c r="AK904" s="86" t="s">
        <v>6240</v>
      </c>
      <c r="AL904" s="81" t="b">
        <v>0</v>
      </c>
      <c r="AM904" s="81">
        <v>20</v>
      </c>
      <c r="AN904" s="86" t="s">
        <v>5110</v>
      </c>
      <c r="AO904" s="86" t="s">
        <v>6505</v>
      </c>
      <c r="AP904" s="81" t="b">
        <v>0</v>
      </c>
      <c r="AQ904" s="86" t="s">
        <v>5110</v>
      </c>
      <c r="AR904" s="81" t="s">
        <v>179</v>
      </c>
      <c r="AS904" s="81">
        <v>0</v>
      </c>
      <c r="AT904" s="81">
        <v>0</v>
      </c>
      <c r="AU904" s="81"/>
      <c r="AV904" s="81"/>
      <c r="AW904" s="81"/>
      <c r="AX904" s="81"/>
      <c r="AY904" s="81"/>
      <c r="AZ904" s="81"/>
      <c r="BA904" s="81"/>
      <c r="BB904" s="81"/>
    </row>
    <row r="905" spans="1:54" x14ac:dyDescent="0.35">
      <c r="A905" s="66" t="s">
        <v>857</v>
      </c>
      <c r="B905" s="66" t="s">
        <v>1412</v>
      </c>
      <c r="C905" s="67"/>
      <c r="D905" s="68"/>
      <c r="E905" s="69"/>
      <c r="F905" s="70"/>
      <c r="G905" s="67"/>
      <c r="H905" s="71"/>
      <c r="I905" s="72"/>
      <c r="J905" s="72"/>
      <c r="K905" s="36"/>
      <c r="L905" s="79"/>
      <c r="M905" s="79"/>
      <c r="N905" s="74"/>
      <c r="O905" s="81" t="s">
        <v>1533</v>
      </c>
      <c r="P905" s="83">
        <v>44463.753645833334</v>
      </c>
      <c r="Q905" s="81" t="s">
        <v>1909</v>
      </c>
      <c r="R905" s="81"/>
      <c r="S905" s="81"/>
      <c r="T905" s="86" t="s">
        <v>1413</v>
      </c>
      <c r="U905" s="84" t="str">
        <f>HYPERLINK("https://pbs.twimg.com/media/FAEa7dXVkAcjbKg.jpg")</f>
        <v>https://pbs.twimg.com/media/FAEa7dXVkAcjbKg.jpg</v>
      </c>
      <c r="V905" s="84" t="str">
        <f>HYPERLINK("https://pbs.twimg.com/media/FAEa7dXVkAcjbKg.jpg")</f>
        <v>https://pbs.twimg.com/media/FAEa7dXVkAcjbKg.jpg</v>
      </c>
      <c r="W905" s="83">
        <v>44463.753645833334</v>
      </c>
      <c r="X905" s="89">
        <v>44463</v>
      </c>
      <c r="Y905" s="86" t="s">
        <v>3474</v>
      </c>
      <c r="Z905" s="84" t="str">
        <f>HYPERLINK("https://twitter.com/sohyunjae/status/1441463756463038468")</f>
        <v>https://twitter.com/sohyunjae/status/1441463756463038468</v>
      </c>
      <c r="AA905" s="81"/>
      <c r="AB905" s="81"/>
      <c r="AC905" s="86" t="s">
        <v>4939</v>
      </c>
      <c r="AD905" s="81"/>
      <c r="AE905" s="81" t="b">
        <v>0</v>
      </c>
      <c r="AF905" s="81">
        <v>0</v>
      </c>
      <c r="AG905" s="86" t="s">
        <v>6240</v>
      </c>
      <c r="AH905" s="81" t="b">
        <v>0</v>
      </c>
      <c r="AI905" s="81" t="s">
        <v>6479</v>
      </c>
      <c r="AJ905" s="81"/>
      <c r="AK905" s="86" t="s">
        <v>6240</v>
      </c>
      <c r="AL905" s="81" t="b">
        <v>0</v>
      </c>
      <c r="AM905" s="81">
        <v>20</v>
      </c>
      <c r="AN905" s="86" t="s">
        <v>5110</v>
      </c>
      <c r="AO905" s="86" t="s">
        <v>6505</v>
      </c>
      <c r="AP905" s="81" t="b">
        <v>0</v>
      </c>
      <c r="AQ905" s="86" t="s">
        <v>5110</v>
      </c>
      <c r="AR905" s="81" t="s">
        <v>179</v>
      </c>
      <c r="AS905" s="81">
        <v>0</v>
      </c>
      <c r="AT905" s="81">
        <v>0</v>
      </c>
      <c r="AU905" s="81"/>
      <c r="AV905" s="81"/>
      <c r="AW905" s="81"/>
      <c r="AX905" s="81"/>
      <c r="AY905" s="81"/>
      <c r="AZ905" s="81"/>
      <c r="BA905" s="81"/>
      <c r="BB905" s="81"/>
    </row>
    <row r="906" spans="1:54" x14ac:dyDescent="0.35">
      <c r="A906" s="66" t="s">
        <v>857</v>
      </c>
      <c r="B906" s="66" t="s">
        <v>1413</v>
      </c>
      <c r="C906" s="67"/>
      <c r="D906" s="68"/>
      <c r="E906" s="69"/>
      <c r="F906" s="70"/>
      <c r="G906" s="67"/>
      <c r="H906" s="71"/>
      <c r="I906" s="72"/>
      <c r="J906" s="72"/>
      <c r="K906" s="36"/>
      <c r="L906" s="79"/>
      <c r="M906" s="79"/>
      <c r="N906" s="74"/>
      <c r="O906" s="81" t="s">
        <v>1533</v>
      </c>
      <c r="P906" s="83">
        <v>44463.753645833334</v>
      </c>
      <c r="Q906" s="81" t="s">
        <v>1909</v>
      </c>
      <c r="R906" s="81"/>
      <c r="S906" s="81"/>
      <c r="T906" s="86" t="s">
        <v>1413</v>
      </c>
      <c r="U906" s="84" t="str">
        <f>HYPERLINK("https://pbs.twimg.com/media/FAEa7dXVkAcjbKg.jpg")</f>
        <v>https://pbs.twimg.com/media/FAEa7dXVkAcjbKg.jpg</v>
      </c>
      <c r="V906" s="84" t="str">
        <f>HYPERLINK("https://pbs.twimg.com/media/FAEa7dXVkAcjbKg.jpg")</f>
        <v>https://pbs.twimg.com/media/FAEa7dXVkAcjbKg.jpg</v>
      </c>
      <c r="W906" s="83">
        <v>44463.753645833334</v>
      </c>
      <c r="X906" s="89">
        <v>44463</v>
      </c>
      <c r="Y906" s="86" t="s">
        <v>3474</v>
      </c>
      <c r="Z906" s="84" t="str">
        <f>HYPERLINK("https://twitter.com/sohyunjae/status/1441463756463038468")</f>
        <v>https://twitter.com/sohyunjae/status/1441463756463038468</v>
      </c>
      <c r="AA906" s="81"/>
      <c r="AB906" s="81"/>
      <c r="AC906" s="86" t="s">
        <v>4939</v>
      </c>
      <c r="AD906" s="81"/>
      <c r="AE906" s="81" t="b">
        <v>0</v>
      </c>
      <c r="AF906" s="81">
        <v>0</v>
      </c>
      <c r="AG906" s="86" t="s">
        <v>6240</v>
      </c>
      <c r="AH906" s="81" t="b">
        <v>0</v>
      </c>
      <c r="AI906" s="81" t="s">
        <v>6479</v>
      </c>
      <c r="AJ906" s="81"/>
      <c r="AK906" s="86" t="s">
        <v>6240</v>
      </c>
      <c r="AL906" s="81" t="b">
        <v>0</v>
      </c>
      <c r="AM906" s="81">
        <v>20</v>
      </c>
      <c r="AN906" s="86" t="s">
        <v>5110</v>
      </c>
      <c r="AO906" s="86" t="s">
        <v>6505</v>
      </c>
      <c r="AP906" s="81" t="b">
        <v>0</v>
      </c>
      <c r="AQ906" s="86" t="s">
        <v>5110</v>
      </c>
      <c r="AR906" s="81" t="s">
        <v>179</v>
      </c>
      <c r="AS906" s="81">
        <v>0</v>
      </c>
      <c r="AT906" s="81">
        <v>0</v>
      </c>
      <c r="AU906" s="81"/>
      <c r="AV906" s="81"/>
      <c r="AW906" s="81"/>
      <c r="AX906" s="81"/>
      <c r="AY906" s="81"/>
      <c r="AZ906" s="81"/>
      <c r="BA906" s="81"/>
      <c r="BB906" s="81"/>
    </row>
    <row r="907" spans="1:54" x14ac:dyDescent="0.35">
      <c r="A907" s="66" t="s">
        <v>857</v>
      </c>
      <c r="B907" s="66" t="s">
        <v>990</v>
      </c>
      <c r="C907" s="67"/>
      <c r="D907" s="68"/>
      <c r="E907" s="69"/>
      <c r="F907" s="70"/>
      <c r="G907" s="67"/>
      <c r="H907" s="71"/>
      <c r="I907" s="72"/>
      <c r="J907" s="72"/>
      <c r="K907" s="36"/>
      <c r="L907" s="79"/>
      <c r="M907" s="79"/>
      <c r="N907" s="74"/>
      <c r="O907" s="81" t="s">
        <v>1532</v>
      </c>
      <c r="P907" s="83">
        <v>44463.753645833334</v>
      </c>
      <c r="Q907" s="81" t="s">
        <v>1909</v>
      </c>
      <c r="R907" s="81"/>
      <c r="S907" s="81"/>
      <c r="T907" s="86" t="s">
        <v>1413</v>
      </c>
      <c r="U907" s="84" t="str">
        <f>HYPERLINK("https://pbs.twimg.com/media/FAEa7dXVkAcjbKg.jpg")</f>
        <v>https://pbs.twimg.com/media/FAEa7dXVkAcjbKg.jpg</v>
      </c>
      <c r="V907" s="84" t="str">
        <f>HYPERLINK("https://pbs.twimg.com/media/FAEa7dXVkAcjbKg.jpg")</f>
        <v>https://pbs.twimg.com/media/FAEa7dXVkAcjbKg.jpg</v>
      </c>
      <c r="W907" s="83">
        <v>44463.753645833334</v>
      </c>
      <c r="X907" s="89">
        <v>44463</v>
      </c>
      <c r="Y907" s="86" t="s">
        <v>3474</v>
      </c>
      <c r="Z907" s="84" t="str">
        <f>HYPERLINK("https://twitter.com/sohyunjae/status/1441463756463038468")</f>
        <v>https://twitter.com/sohyunjae/status/1441463756463038468</v>
      </c>
      <c r="AA907" s="81"/>
      <c r="AB907" s="81"/>
      <c r="AC907" s="86" t="s">
        <v>4939</v>
      </c>
      <c r="AD907" s="81"/>
      <c r="AE907" s="81" t="b">
        <v>0</v>
      </c>
      <c r="AF907" s="81">
        <v>0</v>
      </c>
      <c r="AG907" s="86" t="s">
        <v>6240</v>
      </c>
      <c r="AH907" s="81" t="b">
        <v>0</v>
      </c>
      <c r="AI907" s="81" t="s">
        <v>6479</v>
      </c>
      <c r="AJ907" s="81"/>
      <c r="AK907" s="86" t="s">
        <v>6240</v>
      </c>
      <c r="AL907" s="81" t="b">
        <v>0</v>
      </c>
      <c r="AM907" s="81">
        <v>20</v>
      </c>
      <c r="AN907" s="86" t="s">
        <v>5110</v>
      </c>
      <c r="AO907" s="86" t="s">
        <v>6505</v>
      </c>
      <c r="AP907" s="81" t="b">
        <v>0</v>
      </c>
      <c r="AQ907" s="86" t="s">
        <v>5110</v>
      </c>
      <c r="AR907" s="81" t="s">
        <v>179</v>
      </c>
      <c r="AS907" s="81">
        <v>0</v>
      </c>
      <c r="AT907" s="81">
        <v>0</v>
      </c>
      <c r="AU907" s="81"/>
      <c r="AV907" s="81"/>
      <c r="AW907" s="81"/>
      <c r="AX907" s="81"/>
      <c r="AY907" s="81"/>
      <c r="AZ907" s="81"/>
      <c r="BA907" s="81"/>
      <c r="BB907" s="81"/>
    </row>
    <row r="908" spans="1:54" x14ac:dyDescent="0.35">
      <c r="A908" s="66" t="s">
        <v>857</v>
      </c>
      <c r="B908" s="66" t="s">
        <v>1410</v>
      </c>
      <c r="C908" s="67"/>
      <c r="D908" s="68"/>
      <c r="E908" s="69"/>
      <c r="F908" s="70"/>
      <c r="G908" s="67"/>
      <c r="H908" s="71"/>
      <c r="I908" s="72"/>
      <c r="J908" s="72"/>
      <c r="K908" s="36"/>
      <c r="L908" s="79"/>
      <c r="M908" s="79"/>
      <c r="N908" s="74"/>
      <c r="O908" s="81" t="s">
        <v>1533</v>
      </c>
      <c r="P908" s="83">
        <v>44463.753680555557</v>
      </c>
      <c r="Q908" s="81" t="s">
        <v>1910</v>
      </c>
      <c r="R908" s="81"/>
      <c r="S908" s="81"/>
      <c r="T908" s="86" t="s">
        <v>1413</v>
      </c>
      <c r="U908" s="84" t="str">
        <f>HYPERLINK("https://pbs.twimg.com/media/FAEaAdPVgAgaH2z.jpg")</f>
        <v>https://pbs.twimg.com/media/FAEaAdPVgAgaH2z.jpg</v>
      </c>
      <c r="V908" s="84" t="str">
        <f>HYPERLINK("https://pbs.twimg.com/media/FAEaAdPVgAgaH2z.jpg")</f>
        <v>https://pbs.twimg.com/media/FAEaAdPVgAgaH2z.jpg</v>
      </c>
      <c r="W908" s="83">
        <v>44463.753680555557</v>
      </c>
      <c r="X908" s="89">
        <v>44463</v>
      </c>
      <c r="Y908" s="86" t="s">
        <v>3475</v>
      </c>
      <c r="Z908" s="84" t="str">
        <f>HYPERLINK("https://twitter.com/sohyunjae/status/1441463768282664962")</f>
        <v>https://twitter.com/sohyunjae/status/1441463768282664962</v>
      </c>
      <c r="AA908" s="81"/>
      <c r="AB908" s="81"/>
      <c r="AC908" s="86" t="s">
        <v>4940</v>
      </c>
      <c r="AD908" s="81"/>
      <c r="AE908" s="81" t="b">
        <v>0</v>
      </c>
      <c r="AF908" s="81">
        <v>0</v>
      </c>
      <c r="AG908" s="86" t="s">
        <v>6240</v>
      </c>
      <c r="AH908" s="81" t="b">
        <v>0</v>
      </c>
      <c r="AI908" s="81" t="s">
        <v>6479</v>
      </c>
      <c r="AJ908" s="81"/>
      <c r="AK908" s="86" t="s">
        <v>6240</v>
      </c>
      <c r="AL908" s="81" t="b">
        <v>0</v>
      </c>
      <c r="AM908" s="81">
        <v>21</v>
      </c>
      <c r="AN908" s="86" t="s">
        <v>5109</v>
      </c>
      <c r="AO908" s="86" t="s">
        <v>6505</v>
      </c>
      <c r="AP908" s="81" t="b">
        <v>0</v>
      </c>
      <c r="AQ908" s="86" t="s">
        <v>5109</v>
      </c>
      <c r="AR908" s="81" t="s">
        <v>179</v>
      </c>
      <c r="AS908" s="81">
        <v>0</v>
      </c>
      <c r="AT908" s="81">
        <v>0</v>
      </c>
      <c r="AU908" s="81"/>
      <c r="AV908" s="81"/>
      <c r="AW908" s="81"/>
      <c r="AX908" s="81"/>
      <c r="AY908" s="81"/>
      <c r="AZ908" s="81"/>
      <c r="BA908" s="81"/>
      <c r="BB908" s="81"/>
    </row>
    <row r="909" spans="1:54" x14ac:dyDescent="0.35">
      <c r="A909" s="66" t="s">
        <v>857</v>
      </c>
      <c r="B909" s="66" t="s">
        <v>1411</v>
      </c>
      <c r="C909" s="67"/>
      <c r="D909" s="68"/>
      <c r="E909" s="69"/>
      <c r="F909" s="70"/>
      <c r="G909" s="67"/>
      <c r="H909" s="71"/>
      <c r="I909" s="72"/>
      <c r="J909" s="72"/>
      <c r="K909" s="36"/>
      <c r="L909" s="79"/>
      <c r="M909" s="79"/>
      <c r="N909" s="74"/>
      <c r="O909" s="81" t="s">
        <v>1533</v>
      </c>
      <c r="P909" s="83">
        <v>44463.753680555557</v>
      </c>
      <c r="Q909" s="81" t="s">
        <v>1910</v>
      </c>
      <c r="R909" s="81"/>
      <c r="S909" s="81"/>
      <c r="T909" s="86" t="s">
        <v>1413</v>
      </c>
      <c r="U909" s="84" t="str">
        <f>HYPERLINK("https://pbs.twimg.com/media/FAEaAdPVgAgaH2z.jpg")</f>
        <v>https://pbs.twimg.com/media/FAEaAdPVgAgaH2z.jpg</v>
      </c>
      <c r="V909" s="84" t="str">
        <f>HYPERLINK("https://pbs.twimg.com/media/FAEaAdPVgAgaH2z.jpg")</f>
        <v>https://pbs.twimg.com/media/FAEaAdPVgAgaH2z.jpg</v>
      </c>
      <c r="W909" s="83">
        <v>44463.753680555557</v>
      </c>
      <c r="X909" s="89">
        <v>44463</v>
      </c>
      <c r="Y909" s="86" t="s">
        <v>3475</v>
      </c>
      <c r="Z909" s="84" t="str">
        <f>HYPERLINK("https://twitter.com/sohyunjae/status/1441463768282664962")</f>
        <v>https://twitter.com/sohyunjae/status/1441463768282664962</v>
      </c>
      <c r="AA909" s="81"/>
      <c r="AB909" s="81"/>
      <c r="AC909" s="86" t="s">
        <v>4940</v>
      </c>
      <c r="AD909" s="81"/>
      <c r="AE909" s="81" t="b">
        <v>0</v>
      </c>
      <c r="AF909" s="81">
        <v>0</v>
      </c>
      <c r="AG909" s="86" t="s">
        <v>6240</v>
      </c>
      <c r="AH909" s="81" t="b">
        <v>0</v>
      </c>
      <c r="AI909" s="81" t="s">
        <v>6479</v>
      </c>
      <c r="AJ909" s="81"/>
      <c r="AK909" s="86" t="s">
        <v>6240</v>
      </c>
      <c r="AL909" s="81" t="b">
        <v>0</v>
      </c>
      <c r="AM909" s="81">
        <v>21</v>
      </c>
      <c r="AN909" s="86" t="s">
        <v>5109</v>
      </c>
      <c r="AO909" s="86" t="s">
        <v>6505</v>
      </c>
      <c r="AP909" s="81" t="b">
        <v>0</v>
      </c>
      <c r="AQ909" s="86" t="s">
        <v>5109</v>
      </c>
      <c r="AR909" s="81" t="s">
        <v>179</v>
      </c>
      <c r="AS909" s="81">
        <v>0</v>
      </c>
      <c r="AT909" s="81">
        <v>0</v>
      </c>
      <c r="AU909" s="81"/>
      <c r="AV909" s="81"/>
      <c r="AW909" s="81"/>
      <c r="AX909" s="81"/>
      <c r="AY909" s="81"/>
      <c r="AZ909" s="81"/>
      <c r="BA909" s="81"/>
      <c r="BB909" s="81"/>
    </row>
    <row r="910" spans="1:54" x14ac:dyDescent="0.35">
      <c r="A910" s="66" t="s">
        <v>857</v>
      </c>
      <c r="B910" s="66" t="s">
        <v>1412</v>
      </c>
      <c r="C910" s="67"/>
      <c r="D910" s="68"/>
      <c r="E910" s="69"/>
      <c r="F910" s="70"/>
      <c r="G910" s="67"/>
      <c r="H910" s="71"/>
      <c r="I910" s="72"/>
      <c r="J910" s="72"/>
      <c r="K910" s="36"/>
      <c r="L910" s="79"/>
      <c r="M910" s="79"/>
      <c r="N910" s="74"/>
      <c r="O910" s="81" t="s">
        <v>1533</v>
      </c>
      <c r="P910" s="83">
        <v>44463.753680555557</v>
      </c>
      <c r="Q910" s="81" t="s">
        <v>1910</v>
      </c>
      <c r="R910" s="81"/>
      <c r="S910" s="81"/>
      <c r="T910" s="86" t="s">
        <v>1413</v>
      </c>
      <c r="U910" s="84" t="str">
        <f>HYPERLINK("https://pbs.twimg.com/media/FAEaAdPVgAgaH2z.jpg")</f>
        <v>https://pbs.twimg.com/media/FAEaAdPVgAgaH2z.jpg</v>
      </c>
      <c r="V910" s="84" t="str">
        <f>HYPERLINK("https://pbs.twimg.com/media/FAEaAdPVgAgaH2z.jpg")</f>
        <v>https://pbs.twimg.com/media/FAEaAdPVgAgaH2z.jpg</v>
      </c>
      <c r="W910" s="83">
        <v>44463.753680555557</v>
      </c>
      <c r="X910" s="89">
        <v>44463</v>
      </c>
      <c r="Y910" s="86" t="s">
        <v>3475</v>
      </c>
      <c r="Z910" s="84" t="str">
        <f>HYPERLINK("https://twitter.com/sohyunjae/status/1441463768282664962")</f>
        <v>https://twitter.com/sohyunjae/status/1441463768282664962</v>
      </c>
      <c r="AA910" s="81"/>
      <c r="AB910" s="81"/>
      <c r="AC910" s="86" t="s">
        <v>4940</v>
      </c>
      <c r="AD910" s="81"/>
      <c r="AE910" s="81" t="b">
        <v>0</v>
      </c>
      <c r="AF910" s="81">
        <v>0</v>
      </c>
      <c r="AG910" s="86" t="s">
        <v>6240</v>
      </c>
      <c r="AH910" s="81" t="b">
        <v>0</v>
      </c>
      <c r="AI910" s="81" t="s">
        <v>6479</v>
      </c>
      <c r="AJ910" s="81"/>
      <c r="AK910" s="86" t="s">
        <v>6240</v>
      </c>
      <c r="AL910" s="81" t="b">
        <v>0</v>
      </c>
      <c r="AM910" s="81">
        <v>21</v>
      </c>
      <c r="AN910" s="86" t="s">
        <v>5109</v>
      </c>
      <c r="AO910" s="86" t="s">
        <v>6505</v>
      </c>
      <c r="AP910" s="81" t="b">
        <v>0</v>
      </c>
      <c r="AQ910" s="86" t="s">
        <v>5109</v>
      </c>
      <c r="AR910" s="81" t="s">
        <v>179</v>
      </c>
      <c r="AS910" s="81">
        <v>0</v>
      </c>
      <c r="AT910" s="81">
        <v>0</v>
      </c>
      <c r="AU910" s="81"/>
      <c r="AV910" s="81"/>
      <c r="AW910" s="81"/>
      <c r="AX910" s="81"/>
      <c r="AY910" s="81"/>
      <c r="AZ910" s="81"/>
      <c r="BA910" s="81"/>
      <c r="BB910" s="81"/>
    </row>
    <row r="911" spans="1:54" x14ac:dyDescent="0.35">
      <c r="A911" s="66" t="s">
        <v>857</v>
      </c>
      <c r="B911" s="66" t="s">
        <v>1413</v>
      </c>
      <c r="C911" s="67"/>
      <c r="D911" s="68"/>
      <c r="E911" s="69"/>
      <c r="F911" s="70"/>
      <c r="G911" s="67"/>
      <c r="H911" s="71"/>
      <c r="I911" s="72"/>
      <c r="J911" s="72"/>
      <c r="K911" s="36"/>
      <c r="L911" s="79"/>
      <c r="M911" s="79"/>
      <c r="N911" s="74"/>
      <c r="O911" s="81" t="s">
        <v>1533</v>
      </c>
      <c r="P911" s="83">
        <v>44463.753680555557</v>
      </c>
      <c r="Q911" s="81" t="s">
        <v>1910</v>
      </c>
      <c r="R911" s="81"/>
      <c r="S911" s="81"/>
      <c r="T911" s="86" t="s">
        <v>1413</v>
      </c>
      <c r="U911" s="84" t="str">
        <f>HYPERLINK("https://pbs.twimg.com/media/FAEaAdPVgAgaH2z.jpg")</f>
        <v>https://pbs.twimg.com/media/FAEaAdPVgAgaH2z.jpg</v>
      </c>
      <c r="V911" s="84" t="str">
        <f>HYPERLINK("https://pbs.twimg.com/media/FAEaAdPVgAgaH2z.jpg")</f>
        <v>https://pbs.twimg.com/media/FAEaAdPVgAgaH2z.jpg</v>
      </c>
      <c r="W911" s="83">
        <v>44463.753680555557</v>
      </c>
      <c r="X911" s="89">
        <v>44463</v>
      </c>
      <c r="Y911" s="86" t="s">
        <v>3475</v>
      </c>
      <c r="Z911" s="84" t="str">
        <f>HYPERLINK("https://twitter.com/sohyunjae/status/1441463768282664962")</f>
        <v>https://twitter.com/sohyunjae/status/1441463768282664962</v>
      </c>
      <c r="AA911" s="81"/>
      <c r="AB911" s="81"/>
      <c r="AC911" s="86" t="s">
        <v>4940</v>
      </c>
      <c r="AD911" s="81"/>
      <c r="AE911" s="81" t="b">
        <v>0</v>
      </c>
      <c r="AF911" s="81">
        <v>0</v>
      </c>
      <c r="AG911" s="86" t="s">
        <v>6240</v>
      </c>
      <c r="AH911" s="81" t="b">
        <v>0</v>
      </c>
      <c r="AI911" s="81" t="s">
        <v>6479</v>
      </c>
      <c r="AJ911" s="81"/>
      <c r="AK911" s="86" t="s">
        <v>6240</v>
      </c>
      <c r="AL911" s="81" t="b">
        <v>0</v>
      </c>
      <c r="AM911" s="81">
        <v>21</v>
      </c>
      <c r="AN911" s="86" t="s">
        <v>5109</v>
      </c>
      <c r="AO911" s="86" t="s">
        <v>6505</v>
      </c>
      <c r="AP911" s="81" t="b">
        <v>0</v>
      </c>
      <c r="AQ911" s="86" t="s">
        <v>5109</v>
      </c>
      <c r="AR911" s="81" t="s">
        <v>179</v>
      </c>
      <c r="AS911" s="81">
        <v>0</v>
      </c>
      <c r="AT911" s="81">
        <v>0</v>
      </c>
      <c r="AU911" s="81"/>
      <c r="AV911" s="81"/>
      <c r="AW911" s="81"/>
      <c r="AX911" s="81"/>
      <c r="AY911" s="81"/>
      <c r="AZ911" s="81"/>
      <c r="BA911" s="81"/>
      <c r="BB911" s="81"/>
    </row>
    <row r="912" spans="1:54" x14ac:dyDescent="0.35">
      <c r="A912" s="66" t="s">
        <v>857</v>
      </c>
      <c r="B912" s="66" t="s">
        <v>990</v>
      </c>
      <c r="C912" s="67"/>
      <c r="D912" s="68"/>
      <c r="E912" s="69"/>
      <c r="F912" s="70"/>
      <c r="G912" s="67"/>
      <c r="H912" s="71"/>
      <c r="I912" s="72"/>
      <c r="J912" s="72"/>
      <c r="K912" s="36"/>
      <c r="L912" s="79"/>
      <c r="M912" s="79"/>
      <c r="N912" s="74"/>
      <c r="O912" s="81" t="s">
        <v>1532</v>
      </c>
      <c r="P912" s="83">
        <v>44463.753680555557</v>
      </c>
      <c r="Q912" s="81" t="s">
        <v>1910</v>
      </c>
      <c r="R912" s="81"/>
      <c r="S912" s="81"/>
      <c r="T912" s="86" t="s">
        <v>1413</v>
      </c>
      <c r="U912" s="84" t="str">
        <f>HYPERLINK("https://pbs.twimg.com/media/FAEaAdPVgAgaH2z.jpg")</f>
        <v>https://pbs.twimg.com/media/FAEaAdPVgAgaH2z.jpg</v>
      </c>
      <c r="V912" s="84" t="str">
        <f>HYPERLINK("https://pbs.twimg.com/media/FAEaAdPVgAgaH2z.jpg")</f>
        <v>https://pbs.twimg.com/media/FAEaAdPVgAgaH2z.jpg</v>
      </c>
      <c r="W912" s="83">
        <v>44463.753680555557</v>
      </c>
      <c r="X912" s="89">
        <v>44463</v>
      </c>
      <c r="Y912" s="86" t="s">
        <v>3475</v>
      </c>
      <c r="Z912" s="84" t="str">
        <f>HYPERLINK("https://twitter.com/sohyunjae/status/1441463768282664962")</f>
        <v>https://twitter.com/sohyunjae/status/1441463768282664962</v>
      </c>
      <c r="AA912" s="81"/>
      <c r="AB912" s="81"/>
      <c r="AC912" s="86" t="s">
        <v>4940</v>
      </c>
      <c r="AD912" s="81"/>
      <c r="AE912" s="81" t="b">
        <v>0</v>
      </c>
      <c r="AF912" s="81">
        <v>0</v>
      </c>
      <c r="AG912" s="86" t="s">
        <v>6240</v>
      </c>
      <c r="AH912" s="81" t="b">
        <v>0</v>
      </c>
      <c r="AI912" s="81" t="s">
        <v>6479</v>
      </c>
      <c r="AJ912" s="81"/>
      <c r="AK912" s="86" t="s">
        <v>6240</v>
      </c>
      <c r="AL912" s="81" t="b">
        <v>0</v>
      </c>
      <c r="AM912" s="81">
        <v>21</v>
      </c>
      <c r="AN912" s="86" t="s">
        <v>5109</v>
      </c>
      <c r="AO912" s="86" t="s">
        <v>6505</v>
      </c>
      <c r="AP912" s="81" t="b">
        <v>0</v>
      </c>
      <c r="AQ912" s="86" t="s">
        <v>5109</v>
      </c>
      <c r="AR912" s="81" t="s">
        <v>179</v>
      </c>
      <c r="AS912" s="81">
        <v>0</v>
      </c>
      <c r="AT912" s="81">
        <v>0</v>
      </c>
      <c r="AU912" s="81"/>
      <c r="AV912" s="81"/>
      <c r="AW912" s="81"/>
      <c r="AX912" s="81"/>
      <c r="AY912" s="81"/>
      <c r="AZ912" s="81"/>
      <c r="BA912" s="81"/>
      <c r="BB912" s="81"/>
    </row>
    <row r="913" spans="1:54" x14ac:dyDescent="0.35">
      <c r="A913" s="66" t="s">
        <v>858</v>
      </c>
      <c r="B913" s="66" t="s">
        <v>858</v>
      </c>
      <c r="C913" s="67"/>
      <c r="D913" s="68"/>
      <c r="E913" s="69"/>
      <c r="F913" s="70"/>
      <c r="G913" s="67"/>
      <c r="H913" s="71"/>
      <c r="I913" s="72"/>
      <c r="J913" s="72"/>
      <c r="K913" s="36"/>
      <c r="L913" s="79"/>
      <c r="M913" s="79"/>
      <c r="N913" s="74"/>
      <c r="O913" s="81" t="s">
        <v>179</v>
      </c>
      <c r="P913" s="83">
        <v>44462.136631944442</v>
      </c>
      <c r="Q913" s="81" t="s">
        <v>1793</v>
      </c>
      <c r="R913" s="81"/>
      <c r="S913" s="81"/>
      <c r="T913" s="81"/>
      <c r="U913" s="81"/>
      <c r="V913" s="84" t="str">
        <f>HYPERLINK("https://pbs.twimg.com/profile_images/1433114088960245761/iNOJ69k6_normal.jpg")</f>
        <v>https://pbs.twimg.com/profile_images/1433114088960245761/iNOJ69k6_normal.jpg</v>
      </c>
      <c r="W913" s="83">
        <v>44462.136631944442</v>
      </c>
      <c r="X913" s="89">
        <v>44462</v>
      </c>
      <c r="Y913" s="86" t="s">
        <v>3476</v>
      </c>
      <c r="Z913" s="84" t="str">
        <f>HYPERLINK("https://twitter.com/cococheezy/status/1440877770247053315")</f>
        <v>https://twitter.com/cococheezy/status/1440877770247053315</v>
      </c>
      <c r="AA913" s="81"/>
      <c r="AB913" s="81"/>
      <c r="AC913" s="86" t="s">
        <v>4941</v>
      </c>
      <c r="AD913" s="81"/>
      <c r="AE913" s="81" t="b">
        <v>0</v>
      </c>
      <c r="AF913" s="81">
        <v>25</v>
      </c>
      <c r="AG913" s="86" t="s">
        <v>6240</v>
      </c>
      <c r="AH913" s="81" t="b">
        <v>0</v>
      </c>
      <c r="AI913" s="81" t="s">
        <v>6479</v>
      </c>
      <c r="AJ913" s="81"/>
      <c r="AK913" s="86" t="s">
        <v>6240</v>
      </c>
      <c r="AL913" s="81" t="b">
        <v>0</v>
      </c>
      <c r="AM913" s="81">
        <v>6</v>
      </c>
      <c r="AN913" s="86" t="s">
        <v>6240</v>
      </c>
      <c r="AO913" s="86" t="s">
        <v>6503</v>
      </c>
      <c r="AP913" s="81" t="b">
        <v>0</v>
      </c>
      <c r="AQ913" s="86" t="s">
        <v>4941</v>
      </c>
      <c r="AR913" s="81" t="s">
        <v>179</v>
      </c>
      <c r="AS913" s="81">
        <v>0</v>
      </c>
      <c r="AT913" s="81">
        <v>0</v>
      </c>
      <c r="AU913" s="81"/>
      <c r="AV913" s="81"/>
      <c r="AW913" s="81"/>
      <c r="AX913" s="81"/>
      <c r="AY913" s="81"/>
      <c r="AZ913" s="81"/>
      <c r="BA913" s="81"/>
      <c r="BB913" s="81"/>
    </row>
    <row r="914" spans="1:54" x14ac:dyDescent="0.35">
      <c r="A914" s="66" t="s">
        <v>859</v>
      </c>
      <c r="B914" s="66" t="s">
        <v>858</v>
      </c>
      <c r="C914" s="67"/>
      <c r="D914" s="68"/>
      <c r="E914" s="69"/>
      <c r="F914" s="70"/>
      <c r="G914" s="67"/>
      <c r="H914" s="71"/>
      <c r="I914" s="72"/>
      <c r="J914" s="72"/>
      <c r="K914" s="36"/>
      <c r="L914" s="79"/>
      <c r="M914" s="79"/>
      <c r="N914" s="74"/>
      <c r="O914" s="81" t="s">
        <v>1532</v>
      </c>
      <c r="P914" s="83">
        <v>44462.23605324074</v>
      </c>
      <c r="Q914" s="81" t="s">
        <v>1793</v>
      </c>
      <c r="R914" s="81"/>
      <c r="S914" s="81"/>
      <c r="T914" s="81"/>
      <c r="U914" s="81"/>
      <c r="V914" s="84" t="str">
        <f>HYPERLINK("https://pbs.twimg.com/profile_images/1442506246469275657/3vDwxCc8_normal.jpg")</f>
        <v>https://pbs.twimg.com/profile_images/1442506246469275657/3vDwxCc8_normal.jpg</v>
      </c>
      <c r="W914" s="83">
        <v>44462.23605324074</v>
      </c>
      <c r="X914" s="89">
        <v>44462</v>
      </c>
      <c r="Y914" s="86" t="s">
        <v>3477</v>
      </c>
      <c r="Z914" s="84" t="str">
        <f>HYPERLINK("https://twitter.com/vssyie/status/1440913800148905984")</f>
        <v>https://twitter.com/vssyie/status/1440913800148905984</v>
      </c>
      <c r="AA914" s="81"/>
      <c r="AB914" s="81"/>
      <c r="AC914" s="86" t="s">
        <v>4942</v>
      </c>
      <c r="AD914" s="81"/>
      <c r="AE914" s="81" t="b">
        <v>0</v>
      </c>
      <c r="AF914" s="81">
        <v>0</v>
      </c>
      <c r="AG914" s="86" t="s">
        <v>6240</v>
      </c>
      <c r="AH914" s="81" t="b">
        <v>0</v>
      </c>
      <c r="AI914" s="81" t="s">
        <v>6479</v>
      </c>
      <c r="AJ914" s="81"/>
      <c r="AK914" s="86" t="s">
        <v>6240</v>
      </c>
      <c r="AL914" s="81" t="b">
        <v>0</v>
      </c>
      <c r="AM914" s="81">
        <v>6</v>
      </c>
      <c r="AN914" s="86" t="s">
        <v>4941</v>
      </c>
      <c r="AO914" s="86" t="s">
        <v>6503</v>
      </c>
      <c r="AP914" s="81" t="b">
        <v>0</v>
      </c>
      <c r="AQ914" s="86" t="s">
        <v>4941</v>
      </c>
      <c r="AR914" s="81" t="s">
        <v>179</v>
      </c>
      <c r="AS914" s="81">
        <v>0</v>
      </c>
      <c r="AT914" s="81">
        <v>0</v>
      </c>
      <c r="AU914" s="81"/>
      <c r="AV914" s="81"/>
      <c r="AW914" s="81"/>
      <c r="AX914" s="81"/>
      <c r="AY914" s="81"/>
      <c r="AZ914" s="81"/>
      <c r="BA914" s="81"/>
      <c r="BB914" s="81"/>
    </row>
    <row r="915" spans="1:54" x14ac:dyDescent="0.35">
      <c r="A915" s="66" t="s">
        <v>859</v>
      </c>
      <c r="B915" s="66" t="s">
        <v>1410</v>
      </c>
      <c r="C915" s="67"/>
      <c r="D915" s="68"/>
      <c r="E915" s="69"/>
      <c r="F915" s="70"/>
      <c r="G915" s="67"/>
      <c r="H915" s="71"/>
      <c r="I915" s="72"/>
      <c r="J915" s="72"/>
      <c r="K915" s="36"/>
      <c r="L915" s="79"/>
      <c r="M915" s="79"/>
      <c r="N915" s="74"/>
      <c r="O915" s="81" t="s">
        <v>1533</v>
      </c>
      <c r="P915" s="83">
        <v>44463.755196759259</v>
      </c>
      <c r="Q915" s="81" t="s">
        <v>1910</v>
      </c>
      <c r="R915" s="81"/>
      <c r="S915" s="81"/>
      <c r="T915" s="86" t="s">
        <v>1413</v>
      </c>
      <c r="U915" s="84" t="str">
        <f>HYPERLINK("https://pbs.twimg.com/media/FAEaAdPVgAgaH2z.jpg")</f>
        <v>https://pbs.twimg.com/media/FAEaAdPVgAgaH2z.jpg</v>
      </c>
      <c r="V915" s="84" t="str">
        <f>HYPERLINK("https://pbs.twimg.com/media/FAEaAdPVgAgaH2z.jpg")</f>
        <v>https://pbs.twimg.com/media/FAEaAdPVgAgaH2z.jpg</v>
      </c>
      <c r="W915" s="83">
        <v>44463.755196759259</v>
      </c>
      <c r="X915" s="89">
        <v>44463</v>
      </c>
      <c r="Y915" s="86" t="s">
        <v>3478</v>
      </c>
      <c r="Z915" s="84" t="str">
        <f>HYPERLINK("https://twitter.com/vssyie/status/1441464318348853248")</f>
        <v>https://twitter.com/vssyie/status/1441464318348853248</v>
      </c>
      <c r="AA915" s="81"/>
      <c r="AB915" s="81"/>
      <c r="AC915" s="86" t="s">
        <v>4943</v>
      </c>
      <c r="AD915" s="81"/>
      <c r="AE915" s="81" t="b">
        <v>0</v>
      </c>
      <c r="AF915" s="81">
        <v>0</v>
      </c>
      <c r="AG915" s="86" t="s">
        <v>6240</v>
      </c>
      <c r="AH915" s="81" t="b">
        <v>0</v>
      </c>
      <c r="AI915" s="81" t="s">
        <v>6479</v>
      </c>
      <c r="AJ915" s="81"/>
      <c r="AK915" s="86" t="s">
        <v>6240</v>
      </c>
      <c r="AL915" s="81" t="b">
        <v>0</v>
      </c>
      <c r="AM915" s="81">
        <v>21</v>
      </c>
      <c r="AN915" s="86" t="s">
        <v>5109</v>
      </c>
      <c r="AO915" s="86" t="s">
        <v>6503</v>
      </c>
      <c r="AP915" s="81" t="b">
        <v>0</v>
      </c>
      <c r="AQ915" s="86" t="s">
        <v>5109</v>
      </c>
      <c r="AR915" s="81" t="s">
        <v>179</v>
      </c>
      <c r="AS915" s="81">
        <v>0</v>
      </c>
      <c r="AT915" s="81">
        <v>0</v>
      </c>
      <c r="AU915" s="81"/>
      <c r="AV915" s="81"/>
      <c r="AW915" s="81"/>
      <c r="AX915" s="81"/>
      <c r="AY915" s="81"/>
      <c r="AZ915" s="81"/>
      <c r="BA915" s="81"/>
      <c r="BB915" s="81"/>
    </row>
    <row r="916" spans="1:54" x14ac:dyDescent="0.35">
      <c r="A916" s="66" t="s">
        <v>859</v>
      </c>
      <c r="B916" s="66" t="s">
        <v>1411</v>
      </c>
      <c r="C916" s="67"/>
      <c r="D916" s="68"/>
      <c r="E916" s="69"/>
      <c r="F916" s="70"/>
      <c r="G916" s="67"/>
      <c r="H916" s="71"/>
      <c r="I916" s="72"/>
      <c r="J916" s="72"/>
      <c r="K916" s="36"/>
      <c r="L916" s="79"/>
      <c r="M916" s="79"/>
      <c r="N916" s="74"/>
      <c r="O916" s="81" t="s">
        <v>1533</v>
      </c>
      <c r="P916" s="83">
        <v>44463.755196759259</v>
      </c>
      <c r="Q916" s="81" t="s">
        <v>1910</v>
      </c>
      <c r="R916" s="81"/>
      <c r="S916" s="81"/>
      <c r="T916" s="86" t="s">
        <v>1413</v>
      </c>
      <c r="U916" s="84" t="str">
        <f>HYPERLINK("https://pbs.twimg.com/media/FAEaAdPVgAgaH2z.jpg")</f>
        <v>https://pbs.twimg.com/media/FAEaAdPVgAgaH2z.jpg</v>
      </c>
      <c r="V916" s="84" t="str">
        <f>HYPERLINK("https://pbs.twimg.com/media/FAEaAdPVgAgaH2z.jpg")</f>
        <v>https://pbs.twimg.com/media/FAEaAdPVgAgaH2z.jpg</v>
      </c>
      <c r="W916" s="83">
        <v>44463.755196759259</v>
      </c>
      <c r="X916" s="89">
        <v>44463</v>
      </c>
      <c r="Y916" s="86" t="s">
        <v>3478</v>
      </c>
      <c r="Z916" s="84" t="str">
        <f>HYPERLINK("https://twitter.com/vssyie/status/1441464318348853248")</f>
        <v>https://twitter.com/vssyie/status/1441464318348853248</v>
      </c>
      <c r="AA916" s="81"/>
      <c r="AB916" s="81"/>
      <c r="AC916" s="86" t="s">
        <v>4943</v>
      </c>
      <c r="AD916" s="81"/>
      <c r="AE916" s="81" t="b">
        <v>0</v>
      </c>
      <c r="AF916" s="81">
        <v>0</v>
      </c>
      <c r="AG916" s="86" t="s">
        <v>6240</v>
      </c>
      <c r="AH916" s="81" t="b">
        <v>0</v>
      </c>
      <c r="AI916" s="81" t="s">
        <v>6479</v>
      </c>
      <c r="AJ916" s="81"/>
      <c r="AK916" s="86" t="s">
        <v>6240</v>
      </c>
      <c r="AL916" s="81" t="b">
        <v>0</v>
      </c>
      <c r="AM916" s="81">
        <v>21</v>
      </c>
      <c r="AN916" s="86" t="s">
        <v>5109</v>
      </c>
      <c r="AO916" s="86" t="s">
        <v>6503</v>
      </c>
      <c r="AP916" s="81" t="b">
        <v>0</v>
      </c>
      <c r="AQ916" s="86" t="s">
        <v>5109</v>
      </c>
      <c r="AR916" s="81" t="s">
        <v>179</v>
      </c>
      <c r="AS916" s="81">
        <v>0</v>
      </c>
      <c r="AT916" s="81">
        <v>0</v>
      </c>
      <c r="AU916" s="81"/>
      <c r="AV916" s="81"/>
      <c r="AW916" s="81"/>
      <c r="AX916" s="81"/>
      <c r="AY916" s="81"/>
      <c r="AZ916" s="81"/>
      <c r="BA916" s="81"/>
      <c r="BB916" s="81"/>
    </row>
    <row r="917" spans="1:54" x14ac:dyDescent="0.35">
      <c r="A917" s="66" t="s">
        <v>859</v>
      </c>
      <c r="B917" s="66" t="s">
        <v>1412</v>
      </c>
      <c r="C917" s="67"/>
      <c r="D917" s="68"/>
      <c r="E917" s="69"/>
      <c r="F917" s="70"/>
      <c r="G917" s="67"/>
      <c r="H917" s="71"/>
      <c r="I917" s="72"/>
      <c r="J917" s="72"/>
      <c r="K917" s="36"/>
      <c r="L917" s="79"/>
      <c r="M917" s="79"/>
      <c r="N917" s="74"/>
      <c r="O917" s="81" t="s">
        <v>1533</v>
      </c>
      <c r="P917" s="83">
        <v>44463.755196759259</v>
      </c>
      <c r="Q917" s="81" t="s">
        <v>1910</v>
      </c>
      <c r="R917" s="81"/>
      <c r="S917" s="81"/>
      <c r="T917" s="86" t="s">
        <v>1413</v>
      </c>
      <c r="U917" s="84" t="str">
        <f>HYPERLINK("https://pbs.twimg.com/media/FAEaAdPVgAgaH2z.jpg")</f>
        <v>https://pbs.twimg.com/media/FAEaAdPVgAgaH2z.jpg</v>
      </c>
      <c r="V917" s="84" t="str">
        <f>HYPERLINK("https://pbs.twimg.com/media/FAEaAdPVgAgaH2z.jpg")</f>
        <v>https://pbs.twimg.com/media/FAEaAdPVgAgaH2z.jpg</v>
      </c>
      <c r="W917" s="83">
        <v>44463.755196759259</v>
      </c>
      <c r="X917" s="89">
        <v>44463</v>
      </c>
      <c r="Y917" s="86" t="s">
        <v>3478</v>
      </c>
      <c r="Z917" s="84" t="str">
        <f>HYPERLINK("https://twitter.com/vssyie/status/1441464318348853248")</f>
        <v>https://twitter.com/vssyie/status/1441464318348853248</v>
      </c>
      <c r="AA917" s="81"/>
      <c r="AB917" s="81"/>
      <c r="AC917" s="86" t="s">
        <v>4943</v>
      </c>
      <c r="AD917" s="81"/>
      <c r="AE917" s="81" t="b">
        <v>0</v>
      </c>
      <c r="AF917" s="81">
        <v>0</v>
      </c>
      <c r="AG917" s="86" t="s">
        <v>6240</v>
      </c>
      <c r="AH917" s="81" t="b">
        <v>0</v>
      </c>
      <c r="AI917" s="81" t="s">
        <v>6479</v>
      </c>
      <c r="AJ917" s="81"/>
      <c r="AK917" s="86" t="s">
        <v>6240</v>
      </c>
      <c r="AL917" s="81" t="b">
        <v>0</v>
      </c>
      <c r="AM917" s="81">
        <v>21</v>
      </c>
      <c r="AN917" s="86" t="s">
        <v>5109</v>
      </c>
      <c r="AO917" s="86" t="s">
        <v>6503</v>
      </c>
      <c r="AP917" s="81" t="b">
        <v>0</v>
      </c>
      <c r="AQ917" s="86" t="s">
        <v>5109</v>
      </c>
      <c r="AR917" s="81" t="s">
        <v>179</v>
      </c>
      <c r="AS917" s="81">
        <v>0</v>
      </c>
      <c r="AT917" s="81">
        <v>0</v>
      </c>
      <c r="AU917" s="81"/>
      <c r="AV917" s="81"/>
      <c r="AW917" s="81"/>
      <c r="AX917" s="81"/>
      <c r="AY917" s="81"/>
      <c r="AZ917" s="81"/>
      <c r="BA917" s="81"/>
      <c r="BB917" s="81"/>
    </row>
    <row r="918" spans="1:54" x14ac:dyDescent="0.35">
      <c r="A918" s="66" t="s">
        <v>859</v>
      </c>
      <c r="B918" s="66" t="s">
        <v>1413</v>
      </c>
      <c r="C918" s="67"/>
      <c r="D918" s="68"/>
      <c r="E918" s="69"/>
      <c r="F918" s="70"/>
      <c r="G918" s="67"/>
      <c r="H918" s="71"/>
      <c r="I918" s="72"/>
      <c r="J918" s="72"/>
      <c r="K918" s="36"/>
      <c r="L918" s="79"/>
      <c r="M918" s="79"/>
      <c r="N918" s="74"/>
      <c r="O918" s="81" t="s">
        <v>1533</v>
      </c>
      <c r="P918" s="83">
        <v>44463.755196759259</v>
      </c>
      <c r="Q918" s="81" t="s">
        <v>1910</v>
      </c>
      <c r="R918" s="81"/>
      <c r="S918" s="81"/>
      <c r="T918" s="86" t="s">
        <v>1413</v>
      </c>
      <c r="U918" s="84" t="str">
        <f>HYPERLINK("https://pbs.twimg.com/media/FAEaAdPVgAgaH2z.jpg")</f>
        <v>https://pbs.twimg.com/media/FAEaAdPVgAgaH2z.jpg</v>
      </c>
      <c r="V918" s="84" t="str">
        <f>HYPERLINK("https://pbs.twimg.com/media/FAEaAdPVgAgaH2z.jpg")</f>
        <v>https://pbs.twimg.com/media/FAEaAdPVgAgaH2z.jpg</v>
      </c>
      <c r="W918" s="83">
        <v>44463.755196759259</v>
      </c>
      <c r="X918" s="89">
        <v>44463</v>
      </c>
      <c r="Y918" s="86" t="s">
        <v>3478</v>
      </c>
      <c r="Z918" s="84" t="str">
        <f>HYPERLINK("https://twitter.com/vssyie/status/1441464318348853248")</f>
        <v>https://twitter.com/vssyie/status/1441464318348853248</v>
      </c>
      <c r="AA918" s="81"/>
      <c r="AB918" s="81"/>
      <c r="AC918" s="86" t="s">
        <v>4943</v>
      </c>
      <c r="AD918" s="81"/>
      <c r="AE918" s="81" t="b">
        <v>0</v>
      </c>
      <c r="AF918" s="81">
        <v>0</v>
      </c>
      <c r="AG918" s="86" t="s">
        <v>6240</v>
      </c>
      <c r="AH918" s="81" t="b">
        <v>0</v>
      </c>
      <c r="AI918" s="81" t="s">
        <v>6479</v>
      </c>
      <c r="AJ918" s="81"/>
      <c r="AK918" s="86" t="s">
        <v>6240</v>
      </c>
      <c r="AL918" s="81" t="b">
        <v>0</v>
      </c>
      <c r="AM918" s="81">
        <v>21</v>
      </c>
      <c r="AN918" s="86" t="s">
        <v>5109</v>
      </c>
      <c r="AO918" s="86" t="s">
        <v>6503</v>
      </c>
      <c r="AP918" s="81" t="b">
        <v>0</v>
      </c>
      <c r="AQ918" s="86" t="s">
        <v>5109</v>
      </c>
      <c r="AR918" s="81" t="s">
        <v>179</v>
      </c>
      <c r="AS918" s="81">
        <v>0</v>
      </c>
      <c r="AT918" s="81">
        <v>0</v>
      </c>
      <c r="AU918" s="81"/>
      <c r="AV918" s="81"/>
      <c r="AW918" s="81"/>
      <c r="AX918" s="81"/>
      <c r="AY918" s="81"/>
      <c r="AZ918" s="81"/>
      <c r="BA918" s="81"/>
      <c r="BB918" s="81"/>
    </row>
    <row r="919" spans="1:54" x14ac:dyDescent="0.35">
      <c r="A919" s="66" t="s">
        <v>859</v>
      </c>
      <c r="B919" s="66" t="s">
        <v>990</v>
      </c>
      <c r="C919" s="67"/>
      <c r="D919" s="68"/>
      <c r="E919" s="69"/>
      <c r="F919" s="70"/>
      <c r="G919" s="67"/>
      <c r="H919" s="71"/>
      <c r="I919" s="72"/>
      <c r="J919" s="72"/>
      <c r="K919" s="36"/>
      <c r="L919" s="79"/>
      <c r="M919" s="79"/>
      <c r="N919" s="74"/>
      <c r="O919" s="81" t="s">
        <v>1532</v>
      </c>
      <c r="P919" s="83">
        <v>44463.755196759259</v>
      </c>
      <c r="Q919" s="81" t="s">
        <v>1910</v>
      </c>
      <c r="R919" s="81"/>
      <c r="S919" s="81"/>
      <c r="T919" s="86" t="s">
        <v>1413</v>
      </c>
      <c r="U919" s="84" t="str">
        <f>HYPERLINK("https://pbs.twimg.com/media/FAEaAdPVgAgaH2z.jpg")</f>
        <v>https://pbs.twimg.com/media/FAEaAdPVgAgaH2z.jpg</v>
      </c>
      <c r="V919" s="84" t="str">
        <f>HYPERLINK("https://pbs.twimg.com/media/FAEaAdPVgAgaH2z.jpg")</f>
        <v>https://pbs.twimg.com/media/FAEaAdPVgAgaH2z.jpg</v>
      </c>
      <c r="W919" s="83">
        <v>44463.755196759259</v>
      </c>
      <c r="X919" s="89">
        <v>44463</v>
      </c>
      <c r="Y919" s="86" t="s">
        <v>3478</v>
      </c>
      <c r="Z919" s="84" t="str">
        <f>HYPERLINK("https://twitter.com/vssyie/status/1441464318348853248")</f>
        <v>https://twitter.com/vssyie/status/1441464318348853248</v>
      </c>
      <c r="AA919" s="81"/>
      <c r="AB919" s="81"/>
      <c r="AC919" s="86" t="s">
        <v>4943</v>
      </c>
      <c r="AD919" s="81"/>
      <c r="AE919" s="81" t="b">
        <v>0</v>
      </c>
      <c r="AF919" s="81">
        <v>0</v>
      </c>
      <c r="AG919" s="86" t="s">
        <v>6240</v>
      </c>
      <c r="AH919" s="81" t="b">
        <v>0</v>
      </c>
      <c r="AI919" s="81" t="s">
        <v>6479</v>
      </c>
      <c r="AJ919" s="81"/>
      <c r="AK919" s="86" t="s">
        <v>6240</v>
      </c>
      <c r="AL919" s="81" t="b">
        <v>0</v>
      </c>
      <c r="AM919" s="81">
        <v>21</v>
      </c>
      <c r="AN919" s="86" t="s">
        <v>5109</v>
      </c>
      <c r="AO919" s="86" t="s">
        <v>6503</v>
      </c>
      <c r="AP919" s="81" t="b">
        <v>0</v>
      </c>
      <c r="AQ919" s="86" t="s">
        <v>5109</v>
      </c>
      <c r="AR919" s="81" t="s">
        <v>179</v>
      </c>
      <c r="AS919" s="81">
        <v>0</v>
      </c>
      <c r="AT919" s="81">
        <v>0</v>
      </c>
      <c r="AU919" s="81"/>
      <c r="AV919" s="81"/>
      <c r="AW919" s="81"/>
      <c r="AX919" s="81"/>
      <c r="AY919" s="81"/>
      <c r="AZ919" s="81"/>
      <c r="BA919" s="81"/>
      <c r="BB919" s="81"/>
    </row>
    <row r="920" spans="1:54" x14ac:dyDescent="0.35">
      <c r="A920" s="66" t="s">
        <v>860</v>
      </c>
      <c r="B920" s="66" t="s">
        <v>1410</v>
      </c>
      <c r="C920" s="67"/>
      <c r="D920" s="68"/>
      <c r="E920" s="69"/>
      <c r="F920" s="70"/>
      <c r="G920" s="67"/>
      <c r="H920" s="71"/>
      <c r="I920" s="72"/>
      <c r="J920" s="72"/>
      <c r="K920" s="36"/>
      <c r="L920" s="79"/>
      <c r="M920" s="79"/>
      <c r="N920" s="74"/>
      <c r="O920" s="81" t="s">
        <v>1533</v>
      </c>
      <c r="P920" s="83">
        <v>44463.751574074071</v>
      </c>
      <c r="Q920" s="81" t="s">
        <v>1910</v>
      </c>
      <c r="R920" s="81"/>
      <c r="S920" s="81"/>
      <c r="T920" s="86" t="s">
        <v>1413</v>
      </c>
      <c r="U920" s="84" t="str">
        <f>HYPERLINK("https://pbs.twimg.com/media/FAEaAdPVgAgaH2z.jpg")</f>
        <v>https://pbs.twimg.com/media/FAEaAdPVgAgaH2z.jpg</v>
      </c>
      <c r="V920" s="84" t="str">
        <f>HYPERLINK("https://pbs.twimg.com/media/FAEaAdPVgAgaH2z.jpg")</f>
        <v>https://pbs.twimg.com/media/FAEaAdPVgAgaH2z.jpg</v>
      </c>
      <c r="W920" s="83">
        <v>44463.751574074071</v>
      </c>
      <c r="X920" s="89">
        <v>44463</v>
      </c>
      <c r="Y920" s="86" t="s">
        <v>3479</v>
      </c>
      <c r="Z920" s="84" t="str">
        <f>HYPERLINK("https://twitter.com/taestrowbeary/status/1441463004491497479")</f>
        <v>https://twitter.com/taestrowbeary/status/1441463004491497479</v>
      </c>
      <c r="AA920" s="81"/>
      <c r="AB920" s="81"/>
      <c r="AC920" s="86" t="s">
        <v>4944</v>
      </c>
      <c r="AD920" s="81"/>
      <c r="AE920" s="81" t="b">
        <v>0</v>
      </c>
      <c r="AF920" s="81">
        <v>0</v>
      </c>
      <c r="AG920" s="86" t="s">
        <v>6240</v>
      </c>
      <c r="AH920" s="81" t="b">
        <v>0</v>
      </c>
      <c r="AI920" s="81" t="s">
        <v>6479</v>
      </c>
      <c r="AJ920" s="81"/>
      <c r="AK920" s="86" t="s">
        <v>6240</v>
      </c>
      <c r="AL920" s="81" t="b">
        <v>0</v>
      </c>
      <c r="AM920" s="81">
        <v>21</v>
      </c>
      <c r="AN920" s="86" t="s">
        <v>5109</v>
      </c>
      <c r="AO920" s="86" t="s">
        <v>6505</v>
      </c>
      <c r="AP920" s="81" t="b">
        <v>0</v>
      </c>
      <c r="AQ920" s="86" t="s">
        <v>5109</v>
      </c>
      <c r="AR920" s="81" t="s">
        <v>179</v>
      </c>
      <c r="AS920" s="81">
        <v>0</v>
      </c>
      <c r="AT920" s="81">
        <v>0</v>
      </c>
      <c r="AU920" s="81"/>
      <c r="AV920" s="81"/>
      <c r="AW920" s="81"/>
      <c r="AX920" s="81"/>
      <c r="AY920" s="81"/>
      <c r="AZ920" s="81"/>
      <c r="BA920" s="81"/>
      <c r="BB920" s="81"/>
    </row>
    <row r="921" spans="1:54" x14ac:dyDescent="0.35">
      <c r="A921" s="66" t="s">
        <v>860</v>
      </c>
      <c r="B921" s="66" t="s">
        <v>1411</v>
      </c>
      <c r="C921" s="67"/>
      <c r="D921" s="68"/>
      <c r="E921" s="69"/>
      <c r="F921" s="70"/>
      <c r="G921" s="67"/>
      <c r="H921" s="71"/>
      <c r="I921" s="72"/>
      <c r="J921" s="72"/>
      <c r="K921" s="36"/>
      <c r="L921" s="79"/>
      <c r="M921" s="79"/>
      <c r="N921" s="74"/>
      <c r="O921" s="81" t="s">
        <v>1533</v>
      </c>
      <c r="P921" s="83">
        <v>44463.751574074071</v>
      </c>
      <c r="Q921" s="81" t="s">
        <v>1910</v>
      </c>
      <c r="R921" s="81"/>
      <c r="S921" s="81"/>
      <c r="T921" s="86" t="s">
        <v>1413</v>
      </c>
      <c r="U921" s="84" t="str">
        <f>HYPERLINK("https://pbs.twimg.com/media/FAEaAdPVgAgaH2z.jpg")</f>
        <v>https://pbs.twimg.com/media/FAEaAdPVgAgaH2z.jpg</v>
      </c>
      <c r="V921" s="84" t="str">
        <f>HYPERLINK("https://pbs.twimg.com/media/FAEaAdPVgAgaH2z.jpg")</f>
        <v>https://pbs.twimg.com/media/FAEaAdPVgAgaH2z.jpg</v>
      </c>
      <c r="W921" s="83">
        <v>44463.751574074071</v>
      </c>
      <c r="X921" s="89">
        <v>44463</v>
      </c>
      <c r="Y921" s="86" t="s">
        <v>3479</v>
      </c>
      <c r="Z921" s="84" t="str">
        <f>HYPERLINK("https://twitter.com/taestrowbeary/status/1441463004491497479")</f>
        <v>https://twitter.com/taestrowbeary/status/1441463004491497479</v>
      </c>
      <c r="AA921" s="81"/>
      <c r="AB921" s="81"/>
      <c r="AC921" s="86" t="s">
        <v>4944</v>
      </c>
      <c r="AD921" s="81"/>
      <c r="AE921" s="81" t="b">
        <v>0</v>
      </c>
      <c r="AF921" s="81">
        <v>0</v>
      </c>
      <c r="AG921" s="86" t="s">
        <v>6240</v>
      </c>
      <c r="AH921" s="81" t="b">
        <v>0</v>
      </c>
      <c r="AI921" s="81" t="s">
        <v>6479</v>
      </c>
      <c r="AJ921" s="81"/>
      <c r="AK921" s="86" t="s">
        <v>6240</v>
      </c>
      <c r="AL921" s="81" t="b">
        <v>0</v>
      </c>
      <c r="AM921" s="81">
        <v>21</v>
      </c>
      <c r="AN921" s="86" t="s">
        <v>5109</v>
      </c>
      <c r="AO921" s="86" t="s">
        <v>6505</v>
      </c>
      <c r="AP921" s="81" t="b">
        <v>0</v>
      </c>
      <c r="AQ921" s="86" t="s">
        <v>5109</v>
      </c>
      <c r="AR921" s="81" t="s">
        <v>179</v>
      </c>
      <c r="AS921" s="81">
        <v>0</v>
      </c>
      <c r="AT921" s="81">
        <v>0</v>
      </c>
      <c r="AU921" s="81"/>
      <c r="AV921" s="81"/>
      <c r="AW921" s="81"/>
      <c r="AX921" s="81"/>
      <c r="AY921" s="81"/>
      <c r="AZ921" s="81"/>
      <c r="BA921" s="81"/>
      <c r="BB921" s="81"/>
    </row>
    <row r="922" spans="1:54" x14ac:dyDescent="0.35">
      <c r="A922" s="66" t="s">
        <v>860</v>
      </c>
      <c r="B922" s="66" t="s">
        <v>1412</v>
      </c>
      <c r="C922" s="67"/>
      <c r="D922" s="68"/>
      <c r="E922" s="69"/>
      <c r="F922" s="70"/>
      <c r="G922" s="67"/>
      <c r="H922" s="71"/>
      <c r="I922" s="72"/>
      <c r="J922" s="72"/>
      <c r="K922" s="36"/>
      <c r="L922" s="79"/>
      <c r="M922" s="79"/>
      <c r="N922" s="74"/>
      <c r="O922" s="81" t="s">
        <v>1533</v>
      </c>
      <c r="P922" s="83">
        <v>44463.751574074071</v>
      </c>
      <c r="Q922" s="81" t="s">
        <v>1910</v>
      </c>
      <c r="R922" s="81"/>
      <c r="S922" s="81"/>
      <c r="T922" s="86" t="s">
        <v>1413</v>
      </c>
      <c r="U922" s="84" t="str">
        <f>HYPERLINK("https://pbs.twimg.com/media/FAEaAdPVgAgaH2z.jpg")</f>
        <v>https://pbs.twimg.com/media/FAEaAdPVgAgaH2z.jpg</v>
      </c>
      <c r="V922" s="84" t="str">
        <f>HYPERLINK("https://pbs.twimg.com/media/FAEaAdPVgAgaH2z.jpg")</f>
        <v>https://pbs.twimg.com/media/FAEaAdPVgAgaH2z.jpg</v>
      </c>
      <c r="W922" s="83">
        <v>44463.751574074071</v>
      </c>
      <c r="X922" s="89">
        <v>44463</v>
      </c>
      <c r="Y922" s="86" t="s">
        <v>3479</v>
      </c>
      <c r="Z922" s="84" t="str">
        <f>HYPERLINK("https://twitter.com/taestrowbeary/status/1441463004491497479")</f>
        <v>https://twitter.com/taestrowbeary/status/1441463004491497479</v>
      </c>
      <c r="AA922" s="81"/>
      <c r="AB922" s="81"/>
      <c r="AC922" s="86" t="s">
        <v>4944</v>
      </c>
      <c r="AD922" s="81"/>
      <c r="AE922" s="81" t="b">
        <v>0</v>
      </c>
      <c r="AF922" s="81">
        <v>0</v>
      </c>
      <c r="AG922" s="86" t="s">
        <v>6240</v>
      </c>
      <c r="AH922" s="81" t="b">
        <v>0</v>
      </c>
      <c r="AI922" s="81" t="s">
        <v>6479</v>
      </c>
      <c r="AJ922" s="81"/>
      <c r="AK922" s="86" t="s">
        <v>6240</v>
      </c>
      <c r="AL922" s="81" t="b">
        <v>0</v>
      </c>
      <c r="AM922" s="81">
        <v>21</v>
      </c>
      <c r="AN922" s="86" t="s">
        <v>5109</v>
      </c>
      <c r="AO922" s="86" t="s">
        <v>6505</v>
      </c>
      <c r="AP922" s="81" t="b">
        <v>0</v>
      </c>
      <c r="AQ922" s="86" t="s">
        <v>5109</v>
      </c>
      <c r="AR922" s="81" t="s">
        <v>179</v>
      </c>
      <c r="AS922" s="81">
        <v>0</v>
      </c>
      <c r="AT922" s="81">
        <v>0</v>
      </c>
      <c r="AU922" s="81"/>
      <c r="AV922" s="81"/>
      <c r="AW922" s="81"/>
      <c r="AX922" s="81"/>
      <c r="AY922" s="81"/>
      <c r="AZ922" s="81"/>
      <c r="BA922" s="81"/>
      <c r="BB922" s="81"/>
    </row>
    <row r="923" spans="1:54" x14ac:dyDescent="0.35">
      <c r="A923" s="66" t="s">
        <v>860</v>
      </c>
      <c r="B923" s="66" t="s">
        <v>1413</v>
      </c>
      <c r="C923" s="67"/>
      <c r="D923" s="68"/>
      <c r="E923" s="69"/>
      <c r="F923" s="70"/>
      <c r="G923" s="67"/>
      <c r="H923" s="71"/>
      <c r="I923" s="72"/>
      <c r="J923" s="72"/>
      <c r="K923" s="36"/>
      <c r="L923" s="79"/>
      <c r="M923" s="79"/>
      <c r="N923" s="74"/>
      <c r="O923" s="81" t="s">
        <v>1533</v>
      </c>
      <c r="P923" s="83">
        <v>44463.751574074071</v>
      </c>
      <c r="Q923" s="81" t="s">
        <v>1910</v>
      </c>
      <c r="R923" s="81"/>
      <c r="S923" s="81"/>
      <c r="T923" s="86" t="s">
        <v>1413</v>
      </c>
      <c r="U923" s="84" t="str">
        <f>HYPERLINK("https://pbs.twimg.com/media/FAEaAdPVgAgaH2z.jpg")</f>
        <v>https://pbs.twimg.com/media/FAEaAdPVgAgaH2z.jpg</v>
      </c>
      <c r="V923" s="84" t="str">
        <f>HYPERLINK("https://pbs.twimg.com/media/FAEaAdPVgAgaH2z.jpg")</f>
        <v>https://pbs.twimg.com/media/FAEaAdPVgAgaH2z.jpg</v>
      </c>
      <c r="W923" s="83">
        <v>44463.751574074071</v>
      </c>
      <c r="X923" s="89">
        <v>44463</v>
      </c>
      <c r="Y923" s="86" t="s">
        <v>3479</v>
      </c>
      <c r="Z923" s="84" t="str">
        <f>HYPERLINK("https://twitter.com/taestrowbeary/status/1441463004491497479")</f>
        <v>https://twitter.com/taestrowbeary/status/1441463004491497479</v>
      </c>
      <c r="AA923" s="81"/>
      <c r="AB923" s="81"/>
      <c r="AC923" s="86" t="s">
        <v>4944</v>
      </c>
      <c r="AD923" s="81"/>
      <c r="AE923" s="81" t="b">
        <v>0</v>
      </c>
      <c r="AF923" s="81">
        <v>0</v>
      </c>
      <c r="AG923" s="86" t="s">
        <v>6240</v>
      </c>
      <c r="AH923" s="81" t="b">
        <v>0</v>
      </c>
      <c r="AI923" s="81" t="s">
        <v>6479</v>
      </c>
      <c r="AJ923" s="81"/>
      <c r="AK923" s="86" t="s">
        <v>6240</v>
      </c>
      <c r="AL923" s="81" t="b">
        <v>0</v>
      </c>
      <c r="AM923" s="81">
        <v>21</v>
      </c>
      <c r="AN923" s="86" t="s">
        <v>5109</v>
      </c>
      <c r="AO923" s="86" t="s">
        <v>6505</v>
      </c>
      <c r="AP923" s="81" t="b">
        <v>0</v>
      </c>
      <c r="AQ923" s="86" t="s">
        <v>5109</v>
      </c>
      <c r="AR923" s="81" t="s">
        <v>179</v>
      </c>
      <c r="AS923" s="81">
        <v>0</v>
      </c>
      <c r="AT923" s="81">
        <v>0</v>
      </c>
      <c r="AU923" s="81"/>
      <c r="AV923" s="81"/>
      <c r="AW923" s="81"/>
      <c r="AX923" s="81"/>
      <c r="AY923" s="81"/>
      <c r="AZ923" s="81"/>
      <c r="BA923" s="81"/>
      <c r="BB923" s="81"/>
    </row>
    <row r="924" spans="1:54" x14ac:dyDescent="0.35">
      <c r="A924" s="66" t="s">
        <v>860</v>
      </c>
      <c r="B924" s="66" t="s">
        <v>990</v>
      </c>
      <c r="C924" s="67"/>
      <c r="D924" s="68"/>
      <c r="E924" s="69"/>
      <c r="F924" s="70"/>
      <c r="G924" s="67"/>
      <c r="H924" s="71"/>
      <c r="I924" s="72"/>
      <c r="J924" s="72"/>
      <c r="K924" s="36"/>
      <c r="L924" s="79"/>
      <c r="M924" s="79"/>
      <c r="N924" s="74"/>
      <c r="O924" s="81" t="s">
        <v>1532</v>
      </c>
      <c r="P924" s="83">
        <v>44463.751574074071</v>
      </c>
      <c r="Q924" s="81" t="s">
        <v>1910</v>
      </c>
      <c r="R924" s="81"/>
      <c r="S924" s="81"/>
      <c r="T924" s="86" t="s">
        <v>1413</v>
      </c>
      <c r="U924" s="84" t="str">
        <f>HYPERLINK("https://pbs.twimg.com/media/FAEaAdPVgAgaH2z.jpg")</f>
        <v>https://pbs.twimg.com/media/FAEaAdPVgAgaH2z.jpg</v>
      </c>
      <c r="V924" s="84" t="str">
        <f>HYPERLINK("https://pbs.twimg.com/media/FAEaAdPVgAgaH2z.jpg")</f>
        <v>https://pbs.twimg.com/media/FAEaAdPVgAgaH2z.jpg</v>
      </c>
      <c r="W924" s="83">
        <v>44463.751574074071</v>
      </c>
      <c r="X924" s="89">
        <v>44463</v>
      </c>
      <c r="Y924" s="86" t="s">
        <v>3479</v>
      </c>
      <c r="Z924" s="84" t="str">
        <f>HYPERLINK("https://twitter.com/taestrowbeary/status/1441463004491497479")</f>
        <v>https://twitter.com/taestrowbeary/status/1441463004491497479</v>
      </c>
      <c r="AA924" s="81"/>
      <c r="AB924" s="81"/>
      <c r="AC924" s="86" t="s">
        <v>4944</v>
      </c>
      <c r="AD924" s="81"/>
      <c r="AE924" s="81" t="b">
        <v>0</v>
      </c>
      <c r="AF924" s="81">
        <v>0</v>
      </c>
      <c r="AG924" s="86" t="s">
        <v>6240</v>
      </c>
      <c r="AH924" s="81" t="b">
        <v>0</v>
      </c>
      <c r="AI924" s="81" t="s">
        <v>6479</v>
      </c>
      <c r="AJ924" s="81"/>
      <c r="AK924" s="86" t="s">
        <v>6240</v>
      </c>
      <c r="AL924" s="81" t="b">
        <v>0</v>
      </c>
      <c r="AM924" s="81">
        <v>21</v>
      </c>
      <c r="AN924" s="86" t="s">
        <v>5109</v>
      </c>
      <c r="AO924" s="86" t="s">
        <v>6505</v>
      </c>
      <c r="AP924" s="81" t="b">
        <v>0</v>
      </c>
      <c r="AQ924" s="86" t="s">
        <v>5109</v>
      </c>
      <c r="AR924" s="81" t="s">
        <v>179</v>
      </c>
      <c r="AS924" s="81">
        <v>0</v>
      </c>
      <c r="AT924" s="81">
        <v>0</v>
      </c>
      <c r="AU924" s="81"/>
      <c r="AV924" s="81"/>
      <c r="AW924" s="81"/>
      <c r="AX924" s="81"/>
      <c r="AY924" s="81"/>
      <c r="AZ924" s="81"/>
      <c r="BA924" s="81"/>
      <c r="BB924" s="81"/>
    </row>
    <row r="925" spans="1:54" x14ac:dyDescent="0.35">
      <c r="A925" s="66" t="s">
        <v>860</v>
      </c>
      <c r="B925" s="66" t="s">
        <v>1410</v>
      </c>
      <c r="C925" s="67"/>
      <c r="D925" s="68"/>
      <c r="E925" s="69"/>
      <c r="F925" s="70"/>
      <c r="G925" s="67"/>
      <c r="H925" s="71"/>
      <c r="I925" s="72"/>
      <c r="J925" s="72"/>
      <c r="K925" s="36"/>
      <c r="L925" s="79"/>
      <c r="M925" s="79"/>
      <c r="N925" s="74"/>
      <c r="O925" s="81" t="s">
        <v>1533</v>
      </c>
      <c r="P925" s="83">
        <v>44463.754560185182</v>
      </c>
      <c r="Q925" s="81" t="s">
        <v>1909</v>
      </c>
      <c r="R925" s="81"/>
      <c r="S925" s="81"/>
      <c r="T925" s="86" t="s">
        <v>1413</v>
      </c>
      <c r="U925" s="84" t="str">
        <f>HYPERLINK("https://pbs.twimg.com/media/FAEa7dXVkAcjbKg.jpg")</f>
        <v>https://pbs.twimg.com/media/FAEa7dXVkAcjbKg.jpg</v>
      </c>
      <c r="V925" s="84" t="str">
        <f>HYPERLINK("https://pbs.twimg.com/media/FAEa7dXVkAcjbKg.jpg")</f>
        <v>https://pbs.twimg.com/media/FAEa7dXVkAcjbKg.jpg</v>
      </c>
      <c r="W925" s="83">
        <v>44463.754560185182</v>
      </c>
      <c r="X925" s="89">
        <v>44463</v>
      </c>
      <c r="Y925" s="86" t="s">
        <v>3480</v>
      </c>
      <c r="Z925" s="84" t="str">
        <f>HYPERLINK("https://twitter.com/taestrowbeary/status/1441464088970739722")</f>
        <v>https://twitter.com/taestrowbeary/status/1441464088970739722</v>
      </c>
      <c r="AA925" s="81"/>
      <c r="AB925" s="81"/>
      <c r="AC925" s="86" t="s">
        <v>4945</v>
      </c>
      <c r="AD925" s="81"/>
      <c r="AE925" s="81" t="b">
        <v>0</v>
      </c>
      <c r="AF925" s="81">
        <v>0</v>
      </c>
      <c r="AG925" s="86" t="s">
        <v>6240</v>
      </c>
      <c r="AH925" s="81" t="b">
        <v>0</v>
      </c>
      <c r="AI925" s="81" t="s">
        <v>6479</v>
      </c>
      <c r="AJ925" s="81"/>
      <c r="AK925" s="86" t="s">
        <v>6240</v>
      </c>
      <c r="AL925" s="81" t="b">
        <v>0</v>
      </c>
      <c r="AM925" s="81">
        <v>20</v>
      </c>
      <c r="AN925" s="86" t="s">
        <v>5110</v>
      </c>
      <c r="AO925" s="86" t="s">
        <v>6505</v>
      </c>
      <c r="AP925" s="81" t="b">
        <v>0</v>
      </c>
      <c r="AQ925" s="86" t="s">
        <v>5110</v>
      </c>
      <c r="AR925" s="81" t="s">
        <v>179</v>
      </c>
      <c r="AS925" s="81">
        <v>0</v>
      </c>
      <c r="AT925" s="81">
        <v>0</v>
      </c>
      <c r="AU925" s="81"/>
      <c r="AV925" s="81"/>
      <c r="AW925" s="81"/>
      <c r="AX925" s="81"/>
      <c r="AY925" s="81"/>
      <c r="AZ925" s="81"/>
      <c r="BA925" s="81"/>
      <c r="BB925" s="81"/>
    </row>
    <row r="926" spans="1:54" x14ac:dyDescent="0.35">
      <c r="A926" s="66" t="s">
        <v>860</v>
      </c>
      <c r="B926" s="66" t="s">
        <v>1411</v>
      </c>
      <c r="C926" s="67"/>
      <c r="D926" s="68"/>
      <c r="E926" s="69"/>
      <c r="F926" s="70"/>
      <c r="G926" s="67"/>
      <c r="H926" s="71"/>
      <c r="I926" s="72"/>
      <c r="J926" s="72"/>
      <c r="K926" s="36"/>
      <c r="L926" s="79"/>
      <c r="M926" s="79"/>
      <c r="N926" s="74"/>
      <c r="O926" s="81" t="s">
        <v>1533</v>
      </c>
      <c r="P926" s="83">
        <v>44463.754560185182</v>
      </c>
      <c r="Q926" s="81" t="s">
        <v>1909</v>
      </c>
      <c r="R926" s="81"/>
      <c r="S926" s="81"/>
      <c r="T926" s="86" t="s">
        <v>1413</v>
      </c>
      <c r="U926" s="84" t="str">
        <f>HYPERLINK("https://pbs.twimg.com/media/FAEa7dXVkAcjbKg.jpg")</f>
        <v>https://pbs.twimg.com/media/FAEa7dXVkAcjbKg.jpg</v>
      </c>
      <c r="V926" s="84" t="str">
        <f>HYPERLINK("https://pbs.twimg.com/media/FAEa7dXVkAcjbKg.jpg")</f>
        <v>https://pbs.twimg.com/media/FAEa7dXVkAcjbKg.jpg</v>
      </c>
      <c r="W926" s="83">
        <v>44463.754560185182</v>
      </c>
      <c r="X926" s="89">
        <v>44463</v>
      </c>
      <c r="Y926" s="86" t="s">
        <v>3480</v>
      </c>
      <c r="Z926" s="84" t="str">
        <f>HYPERLINK("https://twitter.com/taestrowbeary/status/1441464088970739722")</f>
        <v>https://twitter.com/taestrowbeary/status/1441464088970739722</v>
      </c>
      <c r="AA926" s="81"/>
      <c r="AB926" s="81"/>
      <c r="AC926" s="86" t="s">
        <v>4945</v>
      </c>
      <c r="AD926" s="81"/>
      <c r="AE926" s="81" t="b">
        <v>0</v>
      </c>
      <c r="AF926" s="81">
        <v>0</v>
      </c>
      <c r="AG926" s="86" t="s">
        <v>6240</v>
      </c>
      <c r="AH926" s="81" t="b">
        <v>0</v>
      </c>
      <c r="AI926" s="81" t="s">
        <v>6479</v>
      </c>
      <c r="AJ926" s="81"/>
      <c r="AK926" s="86" t="s">
        <v>6240</v>
      </c>
      <c r="AL926" s="81" t="b">
        <v>0</v>
      </c>
      <c r="AM926" s="81">
        <v>20</v>
      </c>
      <c r="AN926" s="86" t="s">
        <v>5110</v>
      </c>
      <c r="AO926" s="86" t="s">
        <v>6505</v>
      </c>
      <c r="AP926" s="81" t="b">
        <v>0</v>
      </c>
      <c r="AQ926" s="86" t="s">
        <v>5110</v>
      </c>
      <c r="AR926" s="81" t="s">
        <v>179</v>
      </c>
      <c r="AS926" s="81">
        <v>0</v>
      </c>
      <c r="AT926" s="81">
        <v>0</v>
      </c>
      <c r="AU926" s="81"/>
      <c r="AV926" s="81"/>
      <c r="AW926" s="81"/>
      <c r="AX926" s="81"/>
      <c r="AY926" s="81"/>
      <c r="AZ926" s="81"/>
      <c r="BA926" s="81"/>
      <c r="BB926" s="81"/>
    </row>
    <row r="927" spans="1:54" x14ac:dyDescent="0.35">
      <c r="A927" s="66" t="s">
        <v>860</v>
      </c>
      <c r="B927" s="66" t="s">
        <v>1412</v>
      </c>
      <c r="C927" s="67"/>
      <c r="D927" s="68"/>
      <c r="E927" s="69"/>
      <c r="F927" s="70"/>
      <c r="G927" s="67"/>
      <c r="H927" s="71"/>
      <c r="I927" s="72"/>
      <c r="J927" s="72"/>
      <c r="K927" s="36"/>
      <c r="L927" s="79"/>
      <c r="M927" s="79"/>
      <c r="N927" s="74"/>
      <c r="O927" s="81" t="s">
        <v>1533</v>
      </c>
      <c r="P927" s="83">
        <v>44463.754560185182</v>
      </c>
      <c r="Q927" s="81" t="s">
        <v>1909</v>
      </c>
      <c r="R927" s="81"/>
      <c r="S927" s="81"/>
      <c r="T927" s="86" t="s">
        <v>1413</v>
      </c>
      <c r="U927" s="84" t="str">
        <f>HYPERLINK("https://pbs.twimg.com/media/FAEa7dXVkAcjbKg.jpg")</f>
        <v>https://pbs.twimg.com/media/FAEa7dXVkAcjbKg.jpg</v>
      </c>
      <c r="V927" s="84" t="str">
        <f>HYPERLINK("https://pbs.twimg.com/media/FAEa7dXVkAcjbKg.jpg")</f>
        <v>https://pbs.twimg.com/media/FAEa7dXVkAcjbKg.jpg</v>
      </c>
      <c r="W927" s="83">
        <v>44463.754560185182</v>
      </c>
      <c r="X927" s="89">
        <v>44463</v>
      </c>
      <c r="Y927" s="86" t="s">
        <v>3480</v>
      </c>
      <c r="Z927" s="84" t="str">
        <f>HYPERLINK("https://twitter.com/taestrowbeary/status/1441464088970739722")</f>
        <v>https://twitter.com/taestrowbeary/status/1441464088970739722</v>
      </c>
      <c r="AA927" s="81"/>
      <c r="AB927" s="81"/>
      <c r="AC927" s="86" t="s">
        <v>4945</v>
      </c>
      <c r="AD927" s="81"/>
      <c r="AE927" s="81" t="b">
        <v>0</v>
      </c>
      <c r="AF927" s="81">
        <v>0</v>
      </c>
      <c r="AG927" s="86" t="s">
        <v>6240</v>
      </c>
      <c r="AH927" s="81" t="b">
        <v>0</v>
      </c>
      <c r="AI927" s="81" t="s">
        <v>6479</v>
      </c>
      <c r="AJ927" s="81"/>
      <c r="AK927" s="86" t="s">
        <v>6240</v>
      </c>
      <c r="AL927" s="81" t="b">
        <v>0</v>
      </c>
      <c r="AM927" s="81">
        <v>20</v>
      </c>
      <c r="AN927" s="86" t="s">
        <v>5110</v>
      </c>
      <c r="AO927" s="86" t="s">
        <v>6505</v>
      </c>
      <c r="AP927" s="81" t="b">
        <v>0</v>
      </c>
      <c r="AQ927" s="86" t="s">
        <v>5110</v>
      </c>
      <c r="AR927" s="81" t="s">
        <v>179</v>
      </c>
      <c r="AS927" s="81">
        <v>0</v>
      </c>
      <c r="AT927" s="81">
        <v>0</v>
      </c>
      <c r="AU927" s="81"/>
      <c r="AV927" s="81"/>
      <c r="AW927" s="81"/>
      <c r="AX927" s="81"/>
      <c r="AY927" s="81"/>
      <c r="AZ927" s="81"/>
      <c r="BA927" s="81"/>
      <c r="BB927" s="81"/>
    </row>
    <row r="928" spans="1:54" x14ac:dyDescent="0.35">
      <c r="A928" s="66" t="s">
        <v>860</v>
      </c>
      <c r="B928" s="66" t="s">
        <v>1413</v>
      </c>
      <c r="C928" s="67"/>
      <c r="D928" s="68"/>
      <c r="E928" s="69"/>
      <c r="F928" s="70"/>
      <c r="G928" s="67"/>
      <c r="H928" s="71"/>
      <c r="I928" s="72"/>
      <c r="J928" s="72"/>
      <c r="K928" s="36"/>
      <c r="L928" s="79"/>
      <c r="M928" s="79"/>
      <c r="N928" s="74"/>
      <c r="O928" s="81" t="s">
        <v>1533</v>
      </c>
      <c r="P928" s="83">
        <v>44463.754560185182</v>
      </c>
      <c r="Q928" s="81" t="s">
        <v>1909</v>
      </c>
      <c r="R928" s="81"/>
      <c r="S928" s="81"/>
      <c r="T928" s="86" t="s">
        <v>1413</v>
      </c>
      <c r="U928" s="84" t="str">
        <f>HYPERLINK("https://pbs.twimg.com/media/FAEa7dXVkAcjbKg.jpg")</f>
        <v>https://pbs.twimg.com/media/FAEa7dXVkAcjbKg.jpg</v>
      </c>
      <c r="V928" s="84" t="str">
        <f>HYPERLINK("https://pbs.twimg.com/media/FAEa7dXVkAcjbKg.jpg")</f>
        <v>https://pbs.twimg.com/media/FAEa7dXVkAcjbKg.jpg</v>
      </c>
      <c r="W928" s="83">
        <v>44463.754560185182</v>
      </c>
      <c r="X928" s="89">
        <v>44463</v>
      </c>
      <c r="Y928" s="86" t="s">
        <v>3480</v>
      </c>
      <c r="Z928" s="84" t="str">
        <f>HYPERLINK("https://twitter.com/taestrowbeary/status/1441464088970739722")</f>
        <v>https://twitter.com/taestrowbeary/status/1441464088970739722</v>
      </c>
      <c r="AA928" s="81"/>
      <c r="AB928" s="81"/>
      <c r="AC928" s="86" t="s">
        <v>4945</v>
      </c>
      <c r="AD928" s="81"/>
      <c r="AE928" s="81" t="b">
        <v>0</v>
      </c>
      <c r="AF928" s="81">
        <v>0</v>
      </c>
      <c r="AG928" s="86" t="s">
        <v>6240</v>
      </c>
      <c r="AH928" s="81" t="b">
        <v>0</v>
      </c>
      <c r="AI928" s="81" t="s">
        <v>6479</v>
      </c>
      <c r="AJ928" s="81"/>
      <c r="AK928" s="86" t="s">
        <v>6240</v>
      </c>
      <c r="AL928" s="81" t="b">
        <v>0</v>
      </c>
      <c r="AM928" s="81">
        <v>20</v>
      </c>
      <c r="AN928" s="86" t="s">
        <v>5110</v>
      </c>
      <c r="AO928" s="86" t="s">
        <v>6505</v>
      </c>
      <c r="AP928" s="81" t="b">
        <v>0</v>
      </c>
      <c r="AQ928" s="86" t="s">
        <v>5110</v>
      </c>
      <c r="AR928" s="81" t="s">
        <v>179</v>
      </c>
      <c r="AS928" s="81">
        <v>0</v>
      </c>
      <c r="AT928" s="81">
        <v>0</v>
      </c>
      <c r="AU928" s="81"/>
      <c r="AV928" s="81"/>
      <c r="AW928" s="81"/>
      <c r="AX928" s="81"/>
      <c r="AY928" s="81"/>
      <c r="AZ928" s="81"/>
      <c r="BA928" s="81"/>
      <c r="BB928" s="81"/>
    </row>
    <row r="929" spans="1:54" x14ac:dyDescent="0.35">
      <c r="A929" s="66" t="s">
        <v>860</v>
      </c>
      <c r="B929" s="66" t="s">
        <v>990</v>
      </c>
      <c r="C929" s="67"/>
      <c r="D929" s="68"/>
      <c r="E929" s="69"/>
      <c r="F929" s="70"/>
      <c r="G929" s="67"/>
      <c r="H929" s="71"/>
      <c r="I929" s="72"/>
      <c r="J929" s="72"/>
      <c r="K929" s="36"/>
      <c r="L929" s="79"/>
      <c r="M929" s="79"/>
      <c r="N929" s="74"/>
      <c r="O929" s="81" t="s">
        <v>1532</v>
      </c>
      <c r="P929" s="83">
        <v>44463.754560185182</v>
      </c>
      <c r="Q929" s="81" t="s">
        <v>1909</v>
      </c>
      <c r="R929" s="81"/>
      <c r="S929" s="81"/>
      <c r="T929" s="86" t="s">
        <v>1413</v>
      </c>
      <c r="U929" s="84" t="str">
        <f>HYPERLINK("https://pbs.twimg.com/media/FAEa7dXVkAcjbKg.jpg")</f>
        <v>https://pbs.twimg.com/media/FAEa7dXVkAcjbKg.jpg</v>
      </c>
      <c r="V929" s="84" t="str">
        <f>HYPERLINK("https://pbs.twimg.com/media/FAEa7dXVkAcjbKg.jpg")</f>
        <v>https://pbs.twimg.com/media/FAEa7dXVkAcjbKg.jpg</v>
      </c>
      <c r="W929" s="83">
        <v>44463.754560185182</v>
      </c>
      <c r="X929" s="89">
        <v>44463</v>
      </c>
      <c r="Y929" s="86" t="s">
        <v>3480</v>
      </c>
      <c r="Z929" s="84" t="str">
        <f>HYPERLINK("https://twitter.com/taestrowbeary/status/1441464088970739722")</f>
        <v>https://twitter.com/taestrowbeary/status/1441464088970739722</v>
      </c>
      <c r="AA929" s="81"/>
      <c r="AB929" s="81"/>
      <c r="AC929" s="86" t="s">
        <v>4945</v>
      </c>
      <c r="AD929" s="81"/>
      <c r="AE929" s="81" t="b">
        <v>0</v>
      </c>
      <c r="AF929" s="81">
        <v>0</v>
      </c>
      <c r="AG929" s="86" t="s">
        <v>6240</v>
      </c>
      <c r="AH929" s="81" t="b">
        <v>0</v>
      </c>
      <c r="AI929" s="81" t="s">
        <v>6479</v>
      </c>
      <c r="AJ929" s="81"/>
      <c r="AK929" s="86" t="s">
        <v>6240</v>
      </c>
      <c r="AL929" s="81" t="b">
        <v>0</v>
      </c>
      <c r="AM929" s="81">
        <v>20</v>
      </c>
      <c r="AN929" s="86" t="s">
        <v>5110</v>
      </c>
      <c r="AO929" s="86" t="s">
        <v>6505</v>
      </c>
      <c r="AP929" s="81" t="b">
        <v>0</v>
      </c>
      <c r="AQ929" s="86" t="s">
        <v>5110</v>
      </c>
      <c r="AR929" s="81" t="s">
        <v>179</v>
      </c>
      <c r="AS929" s="81">
        <v>0</v>
      </c>
      <c r="AT929" s="81">
        <v>0</v>
      </c>
      <c r="AU929" s="81"/>
      <c r="AV929" s="81"/>
      <c r="AW929" s="81"/>
      <c r="AX929" s="81"/>
      <c r="AY929" s="81"/>
      <c r="AZ929" s="81"/>
      <c r="BA929" s="81"/>
      <c r="BB929" s="81"/>
    </row>
    <row r="930" spans="1:54" x14ac:dyDescent="0.35">
      <c r="A930" s="66" t="s">
        <v>860</v>
      </c>
      <c r="B930" s="66" t="s">
        <v>1410</v>
      </c>
      <c r="C930" s="67"/>
      <c r="D930" s="68"/>
      <c r="E930" s="69"/>
      <c r="F930" s="70"/>
      <c r="G930" s="67"/>
      <c r="H930" s="71"/>
      <c r="I930" s="72"/>
      <c r="J930" s="72"/>
      <c r="K930" s="36"/>
      <c r="L930" s="79"/>
      <c r="M930" s="79"/>
      <c r="N930" s="74"/>
      <c r="O930" s="81" t="s">
        <v>1533</v>
      </c>
      <c r="P930" s="83">
        <v>44463.75503472222</v>
      </c>
      <c r="Q930" s="81" t="s">
        <v>1908</v>
      </c>
      <c r="R930" s="81"/>
      <c r="S930" s="81"/>
      <c r="T930" s="86" t="s">
        <v>1413</v>
      </c>
      <c r="U930" s="84" t="str">
        <f>HYPERLINK("https://pbs.twimg.com/media/FAEa_mFUYAcoKUu.jpg")</f>
        <v>https://pbs.twimg.com/media/FAEa_mFUYAcoKUu.jpg</v>
      </c>
      <c r="V930" s="84" t="str">
        <f>HYPERLINK("https://pbs.twimg.com/media/FAEa_mFUYAcoKUu.jpg")</f>
        <v>https://pbs.twimg.com/media/FAEa_mFUYAcoKUu.jpg</v>
      </c>
      <c r="W930" s="83">
        <v>44463.75503472222</v>
      </c>
      <c r="X930" s="89">
        <v>44463</v>
      </c>
      <c r="Y930" s="86" t="s">
        <v>3481</v>
      </c>
      <c r="Z930" s="84" t="str">
        <f>HYPERLINK("https://twitter.com/taestrowbeary/status/1441464259385303047")</f>
        <v>https://twitter.com/taestrowbeary/status/1441464259385303047</v>
      </c>
      <c r="AA930" s="81"/>
      <c r="AB930" s="81"/>
      <c r="AC930" s="86" t="s">
        <v>4946</v>
      </c>
      <c r="AD930" s="81"/>
      <c r="AE930" s="81" t="b">
        <v>0</v>
      </c>
      <c r="AF930" s="81">
        <v>0</v>
      </c>
      <c r="AG930" s="86" t="s">
        <v>6240</v>
      </c>
      <c r="AH930" s="81" t="b">
        <v>0</v>
      </c>
      <c r="AI930" s="81" t="s">
        <v>6479</v>
      </c>
      <c r="AJ930" s="81"/>
      <c r="AK930" s="86" t="s">
        <v>6240</v>
      </c>
      <c r="AL930" s="81" t="b">
        <v>0</v>
      </c>
      <c r="AM930" s="81">
        <v>23</v>
      </c>
      <c r="AN930" s="86" t="s">
        <v>5111</v>
      </c>
      <c r="AO930" s="86" t="s">
        <v>6505</v>
      </c>
      <c r="AP930" s="81" t="b">
        <v>0</v>
      </c>
      <c r="AQ930" s="86" t="s">
        <v>5111</v>
      </c>
      <c r="AR930" s="81" t="s">
        <v>179</v>
      </c>
      <c r="AS930" s="81">
        <v>0</v>
      </c>
      <c r="AT930" s="81">
        <v>0</v>
      </c>
      <c r="AU930" s="81"/>
      <c r="AV930" s="81"/>
      <c r="AW930" s="81"/>
      <c r="AX930" s="81"/>
      <c r="AY930" s="81"/>
      <c r="AZ930" s="81"/>
      <c r="BA930" s="81"/>
      <c r="BB930" s="81"/>
    </row>
    <row r="931" spans="1:54" x14ac:dyDescent="0.35">
      <c r="A931" s="66" t="s">
        <v>860</v>
      </c>
      <c r="B931" s="66" t="s">
        <v>1411</v>
      </c>
      <c r="C931" s="67"/>
      <c r="D931" s="68"/>
      <c r="E931" s="69"/>
      <c r="F931" s="70"/>
      <c r="G931" s="67"/>
      <c r="H931" s="71"/>
      <c r="I931" s="72"/>
      <c r="J931" s="72"/>
      <c r="K931" s="36"/>
      <c r="L931" s="79"/>
      <c r="M931" s="79"/>
      <c r="N931" s="74"/>
      <c r="O931" s="81" t="s">
        <v>1533</v>
      </c>
      <c r="P931" s="83">
        <v>44463.75503472222</v>
      </c>
      <c r="Q931" s="81" t="s">
        <v>1908</v>
      </c>
      <c r="R931" s="81"/>
      <c r="S931" s="81"/>
      <c r="T931" s="86" t="s">
        <v>1413</v>
      </c>
      <c r="U931" s="84" t="str">
        <f>HYPERLINK("https://pbs.twimg.com/media/FAEa_mFUYAcoKUu.jpg")</f>
        <v>https://pbs.twimg.com/media/FAEa_mFUYAcoKUu.jpg</v>
      </c>
      <c r="V931" s="84" t="str">
        <f>HYPERLINK("https://pbs.twimg.com/media/FAEa_mFUYAcoKUu.jpg")</f>
        <v>https://pbs.twimg.com/media/FAEa_mFUYAcoKUu.jpg</v>
      </c>
      <c r="W931" s="83">
        <v>44463.75503472222</v>
      </c>
      <c r="X931" s="89">
        <v>44463</v>
      </c>
      <c r="Y931" s="86" t="s">
        <v>3481</v>
      </c>
      <c r="Z931" s="84" t="str">
        <f>HYPERLINK("https://twitter.com/taestrowbeary/status/1441464259385303047")</f>
        <v>https://twitter.com/taestrowbeary/status/1441464259385303047</v>
      </c>
      <c r="AA931" s="81"/>
      <c r="AB931" s="81"/>
      <c r="AC931" s="86" t="s">
        <v>4946</v>
      </c>
      <c r="AD931" s="81"/>
      <c r="AE931" s="81" t="b">
        <v>0</v>
      </c>
      <c r="AF931" s="81">
        <v>0</v>
      </c>
      <c r="AG931" s="86" t="s">
        <v>6240</v>
      </c>
      <c r="AH931" s="81" t="b">
        <v>0</v>
      </c>
      <c r="AI931" s="81" t="s">
        <v>6479</v>
      </c>
      <c r="AJ931" s="81"/>
      <c r="AK931" s="86" t="s">
        <v>6240</v>
      </c>
      <c r="AL931" s="81" t="b">
        <v>0</v>
      </c>
      <c r="AM931" s="81">
        <v>23</v>
      </c>
      <c r="AN931" s="86" t="s">
        <v>5111</v>
      </c>
      <c r="AO931" s="86" t="s">
        <v>6505</v>
      </c>
      <c r="AP931" s="81" t="b">
        <v>0</v>
      </c>
      <c r="AQ931" s="86" t="s">
        <v>5111</v>
      </c>
      <c r="AR931" s="81" t="s">
        <v>179</v>
      </c>
      <c r="AS931" s="81">
        <v>0</v>
      </c>
      <c r="AT931" s="81">
        <v>0</v>
      </c>
      <c r="AU931" s="81"/>
      <c r="AV931" s="81"/>
      <c r="AW931" s="81"/>
      <c r="AX931" s="81"/>
      <c r="AY931" s="81"/>
      <c r="AZ931" s="81"/>
      <c r="BA931" s="81"/>
      <c r="BB931" s="81"/>
    </row>
    <row r="932" spans="1:54" x14ac:dyDescent="0.35">
      <c r="A932" s="66" t="s">
        <v>860</v>
      </c>
      <c r="B932" s="66" t="s">
        <v>1412</v>
      </c>
      <c r="C932" s="67"/>
      <c r="D932" s="68"/>
      <c r="E932" s="69"/>
      <c r="F932" s="70"/>
      <c r="G932" s="67"/>
      <c r="H932" s="71"/>
      <c r="I932" s="72"/>
      <c r="J932" s="72"/>
      <c r="K932" s="36"/>
      <c r="L932" s="79"/>
      <c r="M932" s="79"/>
      <c r="N932" s="74"/>
      <c r="O932" s="81" t="s">
        <v>1533</v>
      </c>
      <c r="P932" s="83">
        <v>44463.75503472222</v>
      </c>
      <c r="Q932" s="81" t="s">
        <v>1908</v>
      </c>
      <c r="R932" s="81"/>
      <c r="S932" s="81"/>
      <c r="T932" s="86" t="s">
        <v>1413</v>
      </c>
      <c r="U932" s="84" t="str">
        <f>HYPERLINK("https://pbs.twimg.com/media/FAEa_mFUYAcoKUu.jpg")</f>
        <v>https://pbs.twimg.com/media/FAEa_mFUYAcoKUu.jpg</v>
      </c>
      <c r="V932" s="84" t="str">
        <f>HYPERLINK("https://pbs.twimg.com/media/FAEa_mFUYAcoKUu.jpg")</f>
        <v>https://pbs.twimg.com/media/FAEa_mFUYAcoKUu.jpg</v>
      </c>
      <c r="W932" s="83">
        <v>44463.75503472222</v>
      </c>
      <c r="X932" s="89">
        <v>44463</v>
      </c>
      <c r="Y932" s="86" t="s">
        <v>3481</v>
      </c>
      <c r="Z932" s="84" t="str">
        <f>HYPERLINK("https://twitter.com/taestrowbeary/status/1441464259385303047")</f>
        <v>https://twitter.com/taestrowbeary/status/1441464259385303047</v>
      </c>
      <c r="AA932" s="81"/>
      <c r="AB932" s="81"/>
      <c r="AC932" s="86" t="s">
        <v>4946</v>
      </c>
      <c r="AD932" s="81"/>
      <c r="AE932" s="81" t="b">
        <v>0</v>
      </c>
      <c r="AF932" s="81">
        <v>0</v>
      </c>
      <c r="AG932" s="86" t="s">
        <v>6240</v>
      </c>
      <c r="AH932" s="81" t="b">
        <v>0</v>
      </c>
      <c r="AI932" s="81" t="s">
        <v>6479</v>
      </c>
      <c r="AJ932" s="81"/>
      <c r="AK932" s="86" t="s">
        <v>6240</v>
      </c>
      <c r="AL932" s="81" t="b">
        <v>0</v>
      </c>
      <c r="AM932" s="81">
        <v>23</v>
      </c>
      <c r="AN932" s="86" t="s">
        <v>5111</v>
      </c>
      <c r="AO932" s="86" t="s">
        <v>6505</v>
      </c>
      <c r="AP932" s="81" t="b">
        <v>0</v>
      </c>
      <c r="AQ932" s="86" t="s">
        <v>5111</v>
      </c>
      <c r="AR932" s="81" t="s">
        <v>179</v>
      </c>
      <c r="AS932" s="81">
        <v>0</v>
      </c>
      <c r="AT932" s="81">
        <v>0</v>
      </c>
      <c r="AU932" s="81"/>
      <c r="AV932" s="81"/>
      <c r="AW932" s="81"/>
      <c r="AX932" s="81"/>
      <c r="AY932" s="81"/>
      <c r="AZ932" s="81"/>
      <c r="BA932" s="81"/>
      <c r="BB932" s="81"/>
    </row>
    <row r="933" spans="1:54" x14ac:dyDescent="0.35">
      <c r="A933" s="66" t="s">
        <v>860</v>
      </c>
      <c r="B933" s="66" t="s">
        <v>1413</v>
      </c>
      <c r="C933" s="67"/>
      <c r="D933" s="68"/>
      <c r="E933" s="69"/>
      <c r="F933" s="70"/>
      <c r="G933" s="67"/>
      <c r="H933" s="71"/>
      <c r="I933" s="72"/>
      <c r="J933" s="72"/>
      <c r="K933" s="36"/>
      <c r="L933" s="79"/>
      <c r="M933" s="79"/>
      <c r="N933" s="74"/>
      <c r="O933" s="81" t="s">
        <v>1533</v>
      </c>
      <c r="P933" s="83">
        <v>44463.75503472222</v>
      </c>
      <c r="Q933" s="81" t="s">
        <v>1908</v>
      </c>
      <c r="R933" s="81"/>
      <c r="S933" s="81"/>
      <c r="T933" s="86" t="s">
        <v>1413</v>
      </c>
      <c r="U933" s="84" t="str">
        <f>HYPERLINK("https://pbs.twimg.com/media/FAEa_mFUYAcoKUu.jpg")</f>
        <v>https://pbs.twimg.com/media/FAEa_mFUYAcoKUu.jpg</v>
      </c>
      <c r="V933" s="84" t="str">
        <f>HYPERLINK("https://pbs.twimg.com/media/FAEa_mFUYAcoKUu.jpg")</f>
        <v>https://pbs.twimg.com/media/FAEa_mFUYAcoKUu.jpg</v>
      </c>
      <c r="W933" s="83">
        <v>44463.75503472222</v>
      </c>
      <c r="X933" s="89">
        <v>44463</v>
      </c>
      <c r="Y933" s="86" t="s">
        <v>3481</v>
      </c>
      <c r="Z933" s="84" t="str">
        <f>HYPERLINK("https://twitter.com/taestrowbeary/status/1441464259385303047")</f>
        <v>https://twitter.com/taestrowbeary/status/1441464259385303047</v>
      </c>
      <c r="AA933" s="81"/>
      <c r="AB933" s="81"/>
      <c r="AC933" s="86" t="s">
        <v>4946</v>
      </c>
      <c r="AD933" s="81"/>
      <c r="AE933" s="81" t="b">
        <v>0</v>
      </c>
      <c r="AF933" s="81">
        <v>0</v>
      </c>
      <c r="AG933" s="86" t="s">
        <v>6240</v>
      </c>
      <c r="AH933" s="81" t="b">
        <v>0</v>
      </c>
      <c r="AI933" s="81" t="s">
        <v>6479</v>
      </c>
      <c r="AJ933" s="81"/>
      <c r="AK933" s="86" t="s">
        <v>6240</v>
      </c>
      <c r="AL933" s="81" t="b">
        <v>0</v>
      </c>
      <c r="AM933" s="81">
        <v>23</v>
      </c>
      <c r="AN933" s="86" t="s">
        <v>5111</v>
      </c>
      <c r="AO933" s="86" t="s">
        <v>6505</v>
      </c>
      <c r="AP933" s="81" t="b">
        <v>0</v>
      </c>
      <c r="AQ933" s="86" t="s">
        <v>5111</v>
      </c>
      <c r="AR933" s="81" t="s">
        <v>179</v>
      </c>
      <c r="AS933" s="81">
        <v>0</v>
      </c>
      <c r="AT933" s="81">
        <v>0</v>
      </c>
      <c r="AU933" s="81"/>
      <c r="AV933" s="81"/>
      <c r="AW933" s="81"/>
      <c r="AX933" s="81"/>
      <c r="AY933" s="81"/>
      <c r="AZ933" s="81"/>
      <c r="BA933" s="81"/>
      <c r="BB933" s="81"/>
    </row>
    <row r="934" spans="1:54" x14ac:dyDescent="0.35">
      <c r="A934" s="66" t="s">
        <v>860</v>
      </c>
      <c r="B934" s="66" t="s">
        <v>990</v>
      </c>
      <c r="C934" s="67"/>
      <c r="D934" s="68"/>
      <c r="E934" s="69"/>
      <c r="F934" s="70"/>
      <c r="G934" s="67"/>
      <c r="H934" s="71"/>
      <c r="I934" s="72"/>
      <c r="J934" s="72"/>
      <c r="K934" s="36"/>
      <c r="L934" s="79"/>
      <c r="M934" s="79"/>
      <c r="N934" s="74"/>
      <c r="O934" s="81" t="s">
        <v>1532</v>
      </c>
      <c r="P934" s="83">
        <v>44463.75503472222</v>
      </c>
      <c r="Q934" s="81" t="s">
        <v>1908</v>
      </c>
      <c r="R934" s="81"/>
      <c r="S934" s="81"/>
      <c r="T934" s="86" t="s">
        <v>1413</v>
      </c>
      <c r="U934" s="84" t="str">
        <f>HYPERLINK("https://pbs.twimg.com/media/FAEa_mFUYAcoKUu.jpg")</f>
        <v>https://pbs.twimg.com/media/FAEa_mFUYAcoKUu.jpg</v>
      </c>
      <c r="V934" s="84" t="str">
        <f>HYPERLINK("https://pbs.twimg.com/media/FAEa_mFUYAcoKUu.jpg")</f>
        <v>https://pbs.twimg.com/media/FAEa_mFUYAcoKUu.jpg</v>
      </c>
      <c r="W934" s="83">
        <v>44463.75503472222</v>
      </c>
      <c r="X934" s="89">
        <v>44463</v>
      </c>
      <c r="Y934" s="86" t="s">
        <v>3481</v>
      </c>
      <c r="Z934" s="84" t="str">
        <f>HYPERLINK("https://twitter.com/taestrowbeary/status/1441464259385303047")</f>
        <v>https://twitter.com/taestrowbeary/status/1441464259385303047</v>
      </c>
      <c r="AA934" s="81"/>
      <c r="AB934" s="81"/>
      <c r="AC934" s="86" t="s">
        <v>4946</v>
      </c>
      <c r="AD934" s="81"/>
      <c r="AE934" s="81" t="b">
        <v>0</v>
      </c>
      <c r="AF934" s="81">
        <v>0</v>
      </c>
      <c r="AG934" s="86" t="s">
        <v>6240</v>
      </c>
      <c r="AH934" s="81" t="b">
        <v>0</v>
      </c>
      <c r="AI934" s="81" t="s">
        <v>6479</v>
      </c>
      <c r="AJ934" s="81"/>
      <c r="AK934" s="86" t="s">
        <v>6240</v>
      </c>
      <c r="AL934" s="81" t="b">
        <v>0</v>
      </c>
      <c r="AM934" s="81">
        <v>23</v>
      </c>
      <c r="AN934" s="86" t="s">
        <v>5111</v>
      </c>
      <c r="AO934" s="86" t="s">
        <v>6505</v>
      </c>
      <c r="AP934" s="81" t="b">
        <v>0</v>
      </c>
      <c r="AQ934" s="86" t="s">
        <v>5111</v>
      </c>
      <c r="AR934" s="81" t="s">
        <v>179</v>
      </c>
      <c r="AS934" s="81">
        <v>0</v>
      </c>
      <c r="AT934" s="81">
        <v>0</v>
      </c>
      <c r="AU934" s="81"/>
      <c r="AV934" s="81"/>
      <c r="AW934" s="81"/>
      <c r="AX934" s="81"/>
      <c r="AY934" s="81"/>
      <c r="AZ934" s="81"/>
      <c r="BA934" s="81"/>
      <c r="BB934" s="81"/>
    </row>
    <row r="935" spans="1:54" x14ac:dyDescent="0.35">
      <c r="A935" s="66" t="s">
        <v>860</v>
      </c>
      <c r="B935" s="66" t="s">
        <v>1410</v>
      </c>
      <c r="C935" s="67"/>
      <c r="D935" s="68"/>
      <c r="E935" s="69"/>
      <c r="F935" s="70"/>
      <c r="G935" s="67"/>
      <c r="H935" s="71"/>
      <c r="I935" s="72"/>
      <c r="J935" s="72"/>
      <c r="K935" s="36"/>
      <c r="L935" s="79"/>
      <c r="M935" s="79"/>
      <c r="N935" s="74"/>
      <c r="O935" s="81" t="s">
        <v>1533</v>
      </c>
      <c r="P935" s="83">
        <v>44463.755150462966</v>
      </c>
      <c r="Q935" s="81" t="s">
        <v>1907</v>
      </c>
      <c r="R935" s="81"/>
      <c r="S935" s="81"/>
      <c r="T935" s="86" t="s">
        <v>1413</v>
      </c>
      <c r="U935" s="84" t="str">
        <f>HYPERLINK("https://pbs.twimg.com/media/FAEbDOhVUAIE92y.jpg")</f>
        <v>https://pbs.twimg.com/media/FAEbDOhVUAIE92y.jpg</v>
      </c>
      <c r="V935" s="84" t="str">
        <f>HYPERLINK("https://pbs.twimg.com/media/FAEbDOhVUAIE92y.jpg")</f>
        <v>https://pbs.twimg.com/media/FAEbDOhVUAIE92y.jpg</v>
      </c>
      <c r="W935" s="83">
        <v>44463.755150462966</v>
      </c>
      <c r="X935" s="89">
        <v>44463</v>
      </c>
      <c r="Y935" s="86" t="s">
        <v>3482</v>
      </c>
      <c r="Z935" s="84" t="str">
        <f>HYPERLINK("https://twitter.com/taestrowbeary/status/1441464304348196864")</f>
        <v>https://twitter.com/taestrowbeary/status/1441464304348196864</v>
      </c>
      <c r="AA935" s="81"/>
      <c r="AB935" s="81"/>
      <c r="AC935" s="86" t="s">
        <v>4947</v>
      </c>
      <c r="AD935" s="81"/>
      <c r="AE935" s="81" t="b">
        <v>0</v>
      </c>
      <c r="AF935" s="81">
        <v>0</v>
      </c>
      <c r="AG935" s="86" t="s">
        <v>6240</v>
      </c>
      <c r="AH935" s="81" t="b">
        <v>0</v>
      </c>
      <c r="AI935" s="81" t="s">
        <v>6479</v>
      </c>
      <c r="AJ935" s="81"/>
      <c r="AK935" s="86" t="s">
        <v>6240</v>
      </c>
      <c r="AL935" s="81" t="b">
        <v>0</v>
      </c>
      <c r="AM935" s="81">
        <v>5</v>
      </c>
      <c r="AN935" s="86" t="s">
        <v>5112</v>
      </c>
      <c r="AO935" s="86" t="s">
        <v>6505</v>
      </c>
      <c r="AP935" s="81" t="b">
        <v>0</v>
      </c>
      <c r="AQ935" s="86" t="s">
        <v>5112</v>
      </c>
      <c r="AR935" s="81" t="s">
        <v>179</v>
      </c>
      <c r="AS935" s="81">
        <v>0</v>
      </c>
      <c r="AT935" s="81">
        <v>0</v>
      </c>
      <c r="AU935" s="81"/>
      <c r="AV935" s="81"/>
      <c r="AW935" s="81"/>
      <c r="AX935" s="81"/>
      <c r="AY935" s="81"/>
      <c r="AZ935" s="81"/>
      <c r="BA935" s="81"/>
      <c r="BB935" s="81"/>
    </row>
    <row r="936" spans="1:54" x14ac:dyDescent="0.35">
      <c r="A936" s="66" t="s">
        <v>860</v>
      </c>
      <c r="B936" s="66" t="s">
        <v>1411</v>
      </c>
      <c r="C936" s="67"/>
      <c r="D936" s="68"/>
      <c r="E936" s="69"/>
      <c r="F936" s="70"/>
      <c r="G936" s="67"/>
      <c r="H936" s="71"/>
      <c r="I936" s="72"/>
      <c r="J936" s="72"/>
      <c r="K936" s="36"/>
      <c r="L936" s="79"/>
      <c r="M936" s="79"/>
      <c r="N936" s="74"/>
      <c r="O936" s="81" t="s">
        <v>1533</v>
      </c>
      <c r="P936" s="83">
        <v>44463.755150462966</v>
      </c>
      <c r="Q936" s="81" t="s">
        <v>1907</v>
      </c>
      <c r="R936" s="81"/>
      <c r="S936" s="81"/>
      <c r="T936" s="86" t="s">
        <v>1413</v>
      </c>
      <c r="U936" s="84" t="str">
        <f>HYPERLINK("https://pbs.twimg.com/media/FAEbDOhVUAIE92y.jpg")</f>
        <v>https://pbs.twimg.com/media/FAEbDOhVUAIE92y.jpg</v>
      </c>
      <c r="V936" s="84" t="str">
        <f>HYPERLINK("https://pbs.twimg.com/media/FAEbDOhVUAIE92y.jpg")</f>
        <v>https://pbs.twimg.com/media/FAEbDOhVUAIE92y.jpg</v>
      </c>
      <c r="W936" s="83">
        <v>44463.755150462966</v>
      </c>
      <c r="X936" s="89">
        <v>44463</v>
      </c>
      <c r="Y936" s="86" t="s">
        <v>3482</v>
      </c>
      <c r="Z936" s="84" t="str">
        <f>HYPERLINK("https://twitter.com/taestrowbeary/status/1441464304348196864")</f>
        <v>https://twitter.com/taestrowbeary/status/1441464304348196864</v>
      </c>
      <c r="AA936" s="81"/>
      <c r="AB936" s="81"/>
      <c r="AC936" s="86" t="s">
        <v>4947</v>
      </c>
      <c r="AD936" s="81"/>
      <c r="AE936" s="81" t="b">
        <v>0</v>
      </c>
      <c r="AF936" s="81">
        <v>0</v>
      </c>
      <c r="AG936" s="86" t="s">
        <v>6240</v>
      </c>
      <c r="AH936" s="81" t="b">
        <v>0</v>
      </c>
      <c r="AI936" s="81" t="s">
        <v>6479</v>
      </c>
      <c r="AJ936" s="81"/>
      <c r="AK936" s="86" t="s">
        <v>6240</v>
      </c>
      <c r="AL936" s="81" t="b">
        <v>0</v>
      </c>
      <c r="AM936" s="81">
        <v>5</v>
      </c>
      <c r="AN936" s="86" t="s">
        <v>5112</v>
      </c>
      <c r="AO936" s="86" t="s">
        <v>6505</v>
      </c>
      <c r="AP936" s="81" t="b">
        <v>0</v>
      </c>
      <c r="AQ936" s="86" t="s">
        <v>5112</v>
      </c>
      <c r="AR936" s="81" t="s">
        <v>179</v>
      </c>
      <c r="AS936" s="81">
        <v>0</v>
      </c>
      <c r="AT936" s="81">
        <v>0</v>
      </c>
      <c r="AU936" s="81"/>
      <c r="AV936" s="81"/>
      <c r="AW936" s="81"/>
      <c r="AX936" s="81"/>
      <c r="AY936" s="81"/>
      <c r="AZ936" s="81"/>
      <c r="BA936" s="81"/>
      <c r="BB936" s="81"/>
    </row>
    <row r="937" spans="1:54" x14ac:dyDescent="0.35">
      <c r="A937" s="66" t="s">
        <v>860</v>
      </c>
      <c r="B937" s="66" t="s">
        <v>1412</v>
      </c>
      <c r="C937" s="67"/>
      <c r="D937" s="68"/>
      <c r="E937" s="69"/>
      <c r="F937" s="70"/>
      <c r="G937" s="67"/>
      <c r="H937" s="71"/>
      <c r="I937" s="72"/>
      <c r="J937" s="72"/>
      <c r="K937" s="36"/>
      <c r="L937" s="79"/>
      <c r="M937" s="79"/>
      <c r="N937" s="74"/>
      <c r="O937" s="81" t="s">
        <v>1533</v>
      </c>
      <c r="P937" s="83">
        <v>44463.755150462966</v>
      </c>
      <c r="Q937" s="81" t="s">
        <v>1907</v>
      </c>
      <c r="R937" s="81"/>
      <c r="S937" s="81"/>
      <c r="T937" s="86" t="s">
        <v>1413</v>
      </c>
      <c r="U937" s="84" t="str">
        <f>HYPERLINK("https://pbs.twimg.com/media/FAEbDOhVUAIE92y.jpg")</f>
        <v>https://pbs.twimg.com/media/FAEbDOhVUAIE92y.jpg</v>
      </c>
      <c r="V937" s="84" t="str">
        <f>HYPERLINK("https://pbs.twimg.com/media/FAEbDOhVUAIE92y.jpg")</f>
        <v>https://pbs.twimg.com/media/FAEbDOhVUAIE92y.jpg</v>
      </c>
      <c r="W937" s="83">
        <v>44463.755150462966</v>
      </c>
      <c r="X937" s="89">
        <v>44463</v>
      </c>
      <c r="Y937" s="86" t="s">
        <v>3482</v>
      </c>
      <c r="Z937" s="84" t="str">
        <f>HYPERLINK("https://twitter.com/taestrowbeary/status/1441464304348196864")</f>
        <v>https://twitter.com/taestrowbeary/status/1441464304348196864</v>
      </c>
      <c r="AA937" s="81"/>
      <c r="AB937" s="81"/>
      <c r="AC937" s="86" t="s">
        <v>4947</v>
      </c>
      <c r="AD937" s="81"/>
      <c r="AE937" s="81" t="b">
        <v>0</v>
      </c>
      <c r="AF937" s="81">
        <v>0</v>
      </c>
      <c r="AG937" s="86" t="s">
        <v>6240</v>
      </c>
      <c r="AH937" s="81" t="b">
        <v>0</v>
      </c>
      <c r="AI937" s="81" t="s">
        <v>6479</v>
      </c>
      <c r="AJ937" s="81"/>
      <c r="AK937" s="86" t="s">
        <v>6240</v>
      </c>
      <c r="AL937" s="81" t="b">
        <v>0</v>
      </c>
      <c r="AM937" s="81">
        <v>5</v>
      </c>
      <c r="AN937" s="86" t="s">
        <v>5112</v>
      </c>
      <c r="AO937" s="86" t="s">
        <v>6505</v>
      </c>
      <c r="AP937" s="81" t="b">
        <v>0</v>
      </c>
      <c r="AQ937" s="86" t="s">
        <v>5112</v>
      </c>
      <c r="AR937" s="81" t="s">
        <v>179</v>
      </c>
      <c r="AS937" s="81">
        <v>0</v>
      </c>
      <c r="AT937" s="81">
        <v>0</v>
      </c>
      <c r="AU937" s="81"/>
      <c r="AV937" s="81"/>
      <c r="AW937" s="81"/>
      <c r="AX937" s="81"/>
      <c r="AY937" s="81"/>
      <c r="AZ937" s="81"/>
      <c r="BA937" s="81"/>
      <c r="BB937" s="81"/>
    </row>
    <row r="938" spans="1:54" x14ac:dyDescent="0.35">
      <c r="A938" s="66" t="s">
        <v>860</v>
      </c>
      <c r="B938" s="66" t="s">
        <v>1413</v>
      </c>
      <c r="C938" s="67"/>
      <c r="D938" s="68"/>
      <c r="E938" s="69"/>
      <c r="F938" s="70"/>
      <c r="G938" s="67"/>
      <c r="H938" s="71"/>
      <c r="I938" s="72"/>
      <c r="J938" s="72"/>
      <c r="K938" s="36"/>
      <c r="L938" s="79"/>
      <c r="M938" s="79"/>
      <c r="N938" s="74"/>
      <c r="O938" s="81" t="s">
        <v>1533</v>
      </c>
      <c r="P938" s="83">
        <v>44463.755150462966</v>
      </c>
      <c r="Q938" s="81" t="s">
        <v>1907</v>
      </c>
      <c r="R938" s="81"/>
      <c r="S938" s="81"/>
      <c r="T938" s="86" t="s">
        <v>1413</v>
      </c>
      <c r="U938" s="84" t="str">
        <f>HYPERLINK("https://pbs.twimg.com/media/FAEbDOhVUAIE92y.jpg")</f>
        <v>https://pbs.twimg.com/media/FAEbDOhVUAIE92y.jpg</v>
      </c>
      <c r="V938" s="84" t="str">
        <f>HYPERLINK("https://pbs.twimg.com/media/FAEbDOhVUAIE92y.jpg")</f>
        <v>https://pbs.twimg.com/media/FAEbDOhVUAIE92y.jpg</v>
      </c>
      <c r="W938" s="83">
        <v>44463.755150462966</v>
      </c>
      <c r="X938" s="89">
        <v>44463</v>
      </c>
      <c r="Y938" s="86" t="s">
        <v>3482</v>
      </c>
      <c r="Z938" s="84" t="str">
        <f>HYPERLINK("https://twitter.com/taestrowbeary/status/1441464304348196864")</f>
        <v>https://twitter.com/taestrowbeary/status/1441464304348196864</v>
      </c>
      <c r="AA938" s="81"/>
      <c r="AB938" s="81"/>
      <c r="AC938" s="86" t="s">
        <v>4947</v>
      </c>
      <c r="AD938" s="81"/>
      <c r="AE938" s="81" t="b">
        <v>0</v>
      </c>
      <c r="AF938" s="81">
        <v>0</v>
      </c>
      <c r="AG938" s="86" t="s">
        <v>6240</v>
      </c>
      <c r="AH938" s="81" t="b">
        <v>0</v>
      </c>
      <c r="AI938" s="81" t="s">
        <v>6479</v>
      </c>
      <c r="AJ938" s="81"/>
      <c r="AK938" s="86" t="s">
        <v>6240</v>
      </c>
      <c r="AL938" s="81" t="b">
        <v>0</v>
      </c>
      <c r="AM938" s="81">
        <v>5</v>
      </c>
      <c r="AN938" s="86" t="s">
        <v>5112</v>
      </c>
      <c r="AO938" s="86" t="s">
        <v>6505</v>
      </c>
      <c r="AP938" s="81" t="b">
        <v>0</v>
      </c>
      <c r="AQ938" s="86" t="s">
        <v>5112</v>
      </c>
      <c r="AR938" s="81" t="s">
        <v>179</v>
      </c>
      <c r="AS938" s="81">
        <v>0</v>
      </c>
      <c r="AT938" s="81">
        <v>0</v>
      </c>
      <c r="AU938" s="81"/>
      <c r="AV938" s="81"/>
      <c r="AW938" s="81"/>
      <c r="AX938" s="81"/>
      <c r="AY938" s="81"/>
      <c r="AZ938" s="81"/>
      <c r="BA938" s="81"/>
      <c r="BB938" s="81"/>
    </row>
    <row r="939" spans="1:54" x14ac:dyDescent="0.35">
      <c r="A939" s="66" t="s">
        <v>860</v>
      </c>
      <c r="B939" s="66" t="s">
        <v>990</v>
      </c>
      <c r="C939" s="67"/>
      <c r="D939" s="68"/>
      <c r="E939" s="69"/>
      <c r="F939" s="70"/>
      <c r="G939" s="67"/>
      <c r="H939" s="71"/>
      <c r="I939" s="72"/>
      <c r="J939" s="72"/>
      <c r="K939" s="36"/>
      <c r="L939" s="79"/>
      <c r="M939" s="79"/>
      <c r="N939" s="74"/>
      <c r="O939" s="81" t="s">
        <v>1532</v>
      </c>
      <c r="P939" s="83">
        <v>44463.755150462966</v>
      </c>
      <c r="Q939" s="81" t="s">
        <v>1907</v>
      </c>
      <c r="R939" s="81"/>
      <c r="S939" s="81"/>
      <c r="T939" s="86" t="s">
        <v>1413</v>
      </c>
      <c r="U939" s="84" t="str">
        <f>HYPERLINK("https://pbs.twimg.com/media/FAEbDOhVUAIE92y.jpg")</f>
        <v>https://pbs.twimg.com/media/FAEbDOhVUAIE92y.jpg</v>
      </c>
      <c r="V939" s="84" t="str">
        <f>HYPERLINK("https://pbs.twimg.com/media/FAEbDOhVUAIE92y.jpg")</f>
        <v>https://pbs.twimg.com/media/FAEbDOhVUAIE92y.jpg</v>
      </c>
      <c r="W939" s="83">
        <v>44463.755150462966</v>
      </c>
      <c r="X939" s="89">
        <v>44463</v>
      </c>
      <c r="Y939" s="86" t="s">
        <v>3482</v>
      </c>
      <c r="Z939" s="84" t="str">
        <f>HYPERLINK("https://twitter.com/taestrowbeary/status/1441464304348196864")</f>
        <v>https://twitter.com/taestrowbeary/status/1441464304348196864</v>
      </c>
      <c r="AA939" s="81"/>
      <c r="AB939" s="81"/>
      <c r="AC939" s="86" t="s">
        <v>4947</v>
      </c>
      <c r="AD939" s="81"/>
      <c r="AE939" s="81" t="b">
        <v>0</v>
      </c>
      <c r="AF939" s="81">
        <v>0</v>
      </c>
      <c r="AG939" s="86" t="s">
        <v>6240</v>
      </c>
      <c r="AH939" s="81" t="b">
        <v>0</v>
      </c>
      <c r="AI939" s="81" t="s">
        <v>6479</v>
      </c>
      <c r="AJ939" s="81"/>
      <c r="AK939" s="86" t="s">
        <v>6240</v>
      </c>
      <c r="AL939" s="81" t="b">
        <v>0</v>
      </c>
      <c r="AM939" s="81">
        <v>5</v>
      </c>
      <c r="AN939" s="86" t="s">
        <v>5112</v>
      </c>
      <c r="AO939" s="86" t="s">
        <v>6505</v>
      </c>
      <c r="AP939" s="81" t="b">
        <v>0</v>
      </c>
      <c r="AQ939" s="86" t="s">
        <v>5112</v>
      </c>
      <c r="AR939" s="81" t="s">
        <v>179</v>
      </c>
      <c r="AS939" s="81">
        <v>0</v>
      </c>
      <c r="AT939" s="81">
        <v>0</v>
      </c>
      <c r="AU939" s="81"/>
      <c r="AV939" s="81"/>
      <c r="AW939" s="81"/>
      <c r="AX939" s="81"/>
      <c r="AY939" s="81"/>
      <c r="AZ939" s="81"/>
      <c r="BA939" s="81"/>
      <c r="BB939" s="81"/>
    </row>
    <row r="940" spans="1:54" x14ac:dyDescent="0.35">
      <c r="A940" s="66" t="s">
        <v>860</v>
      </c>
      <c r="B940" s="66" t="s">
        <v>1410</v>
      </c>
      <c r="C940" s="67"/>
      <c r="D940" s="68"/>
      <c r="E940" s="69"/>
      <c r="F940" s="70"/>
      <c r="G940" s="67"/>
      <c r="H940" s="71"/>
      <c r="I940" s="72"/>
      <c r="J940" s="72"/>
      <c r="K940" s="36"/>
      <c r="L940" s="79"/>
      <c r="M940" s="79"/>
      <c r="N940" s="74"/>
      <c r="O940" s="81" t="s">
        <v>1533</v>
      </c>
      <c r="P940" s="83">
        <v>44463.755856481483</v>
      </c>
      <c r="Q940" s="81" t="s">
        <v>1906</v>
      </c>
      <c r="R940" s="81"/>
      <c r="S940" s="81"/>
      <c r="T940" s="86" t="s">
        <v>1413</v>
      </c>
      <c r="U940" s="84" t="str">
        <f>HYPERLINK("https://pbs.twimg.com/media/FAEbG8nUcA0oIOp.jpg")</f>
        <v>https://pbs.twimg.com/media/FAEbG8nUcA0oIOp.jpg</v>
      </c>
      <c r="V940" s="84" t="str">
        <f>HYPERLINK("https://pbs.twimg.com/media/FAEbG8nUcA0oIOp.jpg")</f>
        <v>https://pbs.twimg.com/media/FAEbG8nUcA0oIOp.jpg</v>
      </c>
      <c r="W940" s="83">
        <v>44463.755856481483</v>
      </c>
      <c r="X940" s="89">
        <v>44463</v>
      </c>
      <c r="Y940" s="86" t="s">
        <v>3483</v>
      </c>
      <c r="Z940" s="84" t="str">
        <f>HYPERLINK("https://twitter.com/taestrowbeary/status/1441464560175640584")</f>
        <v>https://twitter.com/taestrowbeary/status/1441464560175640584</v>
      </c>
      <c r="AA940" s="81"/>
      <c r="AB940" s="81"/>
      <c r="AC940" s="86" t="s">
        <v>4948</v>
      </c>
      <c r="AD940" s="81"/>
      <c r="AE940" s="81" t="b">
        <v>0</v>
      </c>
      <c r="AF940" s="81">
        <v>0</v>
      </c>
      <c r="AG940" s="86" t="s">
        <v>6240</v>
      </c>
      <c r="AH940" s="81" t="b">
        <v>0</v>
      </c>
      <c r="AI940" s="81" t="s">
        <v>6479</v>
      </c>
      <c r="AJ940" s="81"/>
      <c r="AK940" s="86" t="s">
        <v>6240</v>
      </c>
      <c r="AL940" s="81" t="b">
        <v>0</v>
      </c>
      <c r="AM940" s="81">
        <v>5</v>
      </c>
      <c r="AN940" s="86" t="s">
        <v>5113</v>
      </c>
      <c r="AO940" s="86" t="s">
        <v>6505</v>
      </c>
      <c r="AP940" s="81" t="b">
        <v>0</v>
      </c>
      <c r="AQ940" s="86" t="s">
        <v>5113</v>
      </c>
      <c r="AR940" s="81" t="s">
        <v>179</v>
      </c>
      <c r="AS940" s="81">
        <v>0</v>
      </c>
      <c r="AT940" s="81">
        <v>0</v>
      </c>
      <c r="AU940" s="81"/>
      <c r="AV940" s="81"/>
      <c r="AW940" s="81"/>
      <c r="AX940" s="81"/>
      <c r="AY940" s="81"/>
      <c r="AZ940" s="81"/>
      <c r="BA940" s="81"/>
      <c r="BB940" s="81"/>
    </row>
    <row r="941" spans="1:54" x14ac:dyDescent="0.35">
      <c r="A941" s="66" t="s">
        <v>860</v>
      </c>
      <c r="B941" s="66" t="s">
        <v>1411</v>
      </c>
      <c r="C941" s="67"/>
      <c r="D941" s="68"/>
      <c r="E941" s="69"/>
      <c r="F941" s="70"/>
      <c r="G941" s="67"/>
      <c r="H941" s="71"/>
      <c r="I941" s="72"/>
      <c r="J941" s="72"/>
      <c r="K941" s="36"/>
      <c r="L941" s="79"/>
      <c r="M941" s="79"/>
      <c r="N941" s="74"/>
      <c r="O941" s="81" t="s">
        <v>1533</v>
      </c>
      <c r="P941" s="83">
        <v>44463.755856481483</v>
      </c>
      <c r="Q941" s="81" t="s">
        <v>1906</v>
      </c>
      <c r="R941" s="81"/>
      <c r="S941" s="81"/>
      <c r="T941" s="86" t="s">
        <v>1413</v>
      </c>
      <c r="U941" s="84" t="str">
        <f>HYPERLINK("https://pbs.twimg.com/media/FAEbG8nUcA0oIOp.jpg")</f>
        <v>https://pbs.twimg.com/media/FAEbG8nUcA0oIOp.jpg</v>
      </c>
      <c r="V941" s="84" t="str">
        <f>HYPERLINK("https://pbs.twimg.com/media/FAEbG8nUcA0oIOp.jpg")</f>
        <v>https://pbs.twimg.com/media/FAEbG8nUcA0oIOp.jpg</v>
      </c>
      <c r="W941" s="83">
        <v>44463.755856481483</v>
      </c>
      <c r="X941" s="89">
        <v>44463</v>
      </c>
      <c r="Y941" s="86" t="s">
        <v>3483</v>
      </c>
      <c r="Z941" s="84" t="str">
        <f>HYPERLINK("https://twitter.com/taestrowbeary/status/1441464560175640584")</f>
        <v>https://twitter.com/taestrowbeary/status/1441464560175640584</v>
      </c>
      <c r="AA941" s="81"/>
      <c r="AB941" s="81"/>
      <c r="AC941" s="86" t="s">
        <v>4948</v>
      </c>
      <c r="AD941" s="81"/>
      <c r="AE941" s="81" t="b">
        <v>0</v>
      </c>
      <c r="AF941" s="81">
        <v>0</v>
      </c>
      <c r="AG941" s="86" t="s">
        <v>6240</v>
      </c>
      <c r="AH941" s="81" t="b">
        <v>0</v>
      </c>
      <c r="AI941" s="81" t="s">
        <v>6479</v>
      </c>
      <c r="AJ941" s="81"/>
      <c r="AK941" s="86" t="s">
        <v>6240</v>
      </c>
      <c r="AL941" s="81" t="b">
        <v>0</v>
      </c>
      <c r="AM941" s="81">
        <v>5</v>
      </c>
      <c r="AN941" s="86" t="s">
        <v>5113</v>
      </c>
      <c r="AO941" s="86" t="s">
        <v>6505</v>
      </c>
      <c r="AP941" s="81" t="b">
        <v>0</v>
      </c>
      <c r="AQ941" s="86" t="s">
        <v>5113</v>
      </c>
      <c r="AR941" s="81" t="s">
        <v>179</v>
      </c>
      <c r="AS941" s="81">
        <v>0</v>
      </c>
      <c r="AT941" s="81">
        <v>0</v>
      </c>
      <c r="AU941" s="81"/>
      <c r="AV941" s="81"/>
      <c r="AW941" s="81"/>
      <c r="AX941" s="81"/>
      <c r="AY941" s="81"/>
      <c r="AZ941" s="81"/>
      <c r="BA941" s="81"/>
      <c r="BB941" s="81"/>
    </row>
    <row r="942" spans="1:54" x14ac:dyDescent="0.35">
      <c r="A942" s="66" t="s">
        <v>860</v>
      </c>
      <c r="B942" s="66" t="s">
        <v>1412</v>
      </c>
      <c r="C942" s="67"/>
      <c r="D942" s="68"/>
      <c r="E942" s="69"/>
      <c r="F942" s="70"/>
      <c r="G942" s="67"/>
      <c r="H942" s="71"/>
      <c r="I942" s="72"/>
      <c r="J942" s="72"/>
      <c r="K942" s="36"/>
      <c r="L942" s="79"/>
      <c r="M942" s="79"/>
      <c r="N942" s="74"/>
      <c r="O942" s="81" t="s">
        <v>1533</v>
      </c>
      <c r="P942" s="83">
        <v>44463.755856481483</v>
      </c>
      <c r="Q942" s="81" t="s">
        <v>1906</v>
      </c>
      <c r="R942" s="81"/>
      <c r="S942" s="81"/>
      <c r="T942" s="86" t="s">
        <v>1413</v>
      </c>
      <c r="U942" s="84" t="str">
        <f>HYPERLINK("https://pbs.twimg.com/media/FAEbG8nUcA0oIOp.jpg")</f>
        <v>https://pbs.twimg.com/media/FAEbG8nUcA0oIOp.jpg</v>
      </c>
      <c r="V942" s="84" t="str">
        <f>HYPERLINK("https://pbs.twimg.com/media/FAEbG8nUcA0oIOp.jpg")</f>
        <v>https://pbs.twimg.com/media/FAEbG8nUcA0oIOp.jpg</v>
      </c>
      <c r="W942" s="83">
        <v>44463.755856481483</v>
      </c>
      <c r="X942" s="89">
        <v>44463</v>
      </c>
      <c r="Y942" s="86" t="s">
        <v>3483</v>
      </c>
      <c r="Z942" s="84" t="str">
        <f>HYPERLINK("https://twitter.com/taestrowbeary/status/1441464560175640584")</f>
        <v>https://twitter.com/taestrowbeary/status/1441464560175640584</v>
      </c>
      <c r="AA942" s="81"/>
      <c r="AB942" s="81"/>
      <c r="AC942" s="86" t="s">
        <v>4948</v>
      </c>
      <c r="AD942" s="81"/>
      <c r="AE942" s="81" t="b">
        <v>0</v>
      </c>
      <c r="AF942" s="81">
        <v>0</v>
      </c>
      <c r="AG942" s="86" t="s">
        <v>6240</v>
      </c>
      <c r="AH942" s="81" t="b">
        <v>0</v>
      </c>
      <c r="AI942" s="81" t="s">
        <v>6479</v>
      </c>
      <c r="AJ942" s="81"/>
      <c r="AK942" s="86" t="s">
        <v>6240</v>
      </c>
      <c r="AL942" s="81" t="b">
        <v>0</v>
      </c>
      <c r="AM942" s="81">
        <v>5</v>
      </c>
      <c r="AN942" s="86" t="s">
        <v>5113</v>
      </c>
      <c r="AO942" s="86" t="s">
        <v>6505</v>
      </c>
      <c r="AP942" s="81" t="b">
        <v>0</v>
      </c>
      <c r="AQ942" s="86" t="s">
        <v>5113</v>
      </c>
      <c r="AR942" s="81" t="s">
        <v>179</v>
      </c>
      <c r="AS942" s="81">
        <v>0</v>
      </c>
      <c r="AT942" s="81">
        <v>0</v>
      </c>
      <c r="AU942" s="81"/>
      <c r="AV942" s="81"/>
      <c r="AW942" s="81"/>
      <c r="AX942" s="81"/>
      <c r="AY942" s="81"/>
      <c r="AZ942" s="81"/>
      <c r="BA942" s="81"/>
      <c r="BB942" s="81"/>
    </row>
    <row r="943" spans="1:54" x14ac:dyDescent="0.35">
      <c r="A943" s="66" t="s">
        <v>860</v>
      </c>
      <c r="B943" s="66" t="s">
        <v>1413</v>
      </c>
      <c r="C943" s="67"/>
      <c r="D943" s="68"/>
      <c r="E943" s="69"/>
      <c r="F943" s="70"/>
      <c r="G943" s="67"/>
      <c r="H943" s="71"/>
      <c r="I943" s="72"/>
      <c r="J943" s="72"/>
      <c r="K943" s="36"/>
      <c r="L943" s="79"/>
      <c r="M943" s="79"/>
      <c r="N943" s="74"/>
      <c r="O943" s="81" t="s">
        <v>1533</v>
      </c>
      <c r="P943" s="83">
        <v>44463.755856481483</v>
      </c>
      <c r="Q943" s="81" t="s">
        <v>1906</v>
      </c>
      <c r="R943" s="81"/>
      <c r="S943" s="81"/>
      <c r="T943" s="86" t="s">
        <v>1413</v>
      </c>
      <c r="U943" s="84" t="str">
        <f>HYPERLINK("https://pbs.twimg.com/media/FAEbG8nUcA0oIOp.jpg")</f>
        <v>https://pbs.twimg.com/media/FAEbG8nUcA0oIOp.jpg</v>
      </c>
      <c r="V943" s="84" t="str">
        <f>HYPERLINK("https://pbs.twimg.com/media/FAEbG8nUcA0oIOp.jpg")</f>
        <v>https://pbs.twimg.com/media/FAEbG8nUcA0oIOp.jpg</v>
      </c>
      <c r="W943" s="83">
        <v>44463.755856481483</v>
      </c>
      <c r="X943" s="89">
        <v>44463</v>
      </c>
      <c r="Y943" s="86" t="s">
        <v>3483</v>
      </c>
      <c r="Z943" s="84" t="str">
        <f>HYPERLINK("https://twitter.com/taestrowbeary/status/1441464560175640584")</f>
        <v>https://twitter.com/taestrowbeary/status/1441464560175640584</v>
      </c>
      <c r="AA943" s="81"/>
      <c r="AB943" s="81"/>
      <c r="AC943" s="86" t="s">
        <v>4948</v>
      </c>
      <c r="AD943" s="81"/>
      <c r="AE943" s="81" t="b">
        <v>0</v>
      </c>
      <c r="AF943" s="81">
        <v>0</v>
      </c>
      <c r="AG943" s="86" t="s">
        <v>6240</v>
      </c>
      <c r="AH943" s="81" t="b">
        <v>0</v>
      </c>
      <c r="AI943" s="81" t="s">
        <v>6479</v>
      </c>
      <c r="AJ943" s="81"/>
      <c r="AK943" s="86" t="s">
        <v>6240</v>
      </c>
      <c r="AL943" s="81" t="b">
        <v>0</v>
      </c>
      <c r="AM943" s="81">
        <v>5</v>
      </c>
      <c r="AN943" s="86" t="s">
        <v>5113</v>
      </c>
      <c r="AO943" s="86" t="s">
        <v>6505</v>
      </c>
      <c r="AP943" s="81" t="b">
        <v>0</v>
      </c>
      <c r="AQ943" s="86" t="s">
        <v>5113</v>
      </c>
      <c r="AR943" s="81" t="s">
        <v>179</v>
      </c>
      <c r="AS943" s="81">
        <v>0</v>
      </c>
      <c r="AT943" s="81">
        <v>0</v>
      </c>
      <c r="AU943" s="81"/>
      <c r="AV943" s="81"/>
      <c r="AW943" s="81"/>
      <c r="AX943" s="81"/>
      <c r="AY943" s="81"/>
      <c r="AZ943" s="81"/>
      <c r="BA943" s="81"/>
      <c r="BB943" s="81"/>
    </row>
    <row r="944" spans="1:54" x14ac:dyDescent="0.35">
      <c r="A944" s="66" t="s">
        <v>860</v>
      </c>
      <c r="B944" s="66" t="s">
        <v>990</v>
      </c>
      <c r="C944" s="67"/>
      <c r="D944" s="68"/>
      <c r="E944" s="69"/>
      <c r="F944" s="70"/>
      <c r="G944" s="67"/>
      <c r="H944" s="71"/>
      <c r="I944" s="72"/>
      <c r="J944" s="72"/>
      <c r="K944" s="36"/>
      <c r="L944" s="79"/>
      <c r="M944" s="79"/>
      <c r="N944" s="74"/>
      <c r="O944" s="81" t="s">
        <v>1532</v>
      </c>
      <c r="P944" s="83">
        <v>44463.755856481483</v>
      </c>
      <c r="Q944" s="81" t="s">
        <v>1906</v>
      </c>
      <c r="R944" s="81"/>
      <c r="S944" s="81"/>
      <c r="T944" s="86" t="s">
        <v>1413</v>
      </c>
      <c r="U944" s="84" t="str">
        <f>HYPERLINK("https://pbs.twimg.com/media/FAEbG8nUcA0oIOp.jpg")</f>
        <v>https://pbs.twimg.com/media/FAEbG8nUcA0oIOp.jpg</v>
      </c>
      <c r="V944" s="84" t="str">
        <f>HYPERLINK("https://pbs.twimg.com/media/FAEbG8nUcA0oIOp.jpg")</f>
        <v>https://pbs.twimg.com/media/FAEbG8nUcA0oIOp.jpg</v>
      </c>
      <c r="W944" s="83">
        <v>44463.755856481483</v>
      </c>
      <c r="X944" s="89">
        <v>44463</v>
      </c>
      <c r="Y944" s="86" t="s">
        <v>3483</v>
      </c>
      <c r="Z944" s="84" t="str">
        <f>HYPERLINK("https://twitter.com/taestrowbeary/status/1441464560175640584")</f>
        <v>https://twitter.com/taestrowbeary/status/1441464560175640584</v>
      </c>
      <c r="AA944" s="81"/>
      <c r="AB944" s="81"/>
      <c r="AC944" s="86" t="s">
        <v>4948</v>
      </c>
      <c r="AD944" s="81"/>
      <c r="AE944" s="81" t="b">
        <v>0</v>
      </c>
      <c r="AF944" s="81">
        <v>0</v>
      </c>
      <c r="AG944" s="86" t="s">
        <v>6240</v>
      </c>
      <c r="AH944" s="81" t="b">
        <v>0</v>
      </c>
      <c r="AI944" s="81" t="s">
        <v>6479</v>
      </c>
      <c r="AJ944" s="81"/>
      <c r="AK944" s="86" t="s">
        <v>6240</v>
      </c>
      <c r="AL944" s="81" t="b">
        <v>0</v>
      </c>
      <c r="AM944" s="81">
        <v>5</v>
      </c>
      <c r="AN944" s="86" t="s">
        <v>5113</v>
      </c>
      <c r="AO944" s="86" t="s">
        <v>6505</v>
      </c>
      <c r="AP944" s="81" t="b">
        <v>0</v>
      </c>
      <c r="AQ944" s="86" t="s">
        <v>5113</v>
      </c>
      <c r="AR944" s="81" t="s">
        <v>179</v>
      </c>
      <c r="AS944" s="81">
        <v>0</v>
      </c>
      <c r="AT944" s="81">
        <v>0</v>
      </c>
      <c r="AU944" s="81"/>
      <c r="AV944" s="81"/>
      <c r="AW944" s="81"/>
      <c r="AX944" s="81"/>
      <c r="AY944" s="81"/>
      <c r="AZ944" s="81"/>
      <c r="BA944" s="81"/>
      <c r="BB944" s="81"/>
    </row>
    <row r="945" spans="1:54" x14ac:dyDescent="0.35">
      <c r="A945" s="66" t="s">
        <v>861</v>
      </c>
      <c r="B945" s="66" t="s">
        <v>1410</v>
      </c>
      <c r="C945" s="67"/>
      <c r="D945" s="68"/>
      <c r="E945" s="69"/>
      <c r="F945" s="70"/>
      <c r="G945" s="67"/>
      <c r="H945" s="71"/>
      <c r="I945" s="72"/>
      <c r="J945" s="72"/>
      <c r="K945" s="36"/>
      <c r="L945" s="79"/>
      <c r="M945" s="79"/>
      <c r="N945" s="74"/>
      <c r="O945" s="81" t="s">
        <v>1533</v>
      </c>
      <c r="P945" s="83">
        <v>44463.759236111109</v>
      </c>
      <c r="Q945" s="81" t="s">
        <v>1909</v>
      </c>
      <c r="R945" s="81"/>
      <c r="S945" s="81"/>
      <c r="T945" s="86" t="s">
        <v>1413</v>
      </c>
      <c r="U945" s="84" t="str">
        <f>HYPERLINK("https://pbs.twimg.com/media/FAEa7dXVkAcjbKg.jpg")</f>
        <v>https://pbs.twimg.com/media/FAEa7dXVkAcjbKg.jpg</v>
      </c>
      <c r="V945" s="84" t="str">
        <f>HYPERLINK("https://pbs.twimg.com/media/FAEa7dXVkAcjbKg.jpg")</f>
        <v>https://pbs.twimg.com/media/FAEa7dXVkAcjbKg.jpg</v>
      </c>
      <c r="W945" s="83">
        <v>44463.759236111109</v>
      </c>
      <c r="X945" s="89">
        <v>44463</v>
      </c>
      <c r="Y945" s="86" t="s">
        <v>3484</v>
      </c>
      <c r="Z945" s="84" t="str">
        <f>HYPERLINK("https://twitter.com/lvlyytaetae/status/1441465782584549381")</f>
        <v>https://twitter.com/lvlyytaetae/status/1441465782584549381</v>
      </c>
      <c r="AA945" s="81"/>
      <c r="AB945" s="81"/>
      <c r="AC945" s="86" t="s">
        <v>4949</v>
      </c>
      <c r="AD945" s="81"/>
      <c r="AE945" s="81" t="b">
        <v>0</v>
      </c>
      <c r="AF945" s="81">
        <v>0</v>
      </c>
      <c r="AG945" s="86" t="s">
        <v>6240</v>
      </c>
      <c r="AH945" s="81" t="b">
        <v>0</v>
      </c>
      <c r="AI945" s="81" t="s">
        <v>6479</v>
      </c>
      <c r="AJ945" s="81"/>
      <c r="AK945" s="86" t="s">
        <v>6240</v>
      </c>
      <c r="AL945" s="81" t="b">
        <v>0</v>
      </c>
      <c r="AM945" s="81">
        <v>20</v>
      </c>
      <c r="AN945" s="86" t="s">
        <v>5110</v>
      </c>
      <c r="AO945" s="86" t="s">
        <v>6505</v>
      </c>
      <c r="AP945" s="81" t="b">
        <v>0</v>
      </c>
      <c r="AQ945" s="86" t="s">
        <v>5110</v>
      </c>
      <c r="AR945" s="81" t="s">
        <v>179</v>
      </c>
      <c r="AS945" s="81">
        <v>0</v>
      </c>
      <c r="AT945" s="81">
        <v>0</v>
      </c>
      <c r="AU945" s="81"/>
      <c r="AV945" s="81"/>
      <c r="AW945" s="81"/>
      <c r="AX945" s="81"/>
      <c r="AY945" s="81"/>
      <c r="AZ945" s="81"/>
      <c r="BA945" s="81"/>
      <c r="BB945" s="81"/>
    </row>
    <row r="946" spans="1:54" x14ac:dyDescent="0.35">
      <c r="A946" s="66" t="s">
        <v>861</v>
      </c>
      <c r="B946" s="66" t="s">
        <v>1411</v>
      </c>
      <c r="C946" s="67"/>
      <c r="D946" s="68"/>
      <c r="E946" s="69"/>
      <c r="F946" s="70"/>
      <c r="G946" s="67"/>
      <c r="H946" s="71"/>
      <c r="I946" s="72"/>
      <c r="J946" s="72"/>
      <c r="K946" s="36"/>
      <c r="L946" s="79"/>
      <c r="M946" s="79"/>
      <c r="N946" s="74"/>
      <c r="O946" s="81" t="s">
        <v>1533</v>
      </c>
      <c r="P946" s="83">
        <v>44463.759236111109</v>
      </c>
      <c r="Q946" s="81" t="s">
        <v>1909</v>
      </c>
      <c r="R946" s="81"/>
      <c r="S946" s="81"/>
      <c r="T946" s="86" t="s">
        <v>1413</v>
      </c>
      <c r="U946" s="84" t="str">
        <f>HYPERLINK("https://pbs.twimg.com/media/FAEa7dXVkAcjbKg.jpg")</f>
        <v>https://pbs.twimg.com/media/FAEa7dXVkAcjbKg.jpg</v>
      </c>
      <c r="V946" s="84" t="str">
        <f>HYPERLINK("https://pbs.twimg.com/media/FAEa7dXVkAcjbKg.jpg")</f>
        <v>https://pbs.twimg.com/media/FAEa7dXVkAcjbKg.jpg</v>
      </c>
      <c r="W946" s="83">
        <v>44463.759236111109</v>
      </c>
      <c r="X946" s="89">
        <v>44463</v>
      </c>
      <c r="Y946" s="86" t="s">
        <v>3484</v>
      </c>
      <c r="Z946" s="84" t="str">
        <f>HYPERLINK("https://twitter.com/lvlyytaetae/status/1441465782584549381")</f>
        <v>https://twitter.com/lvlyytaetae/status/1441465782584549381</v>
      </c>
      <c r="AA946" s="81"/>
      <c r="AB946" s="81"/>
      <c r="AC946" s="86" t="s">
        <v>4949</v>
      </c>
      <c r="AD946" s="81"/>
      <c r="AE946" s="81" t="b">
        <v>0</v>
      </c>
      <c r="AF946" s="81">
        <v>0</v>
      </c>
      <c r="AG946" s="86" t="s">
        <v>6240</v>
      </c>
      <c r="AH946" s="81" t="b">
        <v>0</v>
      </c>
      <c r="AI946" s="81" t="s">
        <v>6479</v>
      </c>
      <c r="AJ946" s="81"/>
      <c r="AK946" s="86" t="s">
        <v>6240</v>
      </c>
      <c r="AL946" s="81" t="b">
        <v>0</v>
      </c>
      <c r="AM946" s="81">
        <v>20</v>
      </c>
      <c r="AN946" s="86" t="s">
        <v>5110</v>
      </c>
      <c r="AO946" s="86" t="s">
        <v>6505</v>
      </c>
      <c r="AP946" s="81" t="b">
        <v>0</v>
      </c>
      <c r="AQ946" s="86" t="s">
        <v>5110</v>
      </c>
      <c r="AR946" s="81" t="s">
        <v>179</v>
      </c>
      <c r="AS946" s="81">
        <v>0</v>
      </c>
      <c r="AT946" s="81">
        <v>0</v>
      </c>
      <c r="AU946" s="81"/>
      <c r="AV946" s="81"/>
      <c r="AW946" s="81"/>
      <c r="AX946" s="81"/>
      <c r="AY946" s="81"/>
      <c r="AZ946" s="81"/>
      <c r="BA946" s="81"/>
      <c r="BB946" s="81"/>
    </row>
    <row r="947" spans="1:54" x14ac:dyDescent="0.35">
      <c r="A947" s="66" t="s">
        <v>861</v>
      </c>
      <c r="B947" s="66" t="s">
        <v>1412</v>
      </c>
      <c r="C947" s="67"/>
      <c r="D947" s="68"/>
      <c r="E947" s="69"/>
      <c r="F947" s="70"/>
      <c r="G947" s="67"/>
      <c r="H947" s="71"/>
      <c r="I947" s="72"/>
      <c r="J947" s="72"/>
      <c r="K947" s="36"/>
      <c r="L947" s="79"/>
      <c r="M947" s="79"/>
      <c r="N947" s="74"/>
      <c r="O947" s="81" t="s">
        <v>1533</v>
      </c>
      <c r="P947" s="83">
        <v>44463.759236111109</v>
      </c>
      <c r="Q947" s="81" t="s">
        <v>1909</v>
      </c>
      <c r="R947" s="81"/>
      <c r="S947" s="81"/>
      <c r="T947" s="86" t="s">
        <v>1413</v>
      </c>
      <c r="U947" s="84" t="str">
        <f>HYPERLINK("https://pbs.twimg.com/media/FAEa7dXVkAcjbKg.jpg")</f>
        <v>https://pbs.twimg.com/media/FAEa7dXVkAcjbKg.jpg</v>
      </c>
      <c r="V947" s="84" t="str">
        <f>HYPERLINK("https://pbs.twimg.com/media/FAEa7dXVkAcjbKg.jpg")</f>
        <v>https://pbs.twimg.com/media/FAEa7dXVkAcjbKg.jpg</v>
      </c>
      <c r="W947" s="83">
        <v>44463.759236111109</v>
      </c>
      <c r="X947" s="89">
        <v>44463</v>
      </c>
      <c r="Y947" s="86" t="s">
        <v>3484</v>
      </c>
      <c r="Z947" s="84" t="str">
        <f>HYPERLINK("https://twitter.com/lvlyytaetae/status/1441465782584549381")</f>
        <v>https://twitter.com/lvlyytaetae/status/1441465782584549381</v>
      </c>
      <c r="AA947" s="81"/>
      <c r="AB947" s="81"/>
      <c r="AC947" s="86" t="s">
        <v>4949</v>
      </c>
      <c r="AD947" s="81"/>
      <c r="AE947" s="81" t="b">
        <v>0</v>
      </c>
      <c r="AF947" s="81">
        <v>0</v>
      </c>
      <c r="AG947" s="86" t="s">
        <v>6240</v>
      </c>
      <c r="AH947" s="81" t="b">
        <v>0</v>
      </c>
      <c r="AI947" s="81" t="s">
        <v>6479</v>
      </c>
      <c r="AJ947" s="81"/>
      <c r="AK947" s="86" t="s">
        <v>6240</v>
      </c>
      <c r="AL947" s="81" t="b">
        <v>0</v>
      </c>
      <c r="AM947" s="81">
        <v>20</v>
      </c>
      <c r="AN947" s="86" t="s">
        <v>5110</v>
      </c>
      <c r="AO947" s="86" t="s">
        <v>6505</v>
      </c>
      <c r="AP947" s="81" t="b">
        <v>0</v>
      </c>
      <c r="AQ947" s="86" t="s">
        <v>5110</v>
      </c>
      <c r="AR947" s="81" t="s">
        <v>179</v>
      </c>
      <c r="AS947" s="81">
        <v>0</v>
      </c>
      <c r="AT947" s="81">
        <v>0</v>
      </c>
      <c r="AU947" s="81"/>
      <c r="AV947" s="81"/>
      <c r="AW947" s="81"/>
      <c r="AX947" s="81"/>
      <c r="AY947" s="81"/>
      <c r="AZ947" s="81"/>
      <c r="BA947" s="81"/>
      <c r="BB947" s="81"/>
    </row>
    <row r="948" spans="1:54" x14ac:dyDescent="0.35">
      <c r="A948" s="66" t="s">
        <v>861</v>
      </c>
      <c r="B948" s="66" t="s">
        <v>1413</v>
      </c>
      <c r="C948" s="67"/>
      <c r="D948" s="68"/>
      <c r="E948" s="69"/>
      <c r="F948" s="70"/>
      <c r="G948" s="67"/>
      <c r="H948" s="71"/>
      <c r="I948" s="72"/>
      <c r="J948" s="72"/>
      <c r="K948" s="36"/>
      <c r="L948" s="79"/>
      <c r="M948" s="79"/>
      <c r="N948" s="74"/>
      <c r="O948" s="81" t="s">
        <v>1533</v>
      </c>
      <c r="P948" s="83">
        <v>44463.759236111109</v>
      </c>
      <c r="Q948" s="81" t="s">
        <v>1909</v>
      </c>
      <c r="R948" s="81"/>
      <c r="S948" s="81"/>
      <c r="T948" s="86" t="s">
        <v>1413</v>
      </c>
      <c r="U948" s="84" t="str">
        <f>HYPERLINK("https://pbs.twimg.com/media/FAEa7dXVkAcjbKg.jpg")</f>
        <v>https://pbs.twimg.com/media/FAEa7dXVkAcjbKg.jpg</v>
      </c>
      <c r="V948" s="84" t="str">
        <f>HYPERLINK("https://pbs.twimg.com/media/FAEa7dXVkAcjbKg.jpg")</f>
        <v>https://pbs.twimg.com/media/FAEa7dXVkAcjbKg.jpg</v>
      </c>
      <c r="W948" s="83">
        <v>44463.759236111109</v>
      </c>
      <c r="X948" s="89">
        <v>44463</v>
      </c>
      <c r="Y948" s="86" t="s">
        <v>3484</v>
      </c>
      <c r="Z948" s="84" t="str">
        <f>HYPERLINK("https://twitter.com/lvlyytaetae/status/1441465782584549381")</f>
        <v>https://twitter.com/lvlyytaetae/status/1441465782584549381</v>
      </c>
      <c r="AA948" s="81"/>
      <c r="AB948" s="81"/>
      <c r="AC948" s="86" t="s">
        <v>4949</v>
      </c>
      <c r="AD948" s="81"/>
      <c r="AE948" s="81" t="b">
        <v>0</v>
      </c>
      <c r="AF948" s="81">
        <v>0</v>
      </c>
      <c r="AG948" s="86" t="s">
        <v>6240</v>
      </c>
      <c r="AH948" s="81" t="b">
        <v>0</v>
      </c>
      <c r="AI948" s="81" t="s">
        <v>6479</v>
      </c>
      <c r="AJ948" s="81"/>
      <c r="AK948" s="86" t="s">
        <v>6240</v>
      </c>
      <c r="AL948" s="81" t="b">
        <v>0</v>
      </c>
      <c r="AM948" s="81">
        <v>20</v>
      </c>
      <c r="AN948" s="86" t="s">
        <v>5110</v>
      </c>
      <c r="AO948" s="86" t="s">
        <v>6505</v>
      </c>
      <c r="AP948" s="81" t="b">
        <v>0</v>
      </c>
      <c r="AQ948" s="86" t="s">
        <v>5110</v>
      </c>
      <c r="AR948" s="81" t="s">
        <v>179</v>
      </c>
      <c r="AS948" s="81">
        <v>0</v>
      </c>
      <c r="AT948" s="81">
        <v>0</v>
      </c>
      <c r="AU948" s="81"/>
      <c r="AV948" s="81"/>
      <c r="AW948" s="81"/>
      <c r="AX948" s="81"/>
      <c r="AY948" s="81"/>
      <c r="AZ948" s="81"/>
      <c r="BA948" s="81"/>
      <c r="BB948" s="81"/>
    </row>
    <row r="949" spans="1:54" x14ac:dyDescent="0.35">
      <c r="A949" s="66" t="s">
        <v>861</v>
      </c>
      <c r="B949" s="66" t="s">
        <v>990</v>
      </c>
      <c r="C949" s="67"/>
      <c r="D949" s="68"/>
      <c r="E949" s="69"/>
      <c r="F949" s="70"/>
      <c r="G949" s="67"/>
      <c r="H949" s="71"/>
      <c r="I949" s="72"/>
      <c r="J949" s="72"/>
      <c r="K949" s="36"/>
      <c r="L949" s="79"/>
      <c r="M949" s="79"/>
      <c r="N949" s="74"/>
      <c r="O949" s="81" t="s">
        <v>1532</v>
      </c>
      <c r="P949" s="83">
        <v>44463.759236111109</v>
      </c>
      <c r="Q949" s="81" t="s">
        <v>1909</v>
      </c>
      <c r="R949" s="81"/>
      <c r="S949" s="81"/>
      <c r="T949" s="86" t="s">
        <v>1413</v>
      </c>
      <c r="U949" s="84" t="str">
        <f>HYPERLINK("https://pbs.twimg.com/media/FAEa7dXVkAcjbKg.jpg")</f>
        <v>https://pbs.twimg.com/media/FAEa7dXVkAcjbKg.jpg</v>
      </c>
      <c r="V949" s="84" t="str">
        <f>HYPERLINK("https://pbs.twimg.com/media/FAEa7dXVkAcjbKg.jpg")</f>
        <v>https://pbs.twimg.com/media/FAEa7dXVkAcjbKg.jpg</v>
      </c>
      <c r="W949" s="83">
        <v>44463.759236111109</v>
      </c>
      <c r="X949" s="89">
        <v>44463</v>
      </c>
      <c r="Y949" s="86" t="s">
        <v>3484</v>
      </c>
      <c r="Z949" s="84" t="str">
        <f>HYPERLINK("https://twitter.com/lvlyytaetae/status/1441465782584549381")</f>
        <v>https://twitter.com/lvlyytaetae/status/1441465782584549381</v>
      </c>
      <c r="AA949" s="81"/>
      <c r="AB949" s="81"/>
      <c r="AC949" s="86" t="s">
        <v>4949</v>
      </c>
      <c r="AD949" s="81"/>
      <c r="AE949" s="81" t="b">
        <v>0</v>
      </c>
      <c r="AF949" s="81">
        <v>0</v>
      </c>
      <c r="AG949" s="86" t="s">
        <v>6240</v>
      </c>
      <c r="AH949" s="81" t="b">
        <v>0</v>
      </c>
      <c r="AI949" s="81" t="s">
        <v>6479</v>
      </c>
      <c r="AJ949" s="81"/>
      <c r="AK949" s="86" t="s">
        <v>6240</v>
      </c>
      <c r="AL949" s="81" t="b">
        <v>0</v>
      </c>
      <c r="AM949" s="81">
        <v>20</v>
      </c>
      <c r="AN949" s="86" t="s">
        <v>5110</v>
      </c>
      <c r="AO949" s="86" t="s">
        <v>6505</v>
      </c>
      <c r="AP949" s="81" t="b">
        <v>0</v>
      </c>
      <c r="AQ949" s="86" t="s">
        <v>5110</v>
      </c>
      <c r="AR949" s="81" t="s">
        <v>179</v>
      </c>
      <c r="AS949" s="81">
        <v>0</v>
      </c>
      <c r="AT949" s="81">
        <v>0</v>
      </c>
      <c r="AU949" s="81"/>
      <c r="AV949" s="81"/>
      <c r="AW949" s="81"/>
      <c r="AX949" s="81"/>
      <c r="AY949" s="81"/>
      <c r="AZ949" s="81"/>
      <c r="BA949" s="81"/>
      <c r="BB949" s="81"/>
    </row>
    <row r="950" spans="1:54" x14ac:dyDescent="0.35">
      <c r="A950" s="66" t="s">
        <v>862</v>
      </c>
      <c r="B950" s="66" t="s">
        <v>1410</v>
      </c>
      <c r="C950" s="67"/>
      <c r="D950" s="68"/>
      <c r="E950" s="69"/>
      <c r="F950" s="70"/>
      <c r="G950" s="67"/>
      <c r="H950" s="71"/>
      <c r="I950" s="72"/>
      <c r="J950" s="72"/>
      <c r="K950" s="36"/>
      <c r="L950" s="79"/>
      <c r="M950" s="79"/>
      <c r="N950" s="74"/>
      <c r="O950" s="81" t="s">
        <v>1533</v>
      </c>
      <c r="P950" s="83">
        <v>44463.76122685185</v>
      </c>
      <c r="Q950" s="81" t="s">
        <v>1909</v>
      </c>
      <c r="R950" s="81"/>
      <c r="S950" s="81"/>
      <c r="T950" s="86" t="s">
        <v>1413</v>
      </c>
      <c r="U950" s="84" t="str">
        <f>HYPERLINK("https://pbs.twimg.com/media/FAEa7dXVkAcjbKg.jpg")</f>
        <v>https://pbs.twimg.com/media/FAEa7dXVkAcjbKg.jpg</v>
      </c>
      <c r="V950" s="84" t="str">
        <f>HYPERLINK("https://pbs.twimg.com/media/FAEa7dXVkAcjbKg.jpg")</f>
        <v>https://pbs.twimg.com/media/FAEa7dXVkAcjbKg.jpg</v>
      </c>
      <c r="W950" s="83">
        <v>44463.76122685185</v>
      </c>
      <c r="X950" s="89">
        <v>44463</v>
      </c>
      <c r="Y950" s="86" t="s">
        <v>3485</v>
      </c>
      <c r="Z950" s="84" t="str">
        <f>HYPERLINK("https://twitter.com/kittywonieee/status/1441466502784249860")</f>
        <v>https://twitter.com/kittywonieee/status/1441466502784249860</v>
      </c>
      <c r="AA950" s="81"/>
      <c r="AB950" s="81"/>
      <c r="AC950" s="86" t="s">
        <v>4950</v>
      </c>
      <c r="AD950" s="81"/>
      <c r="AE950" s="81" t="b">
        <v>0</v>
      </c>
      <c r="AF950" s="81">
        <v>0</v>
      </c>
      <c r="AG950" s="86" t="s">
        <v>6240</v>
      </c>
      <c r="AH950" s="81" t="b">
        <v>0</v>
      </c>
      <c r="AI950" s="81" t="s">
        <v>6479</v>
      </c>
      <c r="AJ950" s="81"/>
      <c r="AK950" s="86" t="s">
        <v>6240</v>
      </c>
      <c r="AL950" s="81" t="b">
        <v>0</v>
      </c>
      <c r="AM950" s="81">
        <v>20</v>
      </c>
      <c r="AN950" s="86" t="s">
        <v>5110</v>
      </c>
      <c r="AO950" s="86" t="s">
        <v>6503</v>
      </c>
      <c r="AP950" s="81" t="b">
        <v>0</v>
      </c>
      <c r="AQ950" s="86" t="s">
        <v>5110</v>
      </c>
      <c r="AR950" s="81" t="s">
        <v>179</v>
      </c>
      <c r="AS950" s="81">
        <v>0</v>
      </c>
      <c r="AT950" s="81">
        <v>0</v>
      </c>
      <c r="AU950" s="81"/>
      <c r="AV950" s="81"/>
      <c r="AW950" s="81"/>
      <c r="AX950" s="81"/>
      <c r="AY950" s="81"/>
      <c r="AZ950" s="81"/>
      <c r="BA950" s="81"/>
      <c r="BB950" s="81"/>
    </row>
    <row r="951" spans="1:54" x14ac:dyDescent="0.35">
      <c r="A951" s="66" t="s">
        <v>862</v>
      </c>
      <c r="B951" s="66" t="s">
        <v>1411</v>
      </c>
      <c r="C951" s="67"/>
      <c r="D951" s="68"/>
      <c r="E951" s="69"/>
      <c r="F951" s="70"/>
      <c r="G951" s="67"/>
      <c r="H951" s="71"/>
      <c r="I951" s="72"/>
      <c r="J951" s="72"/>
      <c r="K951" s="36"/>
      <c r="L951" s="79"/>
      <c r="M951" s="79"/>
      <c r="N951" s="74"/>
      <c r="O951" s="81" t="s">
        <v>1533</v>
      </c>
      <c r="P951" s="83">
        <v>44463.76122685185</v>
      </c>
      <c r="Q951" s="81" t="s">
        <v>1909</v>
      </c>
      <c r="R951" s="81"/>
      <c r="S951" s="81"/>
      <c r="T951" s="86" t="s">
        <v>1413</v>
      </c>
      <c r="U951" s="84" t="str">
        <f>HYPERLINK("https://pbs.twimg.com/media/FAEa7dXVkAcjbKg.jpg")</f>
        <v>https://pbs.twimg.com/media/FAEa7dXVkAcjbKg.jpg</v>
      </c>
      <c r="V951" s="84" t="str">
        <f>HYPERLINK("https://pbs.twimg.com/media/FAEa7dXVkAcjbKg.jpg")</f>
        <v>https://pbs.twimg.com/media/FAEa7dXVkAcjbKg.jpg</v>
      </c>
      <c r="W951" s="83">
        <v>44463.76122685185</v>
      </c>
      <c r="X951" s="89">
        <v>44463</v>
      </c>
      <c r="Y951" s="86" t="s">
        <v>3485</v>
      </c>
      <c r="Z951" s="84" t="str">
        <f>HYPERLINK("https://twitter.com/kittywonieee/status/1441466502784249860")</f>
        <v>https://twitter.com/kittywonieee/status/1441466502784249860</v>
      </c>
      <c r="AA951" s="81"/>
      <c r="AB951" s="81"/>
      <c r="AC951" s="86" t="s">
        <v>4950</v>
      </c>
      <c r="AD951" s="81"/>
      <c r="AE951" s="81" t="b">
        <v>0</v>
      </c>
      <c r="AF951" s="81">
        <v>0</v>
      </c>
      <c r="AG951" s="86" t="s">
        <v>6240</v>
      </c>
      <c r="AH951" s="81" t="b">
        <v>0</v>
      </c>
      <c r="AI951" s="81" t="s">
        <v>6479</v>
      </c>
      <c r="AJ951" s="81"/>
      <c r="AK951" s="86" t="s">
        <v>6240</v>
      </c>
      <c r="AL951" s="81" t="b">
        <v>0</v>
      </c>
      <c r="AM951" s="81">
        <v>20</v>
      </c>
      <c r="AN951" s="86" t="s">
        <v>5110</v>
      </c>
      <c r="AO951" s="86" t="s">
        <v>6503</v>
      </c>
      <c r="AP951" s="81" t="b">
        <v>0</v>
      </c>
      <c r="AQ951" s="86" t="s">
        <v>5110</v>
      </c>
      <c r="AR951" s="81" t="s">
        <v>179</v>
      </c>
      <c r="AS951" s="81">
        <v>0</v>
      </c>
      <c r="AT951" s="81">
        <v>0</v>
      </c>
      <c r="AU951" s="81"/>
      <c r="AV951" s="81"/>
      <c r="AW951" s="81"/>
      <c r="AX951" s="81"/>
      <c r="AY951" s="81"/>
      <c r="AZ951" s="81"/>
      <c r="BA951" s="81"/>
      <c r="BB951" s="81"/>
    </row>
    <row r="952" spans="1:54" x14ac:dyDescent="0.35">
      <c r="A952" s="66" t="s">
        <v>862</v>
      </c>
      <c r="B952" s="66" t="s">
        <v>1412</v>
      </c>
      <c r="C952" s="67"/>
      <c r="D952" s="68"/>
      <c r="E952" s="69"/>
      <c r="F952" s="70"/>
      <c r="G952" s="67"/>
      <c r="H952" s="71"/>
      <c r="I952" s="72"/>
      <c r="J952" s="72"/>
      <c r="K952" s="36"/>
      <c r="L952" s="79"/>
      <c r="M952" s="79"/>
      <c r="N952" s="74"/>
      <c r="O952" s="81" t="s">
        <v>1533</v>
      </c>
      <c r="P952" s="83">
        <v>44463.76122685185</v>
      </c>
      <c r="Q952" s="81" t="s">
        <v>1909</v>
      </c>
      <c r="R952" s="81"/>
      <c r="S952" s="81"/>
      <c r="T952" s="86" t="s">
        <v>1413</v>
      </c>
      <c r="U952" s="84" t="str">
        <f>HYPERLINK("https://pbs.twimg.com/media/FAEa7dXVkAcjbKg.jpg")</f>
        <v>https://pbs.twimg.com/media/FAEa7dXVkAcjbKg.jpg</v>
      </c>
      <c r="V952" s="84" t="str">
        <f>HYPERLINK("https://pbs.twimg.com/media/FAEa7dXVkAcjbKg.jpg")</f>
        <v>https://pbs.twimg.com/media/FAEa7dXVkAcjbKg.jpg</v>
      </c>
      <c r="W952" s="83">
        <v>44463.76122685185</v>
      </c>
      <c r="X952" s="89">
        <v>44463</v>
      </c>
      <c r="Y952" s="86" t="s">
        <v>3485</v>
      </c>
      <c r="Z952" s="84" t="str">
        <f>HYPERLINK("https://twitter.com/kittywonieee/status/1441466502784249860")</f>
        <v>https://twitter.com/kittywonieee/status/1441466502784249860</v>
      </c>
      <c r="AA952" s="81"/>
      <c r="AB952" s="81"/>
      <c r="AC952" s="86" t="s">
        <v>4950</v>
      </c>
      <c r="AD952" s="81"/>
      <c r="AE952" s="81" t="b">
        <v>0</v>
      </c>
      <c r="AF952" s="81">
        <v>0</v>
      </c>
      <c r="AG952" s="86" t="s">
        <v>6240</v>
      </c>
      <c r="AH952" s="81" t="b">
        <v>0</v>
      </c>
      <c r="AI952" s="81" t="s">
        <v>6479</v>
      </c>
      <c r="AJ952" s="81"/>
      <c r="AK952" s="86" t="s">
        <v>6240</v>
      </c>
      <c r="AL952" s="81" t="b">
        <v>0</v>
      </c>
      <c r="AM952" s="81">
        <v>20</v>
      </c>
      <c r="AN952" s="86" t="s">
        <v>5110</v>
      </c>
      <c r="AO952" s="86" t="s">
        <v>6503</v>
      </c>
      <c r="AP952" s="81" t="b">
        <v>0</v>
      </c>
      <c r="AQ952" s="86" t="s">
        <v>5110</v>
      </c>
      <c r="AR952" s="81" t="s">
        <v>179</v>
      </c>
      <c r="AS952" s="81">
        <v>0</v>
      </c>
      <c r="AT952" s="81">
        <v>0</v>
      </c>
      <c r="AU952" s="81"/>
      <c r="AV952" s="81"/>
      <c r="AW952" s="81"/>
      <c r="AX952" s="81"/>
      <c r="AY952" s="81"/>
      <c r="AZ952" s="81"/>
      <c r="BA952" s="81"/>
      <c r="BB952" s="81"/>
    </row>
    <row r="953" spans="1:54" x14ac:dyDescent="0.35">
      <c r="A953" s="66" t="s">
        <v>862</v>
      </c>
      <c r="B953" s="66" t="s">
        <v>1413</v>
      </c>
      <c r="C953" s="67"/>
      <c r="D953" s="68"/>
      <c r="E953" s="69"/>
      <c r="F953" s="70"/>
      <c r="G953" s="67"/>
      <c r="H953" s="71"/>
      <c r="I953" s="72"/>
      <c r="J953" s="72"/>
      <c r="K953" s="36"/>
      <c r="L953" s="79"/>
      <c r="M953" s="79"/>
      <c r="N953" s="74"/>
      <c r="O953" s="81" t="s">
        <v>1533</v>
      </c>
      <c r="P953" s="83">
        <v>44463.76122685185</v>
      </c>
      <c r="Q953" s="81" t="s">
        <v>1909</v>
      </c>
      <c r="R953" s="81"/>
      <c r="S953" s="81"/>
      <c r="T953" s="86" t="s">
        <v>1413</v>
      </c>
      <c r="U953" s="84" t="str">
        <f>HYPERLINK("https://pbs.twimg.com/media/FAEa7dXVkAcjbKg.jpg")</f>
        <v>https://pbs.twimg.com/media/FAEa7dXVkAcjbKg.jpg</v>
      </c>
      <c r="V953" s="84" t="str">
        <f>HYPERLINK("https://pbs.twimg.com/media/FAEa7dXVkAcjbKg.jpg")</f>
        <v>https://pbs.twimg.com/media/FAEa7dXVkAcjbKg.jpg</v>
      </c>
      <c r="W953" s="83">
        <v>44463.76122685185</v>
      </c>
      <c r="X953" s="89">
        <v>44463</v>
      </c>
      <c r="Y953" s="86" t="s">
        <v>3485</v>
      </c>
      <c r="Z953" s="84" t="str">
        <f>HYPERLINK("https://twitter.com/kittywonieee/status/1441466502784249860")</f>
        <v>https://twitter.com/kittywonieee/status/1441466502784249860</v>
      </c>
      <c r="AA953" s="81"/>
      <c r="AB953" s="81"/>
      <c r="AC953" s="86" t="s">
        <v>4950</v>
      </c>
      <c r="AD953" s="81"/>
      <c r="AE953" s="81" t="b">
        <v>0</v>
      </c>
      <c r="AF953" s="81">
        <v>0</v>
      </c>
      <c r="AG953" s="86" t="s">
        <v>6240</v>
      </c>
      <c r="AH953" s="81" t="b">
        <v>0</v>
      </c>
      <c r="AI953" s="81" t="s">
        <v>6479</v>
      </c>
      <c r="AJ953" s="81"/>
      <c r="AK953" s="86" t="s">
        <v>6240</v>
      </c>
      <c r="AL953" s="81" t="b">
        <v>0</v>
      </c>
      <c r="AM953" s="81">
        <v>20</v>
      </c>
      <c r="AN953" s="86" t="s">
        <v>5110</v>
      </c>
      <c r="AO953" s="86" t="s">
        <v>6503</v>
      </c>
      <c r="AP953" s="81" t="b">
        <v>0</v>
      </c>
      <c r="AQ953" s="86" t="s">
        <v>5110</v>
      </c>
      <c r="AR953" s="81" t="s">
        <v>179</v>
      </c>
      <c r="AS953" s="81">
        <v>0</v>
      </c>
      <c r="AT953" s="81">
        <v>0</v>
      </c>
      <c r="AU953" s="81"/>
      <c r="AV953" s="81"/>
      <c r="AW953" s="81"/>
      <c r="AX953" s="81"/>
      <c r="AY953" s="81"/>
      <c r="AZ953" s="81"/>
      <c r="BA953" s="81"/>
      <c r="BB953" s="81"/>
    </row>
    <row r="954" spans="1:54" x14ac:dyDescent="0.35">
      <c r="A954" s="66" t="s">
        <v>862</v>
      </c>
      <c r="B954" s="66" t="s">
        <v>990</v>
      </c>
      <c r="C954" s="67"/>
      <c r="D954" s="68"/>
      <c r="E954" s="69"/>
      <c r="F954" s="70"/>
      <c r="G954" s="67"/>
      <c r="H954" s="71"/>
      <c r="I954" s="72"/>
      <c r="J954" s="72"/>
      <c r="K954" s="36"/>
      <c r="L954" s="79"/>
      <c r="M954" s="79"/>
      <c r="N954" s="74"/>
      <c r="O954" s="81" t="s">
        <v>1532</v>
      </c>
      <c r="P954" s="83">
        <v>44463.76122685185</v>
      </c>
      <c r="Q954" s="81" t="s">
        <v>1909</v>
      </c>
      <c r="R954" s="81"/>
      <c r="S954" s="81"/>
      <c r="T954" s="86" t="s">
        <v>1413</v>
      </c>
      <c r="U954" s="84" t="str">
        <f>HYPERLINK("https://pbs.twimg.com/media/FAEa7dXVkAcjbKg.jpg")</f>
        <v>https://pbs.twimg.com/media/FAEa7dXVkAcjbKg.jpg</v>
      </c>
      <c r="V954" s="84" t="str">
        <f>HYPERLINK("https://pbs.twimg.com/media/FAEa7dXVkAcjbKg.jpg")</f>
        <v>https://pbs.twimg.com/media/FAEa7dXVkAcjbKg.jpg</v>
      </c>
      <c r="W954" s="83">
        <v>44463.76122685185</v>
      </c>
      <c r="X954" s="89">
        <v>44463</v>
      </c>
      <c r="Y954" s="86" t="s">
        <v>3485</v>
      </c>
      <c r="Z954" s="84" t="str">
        <f>HYPERLINK("https://twitter.com/kittywonieee/status/1441466502784249860")</f>
        <v>https://twitter.com/kittywonieee/status/1441466502784249860</v>
      </c>
      <c r="AA954" s="81"/>
      <c r="AB954" s="81"/>
      <c r="AC954" s="86" t="s">
        <v>4950</v>
      </c>
      <c r="AD954" s="81"/>
      <c r="AE954" s="81" t="b">
        <v>0</v>
      </c>
      <c r="AF954" s="81">
        <v>0</v>
      </c>
      <c r="AG954" s="86" t="s">
        <v>6240</v>
      </c>
      <c r="AH954" s="81" t="b">
        <v>0</v>
      </c>
      <c r="AI954" s="81" t="s">
        <v>6479</v>
      </c>
      <c r="AJ954" s="81"/>
      <c r="AK954" s="86" t="s">
        <v>6240</v>
      </c>
      <c r="AL954" s="81" t="b">
        <v>0</v>
      </c>
      <c r="AM954" s="81">
        <v>20</v>
      </c>
      <c r="AN954" s="86" t="s">
        <v>5110</v>
      </c>
      <c r="AO954" s="86" t="s">
        <v>6503</v>
      </c>
      <c r="AP954" s="81" t="b">
        <v>0</v>
      </c>
      <c r="AQ954" s="86" t="s">
        <v>5110</v>
      </c>
      <c r="AR954" s="81" t="s">
        <v>179</v>
      </c>
      <c r="AS954" s="81">
        <v>0</v>
      </c>
      <c r="AT954" s="81">
        <v>0</v>
      </c>
      <c r="AU954" s="81"/>
      <c r="AV954" s="81"/>
      <c r="AW954" s="81"/>
      <c r="AX954" s="81"/>
      <c r="AY954" s="81"/>
      <c r="AZ954" s="81"/>
      <c r="BA954" s="81"/>
      <c r="BB954" s="81"/>
    </row>
    <row r="955" spans="1:54" x14ac:dyDescent="0.35">
      <c r="A955" s="66" t="s">
        <v>863</v>
      </c>
      <c r="B955" s="66" t="s">
        <v>907</v>
      </c>
      <c r="C955" s="67"/>
      <c r="D955" s="68"/>
      <c r="E955" s="69"/>
      <c r="F955" s="70"/>
      <c r="G955" s="67"/>
      <c r="H955" s="71"/>
      <c r="I955" s="72"/>
      <c r="J955" s="72"/>
      <c r="K955" s="36"/>
      <c r="L955" s="79"/>
      <c r="M955" s="79"/>
      <c r="N955" s="74"/>
      <c r="O955" s="81" t="s">
        <v>1532</v>
      </c>
      <c r="P955" s="83">
        <v>44463.765775462962</v>
      </c>
      <c r="Q955" s="81" t="s">
        <v>1893</v>
      </c>
      <c r="R955" s="81"/>
      <c r="S955" s="81"/>
      <c r="T955" s="86" t="s">
        <v>2667</v>
      </c>
      <c r="U955" s="84" t="str">
        <f>HYPERLINK("https://pbs.twimg.com/media/FADMBqAUUAAn8ca.jpg")</f>
        <v>https://pbs.twimg.com/media/FADMBqAUUAAn8ca.jpg</v>
      </c>
      <c r="V955" s="84" t="str">
        <f>HYPERLINK("https://pbs.twimg.com/media/FADMBqAUUAAn8ca.jpg")</f>
        <v>https://pbs.twimg.com/media/FADMBqAUUAAn8ca.jpg</v>
      </c>
      <c r="W955" s="83">
        <v>44463.765775462962</v>
      </c>
      <c r="X955" s="89">
        <v>44463</v>
      </c>
      <c r="Y955" s="86" t="s">
        <v>3486</v>
      </c>
      <c r="Z955" s="84" t="str">
        <f>HYPERLINK("https://twitter.com/jeonginfoxyny/status/1441468152496357378")</f>
        <v>https://twitter.com/jeonginfoxyny/status/1441468152496357378</v>
      </c>
      <c r="AA955" s="81"/>
      <c r="AB955" s="81"/>
      <c r="AC955" s="86" t="s">
        <v>4951</v>
      </c>
      <c r="AD955" s="81"/>
      <c r="AE955" s="81" t="b">
        <v>0</v>
      </c>
      <c r="AF955" s="81">
        <v>0</v>
      </c>
      <c r="AG955" s="86" t="s">
        <v>6240</v>
      </c>
      <c r="AH955" s="81" t="b">
        <v>0</v>
      </c>
      <c r="AI955" s="81" t="s">
        <v>6479</v>
      </c>
      <c r="AJ955" s="81"/>
      <c r="AK955" s="86" t="s">
        <v>6240</v>
      </c>
      <c r="AL955" s="81" t="b">
        <v>0</v>
      </c>
      <c r="AM955" s="81">
        <v>9</v>
      </c>
      <c r="AN955" s="86" t="s">
        <v>5014</v>
      </c>
      <c r="AO955" s="86" t="s">
        <v>6503</v>
      </c>
      <c r="AP955" s="81" t="b">
        <v>0</v>
      </c>
      <c r="AQ955" s="86" t="s">
        <v>5014</v>
      </c>
      <c r="AR955" s="81" t="s">
        <v>179</v>
      </c>
      <c r="AS955" s="81">
        <v>0</v>
      </c>
      <c r="AT955" s="81">
        <v>0</v>
      </c>
      <c r="AU955" s="81"/>
      <c r="AV955" s="81"/>
      <c r="AW955" s="81"/>
      <c r="AX955" s="81"/>
      <c r="AY955" s="81"/>
      <c r="AZ955" s="81"/>
      <c r="BA955" s="81"/>
      <c r="BB955" s="81"/>
    </row>
    <row r="956" spans="1:54" x14ac:dyDescent="0.35">
      <c r="A956" s="66" t="s">
        <v>864</v>
      </c>
      <c r="B956" s="66" t="s">
        <v>1410</v>
      </c>
      <c r="C956" s="67"/>
      <c r="D956" s="68"/>
      <c r="E956" s="69"/>
      <c r="F956" s="70"/>
      <c r="G956" s="67"/>
      <c r="H956" s="71"/>
      <c r="I956" s="72"/>
      <c r="J956" s="72"/>
      <c r="K956" s="36"/>
      <c r="L956" s="79"/>
      <c r="M956" s="79"/>
      <c r="N956" s="74"/>
      <c r="O956" s="81" t="s">
        <v>1533</v>
      </c>
      <c r="P956" s="83">
        <v>44463.777013888888</v>
      </c>
      <c r="Q956" s="81" t="s">
        <v>1909</v>
      </c>
      <c r="R956" s="81"/>
      <c r="S956" s="81"/>
      <c r="T956" s="86" t="s">
        <v>1413</v>
      </c>
      <c r="U956" s="84" t="str">
        <f>HYPERLINK("https://pbs.twimg.com/media/FAEa7dXVkAcjbKg.jpg")</f>
        <v>https://pbs.twimg.com/media/FAEa7dXVkAcjbKg.jpg</v>
      </c>
      <c r="V956" s="84" t="str">
        <f>HYPERLINK("https://pbs.twimg.com/media/FAEa7dXVkAcjbKg.jpg")</f>
        <v>https://pbs.twimg.com/media/FAEa7dXVkAcjbKg.jpg</v>
      </c>
      <c r="W956" s="83">
        <v>44463.777013888888</v>
      </c>
      <c r="X956" s="89">
        <v>44463</v>
      </c>
      <c r="Y956" s="86" t="s">
        <v>3487</v>
      </c>
      <c r="Z956" s="84" t="str">
        <f>HYPERLINK("https://twitter.com/aesthetichees/status/1441472227623378955")</f>
        <v>https://twitter.com/aesthetichees/status/1441472227623378955</v>
      </c>
      <c r="AA956" s="81"/>
      <c r="AB956" s="81"/>
      <c r="AC956" s="86" t="s">
        <v>4952</v>
      </c>
      <c r="AD956" s="81"/>
      <c r="AE956" s="81" t="b">
        <v>0</v>
      </c>
      <c r="AF956" s="81">
        <v>0</v>
      </c>
      <c r="AG956" s="86" t="s">
        <v>6240</v>
      </c>
      <c r="AH956" s="81" t="b">
        <v>0</v>
      </c>
      <c r="AI956" s="81" t="s">
        <v>6479</v>
      </c>
      <c r="AJ956" s="81"/>
      <c r="AK956" s="86" t="s">
        <v>6240</v>
      </c>
      <c r="AL956" s="81" t="b">
        <v>0</v>
      </c>
      <c r="AM956" s="81">
        <v>20</v>
      </c>
      <c r="AN956" s="86" t="s">
        <v>5110</v>
      </c>
      <c r="AO956" s="86" t="s">
        <v>6503</v>
      </c>
      <c r="AP956" s="81" t="b">
        <v>0</v>
      </c>
      <c r="AQ956" s="86" t="s">
        <v>5110</v>
      </c>
      <c r="AR956" s="81" t="s">
        <v>179</v>
      </c>
      <c r="AS956" s="81">
        <v>0</v>
      </c>
      <c r="AT956" s="81">
        <v>0</v>
      </c>
      <c r="AU956" s="81"/>
      <c r="AV956" s="81"/>
      <c r="AW956" s="81"/>
      <c r="AX956" s="81"/>
      <c r="AY956" s="81"/>
      <c r="AZ956" s="81"/>
      <c r="BA956" s="81"/>
      <c r="BB956" s="81"/>
    </row>
    <row r="957" spans="1:54" x14ac:dyDescent="0.35">
      <c r="A957" s="66" t="s">
        <v>864</v>
      </c>
      <c r="B957" s="66" t="s">
        <v>1411</v>
      </c>
      <c r="C957" s="67"/>
      <c r="D957" s="68"/>
      <c r="E957" s="69"/>
      <c r="F957" s="70"/>
      <c r="G957" s="67"/>
      <c r="H957" s="71"/>
      <c r="I957" s="72"/>
      <c r="J957" s="72"/>
      <c r="K957" s="36"/>
      <c r="L957" s="79"/>
      <c r="M957" s="79"/>
      <c r="N957" s="74"/>
      <c r="O957" s="81" t="s">
        <v>1533</v>
      </c>
      <c r="P957" s="83">
        <v>44463.777013888888</v>
      </c>
      <c r="Q957" s="81" t="s">
        <v>1909</v>
      </c>
      <c r="R957" s="81"/>
      <c r="S957" s="81"/>
      <c r="T957" s="86" t="s">
        <v>1413</v>
      </c>
      <c r="U957" s="84" t="str">
        <f>HYPERLINK("https://pbs.twimg.com/media/FAEa7dXVkAcjbKg.jpg")</f>
        <v>https://pbs.twimg.com/media/FAEa7dXVkAcjbKg.jpg</v>
      </c>
      <c r="V957" s="84" t="str">
        <f>HYPERLINK("https://pbs.twimg.com/media/FAEa7dXVkAcjbKg.jpg")</f>
        <v>https://pbs.twimg.com/media/FAEa7dXVkAcjbKg.jpg</v>
      </c>
      <c r="W957" s="83">
        <v>44463.777013888888</v>
      </c>
      <c r="X957" s="89">
        <v>44463</v>
      </c>
      <c r="Y957" s="86" t="s">
        <v>3487</v>
      </c>
      <c r="Z957" s="84" t="str">
        <f>HYPERLINK("https://twitter.com/aesthetichees/status/1441472227623378955")</f>
        <v>https://twitter.com/aesthetichees/status/1441472227623378955</v>
      </c>
      <c r="AA957" s="81"/>
      <c r="AB957" s="81"/>
      <c r="AC957" s="86" t="s">
        <v>4952</v>
      </c>
      <c r="AD957" s="81"/>
      <c r="AE957" s="81" t="b">
        <v>0</v>
      </c>
      <c r="AF957" s="81">
        <v>0</v>
      </c>
      <c r="AG957" s="86" t="s">
        <v>6240</v>
      </c>
      <c r="AH957" s="81" t="b">
        <v>0</v>
      </c>
      <c r="AI957" s="81" t="s">
        <v>6479</v>
      </c>
      <c r="AJ957" s="81"/>
      <c r="AK957" s="86" t="s">
        <v>6240</v>
      </c>
      <c r="AL957" s="81" t="b">
        <v>0</v>
      </c>
      <c r="AM957" s="81">
        <v>20</v>
      </c>
      <c r="AN957" s="86" t="s">
        <v>5110</v>
      </c>
      <c r="AO957" s="86" t="s">
        <v>6503</v>
      </c>
      <c r="AP957" s="81" t="b">
        <v>0</v>
      </c>
      <c r="AQ957" s="86" t="s">
        <v>5110</v>
      </c>
      <c r="AR957" s="81" t="s">
        <v>179</v>
      </c>
      <c r="AS957" s="81">
        <v>0</v>
      </c>
      <c r="AT957" s="81">
        <v>0</v>
      </c>
      <c r="AU957" s="81"/>
      <c r="AV957" s="81"/>
      <c r="AW957" s="81"/>
      <c r="AX957" s="81"/>
      <c r="AY957" s="81"/>
      <c r="AZ957" s="81"/>
      <c r="BA957" s="81"/>
      <c r="BB957" s="81"/>
    </row>
    <row r="958" spans="1:54" x14ac:dyDescent="0.35">
      <c r="A958" s="66" t="s">
        <v>864</v>
      </c>
      <c r="B958" s="66" t="s">
        <v>1412</v>
      </c>
      <c r="C958" s="67"/>
      <c r="D958" s="68"/>
      <c r="E958" s="69"/>
      <c r="F958" s="70"/>
      <c r="G958" s="67"/>
      <c r="H958" s="71"/>
      <c r="I958" s="72"/>
      <c r="J958" s="72"/>
      <c r="K958" s="36"/>
      <c r="L958" s="79"/>
      <c r="M958" s="79"/>
      <c r="N958" s="74"/>
      <c r="O958" s="81" t="s">
        <v>1533</v>
      </c>
      <c r="P958" s="83">
        <v>44463.777013888888</v>
      </c>
      <c r="Q958" s="81" t="s">
        <v>1909</v>
      </c>
      <c r="R958" s="81"/>
      <c r="S958" s="81"/>
      <c r="T958" s="86" t="s">
        <v>1413</v>
      </c>
      <c r="U958" s="84" t="str">
        <f>HYPERLINK("https://pbs.twimg.com/media/FAEa7dXVkAcjbKg.jpg")</f>
        <v>https://pbs.twimg.com/media/FAEa7dXVkAcjbKg.jpg</v>
      </c>
      <c r="V958" s="84" t="str">
        <f>HYPERLINK("https://pbs.twimg.com/media/FAEa7dXVkAcjbKg.jpg")</f>
        <v>https://pbs.twimg.com/media/FAEa7dXVkAcjbKg.jpg</v>
      </c>
      <c r="W958" s="83">
        <v>44463.777013888888</v>
      </c>
      <c r="X958" s="89">
        <v>44463</v>
      </c>
      <c r="Y958" s="86" t="s">
        <v>3487</v>
      </c>
      <c r="Z958" s="84" t="str">
        <f>HYPERLINK("https://twitter.com/aesthetichees/status/1441472227623378955")</f>
        <v>https://twitter.com/aesthetichees/status/1441472227623378955</v>
      </c>
      <c r="AA958" s="81"/>
      <c r="AB958" s="81"/>
      <c r="AC958" s="86" t="s">
        <v>4952</v>
      </c>
      <c r="AD958" s="81"/>
      <c r="AE958" s="81" t="b">
        <v>0</v>
      </c>
      <c r="AF958" s="81">
        <v>0</v>
      </c>
      <c r="AG958" s="86" t="s">
        <v>6240</v>
      </c>
      <c r="AH958" s="81" t="b">
        <v>0</v>
      </c>
      <c r="AI958" s="81" t="s">
        <v>6479</v>
      </c>
      <c r="AJ958" s="81"/>
      <c r="AK958" s="86" t="s">
        <v>6240</v>
      </c>
      <c r="AL958" s="81" t="b">
        <v>0</v>
      </c>
      <c r="AM958" s="81">
        <v>20</v>
      </c>
      <c r="AN958" s="86" t="s">
        <v>5110</v>
      </c>
      <c r="AO958" s="86" t="s">
        <v>6503</v>
      </c>
      <c r="AP958" s="81" t="b">
        <v>0</v>
      </c>
      <c r="AQ958" s="86" t="s">
        <v>5110</v>
      </c>
      <c r="AR958" s="81" t="s">
        <v>179</v>
      </c>
      <c r="AS958" s="81">
        <v>0</v>
      </c>
      <c r="AT958" s="81">
        <v>0</v>
      </c>
      <c r="AU958" s="81"/>
      <c r="AV958" s="81"/>
      <c r="AW958" s="81"/>
      <c r="AX958" s="81"/>
      <c r="AY958" s="81"/>
      <c r="AZ958" s="81"/>
      <c r="BA958" s="81"/>
      <c r="BB958" s="81"/>
    </row>
    <row r="959" spans="1:54" x14ac:dyDescent="0.35">
      <c r="A959" s="66" t="s">
        <v>864</v>
      </c>
      <c r="B959" s="66" t="s">
        <v>1413</v>
      </c>
      <c r="C959" s="67"/>
      <c r="D959" s="68"/>
      <c r="E959" s="69"/>
      <c r="F959" s="70"/>
      <c r="G959" s="67"/>
      <c r="H959" s="71"/>
      <c r="I959" s="72"/>
      <c r="J959" s="72"/>
      <c r="K959" s="36"/>
      <c r="L959" s="79"/>
      <c r="M959" s="79"/>
      <c r="N959" s="74"/>
      <c r="O959" s="81" t="s">
        <v>1533</v>
      </c>
      <c r="P959" s="83">
        <v>44463.777013888888</v>
      </c>
      <c r="Q959" s="81" t="s">
        <v>1909</v>
      </c>
      <c r="R959" s="81"/>
      <c r="S959" s="81"/>
      <c r="T959" s="86" t="s">
        <v>1413</v>
      </c>
      <c r="U959" s="84" t="str">
        <f>HYPERLINK("https://pbs.twimg.com/media/FAEa7dXVkAcjbKg.jpg")</f>
        <v>https://pbs.twimg.com/media/FAEa7dXVkAcjbKg.jpg</v>
      </c>
      <c r="V959" s="84" t="str">
        <f>HYPERLINK("https://pbs.twimg.com/media/FAEa7dXVkAcjbKg.jpg")</f>
        <v>https://pbs.twimg.com/media/FAEa7dXVkAcjbKg.jpg</v>
      </c>
      <c r="W959" s="83">
        <v>44463.777013888888</v>
      </c>
      <c r="X959" s="89">
        <v>44463</v>
      </c>
      <c r="Y959" s="86" t="s">
        <v>3487</v>
      </c>
      <c r="Z959" s="84" t="str">
        <f>HYPERLINK("https://twitter.com/aesthetichees/status/1441472227623378955")</f>
        <v>https://twitter.com/aesthetichees/status/1441472227623378955</v>
      </c>
      <c r="AA959" s="81"/>
      <c r="AB959" s="81"/>
      <c r="AC959" s="86" t="s">
        <v>4952</v>
      </c>
      <c r="AD959" s="81"/>
      <c r="AE959" s="81" t="b">
        <v>0</v>
      </c>
      <c r="AF959" s="81">
        <v>0</v>
      </c>
      <c r="AG959" s="86" t="s">
        <v>6240</v>
      </c>
      <c r="AH959" s="81" t="b">
        <v>0</v>
      </c>
      <c r="AI959" s="81" t="s">
        <v>6479</v>
      </c>
      <c r="AJ959" s="81"/>
      <c r="AK959" s="86" t="s">
        <v>6240</v>
      </c>
      <c r="AL959" s="81" t="b">
        <v>0</v>
      </c>
      <c r="AM959" s="81">
        <v>20</v>
      </c>
      <c r="AN959" s="86" t="s">
        <v>5110</v>
      </c>
      <c r="AO959" s="86" t="s">
        <v>6503</v>
      </c>
      <c r="AP959" s="81" t="b">
        <v>0</v>
      </c>
      <c r="AQ959" s="86" t="s">
        <v>5110</v>
      </c>
      <c r="AR959" s="81" t="s">
        <v>179</v>
      </c>
      <c r="AS959" s="81">
        <v>0</v>
      </c>
      <c r="AT959" s="81">
        <v>0</v>
      </c>
      <c r="AU959" s="81"/>
      <c r="AV959" s="81"/>
      <c r="AW959" s="81"/>
      <c r="AX959" s="81"/>
      <c r="AY959" s="81"/>
      <c r="AZ959" s="81"/>
      <c r="BA959" s="81"/>
      <c r="BB959" s="81"/>
    </row>
    <row r="960" spans="1:54" x14ac:dyDescent="0.35">
      <c r="A960" s="66" t="s">
        <v>864</v>
      </c>
      <c r="B960" s="66" t="s">
        <v>990</v>
      </c>
      <c r="C960" s="67"/>
      <c r="D960" s="68"/>
      <c r="E960" s="69"/>
      <c r="F960" s="70"/>
      <c r="G960" s="67"/>
      <c r="H960" s="71"/>
      <c r="I960" s="72"/>
      <c r="J960" s="72"/>
      <c r="K960" s="36"/>
      <c r="L960" s="79"/>
      <c r="M960" s="79"/>
      <c r="N960" s="74"/>
      <c r="O960" s="81" t="s">
        <v>1532</v>
      </c>
      <c r="P960" s="83">
        <v>44463.777013888888</v>
      </c>
      <c r="Q960" s="81" t="s">
        <v>1909</v>
      </c>
      <c r="R960" s="81"/>
      <c r="S960" s="81"/>
      <c r="T960" s="86" t="s">
        <v>1413</v>
      </c>
      <c r="U960" s="84" t="str">
        <f>HYPERLINK("https://pbs.twimg.com/media/FAEa7dXVkAcjbKg.jpg")</f>
        <v>https://pbs.twimg.com/media/FAEa7dXVkAcjbKg.jpg</v>
      </c>
      <c r="V960" s="84" t="str">
        <f>HYPERLINK("https://pbs.twimg.com/media/FAEa7dXVkAcjbKg.jpg")</f>
        <v>https://pbs.twimg.com/media/FAEa7dXVkAcjbKg.jpg</v>
      </c>
      <c r="W960" s="83">
        <v>44463.777013888888</v>
      </c>
      <c r="X960" s="89">
        <v>44463</v>
      </c>
      <c r="Y960" s="86" t="s">
        <v>3487</v>
      </c>
      <c r="Z960" s="84" t="str">
        <f>HYPERLINK("https://twitter.com/aesthetichees/status/1441472227623378955")</f>
        <v>https://twitter.com/aesthetichees/status/1441472227623378955</v>
      </c>
      <c r="AA960" s="81"/>
      <c r="AB960" s="81"/>
      <c r="AC960" s="86" t="s">
        <v>4952</v>
      </c>
      <c r="AD960" s="81"/>
      <c r="AE960" s="81" t="b">
        <v>0</v>
      </c>
      <c r="AF960" s="81">
        <v>0</v>
      </c>
      <c r="AG960" s="86" t="s">
        <v>6240</v>
      </c>
      <c r="AH960" s="81" t="b">
        <v>0</v>
      </c>
      <c r="AI960" s="81" t="s">
        <v>6479</v>
      </c>
      <c r="AJ960" s="81"/>
      <c r="AK960" s="86" t="s">
        <v>6240</v>
      </c>
      <c r="AL960" s="81" t="b">
        <v>0</v>
      </c>
      <c r="AM960" s="81">
        <v>20</v>
      </c>
      <c r="AN960" s="86" t="s">
        <v>5110</v>
      </c>
      <c r="AO960" s="86" t="s">
        <v>6503</v>
      </c>
      <c r="AP960" s="81" t="b">
        <v>0</v>
      </c>
      <c r="AQ960" s="86" t="s">
        <v>5110</v>
      </c>
      <c r="AR960" s="81" t="s">
        <v>179</v>
      </c>
      <c r="AS960" s="81">
        <v>0</v>
      </c>
      <c r="AT960" s="81">
        <v>0</v>
      </c>
      <c r="AU960" s="81"/>
      <c r="AV960" s="81"/>
      <c r="AW960" s="81"/>
      <c r="AX960" s="81"/>
      <c r="AY960" s="81"/>
      <c r="AZ960" s="81"/>
      <c r="BA960" s="81"/>
      <c r="BB960" s="81"/>
    </row>
    <row r="961" spans="1:54" x14ac:dyDescent="0.35">
      <c r="A961" s="66" t="s">
        <v>865</v>
      </c>
      <c r="B961" s="66" t="s">
        <v>1410</v>
      </c>
      <c r="C961" s="67"/>
      <c r="D961" s="68"/>
      <c r="E961" s="69"/>
      <c r="F961" s="70"/>
      <c r="G961" s="67"/>
      <c r="H961" s="71"/>
      <c r="I961" s="72"/>
      <c r="J961" s="72"/>
      <c r="K961" s="36"/>
      <c r="L961" s="79"/>
      <c r="M961" s="79"/>
      <c r="N961" s="74"/>
      <c r="O961" s="81" t="s">
        <v>1533</v>
      </c>
      <c r="P961" s="83">
        <v>44463.780659722222</v>
      </c>
      <c r="Q961" s="81" t="s">
        <v>1909</v>
      </c>
      <c r="R961" s="81"/>
      <c r="S961" s="81"/>
      <c r="T961" s="86" t="s">
        <v>1413</v>
      </c>
      <c r="U961" s="84" t="str">
        <f>HYPERLINK("https://pbs.twimg.com/media/FAEa7dXVkAcjbKg.jpg")</f>
        <v>https://pbs.twimg.com/media/FAEa7dXVkAcjbKg.jpg</v>
      </c>
      <c r="V961" s="84" t="str">
        <f>HYPERLINK("https://pbs.twimg.com/media/FAEa7dXVkAcjbKg.jpg")</f>
        <v>https://pbs.twimg.com/media/FAEa7dXVkAcjbKg.jpg</v>
      </c>
      <c r="W961" s="83">
        <v>44463.780659722222</v>
      </c>
      <c r="X961" s="89">
        <v>44463</v>
      </c>
      <c r="Y961" s="86" t="s">
        <v>3488</v>
      </c>
      <c r="Z961" s="84" t="str">
        <f>HYPERLINK("https://twitter.com/jkzty/status/1441473545796669445")</f>
        <v>https://twitter.com/jkzty/status/1441473545796669445</v>
      </c>
      <c r="AA961" s="81"/>
      <c r="AB961" s="81"/>
      <c r="AC961" s="86" t="s">
        <v>4953</v>
      </c>
      <c r="AD961" s="81"/>
      <c r="AE961" s="81" t="b">
        <v>0</v>
      </c>
      <c r="AF961" s="81">
        <v>0</v>
      </c>
      <c r="AG961" s="86" t="s">
        <v>6240</v>
      </c>
      <c r="AH961" s="81" t="b">
        <v>0</v>
      </c>
      <c r="AI961" s="81" t="s">
        <v>6479</v>
      </c>
      <c r="AJ961" s="81"/>
      <c r="AK961" s="86" t="s">
        <v>6240</v>
      </c>
      <c r="AL961" s="81" t="b">
        <v>0</v>
      </c>
      <c r="AM961" s="81">
        <v>20</v>
      </c>
      <c r="AN961" s="86" t="s">
        <v>5110</v>
      </c>
      <c r="AO961" s="86" t="s">
        <v>6503</v>
      </c>
      <c r="AP961" s="81" t="b">
        <v>0</v>
      </c>
      <c r="AQ961" s="86" t="s">
        <v>5110</v>
      </c>
      <c r="AR961" s="81" t="s">
        <v>179</v>
      </c>
      <c r="AS961" s="81">
        <v>0</v>
      </c>
      <c r="AT961" s="81">
        <v>0</v>
      </c>
      <c r="AU961" s="81"/>
      <c r="AV961" s="81"/>
      <c r="AW961" s="81"/>
      <c r="AX961" s="81"/>
      <c r="AY961" s="81"/>
      <c r="AZ961" s="81"/>
      <c r="BA961" s="81"/>
      <c r="BB961" s="81"/>
    </row>
    <row r="962" spans="1:54" x14ac:dyDescent="0.35">
      <c r="A962" s="66" t="s">
        <v>865</v>
      </c>
      <c r="B962" s="66" t="s">
        <v>1411</v>
      </c>
      <c r="C962" s="67"/>
      <c r="D962" s="68"/>
      <c r="E962" s="69"/>
      <c r="F962" s="70"/>
      <c r="G962" s="67"/>
      <c r="H962" s="71"/>
      <c r="I962" s="72"/>
      <c r="J962" s="72"/>
      <c r="K962" s="36"/>
      <c r="L962" s="79"/>
      <c r="M962" s="79"/>
      <c r="N962" s="74"/>
      <c r="O962" s="81" t="s">
        <v>1533</v>
      </c>
      <c r="P962" s="83">
        <v>44463.780659722222</v>
      </c>
      <c r="Q962" s="81" t="s">
        <v>1909</v>
      </c>
      <c r="R962" s="81"/>
      <c r="S962" s="81"/>
      <c r="T962" s="86" t="s">
        <v>1413</v>
      </c>
      <c r="U962" s="84" t="str">
        <f>HYPERLINK("https://pbs.twimg.com/media/FAEa7dXVkAcjbKg.jpg")</f>
        <v>https://pbs.twimg.com/media/FAEa7dXVkAcjbKg.jpg</v>
      </c>
      <c r="V962" s="84" t="str">
        <f>HYPERLINK("https://pbs.twimg.com/media/FAEa7dXVkAcjbKg.jpg")</f>
        <v>https://pbs.twimg.com/media/FAEa7dXVkAcjbKg.jpg</v>
      </c>
      <c r="W962" s="83">
        <v>44463.780659722222</v>
      </c>
      <c r="X962" s="89">
        <v>44463</v>
      </c>
      <c r="Y962" s="86" t="s">
        <v>3488</v>
      </c>
      <c r="Z962" s="84" t="str">
        <f>HYPERLINK("https://twitter.com/jkzty/status/1441473545796669445")</f>
        <v>https://twitter.com/jkzty/status/1441473545796669445</v>
      </c>
      <c r="AA962" s="81"/>
      <c r="AB962" s="81"/>
      <c r="AC962" s="86" t="s">
        <v>4953</v>
      </c>
      <c r="AD962" s="81"/>
      <c r="AE962" s="81" t="b">
        <v>0</v>
      </c>
      <c r="AF962" s="81">
        <v>0</v>
      </c>
      <c r="AG962" s="86" t="s">
        <v>6240</v>
      </c>
      <c r="AH962" s="81" t="b">
        <v>0</v>
      </c>
      <c r="AI962" s="81" t="s">
        <v>6479</v>
      </c>
      <c r="AJ962" s="81"/>
      <c r="AK962" s="86" t="s">
        <v>6240</v>
      </c>
      <c r="AL962" s="81" t="b">
        <v>0</v>
      </c>
      <c r="AM962" s="81">
        <v>20</v>
      </c>
      <c r="AN962" s="86" t="s">
        <v>5110</v>
      </c>
      <c r="AO962" s="86" t="s">
        <v>6503</v>
      </c>
      <c r="AP962" s="81" t="b">
        <v>0</v>
      </c>
      <c r="AQ962" s="86" t="s">
        <v>5110</v>
      </c>
      <c r="AR962" s="81" t="s">
        <v>179</v>
      </c>
      <c r="AS962" s="81">
        <v>0</v>
      </c>
      <c r="AT962" s="81">
        <v>0</v>
      </c>
      <c r="AU962" s="81"/>
      <c r="AV962" s="81"/>
      <c r="AW962" s="81"/>
      <c r="AX962" s="81"/>
      <c r="AY962" s="81"/>
      <c r="AZ962" s="81"/>
      <c r="BA962" s="81"/>
      <c r="BB962" s="81"/>
    </row>
    <row r="963" spans="1:54" x14ac:dyDescent="0.35">
      <c r="A963" s="66" t="s">
        <v>865</v>
      </c>
      <c r="B963" s="66" t="s">
        <v>1412</v>
      </c>
      <c r="C963" s="67"/>
      <c r="D963" s="68"/>
      <c r="E963" s="69"/>
      <c r="F963" s="70"/>
      <c r="G963" s="67"/>
      <c r="H963" s="71"/>
      <c r="I963" s="72"/>
      <c r="J963" s="72"/>
      <c r="K963" s="36"/>
      <c r="L963" s="79"/>
      <c r="M963" s="79"/>
      <c r="N963" s="74"/>
      <c r="O963" s="81" t="s">
        <v>1533</v>
      </c>
      <c r="P963" s="83">
        <v>44463.780659722222</v>
      </c>
      <c r="Q963" s="81" t="s">
        <v>1909</v>
      </c>
      <c r="R963" s="81"/>
      <c r="S963" s="81"/>
      <c r="T963" s="86" t="s">
        <v>1413</v>
      </c>
      <c r="U963" s="84" t="str">
        <f>HYPERLINK("https://pbs.twimg.com/media/FAEa7dXVkAcjbKg.jpg")</f>
        <v>https://pbs.twimg.com/media/FAEa7dXVkAcjbKg.jpg</v>
      </c>
      <c r="V963" s="84" t="str">
        <f>HYPERLINK("https://pbs.twimg.com/media/FAEa7dXVkAcjbKg.jpg")</f>
        <v>https://pbs.twimg.com/media/FAEa7dXVkAcjbKg.jpg</v>
      </c>
      <c r="W963" s="83">
        <v>44463.780659722222</v>
      </c>
      <c r="X963" s="89">
        <v>44463</v>
      </c>
      <c r="Y963" s="86" t="s">
        <v>3488</v>
      </c>
      <c r="Z963" s="84" t="str">
        <f>HYPERLINK("https://twitter.com/jkzty/status/1441473545796669445")</f>
        <v>https://twitter.com/jkzty/status/1441473545796669445</v>
      </c>
      <c r="AA963" s="81"/>
      <c r="AB963" s="81"/>
      <c r="AC963" s="86" t="s">
        <v>4953</v>
      </c>
      <c r="AD963" s="81"/>
      <c r="AE963" s="81" t="b">
        <v>0</v>
      </c>
      <c r="AF963" s="81">
        <v>0</v>
      </c>
      <c r="AG963" s="86" t="s">
        <v>6240</v>
      </c>
      <c r="AH963" s="81" t="b">
        <v>0</v>
      </c>
      <c r="AI963" s="81" t="s">
        <v>6479</v>
      </c>
      <c r="AJ963" s="81"/>
      <c r="AK963" s="86" t="s">
        <v>6240</v>
      </c>
      <c r="AL963" s="81" t="b">
        <v>0</v>
      </c>
      <c r="AM963" s="81">
        <v>20</v>
      </c>
      <c r="AN963" s="86" t="s">
        <v>5110</v>
      </c>
      <c r="AO963" s="86" t="s">
        <v>6503</v>
      </c>
      <c r="AP963" s="81" t="b">
        <v>0</v>
      </c>
      <c r="AQ963" s="86" t="s">
        <v>5110</v>
      </c>
      <c r="AR963" s="81" t="s">
        <v>179</v>
      </c>
      <c r="AS963" s="81">
        <v>0</v>
      </c>
      <c r="AT963" s="81">
        <v>0</v>
      </c>
      <c r="AU963" s="81"/>
      <c r="AV963" s="81"/>
      <c r="AW963" s="81"/>
      <c r="AX963" s="81"/>
      <c r="AY963" s="81"/>
      <c r="AZ963" s="81"/>
      <c r="BA963" s="81"/>
      <c r="BB963" s="81"/>
    </row>
    <row r="964" spans="1:54" x14ac:dyDescent="0.35">
      <c r="A964" s="66" t="s">
        <v>865</v>
      </c>
      <c r="B964" s="66" t="s">
        <v>1413</v>
      </c>
      <c r="C964" s="67"/>
      <c r="D964" s="68"/>
      <c r="E964" s="69"/>
      <c r="F964" s="70"/>
      <c r="G964" s="67"/>
      <c r="H964" s="71"/>
      <c r="I964" s="72"/>
      <c r="J964" s="72"/>
      <c r="K964" s="36"/>
      <c r="L964" s="79"/>
      <c r="M964" s="79"/>
      <c r="N964" s="74"/>
      <c r="O964" s="81" t="s">
        <v>1533</v>
      </c>
      <c r="P964" s="83">
        <v>44463.780659722222</v>
      </c>
      <c r="Q964" s="81" t="s">
        <v>1909</v>
      </c>
      <c r="R964" s="81"/>
      <c r="S964" s="81"/>
      <c r="T964" s="86" t="s">
        <v>1413</v>
      </c>
      <c r="U964" s="84" t="str">
        <f>HYPERLINK("https://pbs.twimg.com/media/FAEa7dXVkAcjbKg.jpg")</f>
        <v>https://pbs.twimg.com/media/FAEa7dXVkAcjbKg.jpg</v>
      </c>
      <c r="V964" s="84" t="str">
        <f>HYPERLINK("https://pbs.twimg.com/media/FAEa7dXVkAcjbKg.jpg")</f>
        <v>https://pbs.twimg.com/media/FAEa7dXVkAcjbKg.jpg</v>
      </c>
      <c r="W964" s="83">
        <v>44463.780659722222</v>
      </c>
      <c r="X964" s="89">
        <v>44463</v>
      </c>
      <c r="Y964" s="86" t="s">
        <v>3488</v>
      </c>
      <c r="Z964" s="84" t="str">
        <f>HYPERLINK("https://twitter.com/jkzty/status/1441473545796669445")</f>
        <v>https://twitter.com/jkzty/status/1441473545796669445</v>
      </c>
      <c r="AA964" s="81"/>
      <c r="AB964" s="81"/>
      <c r="AC964" s="86" t="s">
        <v>4953</v>
      </c>
      <c r="AD964" s="81"/>
      <c r="AE964" s="81" t="b">
        <v>0</v>
      </c>
      <c r="AF964" s="81">
        <v>0</v>
      </c>
      <c r="AG964" s="86" t="s">
        <v>6240</v>
      </c>
      <c r="AH964" s="81" t="b">
        <v>0</v>
      </c>
      <c r="AI964" s="81" t="s">
        <v>6479</v>
      </c>
      <c r="AJ964" s="81"/>
      <c r="AK964" s="86" t="s">
        <v>6240</v>
      </c>
      <c r="AL964" s="81" t="b">
        <v>0</v>
      </c>
      <c r="AM964" s="81">
        <v>20</v>
      </c>
      <c r="AN964" s="86" t="s">
        <v>5110</v>
      </c>
      <c r="AO964" s="86" t="s">
        <v>6503</v>
      </c>
      <c r="AP964" s="81" t="b">
        <v>0</v>
      </c>
      <c r="AQ964" s="86" t="s">
        <v>5110</v>
      </c>
      <c r="AR964" s="81" t="s">
        <v>179</v>
      </c>
      <c r="AS964" s="81">
        <v>0</v>
      </c>
      <c r="AT964" s="81">
        <v>0</v>
      </c>
      <c r="AU964" s="81"/>
      <c r="AV964" s="81"/>
      <c r="AW964" s="81"/>
      <c r="AX964" s="81"/>
      <c r="AY964" s="81"/>
      <c r="AZ964" s="81"/>
      <c r="BA964" s="81"/>
      <c r="BB964" s="81"/>
    </row>
    <row r="965" spans="1:54" x14ac:dyDescent="0.35">
      <c r="A965" s="66" t="s">
        <v>865</v>
      </c>
      <c r="B965" s="66" t="s">
        <v>990</v>
      </c>
      <c r="C965" s="67"/>
      <c r="D965" s="68"/>
      <c r="E965" s="69"/>
      <c r="F965" s="70"/>
      <c r="G965" s="67"/>
      <c r="H965" s="71"/>
      <c r="I965" s="72"/>
      <c r="J965" s="72"/>
      <c r="K965" s="36"/>
      <c r="L965" s="79"/>
      <c r="M965" s="79"/>
      <c r="N965" s="74"/>
      <c r="O965" s="81" t="s">
        <v>1532</v>
      </c>
      <c r="P965" s="83">
        <v>44463.780659722222</v>
      </c>
      <c r="Q965" s="81" t="s">
        <v>1909</v>
      </c>
      <c r="R965" s="81"/>
      <c r="S965" s="81"/>
      <c r="T965" s="86" t="s">
        <v>1413</v>
      </c>
      <c r="U965" s="84" t="str">
        <f>HYPERLINK("https://pbs.twimg.com/media/FAEa7dXVkAcjbKg.jpg")</f>
        <v>https://pbs.twimg.com/media/FAEa7dXVkAcjbKg.jpg</v>
      </c>
      <c r="V965" s="84" t="str">
        <f>HYPERLINK("https://pbs.twimg.com/media/FAEa7dXVkAcjbKg.jpg")</f>
        <v>https://pbs.twimg.com/media/FAEa7dXVkAcjbKg.jpg</v>
      </c>
      <c r="W965" s="83">
        <v>44463.780659722222</v>
      </c>
      <c r="X965" s="89">
        <v>44463</v>
      </c>
      <c r="Y965" s="86" t="s">
        <v>3488</v>
      </c>
      <c r="Z965" s="84" t="str">
        <f>HYPERLINK("https://twitter.com/jkzty/status/1441473545796669445")</f>
        <v>https://twitter.com/jkzty/status/1441473545796669445</v>
      </c>
      <c r="AA965" s="81"/>
      <c r="AB965" s="81"/>
      <c r="AC965" s="86" t="s">
        <v>4953</v>
      </c>
      <c r="AD965" s="81"/>
      <c r="AE965" s="81" t="b">
        <v>0</v>
      </c>
      <c r="AF965" s="81">
        <v>0</v>
      </c>
      <c r="AG965" s="86" t="s">
        <v>6240</v>
      </c>
      <c r="AH965" s="81" t="b">
        <v>0</v>
      </c>
      <c r="AI965" s="81" t="s">
        <v>6479</v>
      </c>
      <c r="AJ965" s="81"/>
      <c r="AK965" s="86" t="s">
        <v>6240</v>
      </c>
      <c r="AL965" s="81" t="b">
        <v>0</v>
      </c>
      <c r="AM965" s="81">
        <v>20</v>
      </c>
      <c r="AN965" s="86" t="s">
        <v>5110</v>
      </c>
      <c r="AO965" s="86" t="s">
        <v>6503</v>
      </c>
      <c r="AP965" s="81" t="b">
        <v>0</v>
      </c>
      <c r="AQ965" s="86" t="s">
        <v>5110</v>
      </c>
      <c r="AR965" s="81" t="s">
        <v>179</v>
      </c>
      <c r="AS965" s="81">
        <v>0</v>
      </c>
      <c r="AT965" s="81">
        <v>0</v>
      </c>
      <c r="AU965" s="81"/>
      <c r="AV965" s="81"/>
      <c r="AW965" s="81"/>
      <c r="AX965" s="81"/>
      <c r="AY965" s="81"/>
      <c r="AZ965" s="81"/>
      <c r="BA965" s="81"/>
      <c r="BB965" s="81"/>
    </row>
    <row r="966" spans="1:54" x14ac:dyDescent="0.35">
      <c r="A966" s="66" t="s">
        <v>866</v>
      </c>
      <c r="B966" s="66" t="s">
        <v>1410</v>
      </c>
      <c r="C966" s="67"/>
      <c r="D966" s="68"/>
      <c r="E966" s="69"/>
      <c r="F966" s="70"/>
      <c r="G966" s="67"/>
      <c r="H966" s="71"/>
      <c r="I966" s="72"/>
      <c r="J966" s="72"/>
      <c r="K966" s="36"/>
      <c r="L966" s="79"/>
      <c r="M966" s="79"/>
      <c r="N966" s="74"/>
      <c r="O966" s="81" t="s">
        <v>1533</v>
      </c>
      <c r="P966" s="83">
        <v>44463.815798611111</v>
      </c>
      <c r="Q966" s="81" t="s">
        <v>1909</v>
      </c>
      <c r="R966" s="81"/>
      <c r="S966" s="81"/>
      <c r="T966" s="86" t="s">
        <v>1413</v>
      </c>
      <c r="U966" s="84" t="str">
        <f>HYPERLINK("https://pbs.twimg.com/media/FAEa7dXVkAcjbKg.jpg")</f>
        <v>https://pbs.twimg.com/media/FAEa7dXVkAcjbKg.jpg</v>
      </c>
      <c r="V966" s="84" t="str">
        <f>HYPERLINK("https://pbs.twimg.com/media/FAEa7dXVkAcjbKg.jpg")</f>
        <v>https://pbs.twimg.com/media/FAEa7dXVkAcjbKg.jpg</v>
      </c>
      <c r="W966" s="83">
        <v>44463.815798611111</v>
      </c>
      <c r="X966" s="89">
        <v>44463</v>
      </c>
      <c r="Y966" s="86" t="s">
        <v>3489</v>
      </c>
      <c r="Z966" s="84" t="str">
        <f>HYPERLINK("https://twitter.com/seaguling/status/1441486279678431235")</f>
        <v>https://twitter.com/seaguling/status/1441486279678431235</v>
      </c>
      <c r="AA966" s="81"/>
      <c r="AB966" s="81"/>
      <c r="AC966" s="86" t="s">
        <v>4954</v>
      </c>
      <c r="AD966" s="81"/>
      <c r="AE966" s="81" t="b">
        <v>0</v>
      </c>
      <c r="AF966" s="81">
        <v>0</v>
      </c>
      <c r="AG966" s="86" t="s">
        <v>6240</v>
      </c>
      <c r="AH966" s="81" t="b">
        <v>0</v>
      </c>
      <c r="AI966" s="81" t="s">
        <v>6479</v>
      </c>
      <c r="AJ966" s="81"/>
      <c r="AK966" s="86" t="s">
        <v>6240</v>
      </c>
      <c r="AL966" s="81" t="b">
        <v>0</v>
      </c>
      <c r="AM966" s="81">
        <v>20</v>
      </c>
      <c r="AN966" s="86" t="s">
        <v>5110</v>
      </c>
      <c r="AO966" s="86" t="s">
        <v>6505</v>
      </c>
      <c r="AP966" s="81" t="b">
        <v>0</v>
      </c>
      <c r="AQ966" s="86" t="s">
        <v>5110</v>
      </c>
      <c r="AR966" s="81" t="s">
        <v>179</v>
      </c>
      <c r="AS966" s="81">
        <v>0</v>
      </c>
      <c r="AT966" s="81">
        <v>0</v>
      </c>
      <c r="AU966" s="81"/>
      <c r="AV966" s="81"/>
      <c r="AW966" s="81"/>
      <c r="AX966" s="81"/>
      <c r="AY966" s="81"/>
      <c r="AZ966" s="81"/>
      <c r="BA966" s="81"/>
      <c r="BB966" s="81"/>
    </row>
    <row r="967" spans="1:54" x14ac:dyDescent="0.35">
      <c r="A967" s="66" t="s">
        <v>866</v>
      </c>
      <c r="B967" s="66" t="s">
        <v>1411</v>
      </c>
      <c r="C967" s="67"/>
      <c r="D967" s="68"/>
      <c r="E967" s="69"/>
      <c r="F967" s="70"/>
      <c r="G967" s="67"/>
      <c r="H967" s="71"/>
      <c r="I967" s="72"/>
      <c r="J967" s="72"/>
      <c r="K967" s="36"/>
      <c r="L967" s="79"/>
      <c r="M967" s="79"/>
      <c r="N967" s="74"/>
      <c r="O967" s="81" t="s">
        <v>1533</v>
      </c>
      <c r="P967" s="83">
        <v>44463.815798611111</v>
      </c>
      <c r="Q967" s="81" t="s">
        <v>1909</v>
      </c>
      <c r="R967" s="81"/>
      <c r="S967" s="81"/>
      <c r="T967" s="86" t="s">
        <v>1413</v>
      </c>
      <c r="U967" s="84" t="str">
        <f>HYPERLINK("https://pbs.twimg.com/media/FAEa7dXVkAcjbKg.jpg")</f>
        <v>https://pbs.twimg.com/media/FAEa7dXVkAcjbKg.jpg</v>
      </c>
      <c r="V967" s="84" t="str">
        <f>HYPERLINK("https://pbs.twimg.com/media/FAEa7dXVkAcjbKg.jpg")</f>
        <v>https://pbs.twimg.com/media/FAEa7dXVkAcjbKg.jpg</v>
      </c>
      <c r="W967" s="83">
        <v>44463.815798611111</v>
      </c>
      <c r="X967" s="89">
        <v>44463</v>
      </c>
      <c r="Y967" s="86" t="s">
        <v>3489</v>
      </c>
      <c r="Z967" s="84" t="str">
        <f>HYPERLINK("https://twitter.com/seaguling/status/1441486279678431235")</f>
        <v>https://twitter.com/seaguling/status/1441486279678431235</v>
      </c>
      <c r="AA967" s="81"/>
      <c r="AB967" s="81"/>
      <c r="AC967" s="86" t="s">
        <v>4954</v>
      </c>
      <c r="AD967" s="81"/>
      <c r="AE967" s="81" t="b">
        <v>0</v>
      </c>
      <c r="AF967" s="81">
        <v>0</v>
      </c>
      <c r="AG967" s="86" t="s">
        <v>6240</v>
      </c>
      <c r="AH967" s="81" t="b">
        <v>0</v>
      </c>
      <c r="AI967" s="81" t="s">
        <v>6479</v>
      </c>
      <c r="AJ967" s="81"/>
      <c r="AK967" s="86" t="s">
        <v>6240</v>
      </c>
      <c r="AL967" s="81" t="b">
        <v>0</v>
      </c>
      <c r="AM967" s="81">
        <v>20</v>
      </c>
      <c r="AN967" s="86" t="s">
        <v>5110</v>
      </c>
      <c r="AO967" s="86" t="s">
        <v>6505</v>
      </c>
      <c r="AP967" s="81" t="b">
        <v>0</v>
      </c>
      <c r="AQ967" s="86" t="s">
        <v>5110</v>
      </c>
      <c r="AR967" s="81" t="s">
        <v>179</v>
      </c>
      <c r="AS967" s="81">
        <v>0</v>
      </c>
      <c r="AT967" s="81">
        <v>0</v>
      </c>
      <c r="AU967" s="81"/>
      <c r="AV967" s="81"/>
      <c r="AW967" s="81"/>
      <c r="AX967" s="81"/>
      <c r="AY967" s="81"/>
      <c r="AZ967" s="81"/>
      <c r="BA967" s="81"/>
      <c r="BB967" s="81"/>
    </row>
    <row r="968" spans="1:54" x14ac:dyDescent="0.35">
      <c r="A968" s="66" t="s">
        <v>866</v>
      </c>
      <c r="B968" s="66" t="s">
        <v>1412</v>
      </c>
      <c r="C968" s="67"/>
      <c r="D968" s="68"/>
      <c r="E968" s="69"/>
      <c r="F968" s="70"/>
      <c r="G968" s="67"/>
      <c r="H968" s="71"/>
      <c r="I968" s="72"/>
      <c r="J968" s="72"/>
      <c r="K968" s="36"/>
      <c r="L968" s="79"/>
      <c r="M968" s="79"/>
      <c r="N968" s="74"/>
      <c r="O968" s="81" t="s">
        <v>1533</v>
      </c>
      <c r="P968" s="83">
        <v>44463.815798611111</v>
      </c>
      <c r="Q968" s="81" t="s">
        <v>1909</v>
      </c>
      <c r="R968" s="81"/>
      <c r="S968" s="81"/>
      <c r="T968" s="86" t="s">
        <v>1413</v>
      </c>
      <c r="U968" s="84" t="str">
        <f>HYPERLINK("https://pbs.twimg.com/media/FAEa7dXVkAcjbKg.jpg")</f>
        <v>https://pbs.twimg.com/media/FAEa7dXVkAcjbKg.jpg</v>
      </c>
      <c r="V968" s="84" t="str">
        <f>HYPERLINK("https://pbs.twimg.com/media/FAEa7dXVkAcjbKg.jpg")</f>
        <v>https://pbs.twimg.com/media/FAEa7dXVkAcjbKg.jpg</v>
      </c>
      <c r="W968" s="83">
        <v>44463.815798611111</v>
      </c>
      <c r="X968" s="89">
        <v>44463</v>
      </c>
      <c r="Y968" s="86" t="s">
        <v>3489</v>
      </c>
      <c r="Z968" s="84" t="str">
        <f>HYPERLINK("https://twitter.com/seaguling/status/1441486279678431235")</f>
        <v>https://twitter.com/seaguling/status/1441486279678431235</v>
      </c>
      <c r="AA968" s="81"/>
      <c r="AB968" s="81"/>
      <c r="AC968" s="86" t="s">
        <v>4954</v>
      </c>
      <c r="AD968" s="81"/>
      <c r="AE968" s="81" t="b">
        <v>0</v>
      </c>
      <c r="AF968" s="81">
        <v>0</v>
      </c>
      <c r="AG968" s="86" t="s">
        <v>6240</v>
      </c>
      <c r="AH968" s="81" t="b">
        <v>0</v>
      </c>
      <c r="AI968" s="81" t="s">
        <v>6479</v>
      </c>
      <c r="AJ968" s="81"/>
      <c r="AK968" s="86" t="s">
        <v>6240</v>
      </c>
      <c r="AL968" s="81" t="b">
        <v>0</v>
      </c>
      <c r="AM968" s="81">
        <v>20</v>
      </c>
      <c r="AN968" s="86" t="s">
        <v>5110</v>
      </c>
      <c r="AO968" s="86" t="s">
        <v>6505</v>
      </c>
      <c r="AP968" s="81" t="b">
        <v>0</v>
      </c>
      <c r="AQ968" s="86" t="s">
        <v>5110</v>
      </c>
      <c r="AR968" s="81" t="s">
        <v>179</v>
      </c>
      <c r="AS968" s="81">
        <v>0</v>
      </c>
      <c r="AT968" s="81">
        <v>0</v>
      </c>
      <c r="AU968" s="81"/>
      <c r="AV968" s="81"/>
      <c r="AW968" s="81"/>
      <c r="AX968" s="81"/>
      <c r="AY968" s="81"/>
      <c r="AZ968" s="81"/>
      <c r="BA968" s="81"/>
      <c r="BB968" s="81"/>
    </row>
    <row r="969" spans="1:54" x14ac:dyDescent="0.35">
      <c r="A969" s="66" t="s">
        <v>866</v>
      </c>
      <c r="B969" s="66" t="s">
        <v>1413</v>
      </c>
      <c r="C969" s="67"/>
      <c r="D969" s="68"/>
      <c r="E969" s="69"/>
      <c r="F969" s="70"/>
      <c r="G969" s="67"/>
      <c r="H969" s="71"/>
      <c r="I969" s="72"/>
      <c r="J969" s="72"/>
      <c r="K969" s="36"/>
      <c r="L969" s="79"/>
      <c r="M969" s="79"/>
      <c r="N969" s="74"/>
      <c r="O969" s="81" t="s">
        <v>1533</v>
      </c>
      <c r="P969" s="83">
        <v>44463.815798611111</v>
      </c>
      <c r="Q969" s="81" t="s">
        <v>1909</v>
      </c>
      <c r="R969" s="81"/>
      <c r="S969" s="81"/>
      <c r="T969" s="86" t="s">
        <v>1413</v>
      </c>
      <c r="U969" s="84" t="str">
        <f>HYPERLINK("https://pbs.twimg.com/media/FAEa7dXVkAcjbKg.jpg")</f>
        <v>https://pbs.twimg.com/media/FAEa7dXVkAcjbKg.jpg</v>
      </c>
      <c r="V969" s="84" t="str">
        <f>HYPERLINK("https://pbs.twimg.com/media/FAEa7dXVkAcjbKg.jpg")</f>
        <v>https://pbs.twimg.com/media/FAEa7dXVkAcjbKg.jpg</v>
      </c>
      <c r="W969" s="83">
        <v>44463.815798611111</v>
      </c>
      <c r="X969" s="89">
        <v>44463</v>
      </c>
      <c r="Y969" s="86" t="s">
        <v>3489</v>
      </c>
      <c r="Z969" s="84" t="str">
        <f>HYPERLINK("https://twitter.com/seaguling/status/1441486279678431235")</f>
        <v>https://twitter.com/seaguling/status/1441486279678431235</v>
      </c>
      <c r="AA969" s="81"/>
      <c r="AB969" s="81"/>
      <c r="AC969" s="86" t="s">
        <v>4954</v>
      </c>
      <c r="AD969" s="81"/>
      <c r="AE969" s="81" t="b">
        <v>0</v>
      </c>
      <c r="AF969" s="81">
        <v>0</v>
      </c>
      <c r="AG969" s="86" t="s">
        <v>6240</v>
      </c>
      <c r="AH969" s="81" t="b">
        <v>0</v>
      </c>
      <c r="AI969" s="81" t="s">
        <v>6479</v>
      </c>
      <c r="AJ969" s="81"/>
      <c r="AK969" s="86" t="s">
        <v>6240</v>
      </c>
      <c r="AL969" s="81" t="b">
        <v>0</v>
      </c>
      <c r="AM969" s="81">
        <v>20</v>
      </c>
      <c r="AN969" s="86" t="s">
        <v>5110</v>
      </c>
      <c r="AO969" s="86" t="s">
        <v>6505</v>
      </c>
      <c r="AP969" s="81" t="b">
        <v>0</v>
      </c>
      <c r="AQ969" s="86" t="s">
        <v>5110</v>
      </c>
      <c r="AR969" s="81" t="s">
        <v>179</v>
      </c>
      <c r="AS969" s="81">
        <v>0</v>
      </c>
      <c r="AT969" s="81">
        <v>0</v>
      </c>
      <c r="AU969" s="81"/>
      <c r="AV969" s="81"/>
      <c r="AW969" s="81"/>
      <c r="AX969" s="81"/>
      <c r="AY969" s="81"/>
      <c r="AZ969" s="81"/>
      <c r="BA969" s="81"/>
      <c r="BB969" s="81"/>
    </row>
    <row r="970" spans="1:54" x14ac:dyDescent="0.35">
      <c r="A970" s="66" t="s">
        <v>866</v>
      </c>
      <c r="B970" s="66" t="s">
        <v>990</v>
      </c>
      <c r="C970" s="67"/>
      <c r="D970" s="68"/>
      <c r="E970" s="69"/>
      <c r="F970" s="70"/>
      <c r="G970" s="67"/>
      <c r="H970" s="71"/>
      <c r="I970" s="72"/>
      <c r="J970" s="72"/>
      <c r="K970" s="36"/>
      <c r="L970" s="79"/>
      <c r="M970" s="79"/>
      <c r="N970" s="74"/>
      <c r="O970" s="81" t="s">
        <v>1532</v>
      </c>
      <c r="P970" s="83">
        <v>44463.815798611111</v>
      </c>
      <c r="Q970" s="81" t="s">
        <v>1909</v>
      </c>
      <c r="R970" s="81"/>
      <c r="S970" s="81"/>
      <c r="T970" s="86" t="s">
        <v>1413</v>
      </c>
      <c r="U970" s="84" t="str">
        <f>HYPERLINK("https://pbs.twimg.com/media/FAEa7dXVkAcjbKg.jpg")</f>
        <v>https://pbs.twimg.com/media/FAEa7dXVkAcjbKg.jpg</v>
      </c>
      <c r="V970" s="84" t="str">
        <f>HYPERLINK("https://pbs.twimg.com/media/FAEa7dXVkAcjbKg.jpg")</f>
        <v>https://pbs.twimg.com/media/FAEa7dXVkAcjbKg.jpg</v>
      </c>
      <c r="W970" s="83">
        <v>44463.815798611111</v>
      </c>
      <c r="X970" s="89">
        <v>44463</v>
      </c>
      <c r="Y970" s="86" t="s">
        <v>3489</v>
      </c>
      <c r="Z970" s="84" t="str">
        <f>HYPERLINK("https://twitter.com/seaguling/status/1441486279678431235")</f>
        <v>https://twitter.com/seaguling/status/1441486279678431235</v>
      </c>
      <c r="AA970" s="81"/>
      <c r="AB970" s="81"/>
      <c r="AC970" s="86" t="s">
        <v>4954</v>
      </c>
      <c r="AD970" s="81"/>
      <c r="AE970" s="81" t="b">
        <v>0</v>
      </c>
      <c r="AF970" s="81">
        <v>0</v>
      </c>
      <c r="AG970" s="86" t="s">
        <v>6240</v>
      </c>
      <c r="AH970" s="81" t="b">
        <v>0</v>
      </c>
      <c r="AI970" s="81" t="s">
        <v>6479</v>
      </c>
      <c r="AJ970" s="81"/>
      <c r="AK970" s="86" t="s">
        <v>6240</v>
      </c>
      <c r="AL970" s="81" t="b">
        <v>0</v>
      </c>
      <c r="AM970" s="81">
        <v>20</v>
      </c>
      <c r="AN970" s="86" t="s">
        <v>5110</v>
      </c>
      <c r="AO970" s="86" t="s">
        <v>6505</v>
      </c>
      <c r="AP970" s="81" t="b">
        <v>0</v>
      </c>
      <c r="AQ970" s="86" t="s">
        <v>5110</v>
      </c>
      <c r="AR970" s="81" t="s">
        <v>179</v>
      </c>
      <c r="AS970" s="81">
        <v>0</v>
      </c>
      <c r="AT970" s="81">
        <v>0</v>
      </c>
      <c r="AU970" s="81"/>
      <c r="AV970" s="81"/>
      <c r="AW970" s="81"/>
      <c r="AX970" s="81"/>
      <c r="AY970" s="81"/>
      <c r="AZ970" s="81"/>
      <c r="BA970" s="81"/>
      <c r="BB970" s="81"/>
    </row>
    <row r="971" spans="1:54" x14ac:dyDescent="0.35">
      <c r="A971" s="66" t="s">
        <v>867</v>
      </c>
      <c r="B971" s="66" t="s">
        <v>1410</v>
      </c>
      <c r="C971" s="67"/>
      <c r="D971" s="68"/>
      <c r="E971" s="69"/>
      <c r="F971" s="70"/>
      <c r="G971" s="67"/>
      <c r="H971" s="71"/>
      <c r="I971" s="72"/>
      <c r="J971" s="72"/>
      <c r="K971" s="36"/>
      <c r="L971" s="79"/>
      <c r="M971" s="79"/>
      <c r="N971" s="74"/>
      <c r="O971" s="81" t="s">
        <v>1533</v>
      </c>
      <c r="P971" s="83">
        <v>44463.832592592589</v>
      </c>
      <c r="Q971" s="81" t="s">
        <v>1908</v>
      </c>
      <c r="R971" s="81"/>
      <c r="S971" s="81"/>
      <c r="T971" s="86" t="s">
        <v>1413</v>
      </c>
      <c r="U971" s="84" t="str">
        <f>HYPERLINK("https://pbs.twimg.com/media/FAEa_mFUYAcoKUu.jpg")</f>
        <v>https://pbs.twimg.com/media/FAEa_mFUYAcoKUu.jpg</v>
      </c>
      <c r="V971" s="84" t="str">
        <f>HYPERLINK("https://pbs.twimg.com/media/FAEa_mFUYAcoKUu.jpg")</f>
        <v>https://pbs.twimg.com/media/FAEa_mFUYAcoKUu.jpg</v>
      </c>
      <c r="W971" s="83">
        <v>44463.832592592589</v>
      </c>
      <c r="X971" s="89">
        <v>44463</v>
      </c>
      <c r="Y971" s="86" t="s">
        <v>3490</v>
      </c>
      <c r="Z971" s="84" t="str">
        <f>HYPERLINK("https://twitter.com/tinyyyjungwon/status/1441492364632068097")</f>
        <v>https://twitter.com/tinyyyjungwon/status/1441492364632068097</v>
      </c>
      <c r="AA971" s="81"/>
      <c r="AB971" s="81"/>
      <c r="AC971" s="86" t="s">
        <v>4955</v>
      </c>
      <c r="AD971" s="81"/>
      <c r="AE971" s="81" t="b">
        <v>0</v>
      </c>
      <c r="AF971" s="81">
        <v>0</v>
      </c>
      <c r="AG971" s="86" t="s">
        <v>6240</v>
      </c>
      <c r="AH971" s="81" t="b">
        <v>0</v>
      </c>
      <c r="AI971" s="81" t="s">
        <v>6479</v>
      </c>
      <c r="AJ971" s="81"/>
      <c r="AK971" s="86" t="s">
        <v>6240</v>
      </c>
      <c r="AL971" s="81" t="b">
        <v>0</v>
      </c>
      <c r="AM971" s="81">
        <v>23</v>
      </c>
      <c r="AN971" s="86" t="s">
        <v>5111</v>
      </c>
      <c r="AO971" s="86" t="s">
        <v>6505</v>
      </c>
      <c r="AP971" s="81" t="b">
        <v>0</v>
      </c>
      <c r="AQ971" s="86" t="s">
        <v>5111</v>
      </c>
      <c r="AR971" s="81" t="s">
        <v>179</v>
      </c>
      <c r="AS971" s="81">
        <v>0</v>
      </c>
      <c r="AT971" s="81">
        <v>0</v>
      </c>
      <c r="AU971" s="81"/>
      <c r="AV971" s="81"/>
      <c r="AW971" s="81"/>
      <c r="AX971" s="81"/>
      <c r="AY971" s="81"/>
      <c r="AZ971" s="81"/>
      <c r="BA971" s="81"/>
      <c r="BB971" s="81"/>
    </row>
    <row r="972" spans="1:54" x14ac:dyDescent="0.35">
      <c r="A972" s="66" t="s">
        <v>867</v>
      </c>
      <c r="B972" s="66" t="s">
        <v>1411</v>
      </c>
      <c r="C972" s="67"/>
      <c r="D972" s="68"/>
      <c r="E972" s="69"/>
      <c r="F972" s="70"/>
      <c r="G972" s="67"/>
      <c r="H972" s="71"/>
      <c r="I972" s="72"/>
      <c r="J972" s="72"/>
      <c r="K972" s="36"/>
      <c r="L972" s="79"/>
      <c r="M972" s="79"/>
      <c r="N972" s="74"/>
      <c r="O972" s="81" t="s">
        <v>1533</v>
      </c>
      <c r="P972" s="83">
        <v>44463.832592592589</v>
      </c>
      <c r="Q972" s="81" t="s">
        <v>1908</v>
      </c>
      <c r="R972" s="81"/>
      <c r="S972" s="81"/>
      <c r="T972" s="86" t="s">
        <v>1413</v>
      </c>
      <c r="U972" s="84" t="str">
        <f>HYPERLINK("https://pbs.twimg.com/media/FAEa_mFUYAcoKUu.jpg")</f>
        <v>https://pbs.twimg.com/media/FAEa_mFUYAcoKUu.jpg</v>
      </c>
      <c r="V972" s="84" t="str">
        <f>HYPERLINK("https://pbs.twimg.com/media/FAEa_mFUYAcoKUu.jpg")</f>
        <v>https://pbs.twimg.com/media/FAEa_mFUYAcoKUu.jpg</v>
      </c>
      <c r="W972" s="83">
        <v>44463.832592592589</v>
      </c>
      <c r="X972" s="89">
        <v>44463</v>
      </c>
      <c r="Y972" s="86" t="s">
        <v>3490</v>
      </c>
      <c r="Z972" s="84" t="str">
        <f>HYPERLINK("https://twitter.com/tinyyyjungwon/status/1441492364632068097")</f>
        <v>https://twitter.com/tinyyyjungwon/status/1441492364632068097</v>
      </c>
      <c r="AA972" s="81"/>
      <c r="AB972" s="81"/>
      <c r="AC972" s="86" t="s">
        <v>4955</v>
      </c>
      <c r="AD972" s="81"/>
      <c r="AE972" s="81" t="b">
        <v>0</v>
      </c>
      <c r="AF972" s="81">
        <v>0</v>
      </c>
      <c r="AG972" s="86" t="s">
        <v>6240</v>
      </c>
      <c r="AH972" s="81" t="b">
        <v>0</v>
      </c>
      <c r="AI972" s="81" t="s">
        <v>6479</v>
      </c>
      <c r="AJ972" s="81"/>
      <c r="AK972" s="86" t="s">
        <v>6240</v>
      </c>
      <c r="AL972" s="81" t="b">
        <v>0</v>
      </c>
      <c r="AM972" s="81">
        <v>23</v>
      </c>
      <c r="AN972" s="86" t="s">
        <v>5111</v>
      </c>
      <c r="AO972" s="86" t="s">
        <v>6505</v>
      </c>
      <c r="AP972" s="81" t="b">
        <v>0</v>
      </c>
      <c r="AQ972" s="86" t="s">
        <v>5111</v>
      </c>
      <c r="AR972" s="81" t="s">
        <v>179</v>
      </c>
      <c r="AS972" s="81">
        <v>0</v>
      </c>
      <c r="AT972" s="81">
        <v>0</v>
      </c>
      <c r="AU972" s="81"/>
      <c r="AV972" s="81"/>
      <c r="AW972" s="81"/>
      <c r="AX972" s="81"/>
      <c r="AY972" s="81"/>
      <c r="AZ972" s="81"/>
      <c r="BA972" s="81"/>
      <c r="BB972" s="81"/>
    </row>
    <row r="973" spans="1:54" x14ac:dyDescent="0.35">
      <c r="A973" s="66" t="s">
        <v>867</v>
      </c>
      <c r="B973" s="66" t="s">
        <v>1412</v>
      </c>
      <c r="C973" s="67"/>
      <c r="D973" s="68"/>
      <c r="E973" s="69"/>
      <c r="F973" s="70"/>
      <c r="G973" s="67"/>
      <c r="H973" s="71"/>
      <c r="I973" s="72"/>
      <c r="J973" s="72"/>
      <c r="K973" s="36"/>
      <c r="L973" s="79"/>
      <c r="M973" s="79"/>
      <c r="N973" s="74"/>
      <c r="O973" s="81" t="s">
        <v>1533</v>
      </c>
      <c r="P973" s="83">
        <v>44463.832592592589</v>
      </c>
      <c r="Q973" s="81" t="s">
        <v>1908</v>
      </c>
      <c r="R973" s="81"/>
      <c r="S973" s="81"/>
      <c r="T973" s="86" t="s">
        <v>1413</v>
      </c>
      <c r="U973" s="84" t="str">
        <f>HYPERLINK("https://pbs.twimg.com/media/FAEa_mFUYAcoKUu.jpg")</f>
        <v>https://pbs.twimg.com/media/FAEa_mFUYAcoKUu.jpg</v>
      </c>
      <c r="V973" s="84" t="str">
        <f>HYPERLINK("https://pbs.twimg.com/media/FAEa_mFUYAcoKUu.jpg")</f>
        <v>https://pbs.twimg.com/media/FAEa_mFUYAcoKUu.jpg</v>
      </c>
      <c r="W973" s="83">
        <v>44463.832592592589</v>
      </c>
      <c r="X973" s="89">
        <v>44463</v>
      </c>
      <c r="Y973" s="86" t="s">
        <v>3490</v>
      </c>
      <c r="Z973" s="84" t="str">
        <f>HYPERLINK("https://twitter.com/tinyyyjungwon/status/1441492364632068097")</f>
        <v>https://twitter.com/tinyyyjungwon/status/1441492364632068097</v>
      </c>
      <c r="AA973" s="81"/>
      <c r="AB973" s="81"/>
      <c r="AC973" s="86" t="s">
        <v>4955</v>
      </c>
      <c r="AD973" s="81"/>
      <c r="AE973" s="81" t="b">
        <v>0</v>
      </c>
      <c r="AF973" s="81">
        <v>0</v>
      </c>
      <c r="AG973" s="86" t="s">
        <v>6240</v>
      </c>
      <c r="AH973" s="81" t="b">
        <v>0</v>
      </c>
      <c r="AI973" s="81" t="s">
        <v>6479</v>
      </c>
      <c r="AJ973" s="81"/>
      <c r="AK973" s="86" t="s">
        <v>6240</v>
      </c>
      <c r="AL973" s="81" t="b">
        <v>0</v>
      </c>
      <c r="AM973" s="81">
        <v>23</v>
      </c>
      <c r="AN973" s="86" t="s">
        <v>5111</v>
      </c>
      <c r="AO973" s="86" t="s">
        <v>6505</v>
      </c>
      <c r="AP973" s="81" t="b">
        <v>0</v>
      </c>
      <c r="AQ973" s="86" t="s">
        <v>5111</v>
      </c>
      <c r="AR973" s="81" t="s">
        <v>179</v>
      </c>
      <c r="AS973" s="81">
        <v>0</v>
      </c>
      <c r="AT973" s="81">
        <v>0</v>
      </c>
      <c r="AU973" s="81"/>
      <c r="AV973" s="81"/>
      <c r="AW973" s="81"/>
      <c r="AX973" s="81"/>
      <c r="AY973" s="81"/>
      <c r="AZ973" s="81"/>
      <c r="BA973" s="81"/>
      <c r="BB973" s="81"/>
    </row>
    <row r="974" spans="1:54" x14ac:dyDescent="0.35">
      <c r="A974" s="66" t="s">
        <v>867</v>
      </c>
      <c r="B974" s="66" t="s">
        <v>1413</v>
      </c>
      <c r="C974" s="67"/>
      <c r="D974" s="68"/>
      <c r="E974" s="69"/>
      <c r="F974" s="70"/>
      <c r="G974" s="67"/>
      <c r="H974" s="71"/>
      <c r="I974" s="72"/>
      <c r="J974" s="72"/>
      <c r="K974" s="36"/>
      <c r="L974" s="79"/>
      <c r="M974" s="79"/>
      <c r="N974" s="74"/>
      <c r="O974" s="81" t="s">
        <v>1533</v>
      </c>
      <c r="P974" s="83">
        <v>44463.832592592589</v>
      </c>
      <c r="Q974" s="81" t="s">
        <v>1908</v>
      </c>
      <c r="R974" s="81"/>
      <c r="S974" s="81"/>
      <c r="T974" s="86" t="s">
        <v>1413</v>
      </c>
      <c r="U974" s="84" t="str">
        <f>HYPERLINK("https://pbs.twimg.com/media/FAEa_mFUYAcoKUu.jpg")</f>
        <v>https://pbs.twimg.com/media/FAEa_mFUYAcoKUu.jpg</v>
      </c>
      <c r="V974" s="84" t="str">
        <f>HYPERLINK("https://pbs.twimg.com/media/FAEa_mFUYAcoKUu.jpg")</f>
        <v>https://pbs.twimg.com/media/FAEa_mFUYAcoKUu.jpg</v>
      </c>
      <c r="W974" s="83">
        <v>44463.832592592589</v>
      </c>
      <c r="X974" s="89">
        <v>44463</v>
      </c>
      <c r="Y974" s="86" t="s">
        <v>3490</v>
      </c>
      <c r="Z974" s="84" t="str">
        <f>HYPERLINK("https://twitter.com/tinyyyjungwon/status/1441492364632068097")</f>
        <v>https://twitter.com/tinyyyjungwon/status/1441492364632068097</v>
      </c>
      <c r="AA974" s="81"/>
      <c r="AB974" s="81"/>
      <c r="AC974" s="86" t="s">
        <v>4955</v>
      </c>
      <c r="AD974" s="81"/>
      <c r="AE974" s="81" t="b">
        <v>0</v>
      </c>
      <c r="AF974" s="81">
        <v>0</v>
      </c>
      <c r="AG974" s="86" t="s">
        <v>6240</v>
      </c>
      <c r="AH974" s="81" t="b">
        <v>0</v>
      </c>
      <c r="AI974" s="81" t="s">
        <v>6479</v>
      </c>
      <c r="AJ974" s="81"/>
      <c r="AK974" s="86" t="s">
        <v>6240</v>
      </c>
      <c r="AL974" s="81" t="b">
        <v>0</v>
      </c>
      <c r="AM974" s="81">
        <v>23</v>
      </c>
      <c r="AN974" s="86" t="s">
        <v>5111</v>
      </c>
      <c r="AO974" s="86" t="s">
        <v>6505</v>
      </c>
      <c r="AP974" s="81" t="b">
        <v>0</v>
      </c>
      <c r="AQ974" s="86" t="s">
        <v>5111</v>
      </c>
      <c r="AR974" s="81" t="s">
        <v>179</v>
      </c>
      <c r="AS974" s="81">
        <v>0</v>
      </c>
      <c r="AT974" s="81">
        <v>0</v>
      </c>
      <c r="AU974" s="81"/>
      <c r="AV974" s="81"/>
      <c r="AW974" s="81"/>
      <c r="AX974" s="81"/>
      <c r="AY974" s="81"/>
      <c r="AZ974" s="81"/>
      <c r="BA974" s="81"/>
      <c r="BB974" s="81"/>
    </row>
    <row r="975" spans="1:54" x14ac:dyDescent="0.35">
      <c r="A975" s="66" t="s">
        <v>867</v>
      </c>
      <c r="B975" s="66" t="s">
        <v>990</v>
      </c>
      <c r="C975" s="67"/>
      <c r="D975" s="68"/>
      <c r="E975" s="69"/>
      <c r="F975" s="70"/>
      <c r="G975" s="67"/>
      <c r="H975" s="71"/>
      <c r="I975" s="72"/>
      <c r="J975" s="72"/>
      <c r="K975" s="36"/>
      <c r="L975" s="79"/>
      <c r="M975" s="79"/>
      <c r="N975" s="74"/>
      <c r="O975" s="81" t="s">
        <v>1532</v>
      </c>
      <c r="P975" s="83">
        <v>44463.832592592589</v>
      </c>
      <c r="Q975" s="81" t="s">
        <v>1908</v>
      </c>
      <c r="R975" s="81"/>
      <c r="S975" s="81"/>
      <c r="T975" s="86" t="s">
        <v>1413</v>
      </c>
      <c r="U975" s="84" t="str">
        <f>HYPERLINK("https://pbs.twimg.com/media/FAEa_mFUYAcoKUu.jpg")</f>
        <v>https://pbs.twimg.com/media/FAEa_mFUYAcoKUu.jpg</v>
      </c>
      <c r="V975" s="84" t="str">
        <f>HYPERLINK("https://pbs.twimg.com/media/FAEa_mFUYAcoKUu.jpg")</f>
        <v>https://pbs.twimg.com/media/FAEa_mFUYAcoKUu.jpg</v>
      </c>
      <c r="W975" s="83">
        <v>44463.832592592589</v>
      </c>
      <c r="X975" s="89">
        <v>44463</v>
      </c>
      <c r="Y975" s="86" t="s">
        <v>3490</v>
      </c>
      <c r="Z975" s="84" t="str">
        <f>HYPERLINK("https://twitter.com/tinyyyjungwon/status/1441492364632068097")</f>
        <v>https://twitter.com/tinyyyjungwon/status/1441492364632068097</v>
      </c>
      <c r="AA975" s="81"/>
      <c r="AB975" s="81"/>
      <c r="AC975" s="86" t="s">
        <v>4955</v>
      </c>
      <c r="AD975" s="81"/>
      <c r="AE975" s="81" t="b">
        <v>0</v>
      </c>
      <c r="AF975" s="81">
        <v>0</v>
      </c>
      <c r="AG975" s="86" t="s">
        <v>6240</v>
      </c>
      <c r="AH975" s="81" t="b">
        <v>0</v>
      </c>
      <c r="AI975" s="81" t="s">
        <v>6479</v>
      </c>
      <c r="AJ975" s="81"/>
      <c r="AK975" s="86" t="s">
        <v>6240</v>
      </c>
      <c r="AL975" s="81" t="b">
        <v>0</v>
      </c>
      <c r="AM975" s="81">
        <v>23</v>
      </c>
      <c r="AN975" s="86" t="s">
        <v>5111</v>
      </c>
      <c r="AO975" s="86" t="s">
        <v>6505</v>
      </c>
      <c r="AP975" s="81" t="b">
        <v>0</v>
      </c>
      <c r="AQ975" s="86" t="s">
        <v>5111</v>
      </c>
      <c r="AR975" s="81" t="s">
        <v>179</v>
      </c>
      <c r="AS975" s="81">
        <v>0</v>
      </c>
      <c r="AT975" s="81">
        <v>0</v>
      </c>
      <c r="AU975" s="81"/>
      <c r="AV975" s="81"/>
      <c r="AW975" s="81"/>
      <c r="AX975" s="81"/>
      <c r="AY975" s="81"/>
      <c r="AZ975" s="81"/>
      <c r="BA975" s="81"/>
      <c r="BB975" s="81"/>
    </row>
    <row r="976" spans="1:54" x14ac:dyDescent="0.35">
      <c r="A976" s="66" t="s">
        <v>867</v>
      </c>
      <c r="B976" s="66" t="s">
        <v>1410</v>
      </c>
      <c r="C976" s="67"/>
      <c r="D976" s="68"/>
      <c r="E976" s="69"/>
      <c r="F976" s="70"/>
      <c r="G976" s="67"/>
      <c r="H976" s="71"/>
      <c r="I976" s="72"/>
      <c r="J976" s="72"/>
      <c r="K976" s="36"/>
      <c r="L976" s="79"/>
      <c r="M976" s="79"/>
      <c r="N976" s="74"/>
      <c r="O976" s="81" t="s">
        <v>1533</v>
      </c>
      <c r="P976" s="83">
        <v>44463.832673611112</v>
      </c>
      <c r="Q976" s="81" t="s">
        <v>1906</v>
      </c>
      <c r="R976" s="81"/>
      <c r="S976" s="81"/>
      <c r="T976" s="86" t="s">
        <v>1413</v>
      </c>
      <c r="U976" s="84" t="str">
        <f>HYPERLINK("https://pbs.twimg.com/media/FAEbG8nUcA0oIOp.jpg")</f>
        <v>https://pbs.twimg.com/media/FAEbG8nUcA0oIOp.jpg</v>
      </c>
      <c r="V976" s="84" t="str">
        <f>HYPERLINK("https://pbs.twimg.com/media/FAEbG8nUcA0oIOp.jpg")</f>
        <v>https://pbs.twimg.com/media/FAEbG8nUcA0oIOp.jpg</v>
      </c>
      <c r="W976" s="83">
        <v>44463.832673611112</v>
      </c>
      <c r="X976" s="89">
        <v>44463</v>
      </c>
      <c r="Y976" s="86" t="s">
        <v>3491</v>
      </c>
      <c r="Z976" s="84" t="str">
        <f>HYPERLINK("https://twitter.com/tinyyyjungwon/status/1441492394722017280")</f>
        <v>https://twitter.com/tinyyyjungwon/status/1441492394722017280</v>
      </c>
      <c r="AA976" s="81"/>
      <c r="AB976" s="81"/>
      <c r="AC976" s="86" t="s">
        <v>4956</v>
      </c>
      <c r="AD976" s="81"/>
      <c r="AE976" s="81" t="b">
        <v>0</v>
      </c>
      <c r="AF976" s="81">
        <v>0</v>
      </c>
      <c r="AG976" s="86" t="s">
        <v>6240</v>
      </c>
      <c r="AH976" s="81" t="b">
        <v>0</v>
      </c>
      <c r="AI976" s="81" t="s">
        <v>6479</v>
      </c>
      <c r="AJ976" s="81"/>
      <c r="AK976" s="86" t="s">
        <v>6240</v>
      </c>
      <c r="AL976" s="81" t="b">
        <v>0</v>
      </c>
      <c r="AM976" s="81">
        <v>5</v>
      </c>
      <c r="AN976" s="86" t="s">
        <v>5113</v>
      </c>
      <c r="AO976" s="86" t="s">
        <v>6505</v>
      </c>
      <c r="AP976" s="81" t="b">
        <v>0</v>
      </c>
      <c r="AQ976" s="86" t="s">
        <v>5113</v>
      </c>
      <c r="AR976" s="81" t="s">
        <v>179</v>
      </c>
      <c r="AS976" s="81">
        <v>0</v>
      </c>
      <c r="AT976" s="81">
        <v>0</v>
      </c>
      <c r="AU976" s="81"/>
      <c r="AV976" s="81"/>
      <c r="AW976" s="81"/>
      <c r="AX976" s="81"/>
      <c r="AY976" s="81"/>
      <c r="AZ976" s="81"/>
      <c r="BA976" s="81"/>
      <c r="BB976" s="81"/>
    </row>
    <row r="977" spans="1:54" x14ac:dyDescent="0.35">
      <c r="A977" s="66" t="s">
        <v>867</v>
      </c>
      <c r="B977" s="66" t="s">
        <v>1411</v>
      </c>
      <c r="C977" s="67"/>
      <c r="D977" s="68"/>
      <c r="E977" s="69"/>
      <c r="F977" s="70"/>
      <c r="G977" s="67"/>
      <c r="H977" s="71"/>
      <c r="I977" s="72"/>
      <c r="J977" s="72"/>
      <c r="K977" s="36"/>
      <c r="L977" s="79"/>
      <c r="M977" s="79"/>
      <c r="N977" s="74"/>
      <c r="O977" s="81" t="s">
        <v>1533</v>
      </c>
      <c r="P977" s="83">
        <v>44463.832673611112</v>
      </c>
      <c r="Q977" s="81" t="s">
        <v>1906</v>
      </c>
      <c r="R977" s="81"/>
      <c r="S977" s="81"/>
      <c r="T977" s="86" t="s">
        <v>1413</v>
      </c>
      <c r="U977" s="84" t="str">
        <f>HYPERLINK("https://pbs.twimg.com/media/FAEbG8nUcA0oIOp.jpg")</f>
        <v>https://pbs.twimg.com/media/FAEbG8nUcA0oIOp.jpg</v>
      </c>
      <c r="V977" s="84" t="str">
        <f>HYPERLINK("https://pbs.twimg.com/media/FAEbG8nUcA0oIOp.jpg")</f>
        <v>https://pbs.twimg.com/media/FAEbG8nUcA0oIOp.jpg</v>
      </c>
      <c r="W977" s="83">
        <v>44463.832673611112</v>
      </c>
      <c r="X977" s="89">
        <v>44463</v>
      </c>
      <c r="Y977" s="86" t="s">
        <v>3491</v>
      </c>
      <c r="Z977" s="84" t="str">
        <f>HYPERLINK("https://twitter.com/tinyyyjungwon/status/1441492394722017280")</f>
        <v>https://twitter.com/tinyyyjungwon/status/1441492394722017280</v>
      </c>
      <c r="AA977" s="81"/>
      <c r="AB977" s="81"/>
      <c r="AC977" s="86" t="s">
        <v>4956</v>
      </c>
      <c r="AD977" s="81"/>
      <c r="AE977" s="81" t="b">
        <v>0</v>
      </c>
      <c r="AF977" s="81">
        <v>0</v>
      </c>
      <c r="AG977" s="86" t="s">
        <v>6240</v>
      </c>
      <c r="AH977" s="81" t="b">
        <v>0</v>
      </c>
      <c r="AI977" s="81" t="s">
        <v>6479</v>
      </c>
      <c r="AJ977" s="81"/>
      <c r="AK977" s="86" t="s">
        <v>6240</v>
      </c>
      <c r="AL977" s="81" t="b">
        <v>0</v>
      </c>
      <c r="AM977" s="81">
        <v>5</v>
      </c>
      <c r="AN977" s="86" t="s">
        <v>5113</v>
      </c>
      <c r="AO977" s="86" t="s">
        <v>6505</v>
      </c>
      <c r="AP977" s="81" t="b">
        <v>0</v>
      </c>
      <c r="AQ977" s="86" t="s">
        <v>5113</v>
      </c>
      <c r="AR977" s="81" t="s">
        <v>179</v>
      </c>
      <c r="AS977" s="81">
        <v>0</v>
      </c>
      <c r="AT977" s="81">
        <v>0</v>
      </c>
      <c r="AU977" s="81"/>
      <c r="AV977" s="81"/>
      <c r="AW977" s="81"/>
      <c r="AX977" s="81"/>
      <c r="AY977" s="81"/>
      <c r="AZ977" s="81"/>
      <c r="BA977" s="81"/>
      <c r="BB977" s="81"/>
    </row>
    <row r="978" spans="1:54" x14ac:dyDescent="0.35">
      <c r="A978" s="66" t="s">
        <v>867</v>
      </c>
      <c r="B978" s="66" t="s">
        <v>1412</v>
      </c>
      <c r="C978" s="67"/>
      <c r="D978" s="68"/>
      <c r="E978" s="69"/>
      <c r="F978" s="70"/>
      <c r="G978" s="67"/>
      <c r="H978" s="71"/>
      <c r="I978" s="72"/>
      <c r="J978" s="72"/>
      <c r="K978" s="36"/>
      <c r="L978" s="79"/>
      <c r="M978" s="79"/>
      <c r="N978" s="74"/>
      <c r="O978" s="81" t="s">
        <v>1533</v>
      </c>
      <c r="P978" s="83">
        <v>44463.832673611112</v>
      </c>
      <c r="Q978" s="81" t="s">
        <v>1906</v>
      </c>
      <c r="R978" s="81"/>
      <c r="S978" s="81"/>
      <c r="T978" s="86" t="s">
        <v>1413</v>
      </c>
      <c r="U978" s="84" t="str">
        <f>HYPERLINK("https://pbs.twimg.com/media/FAEbG8nUcA0oIOp.jpg")</f>
        <v>https://pbs.twimg.com/media/FAEbG8nUcA0oIOp.jpg</v>
      </c>
      <c r="V978" s="84" t="str">
        <f>HYPERLINK("https://pbs.twimg.com/media/FAEbG8nUcA0oIOp.jpg")</f>
        <v>https://pbs.twimg.com/media/FAEbG8nUcA0oIOp.jpg</v>
      </c>
      <c r="W978" s="83">
        <v>44463.832673611112</v>
      </c>
      <c r="X978" s="89">
        <v>44463</v>
      </c>
      <c r="Y978" s="86" t="s">
        <v>3491</v>
      </c>
      <c r="Z978" s="84" t="str">
        <f>HYPERLINK("https://twitter.com/tinyyyjungwon/status/1441492394722017280")</f>
        <v>https://twitter.com/tinyyyjungwon/status/1441492394722017280</v>
      </c>
      <c r="AA978" s="81"/>
      <c r="AB978" s="81"/>
      <c r="AC978" s="86" t="s">
        <v>4956</v>
      </c>
      <c r="AD978" s="81"/>
      <c r="AE978" s="81" t="b">
        <v>0</v>
      </c>
      <c r="AF978" s="81">
        <v>0</v>
      </c>
      <c r="AG978" s="86" t="s">
        <v>6240</v>
      </c>
      <c r="AH978" s="81" t="b">
        <v>0</v>
      </c>
      <c r="AI978" s="81" t="s">
        <v>6479</v>
      </c>
      <c r="AJ978" s="81"/>
      <c r="AK978" s="86" t="s">
        <v>6240</v>
      </c>
      <c r="AL978" s="81" t="b">
        <v>0</v>
      </c>
      <c r="AM978" s="81">
        <v>5</v>
      </c>
      <c r="AN978" s="86" t="s">
        <v>5113</v>
      </c>
      <c r="AO978" s="86" t="s">
        <v>6505</v>
      </c>
      <c r="AP978" s="81" t="b">
        <v>0</v>
      </c>
      <c r="AQ978" s="86" t="s">
        <v>5113</v>
      </c>
      <c r="AR978" s="81" t="s">
        <v>179</v>
      </c>
      <c r="AS978" s="81">
        <v>0</v>
      </c>
      <c r="AT978" s="81">
        <v>0</v>
      </c>
      <c r="AU978" s="81"/>
      <c r="AV978" s="81"/>
      <c r="AW978" s="81"/>
      <c r="AX978" s="81"/>
      <c r="AY978" s="81"/>
      <c r="AZ978" s="81"/>
      <c r="BA978" s="81"/>
      <c r="BB978" s="81"/>
    </row>
    <row r="979" spans="1:54" x14ac:dyDescent="0.35">
      <c r="A979" s="66" t="s">
        <v>867</v>
      </c>
      <c r="B979" s="66" t="s">
        <v>1413</v>
      </c>
      <c r="C979" s="67"/>
      <c r="D979" s="68"/>
      <c r="E979" s="69"/>
      <c r="F979" s="70"/>
      <c r="G979" s="67"/>
      <c r="H979" s="71"/>
      <c r="I979" s="72"/>
      <c r="J979" s="72"/>
      <c r="K979" s="36"/>
      <c r="L979" s="79"/>
      <c r="M979" s="79"/>
      <c r="N979" s="74"/>
      <c r="O979" s="81" t="s">
        <v>1533</v>
      </c>
      <c r="P979" s="83">
        <v>44463.832673611112</v>
      </c>
      <c r="Q979" s="81" t="s">
        <v>1906</v>
      </c>
      <c r="R979" s="81"/>
      <c r="S979" s="81"/>
      <c r="T979" s="86" t="s">
        <v>1413</v>
      </c>
      <c r="U979" s="84" t="str">
        <f>HYPERLINK("https://pbs.twimg.com/media/FAEbG8nUcA0oIOp.jpg")</f>
        <v>https://pbs.twimg.com/media/FAEbG8nUcA0oIOp.jpg</v>
      </c>
      <c r="V979" s="84" t="str">
        <f>HYPERLINK("https://pbs.twimg.com/media/FAEbG8nUcA0oIOp.jpg")</f>
        <v>https://pbs.twimg.com/media/FAEbG8nUcA0oIOp.jpg</v>
      </c>
      <c r="W979" s="83">
        <v>44463.832673611112</v>
      </c>
      <c r="X979" s="89">
        <v>44463</v>
      </c>
      <c r="Y979" s="86" t="s">
        <v>3491</v>
      </c>
      <c r="Z979" s="84" t="str">
        <f>HYPERLINK("https://twitter.com/tinyyyjungwon/status/1441492394722017280")</f>
        <v>https://twitter.com/tinyyyjungwon/status/1441492394722017280</v>
      </c>
      <c r="AA979" s="81"/>
      <c r="AB979" s="81"/>
      <c r="AC979" s="86" t="s">
        <v>4956</v>
      </c>
      <c r="AD979" s="81"/>
      <c r="AE979" s="81" t="b">
        <v>0</v>
      </c>
      <c r="AF979" s="81">
        <v>0</v>
      </c>
      <c r="AG979" s="86" t="s">
        <v>6240</v>
      </c>
      <c r="AH979" s="81" t="b">
        <v>0</v>
      </c>
      <c r="AI979" s="81" t="s">
        <v>6479</v>
      </c>
      <c r="AJ979" s="81"/>
      <c r="AK979" s="86" t="s">
        <v>6240</v>
      </c>
      <c r="AL979" s="81" t="b">
        <v>0</v>
      </c>
      <c r="AM979" s="81">
        <v>5</v>
      </c>
      <c r="AN979" s="86" t="s">
        <v>5113</v>
      </c>
      <c r="AO979" s="86" t="s">
        <v>6505</v>
      </c>
      <c r="AP979" s="81" t="b">
        <v>0</v>
      </c>
      <c r="AQ979" s="86" t="s">
        <v>5113</v>
      </c>
      <c r="AR979" s="81" t="s">
        <v>179</v>
      </c>
      <c r="AS979" s="81">
        <v>0</v>
      </c>
      <c r="AT979" s="81">
        <v>0</v>
      </c>
      <c r="AU979" s="81"/>
      <c r="AV979" s="81"/>
      <c r="AW979" s="81"/>
      <c r="AX979" s="81"/>
      <c r="AY979" s="81"/>
      <c r="AZ979" s="81"/>
      <c r="BA979" s="81"/>
      <c r="BB979" s="81"/>
    </row>
    <row r="980" spans="1:54" x14ac:dyDescent="0.35">
      <c r="A980" s="66" t="s">
        <v>867</v>
      </c>
      <c r="B980" s="66" t="s">
        <v>990</v>
      </c>
      <c r="C980" s="67"/>
      <c r="D980" s="68"/>
      <c r="E980" s="69"/>
      <c r="F980" s="70"/>
      <c r="G980" s="67"/>
      <c r="H980" s="71"/>
      <c r="I980" s="72"/>
      <c r="J980" s="72"/>
      <c r="K980" s="36"/>
      <c r="L980" s="79"/>
      <c r="M980" s="79"/>
      <c r="N980" s="74"/>
      <c r="O980" s="81" t="s">
        <v>1532</v>
      </c>
      <c r="P980" s="83">
        <v>44463.832673611112</v>
      </c>
      <c r="Q980" s="81" t="s">
        <v>1906</v>
      </c>
      <c r="R980" s="81"/>
      <c r="S980" s="81"/>
      <c r="T980" s="86" t="s">
        <v>1413</v>
      </c>
      <c r="U980" s="84" t="str">
        <f>HYPERLINK("https://pbs.twimg.com/media/FAEbG8nUcA0oIOp.jpg")</f>
        <v>https://pbs.twimg.com/media/FAEbG8nUcA0oIOp.jpg</v>
      </c>
      <c r="V980" s="84" t="str">
        <f>HYPERLINK("https://pbs.twimg.com/media/FAEbG8nUcA0oIOp.jpg")</f>
        <v>https://pbs.twimg.com/media/FAEbG8nUcA0oIOp.jpg</v>
      </c>
      <c r="W980" s="83">
        <v>44463.832673611112</v>
      </c>
      <c r="X980" s="89">
        <v>44463</v>
      </c>
      <c r="Y980" s="86" t="s">
        <v>3491</v>
      </c>
      <c r="Z980" s="84" t="str">
        <f>HYPERLINK("https://twitter.com/tinyyyjungwon/status/1441492394722017280")</f>
        <v>https://twitter.com/tinyyyjungwon/status/1441492394722017280</v>
      </c>
      <c r="AA980" s="81"/>
      <c r="AB980" s="81"/>
      <c r="AC980" s="86" t="s">
        <v>4956</v>
      </c>
      <c r="AD980" s="81"/>
      <c r="AE980" s="81" t="b">
        <v>0</v>
      </c>
      <c r="AF980" s="81">
        <v>0</v>
      </c>
      <c r="AG980" s="86" t="s">
        <v>6240</v>
      </c>
      <c r="AH980" s="81" t="b">
        <v>0</v>
      </c>
      <c r="AI980" s="81" t="s">
        <v>6479</v>
      </c>
      <c r="AJ980" s="81"/>
      <c r="AK980" s="86" t="s">
        <v>6240</v>
      </c>
      <c r="AL980" s="81" t="b">
        <v>0</v>
      </c>
      <c r="AM980" s="81">
        <v>5</v>
      </c>
      <c r="AN980" s="86" t="s">
        <v>5113</v>
      </c>
      <c r="AO980" s="86" t="s">
        <v>6505</v>
      </c>
      <c r="AP980" s="81" t="b">
        <v>0</v>
      </c>
      <c r="AQ980" s="86" t="s">
        <v>5113</v>
      </c>
      <c r="AR980" s="81" t="s">
        <v>179</v>
      </c>
      <c r="AS980" s="81">
        <v>0</v>
      </c>
      <c r="AT980" s="81">
        <v>0</v>
      </c>
      <c r="AU980" s="81"/>
      <c r="AV980" s="81"/>
      <c r="AW980" s="81"/>
      <c r="AX980" s="81"/>
      <c r="AY980" s="81"/>
      <c r="AZ980" s="81"/>
      <c r="BA980" s="81"/>
      <c r="BB980" s="81"/>
    </row>
    <row r="981" spans="1:54" x14ac:dyDescent="0.35">
      <c r="A981" s="66" t="s">
        <v>867</v>
      </c>
      <c r="B981" s="66" t="s">
        <v>1410</v>
      </c>
      <c r="C981" s="67"/>
      <c r="D981" s="68"/>
      <c r="E981" s="69"/>
      <c r="F981" s="70"/>
      <c r="G981" s="67"/>
      <c r="H981" s="71"/>
      <c r="I981" s="72"/>
      <c r="J981" s="72"/>
      <c r="K981" s="36"/>
      <c r="L981" s="79"/>
      <c r="M981" s="79"/>
      <c r="N981" s="74"/>
      <c r="O981" s="81" t="s">
        <v>1533</v>
      </c>
      <c r="P981" s="83">
        <v>44463.83284722222</v>
      </c>
      <c r="Q981" s="81" t="s">
        <v>1907</v>
      </c>
      <c r="R981" s="81"/>
      <c r="S981" s="81"/>
      <c r="T981" s="86" t="s">
        <v>1413</v>
      </c>
      <c r="U981" s="84" t="str">
        <f>HYPERLINK("https://pbs.twimg.com/media/FAEbDOhVUAIE92y.jpg")</f>
        <v>https://pbs.twimg.com/media/FAEbDOhVUAIE92y.jpg</v>
      </c>
      <c r="V981" s="84" t="str">
        <f>HYPERLINK("https://pbs.twimg.com/media/FAEbDOhVUAIE92y.jpg")</f>
        <v>https://pbs.twimg.com/media/FAEbDOhVUAIE92y.jpg</v>
      </c>
      <c r="W981" s="83">
        <v>44463.83284722222</v>
      </c>
      <c r="X981" s="89">
        <v>44463</v>
      </c>
      <c r="Y981" s="86" t="s">
        <v>3492</v>
      </c>
      <c r="Z981" s="84" t="str">
        <f>HYPERLINK("https://twitter.com/tinyyyjungwon/status/1441492456923484165")</f>
        <v>https://twitter.com/tinyyyjungwon/status/1441492456923484165</v>
      </c>
      <c r="AA981" s="81"/>
      <c r="AB981" s="81"/>
      <c r="AC981" s="86" t="s">
        <v>4957</v>
      </c>
      <c r="AD981" s="81"/>
      <c r="AE981" s="81" t="b">
        <v>0</v>
      </c>
      <c r="AF981" s="81">
        <v>0</v>
      </c>
      <c r="AG981" s="86" t="s">
        <v>6240</v>
      </c>
      <c r="AH981" s="81" t="b">
        <v>0</v>
      </c>
      <c r="AI981" s="81" t="s">
        <v>6479</v>
      </c>
      <c r="AJ981" s="81"/>
      <c r="AK981" s="86" t="s">
        <v>6240</v>
      </c>
      <c r="AL981" s="81" t="b">
        <v>0</v>
      </c>
      <c r="AM981" s="81">
        <v>5</v>
      </c>
      <c r="AN981" s="86" t="s">
        <v>5112</v>
      </c>
      <c r="AO981" s="86" t="s">
        <v>6505</v>
      </c>
      <c r="AP981" s="81" t="b">
        <v>0</v>
      </c>
      <c r="AQ981" s="86" t="s">
        <v>5112</v>
      </c>
      <c r="AR981" s="81" t="s">
        <v>179</v>
      </c>
      <c r="AS981" s="81">
        <v>0</v>
      </c>
      <c r="AT981" s="81">
        <v>0</v>
      </c>
      <c r="AU981" s="81"/>
      <c r="AV981" s="81"/>
      <c r="AW981" s="81"/>
      <c r="AX981" s="81"/>
      <c r="AY981" s="81"/>
      <c r="AZ981" s="81"/>
      <c r="BA981" s="81"/>
      <c r="BB981" s="81"/>
    </row>
    <row r="982" spans="1:54" x14ac:dyDescent="0.35">
      <c r="A982" s="66" t="s">
        <v>867</v>
      </c>
      <c r="B982" s="66" t="s">
        <v>1411</v>
      </c>
      <c r="C982" s="67"/>
      <c r="D982" s="68"/>
      <c r="E982" s="69"/>
      <c r="F982" s="70"/>
      <c r="G982" s="67"/>
      <c r="H982" s="71"/>
      <c r="I982" s="72"/>
      <c r="J982" s="72"/>
      <c r="K982" s="36"/>
      <c r="L982" s="79"/>
      <c r="M982" s="79"/>
      <c r="N982" s="74"/>
      <c r="O982" s="81" t="s">
        <v>1533</v>
      </c>
      <c r="P982" s="83">
        <v>44463.83284722222</v>
      </c>
      <c r="Q982" s="81" t="s">
        <v>1907</v>
      </c>
      <c r="R982" s="81"/>
      <c r="S982" s="81"/>
      <c r="T982" s="86" t="s">
        <v>1413</v>
      </c>
      <c r="U982" s="84" t="str">
        <f>HYPERLINK("https://pbs.twimg.com/media/FAEbDOhVUAIE92y.jpg")</f>
        <v>https://pbs.twimg.com/media/FAEbDOhVUAIE92y.jpg</v>
      </c>
      <c r="V982" s="84" t="str">
        <f>HYPERLINK("https://pbs.twimg.com/media/FAEbDOhVUAIE92y.jpg")</f>
        <v>https://pbs.twimg.com/media/FAEbDOhVUAIE92y.jpg</v>
      </c>
      <c r="W982" s="83">
        <v>44463.83284722222</v>
      </c>
      <c r="X982" s="89">
        <v>44463</v>
      </c>
      <c r="Y982" s="86" t="s">
        <v>3492</v>
      </c>
      <c r="Z982" s="84" t="str">
        <f>HYPERLINK("https://twitter.com/tinyyyjungwon/status/1441492456923484165")</f>
        <v>https://twitter.com/tinyyyjungwon/status/1441492456923484165</v>
      </c>
      <c r="AA982" s="81"/>
      <c r="AB982" s="81"/>
      <c r="AC982" s="86" t="s">
        <v>4957</v>
      </c>
      <c r="AD982" s="81"/>
      <c r="AE982" s="81" t="b">
        <v>0</v>
      </c>
      <c r="AF982" s="81">
        <v>0</v>
      </c>
      <c r="AG982" s="86" t="s">
        <v>6240</v>
      </c>
      <c r="AH982" s="81" t="b">
        <v>0</v>
      </c>
      <c r="AI982" s="81" t="s">
        <v>6479</v>
      </c>
      <c r="AJ982" s="81"/>
      <c r="AK982" s="86" t="s">
        <v>6240</v>
      </c>
      <c r="AL982" s="81" t="b">
        <v>0</v>
      </c>
      <c r="AM982" s="81">
        <v>5</v>
      </c>
      <c r="AN982" s="86" t="s">
        <v>5112</v>
      </c>
      <c r="AO982" s="86" t="s">
        <v>6505</v>
      </c>
      <c r="AP982" s="81" t="b">
        <v>0</v>
      </c>
      <c r="AQ982" s="86" t="s">
        <v>5112</v>
      </c>
      <c r="AR982" s="81" t="s">
        <v>179</v>
      </c>
      <c r="AS982" s="81">
        <v>0</v>
      </c>
      <c r="AT982" s="81">
        <v>0</v>
      </c>
      <c r="AU982" s="81"/>
      <c r="AV982" s="81"/>
      <c r="AW982" s="81"/>
      <c r="AX982" s="81"/>
      <c r="AY982" s="81"/>
      <c r="AZ982" s="81"/>
      <c r="BA982" s="81"/>
      <c r="BB982" s="81"/>
    </row>
    <row r="983" spans="1:54" x14ac:dyDescent="0.35">
      <c r="A983" s="66" t="s">
        <v>867</v>
      </c>
      <c r="B983" s="66" t="s">
        <v>1412</v>
      </c>
      <c r="C983" s="67"/>
      <c r="D983" s="68"/>
      <c r="E983" s="69"/>
      <c r="F983" s="70"/>
      <c r="G983" s="67"/>
      <c r="H983" s="71"/>
      <c r="I983" s="72"/>
      <c r="J983" s="72"/>
      <c r="K983" s="36"/>
      <c r="L983" s="79"/>
      <c r="M983" s="79"/>
      <c r="N983" s="74"/>
      <c r="O983" s="81" t="s">
        <v>1533</v>
      </c>
      <c r="P983" s="83">
        <v>44463.83284722222</v>
      </c>
      <c r="Q983" s="81" t="s">
        <v>1907</v>
      </c>
      <c r="R983" s="81"/>
      <c r="S983" s="81"/>
      <c r="T983" s="86" t="s">
        <v>1413</v>
      </c>
      <c r="U983" s="84" t="str">
        <f>HYPERLINK("https://pbs.twimg.com/media/FAEbDOhVUAIE92y.jpg")</f>
        <v>https://pbs.twimg.com/media/FAEbDOhVUAIE92y.jpg</v>
      </c>
      <c r="V983" s="84" t="str">
        <f>HYPERLINK("https://pbs.twimg.com/media/FAEbDOhVUAIE92y.jpg")</f>
        <v>https://pbs.twimg.com/media/FAEbDOhVUAIE92y.jpg</v>
      </c>
      <c r="W983" s="83">
        <v>44463.83284722222</v>
      </c>
      <c r="X983" s="89">
        <v>44463</v>
      </c>
      <c r="Y983" s="86" t="s">
        <v>3492</v>
      </c>
      <c r="Z983" s="84" t="str">
        <f>HYPERLINK("https://twitter.com/tinyyyjungwon/status/1441492456923484165")</f>
        <v>https://twitter.com/tinyyyjungwon/status/1441492456923484165</v>
      </c>
      <c r="AA983" s="81"/>
      <c r="AB983" s="81"/>
      <c r="AC983" s="86" t="s">
        <v>4957</v>
      </c>
      <c r="AD983" s="81"/>
      <c r="AE983" s="81" t="b">
        <v>0</v>
      </c>
      <c r="AF983" s="81">
        <v>0</v>
      </c>
      <c r="AG983" s="86" t="s">
        <v>6240</v>
      </c>
      <c r="AH983" s="81" t="b">
        <v>0</v>
      </c>
      <c r="AI983" s="81" t="s">
        <v>6479</v>
      </c>
      <c r="AJ983" s="81"/>
      <c r="AK983" s="86" t="s">
        <v>6240</v>
      </c>
      <c r="AL983" s="81" t="b">
        <v>0</v>
      </c>
      <c r="AM983" s="81">
        <v>5</v>
      </c>
      <c r="AN983" s="86" t="s">
        <v>5112</v>
      </c>
      <c r="AO983" s="86" t="s">
        <v>6505</v>
      </c>
      <c r="AP983" s="81" t="b">
        <v>0</v>
      </c>
      <c r="AQ983" s="86" t="s">
        <v>5112</v>
      </c>
      <c r="AR983" s="81" t="s">
        <v>179</v>
      </c>
      <c r="AS983" s="81">
        <v>0</v>
      </c>
      <c r="AT983" s="81">
        <v>0</v>
      </c>
      <c r="AU983" s="81"/>
      <c r="AV983" s="81"/>
      <c r="AW983" s="81"/>
      <c r="AX983" s="81"/>
      <c r="AY983" s="81"/>
      <c r="AZ983" s="81"/>
      <c r="BA983" s="81"/>
      <c r="BB983" s="81"/>
    </row>
    <row r="984" spans="1:54" x14ac:dyDescent="0.35">
      <c r="A984" s="66" t="s">
        <v>867</v>
      </c>
      <c r="B984" s="66" t="s">
        <v>1413</v>
      </c>
      <c r="C984" s="67"/>
      <c r="D984" s="68"/>
      <c r="E984" s="69"/>
      <c r="F984" s="70"/>
      <c r="G984" s="67"/>
      <c r="H984" s="71"/>
      <c r="I984" s="72"/>
      <c r="J984" s="72"/>
      <c r="K984" s="36"/>
      <c r="L984" s="79"/>
      <c r="M984" s="79"/>
      <c r="N984" s="74"/>
      <c r="O984" s="81" t="s">
        <v>1533</v>
      </c>
      <c r="P984" s="83">
        <v>44463.83284722222</v>
      </c>
      <c r="Q984" s="81" t="s">
        <v>1907</v>
      </c>
      <c r="R984" s="81"/>
      <c r="S984" s="81"/>
      <c r="T984" s="86" t="s">
        <v>1413</v>
      </c>
      <c r="U984" s="84" t="str">
        <f>HYPERLINK("https://pbs.twimg.com/media/FAEbDOhVUAIE92y.jpg")</f>
        <v>https://pbs.twimg.com/media/FAEbDOhVUAIE92y.jpg</v>
      </c>
      <c r="V984" s="84" t="str">
        <f>HYPERLINK("https://pbs.twimg.com/media/FAEbDOhVUAIE92y.jpg")</f>
        <v>https://pbs.twimg.com/media/FAEbDOhVUAIE92y.jpg</v>
      </c>
      <c r="W984" s="83">
        <v>44463.83284722222</v>
      </c>
      <c r="X984" s="89">
        <v>44463</v>
      </c>
      <c r="Y984" s="86" t="s">
        <v>3492</v>
      </c>
      <c r="Z984" s="84" t="str">
        <f>HYPERLINK("https://twitter.com/tinyyyjungwon/status/1441492456923484165")</f>
        <v>https://twitter.com/tinyyyjungwon/status/1441492456923484165</v>
      </c>
      <c r="AA984" s="81"/>
      <c r="AB984" s="81"/>
      <c r="AC984" s="86" t="s">
        <v>4957</v>
      </c>
      <c r="AD984" s="81"/>
      <c r="AE984" s="81" t="b">
        <v>0</v>
      </c>
      <c r="AF984" s="81">
        <v>0</v>
      </c>
      <c r="AG984" s="86" t="s">
        <v>6240</v>
      </c>
      <c r="AH984" s="81" t="b">
        <v>0</v>
      </c>
      <c r="AI984" s="81" t="s">
        <v>6479</v>
      </c>
      <c r="AJ984" s="81"/>
      <c r="AK984" s="86" t="s">
        <v>6240</v>
      </c>
      <c r="AL984" s="81" t="b">
        <v>0</v>
      </c>
      <c r="AM984" s="81">
        <v>5</v>
      </c>
      <c r="AN984" s="86" t="s">
        <v>5112</v>
      </c>
      <c r="AO984" s="86" t="s">
        <v>6505</v>
      </c>
      <c r="AP984" s="81" t="b">
        <v>0</v>
      </c>
      <c r="AQ984" s="86" t="s">
        <v>5112</v>
      </c>
      <c r="AR984" s="81" t="s">
        <v>179</v>
      </c>
      <c r="AS984" s="81">
        <v>0</v>
      </c>
      <c r="AT984" s="81">
        <v>0</v>
      </c>
      <c r="AU984" s="81"/>
      <c r="AV984" s="81"/>
      <c r="AW984" s="81"/>
      <c r="AX984" s="81"/>
      <c r="AY984" s="81"/>
      <c r="AZ984" s="81"/>
      <c r="BA984" s="81"/>
      <c r="BB984" s="81"/>
    </row>
    <row r="985" spans="1:54" x14ac:dyDescent="0.35">
      <c r="A985" s="66" t="s">
        <v>867</v>
      </c>
      <c r="B985" s="66" t="s">
        <v>990</v>
      </c>
      <c r="C985" s="67"/>
      <c r="D985" s="68"/>
      <c r="E985" s="69"/>
      <c r="F985" s="70"/>
      <c r="G985" s="67"/>
      <c r="H985" s="71"/>
      <c r="I985" s="72"/>
      <c r="J985" s="72"/>
      <c r="K985" s="36"/>
      <c r="L985" s="79"/>
      <c r="M985" s="79"/>
      <c r="N985" s="74"/>
      <c r="O985" s="81" t="s">
        <v>1532</v>
      </c>
      <c r="P985" s="83">
        <v>44463.83284722222</v>
      </c>
      <c r="Q985" s="81" t="s">
        <v>1907</v>
      </c>
      <c r="R985" s="81"/>
      <c r="S985" s="81"/>
      <c r="T985" s="86" t="s">
        <v>1413</v>
      </c>
      <c r="U985" s="84" t="str">
        <f>HYPERLINK("https://pbs.twimg.com/media/FAEbDOhVUAIE92y.jpg")</f>
        <v>https://pbs.twimg.com/media/FAEbDOhVUAIE92y.jpg</v>
      </c>
      <c r="V985" s="84" t="str">
        <f>HYPERLINK("https://pbs.twimg.com/media/FAEbDOhVUAIE92y.jpg")</f>
        <v>https://pbs.twimg.com/media/FAEbDOhVUAIE92y.jpg</v>
      </c>
      <c r="W985" s="83">
        <v>44463.83284722222</v>
      </c>
      <c r="X985" s="89">
        <v>44463</v>
      </c>
      <c r="Y985" s="86" t="s">
        <v>3492</v>
      </c>
      <c r="Z985" s="84" t="str">
        <f>HYPERLINK("https://twitter.com/tinyyyjungwon/status/1441492456923484165")</f>
        <v>https://twitter.com/tinyyyjungwon/status/1441492456923484165</v>
      </c>
      <c r="AA985" s="81"/>
      <c r="AB985" s="81"/>
      <c r="AC985" s="86" t="s">
        <v>4957</v>
      </c>
      <c r="AD985" s="81"/>
      <c r="AE985" s="81" t="b">
        <v>0</v>
      </c>
      <c r="AF985" s="81">
        <v>0</v>
      </c>
      <c r="AG985" s="86" t="s">
        <v>6240</v>
      </c>
      <c r="AH985" s="81" t="b">
        <v>0</v>
      </c>
      <c r="AI985" s="81" t="s">
        <v>6479</v>
      </c>
      <c r="AJ985" s="81"/>
      <c r="AK985" s="86" t="s">
        <v>6240</v>
      </c>
      <c r="AL985" s="81" t="b">
        <v>0</v>
      </c>
      <c r="AM985" s="81">
        <v>5</v>
      </c>
      <c r="AN985" s="86" t="s">
        <v>5112</v>
      </c>
      <c r="AO985" s="86" t="s">
        <v>6505</v>
      </c>
      <c r="AP985" s="81" t="b">
        <v>0</v>
      </c>
      <c r="AQ985" s="86" t="s">
        <v>5112</v>
      </c>
      <c r="AR985" s="81" t="s">
        <v>179</v>
      </c>
      <c r="AS985" s="81">
        <v>0</v>
      </c>
      <c r="AT985" s="81">
        <v>0</v>
      </c>
      <c r="AU985" s="81"/>
      <c r="AV985" s="81"/>
      <c r="AW985" s="81"/>
      <c r="AX985" s="81"/>
      <c r="AY985" s="81"/>
      <c r="AZ985" s="81"/>
      <c r="BA985" s="81"/>
      <c r="BB985" s="81"/>
    </row>
    <row r="986" spans="1:54" x14ac:dyDescent="0.35">
      <c r="A986" s="66" t="s">
        <v>868</v>
      </c>
      <c r="B986" s="66" t="s">
        <v>1410</v>
      </c>
      <c r="C986" s="67"/>
      <c r="D986" s="68"/>
      <c r="E986" s="69"/>
      <c r="F986" s="70"/>
      <c r="G986" s="67"/>
      <c r="H986" s="71"/>
      <c r="I986" s="72"/>
      <c r="J986" s="72"/>
      <c r="K986" s="36"/>
      <c r="L986" s="79"/>
      <c r="M986" s="79"/>
      <c r="N986" s="74"/>
      <c r="O986" s="81" t="s">
        <v>1533</v>
      </c>
      <c r="P986" s="83">
        <v>44463.976215277777</v>
      </c>
      <c r="Q986" s="81" t="s">
        <v>1910</v>
      </c>
      <c r="R986" s="81"/>
      <c r="S986" s="81"/>
      <c r="T986" s="86" t="s">
        <v>1413</v>
      </c>
      <c r="U986" s="84" t="str">
        <f>HYPERLINK("https://pbs.twimg.com/media/FAEaAdPVgAgaH2z.jpg")</f>
        <v>https://pbs.twimg.com/media/FAEaAdPVgAgaH2z.jpg</v>
      </c>
      <c r="V986" s="84" t="str">
        <f>HYPERLINK("https://pbs.twimg.com/media/FAEaAdPVgAgaH2z.jpg")</f>
        <v>https://pbs.twimg.com/media/FAEaAdPVgAgaH2z.jpg</v>
      </c>
      <c r="W986" s="83">
        <v>44463.976215277777</v>
      </c>
      <c r="X986" s="89">
        <v>44463</v>
      </c>
      <c r="Y986" s="86" t="s">
        <v>3493</v>
      </c>
      <c r="Z986" s="84" t="str">
        <f>HYPERLINK("https://twitter.com/purpleejinnie/status/1441544413067415555")</f>
        <v>https://twitter.com/purpleejinnie/status/1441544413067415555</v>
      </c>
      <c r="AA986" s="81"/>
      <c r="AB986" s="81"/>
      <c r="AC986" s="86" t="s">
        <v>4958</v>
      </c>
      <c r="AD986" s="81"/>
      <c r="AE986" s="81" t="b">
        <v>0</v>
      </c>
      <c r="AF986" s="81">
        <v>0</v>
      </c>
      <c r="AG986" s="86" t="s">
        <v>6240</v>
      </c>
      <c r="AH986" s="81" t="b">
        <v>0</v>
      </c>
      <c r="AI986" s="81" t="s">
        <v>6479</v>
      </c>
      <c r="AJ986" s="81"/>
      <c r="AK986" s="86" t="s">
        <v>6240</v>
      </c>
      <c r="AL986" s="81" t="b">
        <v>0</v>
      </c>
      <c r="AM986" s="81">
        <v>21</v>
      </c>
      <c r="AN986" s="86" t="s">
        <v>5109</v>
      </c>
      <c r="AO986" s="86" t="s">
        <v>6505</v>
      </c>
      <c r="AP986" s="81" t="b">
        <v>0</v>
      </c>
      <c r="AQ986" s="86" t="s">
        <v>5109</v>
      </c>
      <c r="AR986" s="81" t="s">
        <v>179</v>
      </c>
      <c r="AS986" s="81">
        <v>0</v>
      </c>
      <c r="AT986" s="81">
        <v>0</v>
      </c>
      <c r="AU986" s="81"/>
      <c r="AV986" s="81"/>
      <c r="AW986" s="81"/>
      <c r="AX986" s="81"/>
      <c r="AY986" s="81"/>
      <c r="AZ986" s="81"/>
      <c r="BA986" s="81"/>
      <c r="BB986" s="81"/>
    </row>
    <row r="987" spans="1:54" x14ac:dyDescent="0.35">
      <c r="A987" s="66" t="s">
        <v>868</v>
      </c>
      <c r="B987" s="66" t="s">
        <v>1411</v>
      </c>
      <c r="C987" s="67"/>
      <c r="D987" s="68"/>
      <c r="E987" s="69"/>
      <c r="F987" s="70"/>
      <c r="G987" s="67"/>
      <c r="H987" s="71"/>
      <c r="I987" s="72"/>
      <c r="J987" s="72"/>
      <c r="K987" s="36"/>
      <c r="L987" s="79"/>
      <c r="M987" s="79"/>
      <c r="N987" s="74"/>
      <c r="O987" s="81" t="s">
        <v>1533</v>
      </c>
      <c r="P987" s="83">
        <v>44463.976215277777</v>
      </c>
      <c r="Q987" s="81" t="s">
        <v>1910</v>
      </c>
      <c r="R987" s="81"/>
      <c r="S987" s="81"/>
      <c r="T987" s="86" t="s">
        <v>1413</v>
      </c>
      <c r="U987" s="84" t="str">
        <f>HYPERLINK("https://pbs.twimg.com/media/FAEaAdPVgAgaH2z.jpg")</f>
        <v>https://pbs.twimg.com/media/FAEaAdPVgAgaH2z.jpg</v>
      </c>
      <c r="V987" s="84" t="str">
        <f>HYPERLINK("https://pbs.twimg.com/media/FAEaAdPVgAgaH2z.jpg")</f>
        <v>https://pbs.twimg.com/media/FAEaAdPVgAgaH2z.jpg</v>
      </c>
      <c r="W987" s="83">
        <v>44463.976215277777</v>
      </c>
      <c r="X987" s="89">
        <v>44463</v>
      </c>
      <c r="Y987" s="86" t="s">
        <v>3493</v>
      </c>
      <c r="Z987" s="84" t="str">
        <f>HYPERLINK("https://twitter.com/purpleejinnie/status/1441544413067415555")</f>
        <v>https://twitter.com/purpleejinnie/status/1441544413067415555</v>
      </c>
      <c r="AA987" s="81"/>
      <c r="AB987" s="81"/>
      <c r="AC987" s="86" t="s">
        <v>4958</v>
      </c>
      <c r="AD987" s="81"/>
      <c r="AE987" s="81" t="b">
        <v>0</v>
      </c>
      <c r="AF987" s="81">
        <v>0</v>
      </c>
      <c r="AG987" s="86" t="s">
        <v>6240</v>
      </c>
      <c r="AH987" s="81" t="b">
        <v>0</v>
      </c>
      <c r="AI987" s="81" t="s">
        <v>6479</v>
      </c>
      <c r="AJ987" s="81"/>
      <c r="AK987" s="86" t="s">
        <v>6240</v>
      </c>
      <c r="AL987" s="81" t="b">
        <v>0</v>
      </c>
      <c r="AM987" s="81">
        <v>21</v>
      </c>
      <c r="AN987" s="86" t="s">
        <v>5109</v>
      </c>
      <c r="AO987" s="86" t="s">
        <v>6505</v>
      </c>
      <c r="AP987" s="81" t="b">
        <v>0</v>
      </c>
      <c r="AQ987" s="86" t="s">
        <v>5109</v>
      </c>
      <c r="AR987" s="81" t="s">
        <v>179</v>
      </c>
      <c r="AS987" s="81">
        <v>0</v>
      </c>
      <c r="AT987" s="81">
        <v>0</v>
      </c>
      <c r="AU987" s="81"/>
      <c r="AV987" s="81"/>
      <c r="AW987" s="81"/>
      <c r="AX987" s="81"/>
      <c r="AY987" s="81"/>
      <c r="AZ987" s="81"/>
      <c r="BA987" s="81"/>
      <c r="BB987" s="81"/>
    </row>
    <row r="988" spans="1:54" x14ac:dyDescent="0.35">
      <c r="A988" s="66" t="s">
        <v>868</v>
      </c>
      <c r="B988" s="66" t="s">
        <v>1412</v>
      </c>
      <c r="C988" s="67"/>
      <c r="D988" s="68"/>
      <c r="E988" s="69"/>
      <c r="F988" s="70"/>
      <c r="G988" s="67"/>
      <c r="H988" s="71"/>
      <c r="I988" s="72"/>
      <c r="J988" s="72"/>
      <c r="K988" s="36"/>
      <c r="L988" s="79"/>
      <c r="M988" s="79"/>
      <c r="N988" s="74"/>
      <c r="O988" s="81" t="s">
        <v>1533</v>
      </c>
      <c r="P988" s="83">
        <v>44463.976215277777</v>
      </c>
      <c r="Q988" s="81" t="s">
        <v>1910</v>
      </c>
      <c r="R988" s="81"/>
      <c r="S988" s="81"/>
      <c r="T988" s="86" t="s">
        <v>1413</v>
      </c>
      <c r="U988" s="84" t="str">
        <f>HYPERLINK("https://pbs.twimg.com/media/FAEaAdPVgAgaH2z.jpg")</f>
        <v>https://pbs.twimg.com/media/FAEaAdPVgAgaH2z.jpg</v>
      </c>
      <c r="V988" s="84" t="str">
        <f>HYPERLINK("https://pbs.twimg.com/media/FAEaAdPVgAgaH2z.jpg")</f>
        <v>https://pbs.twimg.com/media/FAEaAdPVgAgaH2z.jpg</v>
      </c>
      <c r="W988" s="83">
        <v>44463.976215277777</v>
      </c>
      <c r="X988" s="89">
        <v>44463</v>
      </c>
      <c r="Y988" s="86" t="s">
        <v>3493</v>
      </c>
      <c r="Z988" s="84" t="str">
        <f>HYPERLINK("https://twitter.com/purpleejinnie/status/1441544413067415555")</f>
        <v>https://twitter.com/purpleejinnie/status/1441544413067415555</v>
      </c>
      <c r="AA988" s="81"/>
      <c r="AB988" s="81"/>
      <c r="AC988" s="86" t="s">
        <v>4958</v>
      </c>
      <c r="AD988" s="81"/>
      <c r="AE988" s="81" t="b">
        <v>0</v>
      </c>
      <c r="AF988" s="81">
        <v>0</v>
      </c>
      <c r="AG988" s="86" t="s">
        <v>6240</v>
      </c>
      <c r="AH988" s="81" t="b">
        <v>0</v>
      </c>
      <c r="AI988" s="81" t="s">
        <v>6479</v>
      </c>
      <c r="AJ988" s="81"/>
      <c r="AK988" s="86" t="s">
        <v>6240</v>
      </c>
      <c r="AL988" s="81" t="b">
        <v>0</v>
      </c>
      <c r="AM988" s="81">
        <v>21</v>
      </c>
      <c r="AN988" s="86" t="s">
        <v>5109</v>
      </c>
      <c r="AO988" s="86" t="s">
        <v>6505</v>
      </c>
      <c r="AP988" s="81" t="b">
        <v>0</v>
      </c>
      <c r="AQ988" s="86" t="s">
        <v>5109</v>
      </c>
      <c r="AR988" s="81" t="s">
        <v>179</v>
      </c>
      <c r="AS988" s="81">
        <v>0</v>
      </c>
      <c r="AT988" s="81">
        <v>0</v>
      </c>
      <c r="AU988" s="81"/>
      <c r="AV988" s="81"/>
      <c r="AW988" s="81"/>
      <c r="AX988" s="81"/>
      <c r="AY988" s="81"/>
      <c r="AZ988" s="81"/>
      <c r="BA988" s="81"/>
      <c r="BB988" s="81"/>
    </row>
    <row r="989" spans="1:54" x14ac:dyDescent="0.35">
      <c r="A989" s="66" t="s">
        <v>868</v>
      </c>
      <c r="B989" s="66" t="s">
        <v>1413</v>
      </c>
      <c r="C989" s="67"/>
      <c r="D989" s="68"/>
      <c r="E989" s="69"/>
      <c r="F989" s="70"/>
      <c r="G989" s="67"/>
      <c r="H989" s="71"/>
      <c r="I989" s="72"/>
      <c r="J989" s="72"/>
      <c r="K989" s="36"/>
      <c r="L989" s="79"/>
      <c r="M989" s="79"/>
      <c r="N989" s="74"/>
      <c r="O989" s="81" t="s">
        <v>1533</v>
      </c>
      <c r="P989" s="83">
        <v>44463.976215277777</v>
      </c>
      <c r="Q989" s="81" t="s">
        <v>1910</v>
      </c>
      <c r="R989" s="81"/>
      <c r="S989" s="81"/>
      <c r="T989" s="86" t="s">
        <v>1413</v>
      </c>
      <c r="U989" s="84" t="str">
        <f>HYPERLINK("https://pbs.twimg.com/media/FAEaAdPVgAgaH2z.jpg")</f>
        <v>https://pbs.twimg.com/media/FAEaAdPVgAgaH2z.jpg</v>
      </c>
      <c r="V989" s="84" t="str">
        <f>HYPERLINK("https://pbs.twimg.com/media/FAEaAdPVgAgaH2z.jpg")</f>
        <v>https://pbs.twimg.com/media/FAEaAdPVgAgaH2z.jpg</v>
      </c>
      <c r="W989" s="83">
        <v>44463.976215277777</v>
      </c>
      <c r="X989" s="89">
        <v>44463</v>
      </c>
      <c r="Y989" s="86" t="s">
        <v>3493</v>
      </c>
      <c r="Z989" s="84" t="str">
        <f>HYPERLINK("https://twitter.com/purpleejinnie/status/1441544413067415555")</f>
        <v>https://twitter.com/purpleejinnie/status/1441544413067415555</v>
      </c>
      <c r="AA989" s="81"/>
      <c r="AB989" s="81"/>
      <c r="AC989" s="86" t="s">
        <v>4958</v>
      </c>
      <c r="AD989" s="81"/>
      <c r="AE989" s="81" t="b">
        <v>0</v>
      </c>
      <c r="AF989" s="81">
        <v>0</v>
      </c>
      <c r="AG989" s="86" t="s">
        <v>6240</v>
      </c>
      <c r="AH989" s="81" t="b">
        <v>0</v>
      </c>
      <c r="AI989" s="81" t="s">
        <v>6479</v>
      </c>
      <c r="AJ989" s="81"/>
      <c r="AK989" s="86" t="s">
        <v>6240</v>
      </c>
      <c r="AL989" s="81" t="b">
        <v>0</v>
      </c>
      <c r="AM989" s="81">
        <v>21</v>
      </c>
      <c r="AN989" s="86" t="s">
        <v>5109</v>
      </c>
      <c r="AO989" s="86" t="s">
        <v>6505</v>
      </c>
      <c r="AP989" s="81" t="b">
        <v>0</v>
      </c>
      <c r="AQ989" s="86" t="s">
        <v>5109</v>
      </c>
      <c r="AR989" s="81" t="s">
        <v>179</v>
      </c>
      <c r="AS989" s="81">
        <v>0</v>
      </c>
      <c r="AT989" s="81">
        <v>0</v>
      </c>
      <c r="AU989" s="81"/>
      <c r="AV989" s="81"/>
      <c r="AW989" s="81"/>
      <c r="AX989" s="81"/>
      <c r="AY989" s="81"/>
      <c r="AZ989" s="81"/>
      <c r="BA989" s="81"/>
      <c r="BB989" s="81"/>
    </row>
    <row r="990" spans="1:54" x14ac:dyDescent="0.35">
      <c r="A990" s="66" t="s">
        <v>868</v>
      </c>
      <c r="B990" s="66" t="s">
        <v>990</v>
      </c>
      <c r="C990" s="67"/>
      <c r="D990" s="68"/>
      <c r="E990" s="69"/>
      <c r="F990" s="70"/>
      <c r="G990" s="67"/>
      <c r="H990" s="71"/>
      <c r="I990" s="72"/>
      <c r="J990" s="72"/>
      <c r="K990" s="36"/>
      <c r="L990" s="79"/>
      <c r="M990" s="79"/>
      <c r="N990" s="74"/>
      <c r="O990" s="81" t="s">
        <v>1532</v>
      </c>
      <c r="P990" s="83">
        <v>44463.976215277777</v>
      </c>
      <c r="Q990" s="81" t="s">
        <v>1910</v>
      </c>
      <c r="R990" s="81"/>
      <c r="S990" s="81"/>
      <c r="T990" s="86" t="s">
        <v>1413</v>
      </c>
      <c r="U990" s="84" t="str">
        <f>HYPERLINK("https://pbs.twimg.com/media/FAEaAdPVgAgaH2z.jpg")</f>
        <v>https://pbs.twimg.com/media/FAEaAdPVgAgaH2z.jpg</v>
      </c>
      <c r="V990" s="84" t="str">
        <f>HYPERLINK("https://pbs.twimg.com/media/FAEaAdPVgAgaH2z.jpg")</f>
        <v>https://pbs.twimg.com/media/FAEaAdPVgAgaH2z.jpg</v>
      </c>
      <c r="W990" s="83">
        <v>44463.976215277777</v>
      </c>
      <c r="X990" s="89">
        <v>44463</v>
      </c>
      <c r="Y990" s="86" t="s">
        <v>3493</v>
      </c>
      <c r="Z990" s="84" t="str">
        <f>HYPERLINK("https://twitter.com/purpleejinnie/status/1441544413067415555")</f>
        <v>https://twitter.com/purpleejinnie/status/1441544413067415555</v>
      </c>
      <c r="AA990" s="81"/>
      <c r="AB990" s="81"/>
      <c r="AC990" s="86" t="s">
        <v>4958</v>
      </c>
      <c r="AD990" s="81"/>
      <c r="AE990" s="81" t="b">
        <v>0</v>
      </c>
      <c r="AF990" s="81">
        <v>0</v>
      </c>
      <c r="AG990" s="86" t="s">
        <v>6240</v>
      </c>
      <c r="AH990" s="81" t="b">
        <v>0</v>
      </c>
      <c r="AI990" s="81" t="s">
        <v>6479</v>
      </c>
      <c r="AJ990" s="81"/>
      <c r="AK990" s="86" t="s">
        <v>6240</v>
      </c>
      <c r="AL990" s="81" t="b">
        <v>0</v>
      </c>
      <c r="AM990" s="81">
        <v>21</v>
      </c>
      <c r="AN990" s="86" t="s">
        <v>5109</v>
      </c>
      <c r="AO990" s="86" t="s">
        <v>6505</v>
      </c>
      <c r="AP990" s="81" t="b">
        <v>0</v>
      </c>
      <c r="AQ990" s="86" t="s">
        <v>5109</v>
      </c>
      <c r="AR990" s="81" t="s">
        <v>179</v>
      </c>
      <c r="AS990" s="81">
        <v>0</v>
      </c>
      <c r="AT990" s="81">
        <v>0</v>
      </c>
      <c r="AU990" s="81"/>
      <c r="AV990" s="81"/>
      <c r="AW990" s="81"/>
      <c r="AX990" s="81"/>
      <c r="AY990" s="81"/>
      <c r="AZ990" s="81"/>
      <c r="BA990" s="81"/>
      <c r="BB990" s="81"/>
    </row>
    <row r="991" spans="1:54" x14ac:dyDescent="0.35">
      <c r="A991" s="66" t="s">
        <v>869</v>
      </c>
      <c r="B991" s="66" t="s">
        <v>1414</v>
      </c>
      <c r="C991" s="67"/>
      <c r="D991" s="68"/>
      <c r="E991" s="69"/>
      <c r="F991" s="70"/>
      <c r="G991" s="67"/>
      <c r="H991" s="71"/>
      <c r="I991" s="72"/>
      <c r="J991" s="72"/>
      <c r="K991" s="36"/>
      <c r="L991" s="79"/>
      <c r="M991" s="79"/>
      <c r="N991" s="74"/>
      <c r="O991" s="81" t="s">
        <v>1535</v>
      </c>
      <c r="P991" s="83">
        <v>44385.512858796297</v>
      </c>
      <c r="Q991" s="81" t="s">
        <v>1911</v>
      </c>
      <c r="R991" s="81"/>
      <c r="S991" s="81"/>
      <c r="T991" s="81"/>
      <c r="U991" s="84" t="str">
        <f>HYPERLINK("https://pbs.twimg.com/media/E5xgRzuUcAElfn9.jpg")</f>
        <v>https://pbs.twimg.com/media/E5xgRzuUcAElfn9.jpg</v>
      </c>
      <c r="V991" s="84" t="str">
        <f>HYPERLINK("https://pbs.twimg.com/media/E5xgRzuUcAElfn9.jpg")</f>
        <v>https://pbs.twimg.com/media/E5xgRzuUcAElfn9.jpg</v>
      </c>
      <c r="W991" s="83">
        <v>44385.512858796297</v>
      </c>
      <c r="X991" s="89">
        <v>44385</v>
      </c>
      <c r="Y991" s="86" t="s">
        <v>3494</v>
      </c>
      <c r="Z991" s="84" t="str">
        <f>HYPERLINK("https://twitter.com/hairulpasya/status/1413110244587102208")</f>
        <v>https://twitter.com/hairulpasya/status/1413110244587102208</v>
      </c>
      <c r="AA991" s="81"/>
      <c r="AB991" s="81"/>
      <c r="AC991" s="86" t="s">
        <v>4959</v>
      </c>
      <c r="AD991" s="81"/>
      <c r="AE991" s="81" t="b">
        <v>0</v>
      </c>
      <c r="AF991" s="81">
        <v>11</v>
      </c>
      <c r="AG991" s="86" t="s">
        <v>6240</v>
      </c>
      <c r="AH991" s="81" t="b">
        <v>0</v>
      </c>
      <c r="AI991" s="81" t="s">
        <v>6478</v>
      </c>
      <c r="AJ991" s="81"/>
      <c r="AK991" s="86" t="s">
        <v>6240</v>
      </c>
      <c r="AL991" s="81" t="b">
        <v>0</v>
      </c>
      <c r="AM991" s="81">
        <v>9</v>
      </c>
      <c r="AN991" s="86" t="s">
        <v>6240</v>
      </c>
      <c r="AO991" s="86" t="s">
        <v>6503</v>
      </c>
      <c r="AP991" s="81" t="b">
        <v>0</v>
      </c>
      <c r="AQ991" s="86" t="s">
        <v>4959</v>
      </c>
      <c r="AR991" s="81" t="s">
        <v>1532</v>
      </c>
      <c r="AS991" s="81">
        <v>0</v>
      </c>
      <c r="AT991" s="81">
        <v>0</v>
      </c>
      <c r="AU991" s="81"/>
      <c r="AV991" s="81"/>
      <c r="AW991" s="81"/>
      <c r="AX991" s="81"/>
      <c r="AY991" s="81"/>
      <c r="AZ991" s="81"/>
      <c r="BA991" s="81"/>
      <c r="BB991" s="81"/>
    </row>
    <row r="992" spans="1:54" x14ac:dyDescent="0.35">
      <c r="A992" s="66" t="s">
        <v>870</v>
      </c>
      <c r="B992" s="66" t="s">
        <v>1414</v>
      </c>
      <c r="C992" s="67"/>
      <c r="D992" s="68"/>
      <c r="E992" s="69"/>
      <c r="F992" s="70"/>
      <c r="G992" s="67"/>
      <c r="H992" s="71"/>
      <c r="I992" s="72"/>
      <c r="J992" s="72"/>
      <c r="K992" s="36"/>
      <c r="L992" s="79"/>
      <c r="M992" s="79"/>
      <c r="N992" s="74"/>
      <c r="O992" s="81" t="s">
        <v>1533</v>
      </c>
      <c r="P992" s="83">
        <v>44463.978518518517</v>
      </c>
      <c r="Q992" s="81" t="s">
        <v>1911</v>
      </c>
      <c r="R992" s="81"/>
      <c r="S992" s="81"/>
      <c r="T992" s="81"/>
      <c r="U992" s="84" t="str">
        <f>HYPERLINK("https://pbs.twimg.com/media/E5xgRzuUcAElfn9.jpg")</f>
        <v>https://pbs.twimg.com/media/E5xgRzuUcAElfn9.jpg</v>
      </c>
      <c r="V992" s="84" t="str">
        <f>HYPERLINK("https://pbs.twimg.com/media/E5xgRzuUcAElfn9.jpg")</f>
        <v>https://pbs.twimg.com/media/E5xgRzuUcAElfn9.jpg</v>
      </c>
      <c r="W992" s="83">
        <v>44463.978518518517</v>
      </c>
      <c r="X992" s="89">
        <v>44463</v>
      </c>
      <c r="Y992" s="86" t="s">
        <v>3495</v>
      </c>
      <c r="Z992" s="84" t="str">
        <f>HYPERLINK("https://twitter.com/pld_dedy/status/1441545247251521536")</f>
        <v>https://twitter.com/pld_dedy/status/1441545247251521536</v>
      </c>
      <c r="AA992" s="81"/>
      <c r="AB992" s="81"/>
      <c r="AC992" s="86" t="s">
        <v>4960</v>
      </c>
      <c r="AD992" s="81"/>
      <c r="AE992" s="81" t="b">
        <v>0</v>
      </c>
      <c r="AF992" s="81">
        <v>0</v>
      </c>
      <c r="AG992" s="86" t="s">
        <v>6240</v>
      </c>
      <c r="AH992" s="81" t="b">
        <v>0</v>
      </c>
      <c r="AI992" s="81" t="s">
        <v>6478</v>
      </c>
      <c r="AJ992" s="81"/>
      <c r="AK992" s="86" t="s">
        <v>6240</v>
      </c>
      <c r="AL992" s="81" t="b">
        <v>0</v>
      </c>
      <c r="AM992" s="81">
        <v>9</v>
      </c>
      <c r="AN992" s="86" t="s">
        <v>4959</v>
      </c>
      <c r="AO992" s="86" t="s">
        <v>6503</v>
      </c>
      <c r="AP992" s="81" t="b">
        <v>0</v>
      </c>
      <c r="AQ992" s="86" t="s">
        <v>4959</v>
      </c>
      <c r="AR992" s="81" t="s">
        <v>179</v>
      </c>
      <c r="AS992" s="81">
        <v>0</v>
      </c>
      <c r="AT992" s="81">
        <v>0</v>
      </c>
      <c r="AU992" s="81"/>
      <c r="AV992" s="81"/>
      <c r="AW992" s="81"/>
      <c r="AX992" s="81"/>
      <c r="AY992" s="81"/>
      <c r="AZ992" s="81"/>
      <c r="BA992" s="81"/>
      <c r="BB992" s="81"/>
    </row>
    <row r="993" spans="1:54" x14ac:dyDescent="0.35">
      <c r="A993" s="66" t="s">
        <v>869</v>
      </c>
      <c r="B993" s="66" t="s">
        <v>1415</v>
      </c>
      <c r="C993" s="67"/>
      <c r="D993" s="68"/>
      <c r="E993" s="69"/>
      <c r="F993" s="70"/>
      <c r="G993" s="67"/>
      <c r="H993" s="71"/>
      <c r="I993" s="72"/>
      <c r="J993" s="72"/>
      <c r="K993" s="36"/>
      <c r="L993" s="79"/>
      <c r="M993" s="79"/>
      <c r="N993" s="74"/>
      <c r="O993" s="81" t="s">
        <v>1535</v>
      </c>
      <c r="P993" s="83">
        <v>44385.512858796297</v>
      </c>
      <c r="Q993" s="81" t="s">
        <v>1911</v>
      </c>
      <c r="R993" s="81"/>
      <c r="S993" s="81"/>
      <c r="T993" s="81"/>
      <c r="U993" s="84" t="str">
        <f>HYPERLINK("https://pbs.twimg.com/media/E5xgRzuUcAElfn9.jpg")</f>
        <v>https://pbs.twimg.com/media/E5xgRzuUcAElfn9.jpg</v>
      </c>
      <c r="V993" s="84" t="str">
        <f>HYPERLINK("https://pbs.twimg.com/media/E5xgRzuUcAElfn9.jpg")</f>
        <v>https://pbs.twimg.com/media/E5xgRzuUcAElfn9.jpg</v>
      </c>
      <c r="W993" s="83">
        <v>44385.512858796297</v>
      </c>
      <c r="X993" s="89">
        <v>44385</v>
      </c>
      <c r="Y993" s="86" t="s">
        <v>3494</v>
      </c>
      <c r="Z993" s="84" t="str">
        <f>HYPERLINK("https://twitter.com/hairulpasya/status/1413110244587102208")</f>
        <v>https://twitter.com/hairulpasya/status/1413110244587102208</v>
      </c>
      <c r="AA993" s="81"/>
      <c r="AB993" s="81"/>
      <c r="AC993" s="86" t="s">
        <v>4959</v>
      </c>
      <c r="AD993" s="81"/>
      <c r="AE993" s="81" t="b">
        <v>0</v>
      </c>
      <c r="AF993" s="81">
        <v>11</v>
      </c>
      <c r="AG993" s="86" t="s">
        <v>6240</v>
      </c>
      <c r="AH993" s="81" t="b">
        <v>0</v>
      </c>
      <c r="AI993" s="81" t="s">
        <v>6478</v>
      </c>
      <c r="AJ993" s="81"/>
      <c r="AK993" s="86" t="s">
        <v>6240</v>
      </c>
      <c r="AL993" s="81" t="b">
        <v>0</v>
      </c>
      <c r="AM993" s="81">
        <v>9</v>
      </c>
      <c r="AN993" s="86" t="s">
        <v>6240</v>
      </c>
      <c r="AO993" s="86" t="s">
        <v>6503</v>
      </c>
      <c r="AP993" s="81" t="b">
        <v>0</v>
      </c>
      <c r="AQ993" s="86" t="s">
        <v>4959</v>
      </c>
      <c r="AR993" s="81" t="s">
        <v>1532</v>
      </c>
      <c r="AS993" s="81">
        <v>0</v>
      </c>
      <c r="AT993" s="81">
        <v>0</v>
      </c>
      <c r="AU993" s="81"/>
      <c r="AV993" s="81"/>
      <c r="AW993" s="81"/>
      <c r="AX993" s="81"/>
      <c r="AY993" s="81"/>
      <c r="AZ993" s="81"/>
      <c r="BA993" s="81"/>
      <c r="BB993" s="81"/>
    </row>
    <row r="994" spans="1:54" x14ac:dyDescent="0.35">
      <c r="A994" s="66" t="s">
        <v>870</v>
      </c>
      <c r="B994" s="66" t="s">
        <v>1415</v>
      </c>
      <c r="C994" s="67"/>
      <c r="D994" s="68"/>
      <c r="E994" s="69"/>
      <c r="F994" s="70"/>
      <c r="G994" s="67"/>
      <c r="H994" s="71"/>
      <c r="I994" s="72"/>
      <c r="J994" s="72"/>
      <c r="K994" s="36"/>
      <c r="L994" s="79"/>
      <c r="M994" s="79"/>
      <c r="N994" s="74"/>
      <c r="O994" s="81" t="s">
        <v>1533</v>
      </c>
      <c r="P994" s="83">
        <v>44463.978518518517</v>
      </c>
      <c r="Q994" s="81" t="s">
        <v>1911</v>
      </c>
      <c r="R994" s="81"/>
      <c r="S994" s="81"/>
      <c r="T994" s="81"/>
      <c r="U994" s="84" t="str">
        <f>HYPERLINK("https://pbs.twimg.com/media/E5xgRzuUcAElfn9.jpg")</f>
        <v>https://pbs.twimg.com/media/E5xgRzuUcAElfn9.jpg</v>
      </c>
      <c r="V994" s="84" t="str">
        <f>HYPERLINK("https://pbs.twimg.com/media/E5xgRzuUcAElfn9.jpg")</f>
        <v>https://pbs.twimg.com/media/E5xgRzuUcAElfn9.jpg</v>
      </c>
      <c r="W994" s="83">
        <v>44463.978518518517</v>
      </c>
      <c r="X994" s="89">
        <v>44463</v>
      </c>
      <c r="Y994" s="86" t="s">
        <v>3495</v>
      </c>
      <c r="Z994" s="84" t="str">
        <f>HYPERLINK("https://twitter.com/pld_dedy/status/1441545247251521536")</f>
        <v>https://twitter.com/pld_dedy/status/1441545247251521536</v>
      </c>
      <c r="AA994" s="81"/>
      <c r="AB994" s="81"/>
      <c r="AC994" s="86" t="s">
        <v>4960</v>
      </c>
      <c r="AD994" s="81"/>
      <c r="AE994" s="81" t="b">
        <v>0</v>
      </c>
      <c r="AF994" s="81">
        <v>0</v>
      </c>
      <c r="AG994" s="86" t="s">
        <v>6240</v>
      </c>
      <c r="AH994" s="81" t="b">
        <v>0</v>
      </c>
      <c r="AI994" s="81" t="s">
        <v>6478</v>
      </c>
      <c r="AJ994" s="81"/>
      <c r="AK994" s="86" t="s">
        <v>6240</v>
      </c>
      <c r="AL994" s="81" t="b">
        <v>0</v>
      </c>
      <c r="AM994" s="81">
        <v>9</v>
      </c>
      <c r="AN994" s="86" t="s">
        <v>4959</v>
      </c>
      <c r="AO994" s="86" t="s">
        <v>6503</v>
      </c>
      <c r="AP994" s="81" t="b">
        <v>0</v>
      </c>
      <c r="AQ994" s="86" t="s">
        <v>4959</v>
      </c>
      <c r="AR994" s="81" t="s">
        <v>179</v>
      </c>
      <c r="AS994" s="81">
        <v>0</v>
      </c>
      <c r="AT994" s="81">
        <v>0</v>
      </c>
      <c r="AU994" s="81"/>
      <c r="AV994" s="81"/>
      <c r="AW994" s="81"/>
      <c r="AX994" s="81"/>
      <c r="AY994" s="81"/>
      <c r="AZ994" s="81"/>
      <c r="BA994" s="81"/>
      <c r="BB994" s="81"/>
    </row>
    <row r="995" spans="1:54" x14ac:dyDescent="0.35">
      <c r="A995" s="66" t="s">
        <v>869</v>
      </c>
      <c r="B995" s="66" t="s">
        <v>1416</v>
      </c>
      <c r="C995" s="67"/>
      <c r="D995" s="68"/>
      <c r="E995" s="69"/>
      <c r="F995" s="70"/>
      <c r="G995" s="67"/>
      <c r="H995" s="71"/>
      <c r="I995" s="72"/>
      <c r="J995" s="72"/>
      <c r="K995" s="36"/>
      <c r="L995" s="79"/>
      <c r="M995" s="79"/>
      <c r="N995" s="74"/>
      <c r="O995" s="81" t="s">
        <v>1535</v>
      </c>
      <c r="P995" s="83">
        <v>44385.512858796297</v>
      </c>
      <c r="Q995" s="81" t="s">
        <v>1911</v>
      </c>
      <c r="R995" s="81"/>
      <c r="S995" s="81"/>
      <c r="T995" s="81"/>
      <c r="U995" s="84" t="str">
        <f>HYPERLINK("https://pbs.twimg.com/media/E5xgRzuUcAElfn9.jpg")</f>
        <v>https://pbs.twimg.com/media/E5xgRzuUcAElfn9.jpg</v>
      </c>
      <c r="V995" s="84" t="str">
        <f>HYPERLINK("https://pbs.twimg.com/media/E5xgRzuUcAElfn9.jpg")</f>
        <v>https://pbs.twimg.com/media/E5xgRzuUcAElfn9.jpg</v>
      </c>
      <c r="W995" s="83">
        <v>44385.512858796297</v>
      </c>
      <c r="X995" s="89">
        <v>44385</v>
      </c>
      <c r="Y995" s="86" t="s">
        <v>3494</v>
      </c>
      <c r="Z995" s="84" t="str">
        <f>HYPERLINK("https://twitter.com/hairulpasya/status/1413110244587102208")</f>
        <v>https://twitter.com/hairulpasya/status/1413110244587102208</v>
      </c>
      <c r="AA995" s="81"/>
      <c r="AB995" s="81"/>
      <c r="AC995" s="86" t="s">
        <v>4959</v>
      </c>
      <c r="AD995" s="81"/>
      <c r="AE995" s="81" t="b">
        <v>0</v>
      </c>
      <c r="AF995" s="81">
        <v>11</v>
      </c>
      <c r="AG995" s="86" t="s">
        <v>6240</v>
      </c>
      <c r="AH995" s="81" t="b">
        <v>0</v>
      </c>
      <c r="AI995" s="81" t="s">
        <v>6478</v>
      </c>
      <c r="AJ995" s="81"/>
      <c r="AK995" s="86" t="s">
        <v>6240</v>
      </c>
      <c r="AL995" s="81" t="b">
        <v>0</v>
      </c>
      <c r="AM995" s="81">
        <v>9</v>
      </c>
      <c r="AN995" s="86" t="s">
        <v>6240</v>
      </c>
      <c r="AO995" s="86" t="s">
        <v>6503</v>
      </c>
      <c r="AP995" s="81" t="b">
        <v>0</v>
      </c>
      <c r="AQ995" s="86" t="s">
        <v>4959</v>
      </c>
      <c r="AR995" s="81" t="s">
        <v>1532</v>
      </c>
      <c r="AS995" s="81">
        <v>0</v>
      </c>
      <c r="AT995" s="81">
        <v>0</v>
      </c>
      <c r="AU995" s="81"/>
      <c r="AV995" s="81"/>
      <c r="AW995" s="81"/>
      <c r="AX995" s="81"/>
      <c r="AY995" s="81"/>
      <c r="AZ995" s="81"/>
      <c r="BA995" s="81"/>
      <c r="BB995" s="81"/>
    </row>
    <row r="996" spans="1:54" x14ac:dyDescent="0.35">
      <c r="A996" s="66" t="s">
        <v>870</v>
      </c>
      <c r="B996" s="66" t="s">
        <v>1416</v>
      </c>
      <c r="C996" s="67"/>
      <c r="D996" s="68"/>
      <c r="E996" s="69"/>
      <c r="F996" s="70"/>
      <c r="G996" s="67"/>
      <c r="H996" s="71"/>
      <c r="I996" s="72"/>
      <c r="J996" s="72"/>
      <c r="K996" s="36"/>
      <c r="L996" s="79"/>
      <c r="M996" s="79"/>
      <c r="N996" s="74"/>
      <c r="O996" s="81" t="s">
        <v>1533</v>
      </c>
      <c r="P996" s="83">
        <v>44463.978518518517</v>
      </c>
      <c r="Q996" s="81" t="s">
        <v>1911</v>
      </c>
      <c r="R996" s="81"/>
      <c r="S996" s="81"/>
      <c r="T996" s="81"/>
      <c r="U996" s="84" t="str">
        <f>HYPERLINK("https://pbs.twimg.com/media/E5xgRzuUcAElfn9.jpg")</f>
        <v>https://pbs.twimg.com/media/E5xgRzuUcAElfn9.jpg</v>
      </c>
      <c r="V996" s="84" t="str">
        <f>HYPERLINK("https://pbs.twimg.com/media/E5xgRzuUcAElfn9.jpg")</f>
        <v>https://pbs.twimg.com/media/E5xgRzuUcAElfn9.jpg</v>
      </c>
      <c r="W996" s="83">
        <v>44463.978518518517</v>
      </c>
      <c r="X996" s="89">
        <v>44463</v>
      </c>
      <c r="Y996" s="86" t="s">
        <v>3495</v>
      </c>
      <c r="Z996" s="84" t="str">
        <f>HYPERLINK("https://twitter.com/pld_dedy/status/1441545247251521536")</f>
        <v>https://twitter.com/pld_dedy/status/1441545247251521536</v>
      </c>
      <c r="AA996" s="81"/>
      <c r="AB996" s="81"/>
      <c r="AC996" s="86" t="s">
        <v>4960</v>
      </c>
      <c r="AD996" s="81"/>
      <c r="AE996" s="81" t="b">
        <v>0</v>
      </c>
      <c r="AF996" s="81">
        <v>0</v>
      </c>
      <c r="AG996" s="86" t="s">
        <v>6240</v>
      </c>
      <c r="AH996" s="81" t="b">
        <v>0</v>
      </c>
      <c r="AI996" s="81" t="s">
        <v>6478</v>
      </c>
      <c r="AJ996" s="81"/>
      <c r="AK996" s="86" t="s">
        <v>6240</v>
      </c>
      <c r="AL996" s="81" t="b">
        <v>0</v>
      </c>
      <c r="AM996" s="81">
        <v>9</v>
      </c>
      <c r="AN996" s="86" t="s">
        <v>4959</v>
      </c>
      <c r="AO996" s="86" t="s">
        <v>6503</v>
      </c>
      <c r="AP996" s="81" t="b">
        <v>0</v>
      </c>
      <c r="AQ996" s="86" t="s">
        <v>4959</v>
      </c>
      <c r="AR996" s="81" t="s">
        <v>179</v>
      </c>
      <c r="AS996" s="81">
        <v>0</v>
      </c>
      <c r="AT996" s="81">
        <v>0</v>
      </c>
      <c r="AU996" s="81"/>
      <c r="AV996" s="81"/>
      <c r="AW996" s="81"/>
      <c r="AX996" s="81"/>
      <c r="AY996" s="81"/>
      <c r="AZ996" s="81"/>
      <c r="BA996" s="81"/>
      <c r="BB996" s="81"/>
    </row>
    <row r="997" spans="1:54" x14ac:dyDescent="0.35">
      <c r="A997" s="66" t="s">
        <v>869</v>
      </c>
      <c r="B997" s="66" t="s">
        <v>1417</v>
      </c>
      <c r="C997" s="67"/>
      <c r="D997" s="68"/>
      <c r="E997" s="69"/>
      <c r="F997" s="70"/>
      <c r="G997" s="67"/>
      <c r="H997" s="71"/>
      <c r="I997" s="72"/>
      <c r="J997" s="72"/>
      <c r="K997" s="36"/>
      <c r="L997" s="79"/>
      <c r="M997" s="79"/>
      <c r="N997" s="74"/>
      <c r="O997" s="81" t="s">
        <v>1535</v>
      </c>
      <c r="P997" s="83">
        <v>44385.512858796297</v>
      </c>
      <c r="Q997" s="81" t="s">
        <v>1911</v>
      </c>
      <c r="R997" s="81"/>
      <c r="S997" s="81"/>
      <c r="T997" s="81"/>
      <c r="U997" s="84" t="str">
        <f>HYPERLINK("https://pbs.twimg.com/media/E5xgRzuUcAElfn9.jpg")</f>
        <v>https://pbs.twimg.com/media/E5xgRzuUcAElfn9.jpg</v>
      </c>
      <c r="V997" s="84" t="str">
        <f>HYPERLINK("https://pbs.twimg.com/media/E5xgRzuUcAElfn9.jpg")</f>
        <v>https://pbs.twimg.com/media/E5xgRzuUcAElfn9.jpg</v>
      </c>
      <c r="W997" s="83">
        <v>44385.512858796297</v>
      </c>
      <c r="X997" s="89">
        <v>44385</v>
      </c>
      <c r="Y997" s="86" t="s">
        <v>3494</v>
      </c>
      <c r="Z997" s="84" t="str">
        <f>HYPERLINK("https://twitter.com/hairulpasya/status/1413110244587102208")</f>
        <v>https://twitter.com/hairulpasya/status/1413110244587102208</v>
      </c>
      <c r="AA997" s="81"/>
      <c r="AB997" s="81"/>
      <c r="AC997" s="86" t="s">
        <v>4959</v>
      </c>
      <c r="AD997" s="81"/>
      <c r="AE997" s="81" t="b">
        <v>0</v>
      </c>
      <c r="AF997" s="81">
        <v>11</v>
      </c>
      <c r="AG997" s="86" t="s">
        <v>6240</v>
      </c>
      <c r="AH997" s="81" t="b">
        <v>0</v>
      </c>
      <c r="AI997" s="81" t="s">
        <v>6478</v>
      </c>
      <c r="AJ997" s="81"/>
      <c r="AK997" s="86" t="s">
        <v>6240</v>
      </c>
      <c r="AL997" s="81" t="b">
        <v>0</v>
      </c>
      <c r="AM997" s="81">
        <v>9</v>
      </c>
      <c r="AN997" s="86" t="s">
        <v>6240</v>
      </c>
      <c r="AO997" s="86" t="s">
        <v>6503</v>
      </c>
      <c r="AP997" s="81" t="b">
        <v>0</v>
      </c>
      <c r="AQ997" s="86" t="s">
        <v>4959</v>
      </c>
      <c r="AR997" s="81" t="s">
        <v>1532</v>
      </c>
      <c r="AS997" s="81">
        <v>0</v>
      </c>
      <c r="AT997" s="81">
        <v>0</v>
      </c>
      <c r="AU997" s="81"/>
      <c r="AV997" s="81"/>
      <c r="AW997" s="81"/>
      <c r="AX997" s="81"/>
      <c r="AY997" s="81"/>
      <c r="AZ997" s="81"/>
      <c r="BA997" s="81"/>
      <c r="BB997" s="81"/>
    </row>
    <row r="998" spans="1:54" x14ac:dyDescent="0.35">
      <c r="A998" s="66" t="s">
        <v>870</v>
      </c>
      <c r="B998" s="66" t="s">
        <v>1417</v>
      </c>
      <c r="C998" s="67"/>
      <c r="D998" s="68"/>
      <c r="E998" s="69"/>
      <c r="F998" s="70"/>
      <c r="G998" s="67"/>
      <c r="H998" s="71"/>
      <c r="I998" s="72"/>
      <c r="J998" s="72"/>
      <c r="K998" s="36"/>
      <c r="L998" s="79"/>
      <c r="M998" s="79"/>
      <c r="N998" s="74"/>
      <c r="O998" s="81" t="s">
        <v>1533</v>
      </c>
      <c r="P998" s="83">
        <v>44463.978518518517</v>
      </c>
      <c r="Q998" s="81" t="s">
        <v>1911</v>
      </c>
      <c r="R998" s="81"/>
      <c r="S998" s="81"/>
      <c r="T998" s="81"/>
      <c r="U998" s="84" t="str">
        <f>HYPERLINK("https://pbs.twimg.com/media/E5xgRzuUcAElfn9.jpg")</f>
        <v>https://pbs.twimg.com/media/E5xgRzuUcAElfn9.jpg</v>
      </c>
      <c r="V998" s="84" t="str">
        <f>HYPERLINK("https://pbs.twimg.com/media/E5xgRzuUcAElfn9.jpg")</f>
        <v>https://pbs.twimg.com/media/E5xgRzuUcAElfn9.jpg</v>
      </c>
      <c r="W998" s="83">
        <v>44463.978518518517</v>
      </c>
      <c r="X998" s="89">
        <v>44463</v>
      </c>
      <c r="Y998" s="86" t="s">
        <v>3495</v>
      </c>
      <c r="Z998" s="84" t="str">
        <f>HYPERLINK("https://twitter.com/pld_dedy/status/1441545247251521536")</f>
        <v>https://twitter.com/pld_dedy/status/1441545247251521536</v>
      </c>
      <c r="AA998" s="81"/>
      <c r="AB998" s="81"/>
      <c r="AC998" s="86" t="s">
        <v>4960</v>
      </c>
      <c r="AD998" s="81"/>
      <c r="AE998" s="81" t="b">
        <v>0</v>
      </c>
      <c r="AF998" s="81">
        <v>0</v>
      </c>
      <c r="AG998" s="86" t="s">
        <v>6240</v>
      </c>
      <c r="AH998" s="81" t="b">
        <v>0</v>
      </c>
      <c r="AI998" s="81" t="s">
        <v>6478</v>
      </c>
      <c r="AJ998" s="81"/>
      <c r="AK998" s="86" t="s">
        <v>6240</v>
      </c>
      <c r="AL998" s="81" t="b">
        <v>0</v>
      </c>
      <c r="AM998" s="81">
        <v>9</v>
      </c>
      <c r="AN998" s="86" t="s">
        <v>4959</v>
      </c>
      <c r="AO998" s="86" t="s">
        <v>6503</v>
      </c>
      <c r="AP998" s="81" t="b">
        <v>0</v>
      </c>
      <c r="AQ998" s="86" t="s">
        <v>4959</v>
      </c>
      <c r="AR998" s="81" t="s">
        <v>179</v>
      </c>
      <c r="AS998" s="81">
        <v>0</v>
      </c>
      <c r="AT998" s="81">
        <v>0</v>
      </c>
      <c r="AU998" s="81"/>
      <c r="AV998" s="81"/>
      <c r="AW998" s="81"/>
      <c r="AX998" s="81"/>
      <c r="AY998" s="81"/>
      <c r="AZ998" s="81"/>
      <c r="BA998" s="81"/>
      <c r="BB998" s="81"/>
    </row>
    <row r="999" spans="1:54" x14ac:dyDescent="0.35">
      <c r="A999" s="66" t="s">
        <v>869</v>
      </c>
      <c r="B999" s="66" t="s">
        <v>1418</v>
      </c>
      <c r="C999" s="67"/>
      <c r="D999" s="68"/>
      <c r="E999" s="69"/>
      <c r="F999" s="70"/>
      <c r="G999" s="67"/>
      <c r="H999" s="71"/>
      <c r="I999" s="72"/>
      <c r="J999" s="72"/>
      <c r="K999" s="36"/>
      <c r="L999" s="79"/>
      <c r="M999" s="79"/>
      <c r="N999" s="74"/>
      <c r="O999" s="81" t="s">
        <v>1535</v>
      </c>
      <c r="P999" s="83">
        <v>44385.512858796297</v>
      </c>
      <c r="Q999" s="81" t="s">
        <v>1911</v>
      </c>
      <c r="R999" s="81"/>
      <c r="S999" s="81"/>
      <c r="T999" s="81"/>
      <c r="U999" s="84" t="str">
        <f>HYPERLINK("https://pbs.twimg.com/media/E5xgRzuUcAElfn9.jpg")</f>
        <v>https://pbs.twimg.com/media/E5xgRzuUcAElfn9.jpg</v>
      </c>
      <c r="V999" s="84" t="str">
        <f>HYPERLINK("https://pbs.twimg.com/media/E5xgRzuUcAElfn9.jpg")</f>
        <v>https://pbs.twimg.com/media/E5xgRzuUcAElfn9.jpg</v>
      </c>
      <c r="W999" s="83">
        <v>44385.512858796297</v>
      </c>
      <c r="X999" s="89">
        <v>44385</v>
      </c>
      <c r="Y999" s="86" t="s">
        <v>3494</v>
      </c>
      <c r="Z999" s="84" t="str">
        <f>HYPERLINK("https://twitter.com/hairulpasya/status/1413110244587102208")</f>
        <v>https://twitter.com/hairulpasya/status/1413110244587102208</v>
      </c>
      <c r="AA999" s="81"/>
      <c r="AB999" s="81"/>
      <c r="AC999" s="86" t="s">
        <v>4959</v>
      </c>
      <c r="AD999" s="81"/>
      <c r="AE999" s="81" t="b">
        <v>0</v>
      </c>
      <c r="AF999" s="81">
        <v>11</v>
      </c>
      <c r="AG999" s="86" t="s">
        <v>6240</v>
      </c>
      <c r="AH999" s="81" t="b">
        <v>0</v>
      </c>
      <c r="AI999" s="81" t="s">
        <v>6478</v>
      </c>
      <c r="AJ999" s="81"/>
      <c r="AK999" s="86" t="s">
        <v>6240</v>
      </c>
      <c r="AL999" s="81" t="b">
        <v>0</v>
      </c>
      <c r="AM999" s="81">
        <v>9</v>
      </c>
      <c r="AN999" s="86" t="s">
        <v>6240</v>
      </c>
      <c r="AO999" s="86" t="s">
        <v>6503</v>
      </c>
      <c r="AP999" s="81" t="b">
        <v>0</v>
      </c>
      <c r="AQ999" s="86" t="s">
        <v>4959</v>
      </c>
      <c r="AR999" s="81" t="s">
        <v>1532</v>
      </c>
      <c r="AS999" s="81">
        <v>0</v>
      </c>
      <c r="AT999" s="81">
        <v>0</v>
      </c>
      <c r="AU999" s="81"/>
      <c r="AV999" s="81"/>
      <c r="AW999" s="81"/>
      <c r="AX999" s="81"/>
      <c r="AY999" s="81"/>
      <c r="AZ999" s="81"/>
      <c r="BA999" s="81"/>
      <c r="BB999" s="81"/>
    </row>
    <row r="1000" spans="1:54" x14ac:dyDescent="0.35">
      <c r="A1000" s="66" t="s">
        <v>870</v>
      </c>
      <c r="B1000" s="66" t="s">
        <v>1418</v>
      </c>
      <c r="C1000" s="67"/>
      <c r="D1000" s="68"/>
      <c r="E1000" s="69"/>
      <c r="F1000" s="70"/>
      <c r="G1000" s="67"/>
      <c r="H1000" s="71"/>
      <c r="I1000" s="72"/>
      <c r="J1000" s="72"/>
      <c r="K1000" s="36"/>
      <c r="L1000" s="79"/>
      <c r="M1000" s="79"/>
      <c r="N1000" s="74"/>
      <c r="O1000" s="81" t="s">
        <v>1533</v>
      </c>
      <c r="P1000" s="83">
        <v>44463.978518518517</v>
      </c>
      <c r="Q1000" s="81" t="s">
        <v>1911</v>
      </c>
      <c r="R1000" s="81"/>
      <c r="S1000" s="81"/>
      <c r="T1000" s="81"/>
      <c r="U1000" s="84" t="str">
        <f>HYPERLINK("https://pbs.twimg.com/media/E5xgRzuUcAElfn9.jpg")</f>
        <v>https://pbs.twimg.com/media/E5xgRzuUcAElfn9.jpg</v>
      </c>
      <c r="V1000" s="84" t="str">
        <f>HYPERLINK("https://pbs.twimg.com/media/E5xgRzuUcAElfn9.jpg")</f>
        <v>https://pbs.twimg.com/media/E5xgRzuUcAElfn9.jpg</v>
      </c>
      <c r="W1000" s="83">
        <v>44463.978518518517</v>
      </c>
      <c r="X1000" s="89">
        <v>44463</v>
      </c>
      <c r="Y1000" s="86" t="s">
        <v>3495</v>
      </c>
      <c r="Z1000" s="84" t="str">
        <f>HYPERLINK("https://twitter.com/pld_dedy/status/1441545247251521536")</f>
        <v>https://twitter.com/pld_dedy/status/1441545247251521536</v>
      </c>
      <c r="AA1000" s="81"/>
      <c r="AB1000" s="81"/>
      <c r="AC1000" s="86" t="s">
        <v>4960</v>
      </c>
      <c r="AD1000" s="81"/>
      <c r="AE1000" s="81" t="b">
        <v>0</v>
      </c>
      <c r="AF1000" s="81">
        <v>0</v>
      </c>
      <c r="AG1000" s="86" t="s">
        <v>6240</v>
      </c>
      <c r="AH1000" s="81" t="b">
        <v>0</v>
      </c>
      <c r="AI1000" s="81" t="s">
        <v>6478</v>
      </c>
      <c r="AJ1000" s="81"/>
      <c r="AK1000" s="86" t="s">
        <v>6240</v>
      </c>
      <c r="AL1000" s="81" t="b">
        <v>0</v>
      </c>
      <c r="AM1000" s="81">
        <v>9</v>
      </c>
      <c r="AN1000" s="86" t="s">
        <v>4959</v>
      </c>
      <c r="AO1000" s="86" t="s">
        <v>6503</v>
      </c>
      <c r="AP1000" s="81" t="b">
        <v>0</v>
      </c>
      <c r="AQ1000" s="86" t="s">
        <v>4959</v>
      </c>
      <c r="AR1000" s="81" t="s">
        <v>179</v>
      </c>
      <c r="AS1000" s="81">
        <v>0</v>
      </c>
      <c r="AT1000" s="81">
        <v>0</v>
      </c>
      <c r="AU1000" s="81"/>
      <c r="AV1000" s="81"/>
      <c r="AW1000" s="81"/>
      <c r="AX1000" s="81"/>
      <c r="AY1000" s="81"/>
      <c r="AZ1000" s="81"/>
      <c r="BA1000" s="81"/>
      <c r="BB1000" s="81"/>
    </row>
    <row r="1001" spans="1:54" x14ac:dyDescent="0.35">
      <c r="A1001" s="66" t="s">
        <v>869</v>
      </c>
      <c r="B1001" s="66" t="s">
        <v>1419</v>
      </c>
      <c r="C1001" s="67"/>
      <c r="D1001" s="68"/>
      <c r="E1001" s="69"/>
      <c r="F1001" s="70"/>
      <c r="G1001" s="67"/>
      <c r="H1001" s="71"/>
      <c r="I1001" s="72"/>
      <c r="J1001" s="72"/>
      <c r="K1001" s="36"/>
      <c r="L1001" s="79"/>
      <c r="M1001" s="79"/>
      <c r="N1001" s="74"/>
      <c r="O1001" s="81" t="s">
        <v>1535</v>
      </c>
      <c r="P1001" s="83">
        <v>44385.512858796297</v>
      </c>
      <c r="Q1001" s="81" t="s">
        <v>1911</v>
      </c>
      <c r="R1001" s="81"/>
      <c r="S1001" s="81"/>
      <c r="T1001" s="81"/>
      <c r="U1001" s="84" t="str">
        <f>HYPERLINK("https://pbs.twimg.com/media/E5xgRzuUcAElfn9.jpg")</f>
        <v>https://pbs.twimg.com/media/E5xgRzuUcAElfn9.jpg</v>
      </c>
      <c r="V1001" s="84" t="str">
        <f>HYPERLINK("https://pbs.twimg.com/media/E5xgRzuUcAElfn9.jpg")</f>
        <v>https://pbs.twimg.com/media/E5xgRzuUcAElfn9.jpg</v>
      </c>
      <c r="W1001" s="83">
        <v>44385.512858796297</v>
      </c>
      <c r="X1001" s="89">
        <v>44385</v>
      </c>
      <c r="Y1001" s="86" t="s">
        <v>3494</v>
      </c>
      <c r="Z1001" s="84" t="str">
        <f>HYPERLINK("https://twitter.com/hairulpasya/status/1413110244587102208")</f>
        <v>https://twitter.com/hairulpasya/status/1413110244587102208</v>
      </c>
      <c r="AA1001" s="81"/>
      <c r="AB1001" s="81"/>
      <c r="AC1001" s="86" t="s">
        <v>4959</v>
      </c>
      <c r="AD1001" s="81"/>
      <c r="AE1001" s="81" t="b">
        <v>0</v>
      </c>
      <c r="AF1001" s="81">
        <v>11</v>
      </c>
      <c r="AG1001" s="86" t="s">
        <v>6240</v>
      </c>
      <c r="AH1001" s="81" t="b">
        <v>0</v>
      </c>
      <c r="AI1001" s="81" t="s">
        <v>6478</v>
      </c>
      <c r="AJ1001" s="81"/>
      <c r="AK1001" s="86" t="s">
        <v>6240</v>
      </c>
      <c r="AL1001" s="81" t="b">
        <v>0</v>
      </c>
      <c r="AM1001" s="81">
        <v>9</v>
      </c>
      <c r="AN1001" s="86" t="s">
        <v>6240</v>
      </c>
      <c r="AO1001" s="86" t="s">
        <v>6503</v>
      </c>
      <c r="AP1001" s="81" t="b">
        <v>0</v>
      </c>
      <c r="AQ1001" s="86" t="s">
        <v>4959</v>
      </c>
      <c r="AR1001" s="81" t="s">
        <v>1532</v>
      </c>
      <c r="AS1001" s="81">
        <v>0</v>
      </c>
      <c r="AT1001" s="81">
        <v>0</v>
      </c>
      <c r="AU1001" s="81"/>
      <c r="AV1001" s="81"/>
      <c r="AW1001" s="81"/>
      <c r="AX1001" s="81"/>
      <c r="AY1001" s="81"/>
      <c r="AZ1001" s="81"/>
      <c r="BA1001" s="81"/>
      <c r="BB1001" s="81"/>
    </row>
    <row r="1002" spans="1:54" x14ac:dyDescent="0.35">
      <c r="A1002" s="66" t="s">
        <v>870</v>
      </c>
      <c r="B1002" s="66" t="s">
        <v>1419</v>
      </c>
      <c r="C1002" s="67"/>
      <c r="D1002" s="68"/>
      <c r="E1002" s="69"/>
      <c r="F1002" s="70"/>
      <c r="G1002" s="67"/>
      <c r="H1002" s="71"/>
      <c r="I1002" s="72"/>
      <c r="J1002" s="72"/>
      <c r="K1002" s="36"/>
      <c r="L1002" s="79"/>
      <c r="M1002" s="79"/>
      <c r="N1002" s="74"/>
      <c r="O1002" s="81" t="s">
        <v>1533</v>
      </c>
      <c r="P1002" s="83">
        <v>44463.978518518517</v>
      </c>
      <c r="Q1002" s="81" t="s">
        <v>1911</v>
      </c>
      <c r="R1002" s="81"/>
      <c r="S1002" s="81"/>
      <c r="T1002" s="81"/>
      <c r="U1002" s="84" t="str">
        <f>HYPERLINK("https://pbs.twimg.com/media/E5xgRzuUcAElfn9.jpg")</f>
        <v>https://pbs.twimg.com/media/E5xgRzuUcAElfn9.jpg</v>
      </c>
      <c r="V1002" s="84" t="str">
        <f>HYPERLINK("https://pbs.twimg.com/media/E5xgRzuUcAElfn9.jpg")</f>
        <v>https://pbs.twimg.com/media/E5xgRzuUcAElfn9.jpg</v>
      </c>
      <c r="W1002" s="83">
        <v>44463.978518518517</v>
      </c>
      <c r="X1002" s="89">
        <v>44463</v>
      </c>
      <c r="Y1002" s="86" t="s">
        <v>3495</v>
      </c>
      <c r="Z1002" s="84" t="str">
        <f>HYPERLINK("https://twitter.com/pld_dedy/status/1441545247251521536")</f>
        <v>https://twitter.com/pld_dedy/status/1441545247251521536</v>
      </c>
      <c r="AA1002" s="81"/>
      <c r="AB1002" s="81"/>
      <c r="AC1002" s="86" t="s">
        <v>4960</v>
      </c>
      <c r="AD1002" s="81"/>
      <c r="AE1002" s="81" t="b">
        <v>0</v>
      </c>
      <c r="AF1002" s="81">
        <v>0</v>
      </c>
      <c r="AG1002" s="86" t="s">
        <v>6240</v>
      </c>
      <c r="AH1002" s="81" t="b">
        <v>0</v>
      </c>
      <c r="AI1002" s="81" t="s">
        <v>6478</v>
      </c>
      <c r="AJ1002" s="81"/>
      <c r="AK1002" s="86" t="s">
        <v>6240</v>
      </c>
      <c r="AL1002" s="81" t="b">
        <v>0</v>
      </c>
      <c r="AM1002" s="81">
        <v>9</v>
      </c>
      <c r="AN1002" s="86" t="s">
        <v>4959</v>
      </c>
      <c r="AO1002" s="86" t="s">
        <v>6503</v>
      </c>
      <c r="AP1002" s="81" t="b">
        <v>0</v>
      </c>
      <c r="AQ1002" s="86" t="s">
        <v>4959</v>
      </c>
      <c r="AR1002" s="81" t="s">
        <v>179</v>
      </c>
      <c r="AS1002" s="81">
        <v>0</v>
      </c>
      <c r="AT1002" s="81">
        <v>0</v>
      </c>
      <c r="AU1002" s="81"/>
      <c r="AV1002" s="81"/>
      <c r="AW1002" s="81"/>
      <c r="AX1002" s="81"/>
      <c r="AY1002" s="81"/>
      <c r="AZ1002" s="81"/>
      <c r="BA1002" s="81"/>
      <c r="BB1002" s="81"/>
    </row>
    <row r="1003" spans="1:54" x14ac:dyDescent="0.35">
      <c r="A1003" s="66" t="s">
        <v>869</v>
      </c>
      <c r="B1003" s="66" t="s">
        <v>1420</v>
      </c>
      <c r="C1003" s="67"/>
      <c r="D1003" s="68"/>
      <c r="E1003" s="69"/>
      <c r="F1003" s="70"/>
      <c r="G1003" s="67"/>
      <c r="H1003" s="71"/>
      <c r="I1003" s="72"/>
      <c r="J1003" s="72"/>
      <c r="K1003" s="36"/>
      <c r="L1003" s="79"/>
      <c r="M1003" s="79"/>
      <c r="N1003" s="74"/>
      <c r="O1003" s="81" t="s">
        <v>1535</v>
      </c>
      <c r="P1003" s="83">
        <v>44385.512858796297</v>
      </c>
      <c r="Q1003" s="81" t="s">
        <v>1911</v>
      </c>
      <c r="R1003" s="81"/>
      <c r="S1003" s="81"/>
      <c r="T1003" s="81"/>
      <c r="U1003" s="84" t="str">
        <f>HYPERLINK("https://pbs.twimg.com/media/E5xgRzuUcAElfn9.jpg")</f>
        <v>https://pbs.twimg.com/media/E5xgRzuUcAElfn9.jpg</v>
      </c>
      <c r="V1003" s="84" t="str">
        <f>HYPERLINK("https://pbs.twimg.com/media/E5xgRzuUcAElfn9.jpg")</f>
        <v>https://pbs.twimg.com/media/E5xgRzuUcAElfn9.jpg</v>
      </c>
      <c r="W1003" s="83">
        <v>44385.512858796297</v>
      </c>
      <c r="X1003" s="89">
        <v>44385</v>
      </c>
      <c r="Y1003" s="86" t="s">
        <v>3494</v>
      </c>
      <c r="Z1003" s="84" t="str">
        <f>HYPERLINK("https://twitter.com/hairulpasya/status/1413110244587102208")</f>
        <v>https://twitter.com/hairulpasya/status/1413110244587102208</v>
      </c>
      <c r="AA1003" s="81"/>
      <c r="AB1003" s="81"/>
      <c r="AC1003" s="86" t="s">
        <v>4959</v>
      </c>
      <c r="AD1003" s="81"/>
      <c r="AE1003" s="81" t="b">
        <v>0</v>
      </c>
      <c r="AF1003" s="81">
        <v>11</v>
      </c>
      <c r="AG1003" s="86" t="s">
        <v>6240</v>
      </c>
      <c r="AH1003" s="81" t="b">
        <v>0</v>
      </c>
      <c r="AI1003" s="81" t="s">
        <v>6478</v>
      </c>
      <c r="AJ1003" s="81"/>
      <c r="AK1003" s="86" t="s">
        <v>6240</v>
      </c>
      <c r="AL1003" s="81" t="b">
        <v>0</v>
      </c>
      <c r="AM1003" s="81">
        <v>9</v>
      </c>
      <c r="AN1003" s="86" t="s">
        <v>6240</v>
      </c>
      <c r="AO1003" s="86" t="s">
        <v>6503</v>
      </c>
      <c r="AP1003" s="81" t="b">
        <v>0</v>
      </c>
      <c r="AQ1003" s="86" t="s">
        <v>4959</v>
      </c>
      <c r="AR1003" s="81" t="s">
        <v>1532</v>
      </c>
      <c r="AS1003" s="81">
        <v>0</v>
      </c>
      <c r="AT1003" s="81">
        <v>0</v>
      </c>
      <c r="AU1003" s="81"/>
      <c r="AV1003" s="81"/>
      <c r="AW1003" s="81"/>
      <c r="AX1003" s="81"/>
      <c r="AY1003" s="81"/>
      <c r="AZ1003" s="81"/>
      <c r="BA1003" s="81"/>
      <c r="BB1003" s="81"/>
    </row>
    <row r="1004" spans="1:54" x14ac:dyDescent="0.35">
      <c r="A1004" s="66" t="s">
        <v>870</v>
      </c>
      <c r="B1004" s="66" t="s">
        <v>1420</v>
      </c>
      <c r="C1004" s="67"/>
      <c r="D1004" s="68"/>
      <c r="E1004" s="69"/>
      <c r="F1004" s="70"/>
      <c r="G1004" s="67"/>
      <c r="H1004" s="71"/>
      <c r="I1004" s="72"/>
      <c r="J1004" s="72"/>
      <c r="K1004" s="36"/>
      <c r="L1004" s="79"/>
      <c r="M1004" s="79"/>
      <c r="N1004" s="74"/>
      <c r="O1004" s="81" t="s">
        <v>1533</v>
      </c>
      <c r="P1004" s="83">
        <v>44463.978518518517</v>
      </c>
      <c r="Q1004" s="81" t="s">
        <v>1911</v>
      </c>
      <c r="R1004" s="81"/>
      <c r="S1004" s="81"/>
      <c r="T1004" s="81"/>
      <c r="U1004" s="84" t="str">
        <f>HYPERLINK("https://pbs.twimg.com/media/E5xgRzuUcAElfn9.jpg")</f>
        <v>https://pbs.twimg.com/media/E5xgRzuUcAElfn9.jpg</v>
      </c>
      <c r="V1004" s="84" t="str">
        <f>HYPERLINK("https://pbs.twimg.com/media/E5xgRzuUcAElfn9.jpg")</f>
        <v>https://pbs.twimg.com/media/E5xgRzuUcAElfn9.jpg</v>
      </c>
      <c r="W1004" s="83">
        <v>44463.978518518517</v>
      </c>
      <c r="X1004" s="89">
        <v>44463</v>
      </c>
      <c r="Y1004" s="86" t="s">
        <v>3495</v>
      </c>
      <c r="Z1004" s="84" t="str">
        <f>HYPERLINK("https://twitter.com/pld_dedy/status/1441545247251521536")</f>
        <v>https://twitter.com/pld_dedy/status/1441545247251521536</v>
      </c>
      <c r="AA1004" s="81"/>
      <c r="AB1004" s="81"/>
      <c r="AC1004" s="86" t="s">
        <v>4960</v>
      </c>
      <c r="AD1004" s="81"/>
      <c r="AE1004" s="81" t="b">
        <v>0</v>
      </c>
      <c r="AF1004" s="81">
        <v>0</v>
      </c>
      <c r="AG1004" s="86" t="s">
        <v>6240</v>
      </c>
      <c r="AH1004" s="81" t="b">
        <v>0</v>
      </c>
      <c r="AI1004" s="81" t="s">
        <v>6478</v>
      </c>
      <c r="AJ1004" s="81"/>
      <c r="AK1004" s="86" t="s">
        <v>6240</v>
      </c>
      <c r="AL1004" s="81" t="b">
        <v>0</v>
      </c>
      <c r="AM1004" s="81">
        <v>9</v>
      </c>
      <c r="AN1004" s="86" t="s">
        <v>4959</v>
      </c>
      <c r="AO1004" s="86" t="s">
        <v>6503</v>
      </c>
      <c r="AP1004" s="81" t="b">
        <v>0</v>
      </c>
      <c r="AQ1004" s="86" t="s">
        <v>4959</v>
      </c>
      <c r="AR1004" s="81" t="s">
        <v>179</v>
      </c>
      <c r="AS1004" s="81">
        <v>0</v>
      </c>
      <c r="AT1004" s="81">
        <v>0</v>
      </c>
      <c r="AU1004" s="81"/>
      <c r="AV1004" s="81"/>
      <c r="AW1004" s="81"/>
      <c r="AX1004" s="81"/>
      <c r="AY1004" s="81"/>
      <c r="AZ1004" s="81"/>
      <c r="BA1004" s="81"/>
      <c r="BB1004" s="81"/>
    </row>
    <row r="1005" spans="1:54" x14ac:dyDescent="0.35">
      <c r="A1005" s="66" t="s">
        <v>869</v>
      </c>
      <c r="B1005" s="66" t="s">
        <v>1421</v>
      </c>
      <c r="C1005" s="67"/>
      <c r="D1005" s="68"/>
      <c r="E1005" s="69"/>
      <c r="F1005" s="70"/>
      <c r="G1005" s="67"/>
      <c r="H1005" s="71"/>
      <c r="I1005" s="72"/>
      <c r="J1005" s="72"/>
      <c r="K1005" s="36"/>
      <c r="L1005" s="79"/>
      <c r="M1005" s="79"/>
      <c r="N1005" s="74"/>
      <c r="O1005" s="81" t="s">
        <v>1535</v>
      </c>
      <c r="P1005" s="83">
        <v>44385.512858796297</v>
      </c>
      <c r="Q1005" s="81" t="s">
        <v>1911</v>
      </c>
      <c r="R1005" s="81"/>
      <c r="S1005" s="81"/>
      <c r="T1005" s="81"/>
      <c r="U1005" s="84" t="str">
        <f>HYPERLINK("https://pbs.twimg.com/media/E5xgRzuUcAElfn9.jpg")</f>
        <v>https://pbs.twimg.com/media/E5xgRzuUcAElfn9.jpg</v>
      </c>
      <c r="V1005" s="84" t="str">
        <f>HYPERLINK("https://pbs.twimg.com/media/E5xgRzuUcAElfn9.jpg")</f>
        <v>https://pbs.twimg.com/media/E5xgRzuUcAElfn9.jpg</v>
      </c>
      <c r="W1005" s="83">
        <v>44385.512858796297</v>
      </c>
      <c r="X1005" s="89">
        <v>44385</v>
      </c>
      <c r="Y1005" s="86" t="s">
        <v>3494</v>
      </c>
      <c r="Z1005" s="84" t="str">
        <f>HYPERLINK("https://twitter.com/hairulpasya/status/1413110244587102208")</f>
        <v>https://twitter.com/hairulpasya/status/1413110244587102208</v>
      </c>
      <c r="AA1005" s="81"/>
      <c r="AB1005" s="81"/>
      <c r="AC1005" s="86" t="s">
        <v>4959</v>
      </c>
      <c r="AD1005" s="81"/>
      <c r="AE1005" s="81" t="b">
        <v>0</v>
      </c>
      <c r="AF1005" s="81">
        <v>11</v>
      </c>
      <c r="AG1005" s="86" t="s">
        <v>6240</v>
      </c>
      <c r="AH1005" s="81" t="b">
        <v>0</v>
      </c>
      <c r="AI1005" s="81" t="s">
        <v>6478</v>
      </c>
      <c r="AJ1005" s="81"/>
      <c r="AK1005" s="86" t="s">
        <v>6240</v>
      </c>
      <c r="AL1005" s="81" t="b">
        <v>0</v>
      </c>
      <c r="AM1005" s="81">
        <v>9</v>
      </c>
      <c r="AN1005" s="86" t="s">
        <v>6240</v>
      </c>
      <c r="AO1005" s="86" t="s">
        <v>6503</v>
      </c>
      <c r="AP1005" s="81" t="b">
        <v>0</v>
      </c>
      <c r="AQ1005" s="86" t="s">
        <v>4959</v>
      </c>
      <c r="AR1005" s="81" t="s">
        <v>1532</v>
      </c>
      <c r="AS1005" s="81">
        <v>0</v>
      </c>
      <c r="AT1005" s="81">
        <v>0</v>
      </c>
      <c r="AU1005" s="81"/>
      <c r="AV1005" s="81"/>
      <c r="AW1005" s="81"/>
      <c r="AX1005" s="81"/>
      <c r="AY1005" s="81"/>
      <c r="AZ1005" s="81"/>
      <c r="BA1005" s="81"/>
      <c r="BB1005" s="81"/>
    </row>
    <row r="1006" spans="1:54" x14ac:dyDescent="0.35">
      <c r="A1006" s="66" t="s">
        <v>870</v>
      </c>
      <c r="B1006" s="66" t="s">
        <v>1421</v>
      </c>
      <c r="C1006" s="67"/>
      <c r="D1006" s="68"/>
      <c r="E1006" s="69"/>
      <c r="F1006" s="70"/>
      <c r="G1006" s="67"/>
      <c r="H1006" s="71"/>
      <c r="I1006" s="72"/>
      <c r="J1006" s="72"/>
      <c r="K1006" s="36"/>
      <c r="L1006" s="79"/>
      <c r="M1006" s="79"/>
      <c r="N1006" s="74"/>
      <c r="O1006" s="81" t="s">
        <v>1533</v>
      </c>
      <c r="P1006" s="83">
        <v>44463.978518518517</v>
      </c>
      <c r="Q1006" s="81" t="s">
        <v>1911</v>
      </c>
      <c r="R1006" s="81"/>
      <c r="S1006" s="81"/>
      <c r="T1006" s="81"/>
      <c r="U1006" s="84" t="str">
        <f>HYPERLINK("https://pbs.twimg.com/media/E5xgRzuUcAElfn9.jpg")</f>
        <v>https://pbs.twimg.com/media/E5xgRzuUcAElfn9.jpg</v>
      </c>
      <c r="V1006" s="84" t="str">
        <f>HYPERLINK("https://pbs.twimg.com/media/E5xgRzuUcAElfn9.jpg")</f>
        <v>https://pbs.twimg.com/media/E5xgRzuUcAElfn9.jpg</v>
      </c>
      <c r="W1006" s="83">
        <v>44463.978518518517</v>
      </c>
      <c r="X1006" s="89">
        <v>44463</v>
      </c>
      <c r="Y1006" s="86" t="s">
        <v>3495</v>
      </c>
      <c r="Z1006" s="84" t="str">
        <f>HYPERLINK("https://twitter.com/pld_dedy/status/1441545247251521536")</f>
        <v>https://twitter.com/pld_dedy/status/1441545247251521536</v>
      </c>
      <c r="AA1006" s="81"/>
      <c r="AB1006" s="81"/>
      <c r="AC1006" s="86" t="s">
        <v>4960</v>
      </c>
      <c r="AD1006" s="81"/>
      <c r="AE1006" s="81" t="b">
        <v>0</v>
      </c>
      <c r="AF1006" s="81">
        <v>0</v>
      </c>
      <c r="AG1006" s="86" t="s">
        <v>6240</v>
      </c>
      <c r="AH1006" s="81" t="b">
        <v>0</v>
      </c>
      <c r="AI1006" s="81" t="s">
        <v>6478</v>
      </c>
      <c r="AJ1006" s="81"/>
      <c r="AK1006" s="86" t="s">
        <v>6240</v>
      </c>
      <c r="AL1006" s="81" t="b">
        <v>0</v>
      </c>
      <c r="AM1006" s="81">
        <v>9</v>
      </c>
      <c r="AN1006" s="86" t="s">
        <v>4959</v>
      </c>
      <c r="AO1006" s="86" t="s">
        <v>6503</v>
      </c>
      <c r="AP1006" s="81" t="b">
        <v>0</v>
      </c>
      <c r="AQ1006" s="86" t="s">
        <v>4959</v>
      </c>
      <c r="AR1006" s="81" t="s">
        <v>179</v>
      </c>
      <c r="AS1006" s="81">
        <v>0</v>
      </c>
      <c r="AT1006" s="81">
        <v>0</v>
      </c>
      <c r="AU1006" s="81"/>
      <c r="AV1006" s="81"/>
      <c r="AW1006" s="81"/>
      <c r="AX1006" s="81"/>
      <c r="AY1006" s="81"/>
      <c r="AZ1006" s="81"/>
      <c r="BA1006" s="81"/>
      <c r="BB1006" s="81"/>
    </row>
    <row r="1007" spans="1:54" x14ac:dyDescent="0.35">
      <c r="A1007" s="66" t="s">
        <v>869</v>
      </c>
      <c r="B1007" s="66" t="s">
        <v>1422</v>
      </c>
      <c r="C1007" s="67"/>
      <c r="D1007" s="68"/>
      <c r="E1007" s="69"/>
      <c r="F1007" s="70"/>
      <c r="G1007" s="67"/>
      <c r="H1007" s="71"/>
      <c r="I1007" s="72"/>
      <c r="J1007" s="72"/>
      <c r="K1007" s="36"/>
      <c r="L1007" s="79"/>
      <c r="M1007" s="79"/>
      <c r="N1007" s="74"/>
      <c r="O1007" s="81" t="s">
        <v>1535</v>
      </c>
      <c r="P1007" s="83">
        <v>44385.512858796297</v>
      </c>
      <c r="Q1007" s="81" t="s">
        <v>1911</v>
      </c>
      <c r="R1007" s="81"/>
      <c r="S1007" s="81"/>
      <c r="T1007" s="81"/>
      <c r="U1007" s="84" t="str">
        <f>HYPERLINK("https://pbs.twimg.com/media/E5xgRzuUcAElfn9.jpg")</f>
        <v>https://pbs.twimg.com/media/E5xgRzuUcAElfn9.jpg</v>
      </c>
      <c r="V1007" s="84" t="str">
        <f>HYPERLINK("https://pbs.twimg.com/media/E5xgRzuUcAElfn9.jpg")</f>
        <v>https://pbs.twimg.com/media/E5xgRzuUcAElfn9.jpg</v>
      </c>
      <c r="W1007" s="83">
        <v>44385.512858796297</v>
      </c>
      <c r="X1007" s="89">
        <v>44385</v>
      </c>
      <c r="Y1007" s="86" t="s">
        <v>3494</v>
      </c>
      <c r="Z1007" s="84" t="str">
        <f>HYPERLINK("https://twitter.com/hairulpasya/status/1413110244587102208")</f>
        <v>https://twitter.com/hairulpasya/status/1413110244587102208</v>
      </c>
      <c r="AA1007" s="81"/>
      <c r="AB1007" s="81"/>
      <c r="AC1007" s="86" t="s">
        <v>4959</v>
      </c>
      <c r="AD1007" s="81"/>
      <c r="AE1007" s="81" t="b">
        <v>0</v>
      </c>
      <c r="AF1007" s="81">
        <v>11</v>
      </c>
      <c r="AG1007" s="86" t="s">
        <v>6240</v>
      </c>
      <c r="AH1007" s="81" t="b">
        <v>0</v>
      </c>
      <c r="AI1007" s="81" t="s">
        <v>6478</v>
      </c>
      <c r="AJ1007" s="81"/>
      <c r="AK1007" s="86" t="s">
        <v>6240</v>
      </c>
      <c r="AL1007" s="81" t="b">
        <v>0</v>
      </c>
      <c r="AM1007" s="81">
        <v>9</v>
      </c>
      <c r="AN1007" s="86" t="s">
        <v>6240</v>
      </c>
      <c r="AO1007" s="86" t="s">
        <v>6503</v>
      </c>
      <c r="AP1007" s="81" t="b">
        <v>0</v>
      </c>
      <c r="AQ1007" s="86" t="s">
        <v>4959</v>
      </c>
      <c r="AR1007" s="81" t="s">
        <v>1532</v>
      </c>
      <c r="AS1007" s="81">
        <v>0</v>
      </c>
      <c r="AT1007" s="81">
        <v>0</v>
      </c>
      <c r="AU1007" s="81"/>
      <c r="AV1007" s="81"/>
      <c r="AW1007" s="81"/>
      <c r="AX1007" s="81"/>
      <c r="AY1007" s="81"/>
      <c r="AZ1007" s="81"/>
      <c r="BA1007" s="81"/>
      <c r="BB1007" s="81"/>
    </row>
    <row r="1008" spans="1:54" x14ac:dyDescent="0.35">
      <c r="A1008" s="66" t="s">
        <v>870</v>
      </c>
      <c r="B1008" s="66" t="s">
        <v>1422</v>
      </c>
      <c r="C1008" s="67"/>
      <c r="D1008" s="68"/>
      <c r="E1008" s="69"/>
      <c r="F1008" s="70"/>
      <c r="G1008" s="67"/>
      <c r="H1008" s="71"/>
      <c r="I1008" s="72"/>
      <c r="J1008" s="72"/>
      <c r="K1008" s="36"/>
      <c r="L1008" s="79"/>
      <c r="M1008" s="79"/>
      <c r="N1008" s="74"/>
      <c r="O1008" s="81" t="s">
        <v>1533</v>
      </c>
      <c r="P1008" s="83">
        <v>44463.978518518517</v>
      </c>
      <c r="Q1008" s="81" t="s">
        <v>1911</v>
      </c>
      <c r="R1008" s="81"/>
      <c r="S1008" s="81"/>
      <c r="T1008" s="81"/>
      <c r="U1008" s="84" t="str">
        <f>HYPERLINK("https://pbs.twimg.com/media/E5xgRzuUcAElfn9.jpg")</f>
        <v>https://pbs.twimg.com/media/E5xgRzuUcAElfn9.jpg</v>
      </c>
      <c r="V1008" s="84" t="str">
        <f>HYPERLINK("https://pbs.twimg.com/media/E5xgRzuUcAElfn9.jpg")</f>
        <v>https://pbs.twimg.com/media/E5xgRzuUcAElfn9.jpg</v>
      </c>
      <c r="W1008" s="83">
        <v>44463.978518518517</v>
      </c>
      <c r="X1008" s="89">
        <v>44463</v>
      </c>
      <c r="Y1008" s="86" t="s">
        <v>3495</v>
      </c>
      <c r="Z1008" s="84" t="str">
        <f>HYPERLINK("https://twitter.com/pld_dedy/status/1441545247251521536")</f>
        <v>https://twitter.com/pld_dedy/status/1441545247251521536</v>
      </c>
      <c r="AA1008" s="81"/>
      <c r="AB1008" s="81"/>
      <c r="AC1008" s="86" t="s">
        <v>4960</v>
      </c>
      <c r="AD1008" s="81"/>
      <c r="AE1008" s="81" t="b">
        <v>0</v>
      </c>
      <c r="AF1008" s="81">
        <v>0</v>
      </c>
      <c r="AG1008" s="86" t="s">
        <v>6240</v>
      </c>
      <c r="AH1008" s="81" t="b">
        <v>0</v>
      </c>
      <c r="AI1008" s="81" t="s">
        <v>6478</v>
      </c>
      <c r="AJ1008" s="81"/>
      <c r="AK1008" s="86" t="s">
        <v>6240</v>
      </c>
      <c r="AL1008" s="81" t="b">
        <v>0</v>
      </c>
      <c r="AM1008" s="81">
        <v>9</v>
      </c>
      <c r="AN1008" s="86" t="s">
        <v>4959</v>
      </c>
      <c r="AO1008" s="86" t="s">
        <v>6503</v>
      </c>
      <c r="AP1008" s="81" t="b">
        <v>0</v>
      </c>
      <c r="AQ1008" s="86" t="s">
        <v>4959</v>
      </c>
      <c r="AR1008" s="81" t="s">
        <v>179</v>
      </c>
      <c r="AS1008" s="81">
        <v>0</v>
      </c>
      <c r="AT1008" s="81">
        <v>0</v>
      </c>
      <c r="AU1008" s="81"/>
      <c r="AV1008" s="81"/>
      <c r="AW1008" s="81"/>
      <c r="AX1008" s="81"/>
      <c r="AY1008" s="81"/>
      <c r="AZ1008" s="81"/>
      <c r="BA1008" s="81"/>
      <c r="BB1008" s="81"/>
    </row>
    <row r="1009" spans="1:54" x14ac:dyDescent="0.35">
      <c r="A1009" s="66" t="s">
        <v>870</v>
      </c>
      <c r="B1009" s="66" t="s">
        <v>869</v>
      </c>
      <c r="C1009" s="67"/>
      <c r="D1009" s="68"/>
      <c r="E1009" s="69"/>
      <c r="F1009" s="70"/>
      <c r="G1009" s="67"/>
      <c r="H1009" s="71"/>
      <c r="I1009" s="72"/>
      <c r="J1009" s="72"/>
      <c r="K1009" s="36"/>
      <c r="L1009" s="79"/>
      <c r="M1009" s="79"/>
      <c r="N1009" s="74"/>
      <c r="O1009" s="81" t="s">
        <v>1532</v>
      </c>
      <c r="P1009" s="83">
        <v>44463.978518518517</v>
      </c>
      <c r="Q1009" s="81" t="s">
        <v>1911</v>
      </c>
      <c r="R1009" s="81"/>
      <c r="S1009" s="81"/>
      <c r="T1009" s="81"/>
      <c r="U1009" s="84" t="str">
        <f>HYPERLINK("https://pbs.twimg.com/media/E5xgRzuUcAElfn9.jpg")</f>
        <v>https://pbs.twimg.com/media/E5xgRzuUcAElfn9.jpg</v>
      </c>
      <c r="V1009" s="84" t="str">
        <f>HYPERLINK("https://pbs.twimg.com/media/E5xgRzuUcAElfn9.jpg")</f>
        <v>https://pbs.twimg.com/media/E5xgRzuUcAElfn9.jpg</v>
      </c>
      <c r="W1009" s="83">
        <v>44463.978518518517</v>
      </c>
      <c r="X1009" s="89">
        <v>44463</v>
      </c>
      <c r="Y1009" s="86" t="s">
        <v>3495</v>
      </c>
      <c r="Z1009" s="84" t="str">
        <f>HYPERLINK("https://twitter.com/pld_dedy/status/1441545247251521536")</f>
        <v>https://twitter.com/pld_dedy/status/1441545247251521536</v>
      </c>
      <c r="AA1009" s="81"/>
      <c r="AB1009" s="81"/>
      <c r="AC1009" s="86" t="s">
        <v>4960</v>
      </c>
      <c r="AD1009" s="81"/>
      <c r="AE1009" s="81" t="b">
        <v>0</v>
      </c>
      <c r="AF1009" s="81">
        <v>0</v>
      </c>
      <c r="AG1009" s="86" t="s">
        <v>6240</v>
      </c>
      <c r="AH1009" s="81" t="b">
        <v>0</v>
      </c>
      <c r="AI1009" s="81" t="s">
        <v>6478</v>
      </c>
      <c r="AJ1009" s="81"/>
      <c r="AK1009" s="86" t="s">
        <v>6240</v>
      </c>
      <c r="AL1009" s="81" t="b">
        <v>0</v>
      </c>
      <c r="AM1009" s="81">
        <v>9</v>
      </c>
      <c r="AN1009" s="86" t="s">
        <v>4959</v>
      </c>
      <c r="AO1009" s="86" t="s">
        <v>6503</v>
      </c>
      <c r="AP1009" s="81" t="b">
        <v>0</v>
      </c>
      <c r="AQ1009" s="86" t="s">
        <v>4959</v>
      </c>
      <c r="AR1009" s="81" t="s">
        <v>179</v>
      </c>
      <c r="AS1009" s="81">
        <v>0</v>
      </c>
      <c r="AT1009" s="81">
        <v>0</v>
      </c>
      <c r="AU1009" s="81"/>
      <c r="AV1009" s="81"/>
      <c r="AW1009" s="81"/>
      <c r="AX1009" s="81"/>
      <c r="AY1009" s="81"/>
      <c r="AZ1009" s="81"/>
      <c r="BA1009" s="81"/>
      <c r="BB1009" s="81"/>
    </row>
    <row r="1010" spans="1:54" x14ac:dyDescent="0.35">
      <c r="A1010" s="66" t="s">
        <v>871</v>
      </c>
      <c r="B1010" s="66" t="s">
        <v>1423</v>
      </c>
      <c r="C1010" s="67"/>
      <c r="D1010" s="68"/>
      <c r="E1010" s="69"/>
      <c r="F1010" s="70"/>
      <c r="G1010" s="67"/>
      <c r="H1010" s="71"/>
      <c r="I1010" s="72"/>
      <c r="J1010" s="72"/>
      <c r="K1010" s="36"/>
      <c r="L1010" s="79"/>
      <c r="M1010" s="79"/>
      <c r="N1010" s="74"/>
      <c r="O1010" s="81" t="s">
        <v>1535</v>
      </c>
      <c r="P1010" s="83">
        <v>44460.741168981483</v>
      </c>
      <c r="Q1010" s="81" t="s">
        <v>1912</v>
      </c>
      <c r="R1010" s="84" t="str">
        <f>HYPERLINK("https://batarapos.com/relawan-jokowi-deklarasi-ganjar-erick-capres-cawapres-2024-partai-ukm-indonesia-apresiasi-sebagai-penerus-jokowi/")</f>
        <v>https://batarapos.com/relawan-jokowi-deklarasi-ganjar-erick-capres-cawapres-2024-partai-ukm-indonesia-apresiasi-sebagai-penerus-jokowi/</v>
      </c>
      <c r="S1010" s="81" t="s">
        <v>2627</v>
      </c>
      <c r="T1010" s="81"/>
      <c r="U1010" s="81"/>
      <c r="V1010" s="84" t="str">
        <f>HYPERLINK("https://pbs.twimg.com/profile_images/1215260101302312961/UjfI7eul_normal.jpg")</f>
        <v>https://pbs.twimg.com/profile_images/1215260101302312961/UjfI7eul_normal.jpg</v>
      </c>
      <c r="W1010" s="83">
        <v>44460.741168981483</v>
      </c>
      <c r="X1010" s="89">
        <v>44460</v>
      </c>
      <c r="Y1010" s="86" t="s">
        <v>3496</v>
      </c>
      <c r="Z1010" s="84" t="str">
        <f>HYPERLINK("https://twitter.com/gusdinsurabaya/status/1440372072937525251")</f>
        <v>https://twitter.com/gusdinsurabaya/status/1440372072937525251</v>
      </c>
      <c r="AA1010" s="81"/>
      <c r="AB1010" s="81"/>
      <c r="AC1010" s="86" t="s">
        <v>4961</v>
      </c>
      <c r="AD1010" s="81"/>
      <c r="AE1010" s="81" t="b">
        <v>0</v>
      </c>
      <c r="AF1010" s="81">
        <v>2</v>
      </c>
      <c r="AG1010" s="86" t="s">
        <v>6240</v>
      </c>
      <c r="AH1010" s="81" t="b">
        <v>0</v>
      </c>
      <c r="AI1010" s="81" t="s">
        <v>6478</v>
      </c>
      <c r="AJ1010" s="81"/>
      <c r="AK1010" s="86" t="s">
        <v>6240</v>
      </c>
      <c r="AL1010" s="81" t="b">
        <v>0</v>
      </c>
      <c r="AM1010" s="81">
        <v>0</v>
      </c>
      <c r="AN1010" s="86" t="s">
        <v>6240</v>
      </c>
      <c r="AO1010" s="86" t="s">
        <v>6507</v>
      </c>
      <c r="AP1010" s="81" t="b">
        <v>0</v>
      </c>
      <c r="AQ1010" s="86" t="s">
        <v>4961</v>
      </c>
      <c r="AR1010" s="81" t="s">
        <v>179</v>
      </c>
      <c r="AS1010" s="81">
        <v>0</v>
      </c>
      <c r="AT1010" s="81">
        <v>0</v>
      </c>
      <c r="AU1010" s="81"/>
      <c r="AV1010" s="81"/>
      <c r="AW1010" s="81"/>
      <c r="AX1010" s="81"/>
      <c r="AY1010" s="81"/>
      <c r="AZ1010" s="81"/>
      <c r="BA1010" s="81"/>
      <c r="BB1010" s="81"/>
    </row>
    <row r="1011" spans="1:54" x14ac:dyDescent="0.35">
      <c r="A1011" s="66" t="s">
        <v>871</v>
      </c>
      <c r="B1011" s="66" t="s">
        <v>1423</v>
      </c>
      <c r="C1011" s="67"/>
      <c r="D1011" s="68"/>
      <c r="E1011" s="69"/>
      <c r="F1011" s="70"/>
      <c r="G1011" s="67"/>
      <c r="H1011" s="71"/>
      <c r="I1011" s="72"/>
      <c r="J1011" s="72"/>
      <c r="K1011" s="36"/>
      <c r="L1011" s="79"/>
      <c r="M1011" s="79"/>
      <c r="N1011" s="74"/>
      <c r="O1011" s="81" t="s">
        <v>1535</v>
      </c>
      <c r="P1011" s="83">
        <v>44464.037777777776</v>
      </c>
      <c r="Q1011" s="81" t="s">
        <v>1913</v>
      </c>
      <c r="R1011" s="84" t="str">
        <f>HYPERLINK("https://batarapos.com/aidil-fitri-dilantik-jadi-komisaris-bumn-angkasa-pura-supports-ketum-partai-ukm-indonesia-ucapkan-selamat-bekerja/")</f>
        <v>https://batarapos.com/aidil-fitri-dilantik-jadi-komisaris-bumn-angkasa-pura-supports-ketum-partai-ukm-indonesia-ucapkan-selamat-bekerja/</v>
      </c>
      <c r="S1011" s="81" t="s">
        <v>2627</v>
      </c>
      <c r="T1011" s="81"/>
      <c r="U1011" s="81"/>
      <c r="V1011" s="84" t="str">
        <f>HYPERLINK("https://pbs.twimg.com/profile_images/1215260101302312961/UjfI7eul_normal.jpg")</f>
        <v>https://pbs.twimg.com/profile_images/1215260101302312961/UjfI7eul_normal.jpg</v>
      </c>
      <c r="W1011" s="83">
        <v>44464.037777777776</v>
      </c>
      <c r="X1011" s="89">
        <v>44464</v>
      </c>
      <c r="Y1011" s="86" t="s">
        <v>3497</v>
      </c>
      <c r="Z1011" s="84" t="str">
        <f>HYPERLINK("https://twitter.com/gusdinsurabaya/status/1441566724713709572")</f>
        <v>https://twitter.com/gusdinsurabaya/status/1441566724713709572</v>
      </c>
      <c r="AA1011" s="81"/>
      <c r="AB1011" s="81"/>
      <c r="AC1011" s="86" t="s">
        <v>4962</v>
      </c>
      <c r="AD1011" s="81"/>
      <c r="AE1011" s="81" t="b">
        <v>0</v>
      </c>
      <c r="AF1011" s="81">
        <v>0</v>
      </c>
      <c r="AG1011" s="86" t="s">
        <v>6240</v>
      </c>
      <c r="AH1011" s="81" t="b">
        <v>0</v>
      </c>
      <c r="AI1011" s="81" t="s">
        <v>6478</v>
      </c>
      <c r="AJ1011" s="81"/>
      <c r="AK1011" s="86" t="s">
        <v>6240</v>
      </c>
      <c r="AL1011" s="81" t="b">
        <v>0</v>
      </c>
      <c r="AM1011" s="81">
        <v>0</v>
      </c>
      <c r="AN1011" s="86" t="s">
        <v>6240</v>
      </c>
      <c r="AO1011" s="86" t="s">
        <v>6507</v>
      </c>
      <c r="AP1011" s="81" t="b">
        <v>0</v>
      </c>
      <c r="AQ1011" s="86" t="s">
        <v>4962</v>
      </c>
      <c r="AR1011" s="81" t="s">
        <v>179</v>
      </c>
      <c r="AS1011" s="81">
        <v>0</v>
      </c>
      <c r="AT1011" s="81">
        <v>0</v>
      </c>
      <c r="AU1011" s="81"/>
      <c r="AV1011" s="81"/>
      <c r="AW1011" s="81"/>
      <c r="AX1011" s="81"/>
      <c r="AY1011" s="81"/>
      <c r="AZ1011" s="81"/>
      <c r="BA1011" s="81"/>
      <c r="BB1011" s="81"/>
    </row>
    <row r="1012" spans="1:54" x14ac:dyDescent="0.35">
      <c r="A1012" s="66" t="s">
        <v>871</v>
      </c>
      <c r="B1012" s="66" t="s">
        <v>1423</v>
      </c>
      <c r="C1012" s="67"/>
      <c r="D1012" s="68"/>
      <c r="E1012" s="69"/>
      <c r="F1012" s="70"/>
      <c r="G1012" s="67"/>
      <c r="H1012" s="71"/>
      <c r="I1012" s="72"/>
      <c r="J1012" s="72"/>
      <c r="K1012" s="36"/>
      <c r="L1012" s="79"/>
      <c r="M1012" s="79"/>
      <c r="N1012" s="74"/>
      <c r="O1012" s="81" t="s">
        <v>1535</v>
      </c>
      <c r="P1012" s="83">
        <v>44464.038182870368</v>
      </c>
      <c r="Q1012" s="81" t="s">
        <v>1914</v>
      </c>
      <c r="R1012" s="84" t="str">
        <f>HYPERLINK("https://batarapos.com/pengurus-dpw-partai-ukm-indonesia-provinsi-banten-siap-kibarkan-bendera-di-seluruh-banten/")</f>
        <v>https://batarapos.com/pengurus-dpw-partai-ukm-indonesia-provinsi-banten-siap-kibarkan-bendera-di-seluruh-banten/</v>
      </c>
      <c r="S1012" s="81" t="s">
        <v>2627</v>
      </c>
      <c r="T1012" s="81"/>
      <c r="U1012" s="81"/>
      <c r="V1012" s="84" t="str">
        <f>HYPERLINK("https://pbs.twimg.com/profile_images/1215260101302312961/UjfI7eul_normal.jpg")</f>
        <v>https://pbs.twimg.com/profile_images/1215260101302312961/UjfI7eul_normal.jpg</v>
      </c>
      <c r="W1012" s="83">
        <v>44464.038182870368</v>
      </c>
      <c r="X1012" s="89">
        <v>44464</v>
      </c>
      <c r="Y1012" s="86" t="s">
        <v>3498</v>
      </c>
      <c r="Z1012" s="84" t="str">
        <f>HYPERLINK("https://twitter.com/gusdinsurabaya/status/1441566871124205568")</f>
        <v>https://twitter.com/gusdinsurabaya/status/1441566871124205568</v>
      </c>
      <c r="AA1012" s="81"/>
      <c r="AB1012" s="81"/>
      <c r="AC1012" s="86" t="s">
        <v>4963</v>
      </c>
      <c r="AD1012" s="81"/>
      <c r="AE1012" s="81" t="b">
        <v>0</v>
      </c>
      <c r="AF1012" s="81">
        <v>0</v>
      </c>
      <c r="AG1012" s="86" t="s">
        <v>6240</v>
      </c>
      <c r="AH1012" s="81" t="b">
        <v>0</v>
      </c>
      <c r="AI1012" s="81" t="s">
        <v>6478</v>
      </c>
      <c r="AJ1012" s="81"/>
      <c r="AK1012" s="86" t="s">
        <v>6240</v>
      </c>
      <c r="AL1012" s="81" t="b">
        <v>0</v>
      </c>
      <c r="AM1012" s="81">
        <v>0</v>
      </c>
      <c r="AN1012" s="86" t="s">
        <v>6240</v>
      </c>
      <c r="AO1012" s="86" t="s">
        <v>6507</v>
      </c>
      <c r="AP1012" s="81" t="b">
        <v>0</v>
      </c>
      <c r="AQ1012" s="86" t="s">
        <v>4963</v>
      </c>
      <c r="AR1012" s="81" t="s">
        <v>179</v>
      </c>
      <c r="AS1012" s="81">
        <v>0</v>
      </c>
      <c r="AT1012" s="81">
        <v>0</v>
      </c>
      <c r="AU1012" s="81"/>
      <c r="AV1012" s="81"/>
      <c r="AW1012" s="81"/>
      <c r="AX1012" s="81"/>
      <c r="AY1012" s="81"/>
      <c r="AZ1012" s="81"/>
      <c r="BA1012" s="81"/>
      <c r="BB1012" s="81"/>
    </row>
    <row r="1013" spans="1:54" x14ac:dyDescent="0.35">
      <c r="A1013" s="66" t="s">
        <v>872</v>
      </c>
      <c r="B1013" s="66" t="s">
        <v>1410</v>
      </c>
      <c r="C1013" s="67"/>
      <c r="D1013" s="68"/>
      <c r="E1013" s="69"/>
      <c r="F1013" s="70"/>
      <c r="G1013" s="67"/>
      <c r="H1013" s="71"/>
      <c r="I1013" s="72"/>
      <c r="J1013" s="72"/>
      <c r="K1013" s="36"/>
      <c r="L1013" s="79"/>
      <c r="M1013" s="79"/>
      <c r="N1013" s="74"/>
      <c r="O1013" s="81" t="s">
        <v>1533</v>
      </c>
      <c r="P1013" s="83">
        <v>44464.046099537038</v>
      </c>
      <c r="Q1013" s="81" t="s">
        <v>1909</v>
      </c>
      <c r="R1013" s="81"/>
      <c r="S1013" s="81"/>
      <c r="T1013" s="86" t="s">
        <v>1413</v>
      </c>
      <c r="U1013" s="84" t="str">
        <f>HYPERLINK("https://pbs.twimg.com/media/FAEa7dXVkAcjbKg.jpg")</f>
        <v>https://pbs.twimg.com/media/FAEa7dXVkAcjbKg.jpg</v>
      </c>
      <c r="V1013" s="84" t="str">
        <f>HYPERLINK("https://pbs.twimg.com/media/FAEa7dXVkAcjbKg.jpg")</f>
        <v>https://pbs.twimg.com/media/FAEa7dXVkAcjbKg.jpg</v>
      </c>
      <c r="W1013" s="83">
        <v>44464.046099537038</v>
      </c>
      <c r="X1013" s="89">
        <v>44464</v>
      </c>
      <c r="Y1013" s="86" t="s">
        <v>3499</v>
      </c>
      <c r="Z1013" s="84" t="str">
        <f>HYPERLINK("https://twitter.com/taehusna/status/1441569737071153154")</f>
        <v>https://twitter.com/taehusna/status/1441569737071153154</v>
      </c>
      <c r="AA1013" s="81"/>
      <c r="AB1013" s="81"/>
      <c r="AC1013" s="86" t="s">
        <v>4964</v>
      </c>
      <c r="AD1013" s="81"/>
      <c r="AE1013" s="81" t="b">
        <v>0</v>
      </c>
      <c r="AF1013" s="81">
        <v>0</v>
      </c>
      <c r="AG1013" s="86" t="s">
        <v>6240</v>
      </c>
      <c r="AH1013" s="81" t="b">
        <v>0</v>
      </c>
      <c r="AI1013" s="81" t="s">
        <v>6479</v>
      </c>
      <c r="AJ1013" s="81"/>
      <c r="AK1013" s="86" t="s">
        <v>6240</v>
      </c>
      <c r="AL1013" s="81" t="b">
        <v>0</v>
      </c>
      <c r="AM1013" s="81">
        <v>20</v>
      </c>
      <c r="AN1013" s="86" t="s">
        <v>5110</v>
      </c>
      <c r="AO1013" s="86" t="s">
        <v>6503</v>
      </c>
      <c r="AP1013" s="81" t="b">
        <v>0</v>
      </c>
      <c r="AQ1013" s="86" t="s">
        <v>5110</v>
      </c>
      <c r="AR1013" s="81" t="s">
        <v>179</v>
      </c>
      <c r="AS1013" s="81">
        <v>0</v>
      </c>
      <c r="AT1013" s="81">
        <v>0</v>
      </c>
      <c r="AU1013" s="81"/>
      <c r="AV1013" s="81"/>
      <c r="AW1013" s="81"/>
      <c r="AX1013" s="81"/>
      <c r="AY1013" s="81"/>
      <c r="AZ1013" s="81"/>
      <c r="BA1013" s="81"/>
      <c r="BB1013" s="81"/>
    </row>
    <row r="1014" spans="1:54" x14ac:dyDescent="0.35">
      <c r="A1014" s="66" t="s">
        <v>872</v>
      </c>
      <c r="B1014" s="66" t="s">
        <v>1411</v>
      </c>
      <c r="C1014" s="67"/>
      <c r="D1014" s="68"/>
      <c r="E1014" s="69"/>
      <c r="F1014" s="70"/>
      <c r="G1014" s="67"/>
      <c r="H1014" s="71"/>
      <c r="I1014" s="72"/>
      <c r="J1014" s="72"/>
      <c r="K1014" s="36"/>
      <c r="L1014" s="79"/>
      <c r="M1014" s="79"/>
      <c r="N1014" s="74"/>
      <c r="O1014" s="81" t="s">
        <v>1533</v>
      </c>
      <c r="P1014" s="83">
        <v>44464.046099537038</v>
      </c>
      <c r="Q1014" s="81" t="s">
        <v>1909</v>
      </c>
      <c r="R1014" s="81"/>
      <c r="S1014" s="81"/>
      <c r="T1014" s="86" t="s">
        <v>1413</v>
      </c>
      <c r="U1014" s="84" t="str">
        <f>HYPERLINK("https://pbs.twimg.com/media/FAEa7dXVkAcjbKg.jpg")</f>
        <v>https://pbs.twimg.com/media/FAEa7dXVkAcjbKg.jpg</v>
      </c>
      <c r="V1014" s="84" t="str">
        <f>HYPERLINK("https://pbs.twimg.com/media/FAEa7dXVkAcjbKg.jpg")</f>
        <v>https://pbs.twimg.com/media/FAEa7dXVkAcjbKg.jpg</v>
      </c>
      <c r="W1014" s="83">
        <v>44464.046099537038</v>
      </c>
      <c r="X1014" s="89">
        <v>44464</v>
      </c>
      <c r="Y1014" s="86" t="s">
        <v>3499</v>
      </c>
      <c r="Z1014" s="84" t="str">
        <f>HYPERLINK("https://twitter.com/taehusna/status/1441569737071153154")</f>
        <v>https://twitter.com/taehusna/status/1441569737071153154</v>
      </c>
      <c r="AA1014" s="81"/>
      <c r="AB1014" s="81"/>
      <c r="AC1014" s="86" t="s">
        <v>4964</v>
      </c>
      <c r="AD1014" s="81"/>
      <c r="AE1014" s="81" t="b">
        <v>0</v>
      </c>
      <c r="AF1014" s="81">
        <v>0</v>
      </c>
      <c r="AG1014" s="86" t="s">
        <v>6240</v>
      </c>
      <c r="AH1014" s="81" t="b">
        <v>0</v>
      </c>
      <c r="AI1014" s="81" t="s">
        <v>6479</v>
      </c>
      <c r="AJ1014" s="81"/>
      <c r="AK1014" s="86" t="s">
        <v>6240</v>
      </c>
      <c r="AL1014" s="81" t="b">
        <v>0</v>
      </c>
      <c r="AM1014" s="81">
        <v>20</v>
      </c>
      <c r="AN1014" s="86" t="s">
        <v>5110</v>
      </c>
      <c r="AO1014" s="86" t="s">
        <v>6503</v>
      </c>
      <c r="AP1014" s="81" t="b">
        <v>0</v>
      </c>
      <c r="AQ1014" s="86" t="s">
        <v>5110</v>
      </c>
      <c r="AR1014" s="81" t="s">
        <v>179</v>
      </c>
      <c r="AS1014" s="81">
        <v>0</v>
      </c>
      <c r="AT1014" s="81">
        <v>0</v>
      </c>
      <c r="AU1014" s="81"/>
      <c r="AV1014" s="81"/>
      <c r="AW1014" s="81"/>
      <c r="AX1014" s="81"/>
      <c r="AY1014" s="81"/>
      <c r="AZ1014" s="81"/>
      <c r="BA1014" s="81"/>
      <c r="BB1014" s="81"/>
    </row>
    <row r="1015" spans="1:54" x14ac:dyDescent="0.35">
      <c r="A1015" s="66" t="s">
        <v>872</v>
      </c>
      <c r="B1015" s="66" t="s">
        <v>1412</v>
      </c>
      <c r="C1015" s="67"/>
      <c r="D1015" s="68"/>
      <c r="E1015" s="69"/>
      <c r="F1015" s="70"/>
      <c r="G1015" s="67"/>
      <c r="H1015" s="71"/>
      <c r="I1015" s="72"/>
      <c r="J1015" s="72"/>
      <c r="K1015" s="36"/>
      <c r="L1015" s="79"/>
      <c r="M1015" s="79"/>
      <c r="N1015" s="74"/>
      <c r="O1015" s="81" t="s">
        <v>1533</v>
      </c>
      <c r="P1015" s="83">
        <v>44464.046099537038</v>
      </c>
      <c r="Q1015" s="81" t="s">
        <v>1909</v>
      </c>
      <c r="R1015" s="81"/>
      <c r="S1015" s="81"/>
      <c r="T1015" s="86" t="s">
        <v>1413</v>
      </c>
      <c r="U1015" s="84" t="str">
        <f>HYPERLINK("https://pbs.twimg.com/media/FAEa7dXVkAcjbKg.jpg")</f>
        <v>https://pbs.twimg.com/media/FAEa7dXVkAcjbKg.jpg</v>
      </c>
      <c r="V1015" s="84" t="str">
        <f>HYPERLINK("https://pbs.twimg.com/media/FAEa7dXVkAcjbKg.jpg")</f>
        <v>https://pbs.twimg.com/media/FAEa7dXVkAcjbKg.jpg</v>
      </c>
      <c r="W1015" s="83">
        <v>44464.046099537038</v>
      </c>
      <c r="X1015" s="89">
        <v>44464</v>
      </c>
      <c r="Y1015" s="86" t="s">
        <v>3499</v>
      </c>
      <c r="Z1015" s="84" t="str">
        <f>HYPERLINK("https://twitter.com/taehusna/status/1441569737071153154")</f>
        <v>https://twitter.com/taehusna/status/1441569737071153154</v>
      </c>
      <c r="AA1015" s="81"/>
      <c r="AB1015" s="81"/>
      <c r="AC1015" s="86" t="s">
        <v>4964</v>
      </c>
      <c r="AD1015" s="81"/>
      <c r="AE1015" s="81" t="b">
        <v>0</v>
      </c>
      <c r="AF1015" s="81">
        <v>0</v>
      </c>
      <c r="AG1015" s="86" t="s">
        <v>6240</v>
      </c>
      <c r="AH1015" s="81" t="b">
        <v>0</v>
      </c>
      <c r="AI1015" s="81" t="s">
        <v>6479</v>
      </c>
      <c r="AJ1015" s="81"/>
      <c r="AK1015" s="86" t="s">
        <v>6240</v>
      </c>
      <c r="AL1015" s="81" t="b">
        <v>0</v>
      </c>
      <c r="AM1015" s="81">
        <v>20</v>
      </c>
      <c r="AN1015" s="86" t="s">
        <v>5110</v>
      </c>
      <c r="AO1015" s="86" t="s">
        <v>6503</v>
      </c>
      <c r="AP1015" s="81" t="b">
        <v>0</v>
      </c>
      <c r="AQ1015" s="86" t="s">
        <v>5110</v>
      </c>
      <c r="AR1015" s="81" t="s">
        <v>179</v>
      </c>
      <c r="AS1015" s="81">
        <v>0</v>
      </c>
      <c r="AT1015" s="81">
        <v>0</v>
      </c>
      <c r="AU1015" s="81"/>
      <c r="AV1015" s="81"/>
      <c r="AW1015" s="81"/>
      <c r="AX1015" s="81"/>
      <c r="AY1015" s="81"/>
      <c r="AZ1015" s="81"/>
      <c r="BA1015" s="81"/>
      <c r="BB1015" s="81"/>
    </row>
    <row r="1016" spans="1:54" x14ac:dyDescent="0.35">
      <c r="A1016" s="66" t="s">
        <v>872</v>
      </c>
      <c r="B1016" s="66" t="s">
        <v>1413</v>
      </c>
      <c r="C1016" s="67"/>
      <c r="D1016" s="68"/>
      <c r="E1016" s="69"/>
      <c r="F1016" s="70"/>
      <c r="G1016" s="67"/>
      <c r="H1016" s="71"/>
      <c r="I1016" s="72"/>
      <c r="J1016" s="72"/>
      <c r="K1016" s="36"/>
      <c r="L1016" s="79"/>
      <c r="M1016" s="79"/>
      <c r="N1016" s="74"/>
      <c r="O1016" s="81" t="s">
        <v>1533</v>
      </c>
      <c r="P1016" s="83">
        <v>44464.046099537038</v>
      </c>
      <c r="Q1016" s="81" t="s">
        <v>1909</v>
      </c>
      <c r="R1016" s="81"/>
      <c r="S1016" s="81"/>
      <c r="T1016" s="86" t="s">
        <v>1413</v>
      </c>
      <c r="U1016" s="84" t="str">
        <f>HYPERLINK("https://pbs.twimg.com/media/FAEa7dXVkAcjbKg.jpg")</f>
        <v>https://pbs.twimg.com/media/FAEa7dXVkAcjbKg.jpg</v>
      </c>
      <c r="V1016" s="84" t="str">
        <f>HYPERLINK("https://pbs.twimg.com/media/FAEa7dXVkAcjbKg.jpg")</f>
        <v>https://pbs.twimg.com/media/FAEa7dXVkAcjbKg.jpg</v>
      </c>
      <c r="W1016" s="83">
        <v>44464.046099537038</v>
      </c>
      <c r="X1016" s="89">
        <v>44464</v>
      </c>
      <c r="Y1016" s="86" t="s">
        <v>3499</v>
      </c>
      <c r="Z1016" s="84" t="str">
        <f>HYPERLINK("https://twitter.com/taehusna/status/1441569737071153154")</f>
        <v>https://twitter.com/taehusna/status/1441569737071153154</v>
      </c>
      <c r="AA1016" s="81"/>
      <c r="AB1016" s="81"/>
      <c r="AC1016" s="86" t="s">
        <v>4964</v>
      </c>
      <c r="AD1016" s="81"/>
      <c r="AE1016" s="81" t="b">
        <v>0</v>
      </c>
      <c r="AF1016" s="81">
        <v>0</v>
      </c>
      <c r="AG1016" s="86" t="s">
        <v>6240</v>
      </c>
      <c r="AH1016" s="81" t="b">
        <v>0</v>
      </c>
      <c r="AI1016" s="81" t="s">
        <v>6479</v>
      </c>
      <c r="AJ1016" s="81"/>
      <c r="AK1016" s="86" t="s">
        <v>6240</v>
      </c>
      <c r="AL1016" s="81" t="b">
        <v>0</v>
      </c>
      <c r="AM1016" s="81">
        <v>20</v>
      </c>
      <c r="AN1016" s="86" t="s">
        <v>5110</v>
      </c>
      <c r="AO1016" s="86" t="s">
        <v>6503</v>
      </c>
      <c r="AP1016" s="81" t="b">
        <v>0</v>
      </c>
      <c r="AQ1016" s="86" t="s">
        <v>5110</v>
      </c>
      <c r="AR1016" s="81" t="s">
        <v>179</v>
      </c>
      <c r="AS1016" s="81">
        <v>0</v>
      </c>
      <c r="AT1016" s="81">
        <v>0</v>
      </c>
      <c r="AU1016" s="81"/>
      <c r="AV1016" s="81"/>
      <c r="AW1016" s="81"/>
      <c r="AX1016" s="81"/>
      <c r="AY1016" s="81"/>
      <c r="AZ1016" s="81"/>
      <c r="BA1016" s="81"/>
      <c r="BB1016" s="81"/>
    </row>
    <row r="1017" spans="1:54" x14ac:dyDescent="0.35">
      <c r="A1017" s="66" t="s">
        <v>872</v>
      </c>
      <c r="B1017" s="66" t="s">
        <v>990</v>
      </c>
      <c r="C1017" s="67"/>
      <c r="D1017" s="68"/>
      <c r="E1017" s="69"/>
      <c r="F1017" s="70"/>
      <c r="G1017" s="67"/>
      <c r="H1017" s="71"/>
      <c r="I1017" s="72"/>
      <c r="J1017" s="72"/>
      <c r="K1017" s="36"/>
      <c r="L1017" s="79"/>
      <c r="M1017" s="79"/>
      <c r="N1017" s="74"/>
      <c r="O1017" s="81" t="s">
        <v>1532</v>
      </c>
      <c r="P1017" s="83">
        <v>44464.046099537038</v>
      </c>
      <c r="Q1017" s="81" t="s">
        <v>1909</v>
      </c>
      <c r="R1017" s="81"/>
      <c r="S1017" s="81"/>
      <c r="T1017" s="86" t="s">
        <v>1413</v>
      </c>
      <c r="U1017" s="84" t="str">
        <f>HYPERLINK("https://pbs.twimg.com/media/FAEa7dXVkAcjbKg.jpg")</f>
        <v>https://pbs.twimg.com/media/FAEa7dXVkAcjbKg.jpg</v>
      </c>
      <c r="V1017" s="84" t="str">
        <f>HYPERLINK("https://pbs.twimg.com/media/FAEa7dXVkAcjbKg.jpg")</f>
        <v>https://pbs.twimg.com/media/FAEa7dXVkAcjbKg.jpg</v>
      </c>
      <c r="W1017" s="83">
        <v>44464.046099537038</v>
      </c>
      <c r="X1017" s="89">
        <v>44464</v>
      </c>
      <c r="Y1017" s="86" t="s">
        <v>3499</v>
      </c>
      <c r="Z1017" s="84" t="str">
        <f>HYPERLINK("https://twitter.com/taehusna/status/1441569737071153154")</f>
        <v>https://twitter.com/taehusna/status/1441569737071153154</v>
      </c>
      <c r="AA1017" s="81"/>
      <c r="AB1017" s="81"/>
      <c r="AC1017" s="86" t="s">
        <v>4964</v>
      </c>
      <c r="AD1017" s="81"/>
      <c r="AE1017" s="81" t="b">
        <v>0</v>
      </c>
      <c r="AF1017" s="81">
        <v>0</v>
      </c>
      <c r="AG1017" s="86" t="s">
        <v>6240</v>
      </c>
      <c r="AH1017" s="81" t="b">
        <v>0</v>
      </c>
      <c r="AI1017" s="81" t="s">
        <v>6479</v>
      </c>
      <c r="AJ1017" s="81"/>
      <c r="AK1017" s="86" t="s">
        <v>6240</v>
      </c>
      <c r="AL1017" s="81" t="b">
        <v>0</v>
      </c>
      <c r="AM1017" s="81">
        <v>20</v>
      </c>
      <c r="AN1017" s="86" t="s">
        <v>5110</v>
      </c>
      <c r="AO1017" s="86" t="s">
        <v>6503</v>
      </c>
      <c r="AP1017" s="81" t="b">
        <v>0</v>
      </c>
      <c r="AQ1017" s="86" t="s">
        <v>5110</v>
      </c>
      <c r="AR1017" s="81" t="s">
        <v>179</v>
      </c>
      <c r="AS1017" s="81">
        <v>0</v>
      </c>
      <c r="AT1017" s="81">
        <v>0</v>
      </c>
      <c r="AU1017" s="81"/>
      <c r="AV1017" s="81"/>
      <c r="AW1017" s="81"/>
      <c r="AX1017" s="81"/>
      <c r="AY1017" s="81"/>
      <c r="AZ1017" s="81"/>
      <c r="BA1017" s="81"/>
      <c r="BB1017" s="81"/>
    </row>
    <row r="1018" spans="1:54" x14ac:dyDescent="0.35">
      <c r="A1018" s="66" t="s">
        <v>872</v>
      </c>
      <c r="B1018" s="66" t="s">
        <v>1410</v>
      </c>
      <c r="C1018" s="67"/>
      <c r="D1018" s="68"/>
      <c r="E1018" s="69"/>
      <c r="F1018" s="70"/>
      <c r="G1018" s="67"/>
      <c r="H1018" s="71"/>
      <c r="I1018" s="72"/>
      <c r="J1018" s="72"/>
      <c r="K1018" s="36"/>
      <c r="L1018" s="79"/>
      <c r="M1018" s="79"/>
      <c r="N1018" s="74"/>
      <c r="O1018" s="81" t="s">
        <v>1533</v>
      </c>
      <c r="P1018" s="83">
        <v>44464.047372685185</v>
      </c>
      <c r="Q1018" s="81" t="s">
        <v>1910</v>
      </c>
      <c r="R1018" s="81"/>
      <c r="S1018" s="81"/>
      <c r="T1018" s="86" t="s">
        <v>1413</v>
      </c>
      <c r="U1018" s="84" t="str">
        <f>HYPERLINK("https://pbs.twimg.com/media/FAEaAdPVgAgaH2z.jpg")</f>
        <v>https://pbs.twimg.com/media/FAEaAdPVgAgaH2z.jpg</v>
      </c>
      <c r="V1018" s="84" t="str">
        <f>HYPERLINK("https://pbs.twimg.com/media/FAEaAdPVgAgaH2z.jpg")</f>
        <v>https://pbs.twimg.com/media/FAEaAdPVgAgaH2z.jpg</v>
      </c>
      <c r="W1018" s="83">
        <v>44464.047372685185</v>
      </c>
      <c r="X1018" s="89">
        <v>44464</v>
      </c>
      <c r="Y1018" s="86" t="s">
        <v>3500</v>
      </c>
      <c r="Z1018" s="84" t="str">
        <f>HYPERLINK("https://twitter.com/taehusna/status/1441570200671817728")</f>
        <v>https://twitter.com/taehusna/status/1441570200671817728</v>
      </c>
      <c r="AA1018" s="81"/>
      <c r="AB1018" s="81"/>
      <c r="AC1018" s="86" t="s">
        <v>4965</v>
      </c>
      <c r="AD1018" s="81"/>
      <c r="AE1018" s="81" t="b">
        <v>0</v>
      </c>
      <c r="AF1018" s="81">
        <v>0</v>
      </c>
      <c r="AG1018" s="86" t="s">
        <v>6240</v>
      </c>
      <c r="AH1018" s="81" t="b">
        <v>0</v>
      </c>
      <c r="AI1018" s="81" t="s">
        <v>6479</v>
      </c>
      <c r="AJ1018" s="81"/>
      <c r="AK1018" s="86" t="s">
        <v>6240</v>
      </c>
      <c r="AL1018" s="81" t="b">
        <v>0</v>
      </c>
      <c r="AM1018" s="81">
        <v>21</v>
      </c>
      <c r="AN1018" s="86" t="s">
        <v>5109</v>
      </c>
      <c r="AO1018" s="86" t="s">
        <v>6503</v>
      </c>
      <c r="AP1018" s="81" t="b">
        <v>0</v>
      </c>
      <c r="AQ1018" s="86" t="s">
        <v>5109</v>
      </c>
      <c r="AR1018" s="81" t="s">
        <v>179</v>
      </c>
      <c r="AS1018" s="81">
        <v>0</v>
      </c>
      <c r="AT1018" s="81">
        <v>0</v>
      </c>
      <c r="AU1018" s="81"/>
      <c r="AV1018" s="81"/>
      <c r="AW1018" s="81"/>
      <c r="AX1018" s="81"/>
      <c r="AY1018" s="81"/>
      <c r="AZ1018" s="81"/>
      <c r="BA1018" s="81"/>
      <c r="BB1018" s="81"/>
    </row>
    <row r="1019" spans="1:54" x14ac:dyDescent="0.35">
      <c r="A1019" s="66" t="s">
        <v>872</v>
      </c>
      <c r="B1019" s="66" t="s">
        <v>1411</v>
      </c>
      <c r="C1019" s="67"/>
      <c r="D1019" s="68"/>
      <c r="E1019" s="69"/>
      <c r="F1019" s="70"/>
      <c r="G1019" s="67"/>
      <c r="H1019" s="71"/>
      <c r="I1019" s="72"/>
      <c r="J1019" s="72"/>
      <c r="K1019" s="36"/>
      <c r="L1019" s="79"/>
      <c r="M1019" s="79"/>
      <c r="N1019" s="74"/>
      <c r="O1019" s="81" t="s">
        <v>1533</v>
      </c>
      <c r="P1019" s="83">
        <v>44464.047372685185</v>
      </c>
      <c r="Q1019" s="81" t="s">
        <v>1910</v>
      </c>
      <c r="R1019" s="81"/>
      <c r="S1019" s="81"/>
      <c r="T1019" s="86" t="s">
        <v>1413</v>
      </c>
      <c r="U1019" s="84" t="str">
        <f>HYPERLINK("https://pbs.twimg.com/media/FAEaAdPVgAgaH2z.jpg")</f>
        <v>https://pbs.twimg.com/media/FAEaAdPVgAgaH2z.jpg</v>
      </c>
      <c r="V1019" s="84" t="str">
        <f>HYPERLINK("https://pbs.twimg.com/media/FAEaAdPVgAgaH2z.jpg")</f>
        <v>https://pbs.twimg.com/media/FAEaAdPVgAgaH2z.jpg</v>
      </c>
      <c r="W1019" s="83">
        <v>44464.047372685185</v>
      </c>
      <c r="X1019" s="89">
        <v>44464</v>
      </c>
      <c r="Y1019" s="86" t="s">
        <v>3500</v>
      </c>
      <c r="Z1019" s="84" t="str">
        <f>HYPERLINK("https://twitter.com/taehusna/status/1441570200671817728")</f>
        <v>https://twitter.com/taehusna/status/1441570200671817728</v>
      </c>
      <c r="AA1019" s="81"/>
      <c r="AB1019" s="81"/>
      <c r="AC1019" s="86" t="s">
        <v>4965</v>
      </c>
      <c r="AD1019" s="81"/>
      <c r="AE1019" s="81" t="b">
        <v>0</v>
      </c>
      <c r="AF1019" s="81">
        <v>0</v>
      </c>
      <c r="AG1019" s="86" t="s">
        <v>6240</v>
      </c>
      <c r="AH1019" s="81" t="b">
        <v>0</v>
      </c>
      <c r="AI1019" s="81" t="s">
        <v>6479</v>
      </c>
      <c r="AJ1019" s="81"/>
      <c r="AK1019" s="86" t="s">
        <v>6240</v>
      </c>
      <c r="AL1019" s="81" t="b">
        <v>0</v>
      </c>
      <c r="AM1019" s="81">
        <v>21</v>
      </c>
      <c r="AN1019" s="86" t="s">
        <v>5109</v>
      </c>
      <c r="AO1019" s="86" t="s">
        <v>6503</v>
      </c>
      <c r="AP1019" s="81" t="b">
        <v>0</v>
      </c>
      <c r="AQ1019" s="86" t="s">
        <v>5109</v>
      </c>
      <c r="AR1019" s="81" t="s">
        <v>179</v>
      </c>
      <c r="AS1019" s="81">
        <v>0</v>
      </c>
      <c r="AT1019" s="81">
        <v>0</v>
      </c>
      <c r="AU1019" s="81"/>
      <c r="AV1019" s="81"/>
      <c r="AW1019" s="81"/>
      <c r="AX1019" s="81"/>
      <c r="AY1019" s="81"/>
      <c r="AZ1019" s="81"/>
      <c r="BA1019" s="81"/>
      <c r="BB1019" s="81"/>
    </row>
    <row r="1020" spans="1:54" x14ac:dyDescent="0.35">
      <c r="A1020" s="66" t="s">
        <v>872</v>
      </c>
      <c r="B1020" s="66" t="s">
        <v>1412</v>
      </c>
      <c r="C1020" s="67"/>
      <c r="D1020" s="68"/>
      <c r="E1020" s="69"/>
      <c r="F1020" s="70"/>
      <c r="G1020" s="67"/>
      <c r="H1020" s="71"/>
      <c r="I1020" s="72"/>
      <c r="J1020" s="72"/>
      <c r="K1020" s="36"/>
      <c r="L1020" s="79"/>
      <c r="M1020" s="79"/>
      <c r="N1020" s="74"/>
      <c r="O1020" s="81" t="s">
        <v>1533</v>
      </c>
      <c r="P1020" s="83">
        <v>44464.047372685185</v>
      </c>
      <c r="Q1020" s="81" t="s">
        <v>1910</v>
      </c>
      <c r="R1020" s="81"/>
      <c r="S1020" s="81"/>
      <c r="T1020" s="86" t="s">
        <v>1413</v>
      </c>
      <c r="U1020" s="84" t="str">
        <f>HYPERLINK("https://pbs.twimg.com/media/FAEaAdPVgAgaH2z.jpg")</f>
        <v>https://pbs.twimg.com/media/FAEaAdPVgAgaH2z.jpg</v>
      </c>
      <c r="V1020" s="84" t="str">
        <f>HYPERLINK("https://pbs.twimg.com/media/FAEaAdPVgAgaH2z.jpg")</f>
        <v>https://pbs.twimg.com/media/FAEaAdPVgAgaH2z.jpg</v>
      </c>
      <c r="W1020" s="83">
        <v>44464.047372685185</v>
      </c>
      <c r="X1020" s="89">
        <v>44464</v>
      </c>
      <c r="Y1020" s="86" t="s">
        <v>3500</v>
      </c>
      <c r="Z1020" s="84" t="str">
        <f>HYPERLINK("https://twitter.com/taehusna/status/1441570200671817728")</f>
        <v>https://twitter.com/taehusna/status/1441570200671817728</v>
      </c>
      <c r="AA1020" s="81"/>
      <c r="AB1020" s="81"/>
      <c r="AC1020" s="86" t="s">
        <v>4965</v>
      </c>
      <c r="AD1020" s="81"/>
      <c r="AE1020" s="81" t="b">
        <v>0</v>
      </c>
      <c r="AF1020" s="81">
        <v>0</v>
      </c>
      <c r="AG1020" s="86" t="s">
        <v>6240</v>
      </c>
      <c r="AH1020" s="81" t="b">
        <v>0</v>
      </c>
      <c r="AI1020" s="81" t="s">
        <v>6479</v>
      </c>
      <c r="AJ1020" s="81"/>
      <c r="AK1020" s="86" t="s">
        <v>6240</v>
      </c>
      <c r="AL1020" s="81" t="b">
        <v>0</v>
      </c>
      <c r="AM1020" s="81">
        <v>21</v>
      </c>
      <c r="AN1020" s="86" t="s">
        <v>5109</v>
      </c>
      <c r="AO1020" s="86" t="s">
        <v>6503</v>
      </c>
      <c r="AP1020" s="81" t="b">
        <v>0</v>
      </c>
      <c r="AQ1020" s="86" t="s">
        <v>5109</v>
      </c>
      <c r="AR1020" s="81" t="s">
        <v>179</v>
      </c>
      <c r="AS1020" s="81">
        <v>0</v>
      </c>
      <c r="AT1020" s="81">
        <v>0</v>
      </c>
      <c r="AU1020" s="81"/>
      <c r="AV1020" s="81"/>
      <c r="AW1020" s="81"/>
      <c r="AX1020" s="81"/>
      <c r="AY1020" s="81"/>
      <c r="AZ1020" s="81"/>
      <c r="BA1020" s="81"/>
      <c r="BB1020" s="81"/>
    </row>
    <row r="1021" spans="1:54" x14ac:dyDescent="0.35">
      <c r="A1021" s="66" t="s">
        <v>872</v>
      </c>
      <c r="B1021" s="66" t="s">
        <v>1413</v>
      </c>
      <c r="C1021" s="67"/>
      <c r="D1021" s="68"/>
      <c r="E1021" s="69"/>
      <c r="F1021" s="70"/>
      <c r="G1021" s="67"/>
      <c r="H1021" s="71"/>
      <c r="I1021" s="72"/>
      <c r="J1021" s="72"/>
      <c r="K1021" s="36"/>
      <c r="L1021" s="79"/>
      <c r="M1021" s="79"/>
      <c r="N1021" s="74"/>
      <c r="O1021" s="81" t="s">
        <v>1533</v>
      </c>
      <c r="P1021" s="83">
        <v>44464.047372685185</v>
      </c>
      <c r="Q1021" s="81" t="s">
        <v>1910</v>
      </c>
      <c r="R1021" s="81"/>
      <c r="S1021" s="81"/>
      <c r="T1021" s="86" t="s">
        <v>1413</v>
      </c>
      <c r="U1021" s="84" t="str">
        <f>HYPERLINK("https://pbs.twimg.com/media/FAEaAdPVgAgaH2z.jpg")</f>
        <v>https://pbs.twimg.com/media/FAEaAdPVgAgaH2z.jpg</v>
      </c>
      <c r="V1021" s="84" t="str">
        <f>HYPERLINK("https://pbs.twimg.com/media/FAEaAdPVgAgaH2z.jpg")</f>
        <v>https://pbs.twimg.com/media/FAEaAdPVgAgaH2z.jpg</v>
      </c>
      <c r="W1021" s="83">
        <v>44464.047372685185</v>
      </c>
      <c r="X1021" s="89">
        <v>44464</v>
      </c>
      <c r="Y1021" s="86" t="s">
        <v>3500</v>
      </c>
      <c r="Z1021" s="84" t="str">
        <f>HYPERLINK("https://twitter.com/taehusna/status/1441570200671817728")</f>
        <v>https://twitter.com/taehusna/status/1441570200671817728</v>
      </c>
      <c r="AA1021" s="81"/>
      <c r="AB1021" s="81"/>
      <c r="AC1021" s="86" t="s">
        <v>4965</v>
      </c>
      <c r="AD1021" s="81"/>
      <c r="AE1021" s="81" t="b">
        <v>0</v>
      </c>
      <c r="AF1021" s="81">
        <v>0</v>
      </c>
      <c r="AG1021" s="86" t="s">
        <v>6240</v>
      </c>
      <c r="AH1021" s="81" t="b">
        <v>0</v>
      </c>
      <c r="AI1021" s="81" t="s">
        <v>6479</v>
      </c>
      <c r="AJ1021" s="81"/>
      <c r="AK1021" s="86" t="s">
        <v>6240</v>
      </c>
      <c r="AL1021" s="81" t="b">
        <v>0</v>
      </c>
      <c r="AM1021" s="81">
        <v>21</v>
      </c>
      <c r="AN1021" s="86" t="s">
        <v>5109</v>
      </c>
      <c r="AO1021" s="86" t="s">
        <v>6503</v>
      </c>
      <c r="AP1021" s="81" t="b">
        <v>0</v>
      </c>
      <c r="AQ1021" s="86" t="s">
        <v>5109</v>
      </c>
      <c r="AR1021" s="81" t="s">
        <v>179</v>
      </c>
      <c r="AS1021" s="81">
        <v>0</v>
      </c>
      <c r="AT1021" s="81">
        <v>0</v>
      </c>
      <c r="AU1021" s="81"/>
      <c r="AV1021" s="81"/>
      <c r="AW1021" s="81"/>
      <c r="AX1021" s="81"/>
      <c r="AY1021" s="81"/>
      <c r="AZ1021" s="81"/>
      <c r="BA1021" s="81"/>
      <c r="BB1021" s="81"/>
    </row>
    <row r="1022" spans="1:54" x14ac:dyDescent="0.35">
      <c r="A1022" s="66" t="s">
        <v>872</v>
      </c>
      <c r="B1022" s="66" t="s">
        <v>990</v>
      </c>
      <c r="C1022" s="67"/>
      <c r="D1022" s="68"/>
      <c r="E1022" s="69"/>
      <c r="F1022" s="70"/>
      <c r="G1022" s="67"/>
      <c r="H1022" s="71"/>
      <c r="I1022" s="72"/>
      <c r="J1022" s="72"/>
      <c r="K1022" s="36"/>
      <c r="L1022" s="79"/>
      <c r="M1022" s="79"/>
      <c r="N1022" s="74"/>
      <c r="O1022" s="81" t="s">
        <v>1532</v>
      </c>
      <c r="P1022" s="83">
        <v>44464.047372685185</v>
      </c>
      <c r="Q1022" s="81" t="s">
        <v>1910</v>
      </c>
      <c r="R1022" s="81"/>
      <c r="S1022" s="81"/>
      <c r="T1022" s="86" t="s">
        <v>1413</v>
      </c>
      <c r="U1022" s="84" t="str">
        <f>HYPERLINK("https://pbs.twimg.com/media/FAEaAdPVgAgaH2z.jpg")</f>
        <v>https://pbs.twimg.com/media/FAEaAdPVgAgaH2z.jpg</v>
      </c>
      <c r="V1022" s="84" t="str">
        <f>HYPERLINK("https://pbs.twimg.com/media/FAEaAdPVgAgaH2z.jpg")</f>
        <v>https://pbs.twimg.com/media/FAEaAdPVgAgaH2z.jpg</v>
      </c>
      <c r="W1022" s="83">
        <v>44464.047372685185</v>
      </c>
      <c r="X1022" s="89">
        <v>44464</v>
      </c>
      <c r="Y1022" s="86" t="s">
        <v>3500</v>
      </c>
      <c r="Z1022" s="84" t="str">
        <f>HYPERLINK("https://twitter.com/taehusna/status/1441570200671817728")</f>
        <v>https://twitter.com/taehusna/status/1441570200671817728</v>
      </c>
      <c r="AA1022" s="81"/>
      <c r="AB1022" s="81"/>
      <c r="AC1022" s="86" t="s">
        <v>4965</v>
      </c>
      <c r="AD1022" s="81"/>
      <c r="AE1022" s="81" t="b">
        <v>0</v>
      </c>
      <c r="AF1022" s="81">
        <v>0</v>
      </c>
      <c r="AG1022" s="86" t="s">
        <v>6240</v>
      </c>
      <c r="AH1022" s="81" t="b">
        <v>0</v>
      </c>
      <c r="AI1022" s="81" t="s">
        <v>6479</v>
      </c>
      <c r="AJ1022" s="81"/>
      <c r="AK1022" s="86" t="s">
        <v>6240</v>
      </c>
      <c r="AL1022" s="81" t="b">
        <v>0</v>
      </c>
      <c r="AM1022" s="81">
        <v>21</v>
      </c>
      <c r="AN1022" s="86" t="s">
        <v>5109</v>
      </c>
      <c r="AO1022" s="86" t="s">
        <v>6503</v>
      </c>
      <c r="AP1022" s="81" t="b">
        <v>0</v>
      </c>
      <c r="AQ1022" s="86" t="s">
        <v>5109</v>
      </c>
      <c r="AR1022" s="81" t="s">
        <v>179</v>
      </c>
      <c r="AS1022" s="81">
        <v>0</v>
      </c>
      <c r="AT1022" s="81">
        <v>0</v>
      </c>
      <c r="AU1022" s="81"/>
      <c r="AV1022" s="81"/>
      <c r="AW1022" s="81"/>
      <c r="AX1022" s="81"/>
      <c r="AY1022" s="81"/>
      <c r="AZ1022" s="81"/>
      <c r="BA1022" s="81"/>
      <c r="BB1022" s="81"/>
    </row>
    <row r="1023" spans="1:54" x14ac:dyDescent="0.35">
      <c r="A1023" s="66" t="s">
        <v>873</v>
      </c>
      <c r="B1023" s="66" t="s">
        <v>1424</v>
      </c>
      <c r="C1023" s="67"/>
      <c r="D1023" s="68"/>
      <c r="E1023" s="69"/>
      <c r="F1023" s="70"/>
      <c r="G1023" s="67"/>
      <c r="H1023" s="71"/>
      <c r="I1023" s="72"/>
      <c r="J1023" s="72"/>
      <c r="K1023" s="36"/>
      <c r="L1023" s="79"/>
      <c r="M1023" s="79"/>
      <c r="N1023" s="74"/>
      <c r="O1023" s="81" t="s">
        <v>1534</v>
      </c>
      <c r="P1023" s="83">
        <v>44464.050509259258</v>
      </c>
      <c r="Q1023" s="81" t="s">
        <v>1915</v>
      </c>
      <c r="R1023" s="81"/>
      <c r="S1023" s="81"/>
      <c r="T1023" s="81"/>
      <c r="U1023" s="81"/>
      <c r="V1023" s="84" t="str">
        <f>HYPERLINK("https://pbs.twimg.com/profile_images/1442695838648528899/tf1pAkoc_normal.jpg")</f>
        <v>https://pbs.twimg.com/profile_images/1442695838648528899/tf1pAkoc_normal.jpg</v>
      </c>
      <c r="W1023" s="83">
        <v>44464.050509259258</v>
      </c>
      <c r="X1023" s="89">
        <v>44464</v>
      </c>
      <c r="Y1023" s="86" t="s">
        <v>3501</v>
      </c>
      <c r="Z1023" s="84" t="str">
        <f>HYPERLINK("https://twitter.com/_chemog_/status/1441571336967520263")</f>
        <v>https://twitter.com/_chemog_/status/1441571336967520263</v>
      </c>
      <c r="AA1023" s="81"/>
      <c r="AB1023" s="81"/>
      <c r="AC1023" s="86" t="s">
        <v>4966</v>
      </c>
      <c r="AD1023" s="86" t="s">
        <v>6105</v>
      </c>
      <c r="AE1023" s="81" t="b">
        <v>0</v>
      </c>
      <c r="AF1023" s="81">
        <v>1</v>
      </c>
      <c r="AG1023" s="86" t="s">
        <v>6364</v>
      </c>
      <c r="AH1023" s="81" t="b">
        <v>0</v>
      </c>
      <c r="AI1023" s="81" t="s">
        <v>6478</v>
      </c>
      <c r="AJ1023" s="81"/>
      <c r="AK1023" s="86" t="s">
        <v>6240</v>
      </c>
      <c r="AL1023" s="81" t="b">
        <v>0</v>
      </c>
      <c r="AM1023" s="81">
        <v>0</v>
      </c>
      <c r="AN1023" s="86" t="s">
        <v>6240</v>
      </c>
      <c r="AO1023" s="86" t="s">
        <v>6503</v>
      </c>
      <c r="AP1023" s="81" t="b">
        <v>0</v>
      </c>
      <c r="AQ1023" s="86" t="s">
        <v>6105</v>
      </c>
      <c r="AR1023" s="81" t="s">
        <v>179</v>
      </c>
      <c r="AS1023" s="81">
        <v>0</v>
      </c>
      <c r="AT1023" s="81">
        <v>0</v>
      </c>
      <c r="AU1023" s="81"/>
      <c r="AV1023" s="81"/>
      <c r="AW1023" s="81"/>
      <c r="AX1023" s="81"/>
      <c r="AY1023" s="81"/>
      <c r="AZ1023" s="81"/>
      <c r="BA1023" s="81"/>
      <c r="BB1023" s="81"/>
    </row>
    <row r="1024" spans="1:54" x14ac:dyDescent="0.35">
      <c r="A1024" s="66" t="s">
        <v>874</v>
      </c>
      <c r="B1024" s="66" t="s">
        <v>1425</v>
      </c>
      <c r="C1024" s="67"/>
      <c r="D1024" s="68"/>
      <c r="E1024" s="69"/>
      <c r="F1024" s="70"/>
      <c r="G1024" s="67"/>
      <c r="H1024" s="71"/>
      <c r="I1024" s="72"/>
      <c r="J1024" s="72"/>
      <c r="K1024" s="36"/>
      <c r="L1024" s="79"/>
      <c r="M1024" s="79"/>
      <c r="N1024" s="74"/>
      <c r="O1024" s="81" t="s">
        <v>1534</v>
      </c>
      <c r="P1024" s="83">
        <v>44464.052337962959</v>
      </c>
      <c r="Q1024" s="81" t="s">
        <v>1916</v>
      </c>
      <c r="R1024" s="81"/>
      <c r="S1024" s="81"/>
      <c r="T1024" s="81"/>
      <c r="U1024" s="81"/>
      <c r="V1024" s="84" t="str">
        <f>HYPERLINK("https://pbs.twimg.com/profile_images/1442331272370540544/MFcw7J9w_normal.jpg")</f>
        <v>https://pbs.twimg.com/profile_images/1442331272370540544/MFcw7J9w_normal.jpg</v>
      </c>
      <c r="W1024" s="83">
        <v>44464.052337962959</v>
      </c>
      <c r="X1024" s="89">
        <v>44464</v>
      </c>
      <c r="Y1024" s="86" t="s">
        <v>3502</v>
      </c>
      <c r="Z1024" s="84" t="str">
        <f>HYPERLINK("https://twitter.com/blueanchovy_/status/1441571999004823567")</f>
        <v>https://twitter.com/blueanchovy_/status/1441571999004823567</v>
      </c>
      <c r="AA1024" s="81"/>
      <c r="AB1024" s="81"/>
      <c r="AC1024" s="86" t="s">
        <v>4967</v>
      </c>
      <c r="AD1024" s="86" t="s">
        <v>6106</v>
      </c>
      <c r="AE1024" s="81" t="b">
        <v>0</v>
      </c>
      <c r="AF1024" s="81">
        <v>0</v>
      </c>
      <c r="AG1024" s="86" t="s">
        <v>6365</v>
      </c>
      <c r="AH1024" s="81" t="b">
        <v>0</v>
      </c>
      <c r="AI1024" s="81" t="s">
        <v>6478</v>
      </c>
      <c r="AJ1024" s="81"/>
      <c r="AK1024" s="86" t="s">
        <v>6240</v>
      </c>
      <c r="AL1024" s="81" t="b">
        <v>0</v>
      </c>
      <c r="AM1024" s="81">
        <v>0</v>
      </c>
      <c r="AN1024" s="86" t="s">
        <v>6240</v>
      </c>
      <c r="AO1024" s="86" t="s">
        <v>6503</v>
      </c>
      <c r="AP1024" s="81" t="b">
        <v>0</v>
      </c>
      <c r="AQ1024" s="86" t="s">
        <v>6106</v>
      </c>
      <c r="AR1024" s="81" t="s">
        <v>179</v>
      </c>
      <c r="AS1024" s="81">
        <v>0</v>
      </c>
      <c r="AT1024" s="81">
        <v>0</v>
      </c>
      <c r="AU1024" s="81"/>
      <c r="AV1024" s="81"/>
      <c r="AW1024" s="81"/>
      <c r="AX1024" s="81"/>
      <c r="AY1024" s="81"/>
      <c r="AZ1024" s="81"/>
      <c r="BA1024" s="81"/>
      <c r="BB1024" s="81"/>
    </row>
    <row r="1025" spans="1:54" x14ac:dyDescent="0.35">
      <c r="A1025" s="66" t="s">
        <v>875</v>
      </c>
      <c r="B1025" s="66" t="s">
        <v>875</v>
      </c>
      <c r="C1025" s="67"/>
      <c r="D1025" s="68"/>
      <c r="E1025" s="69"/>
      <c r="F1025" s="70"/>
      <c r="G1025" s="67"/>
      <c r="H1025" s="71"/>
      <c r="I1025" s="72"/>
      <c r="J1025" s="72"/>
      <c r="K1025" s="36"/>
      <c r="L1025" s="79"/>
      <c r="M1025" s="79"/>
      <c r="N1025" s="74"/>
      <c r="O1025" s="81" t="s">
        <v>179</v>
      </c>
      <c r="P1025" s="83">
        <v>44464.084131944444</v>
      </c>
      <c r="Q1025" s="81" t="s">
        <v>1917</v>
      </c>
      <c r="R1025" s="84" t="str">
        <f>HYPERLINK("https://kendaripos.co.id/2021/09/menko-airlangga-umkm-usaha-membangun-ekonomi-indonesia/")</f>
        <v>https://kendaripos.co.id/2021/09/menko-airlangga-umkm-usaha-membangun-ekonomi-indonesia/</v>
      </c>
      <c r="S1025" s="81" t="s">
        <v>2589</v>
      </c>
      <c r="T1025" s="81"/>
      <c r="U1025" s="81"/>
      <c r="V1025" s="84" t="str">
        <f>HYPERLINK("https://pbs.twimg.com/profile_images/699968807624798210/e61p2OuF_normal.png")</f>
        <v>https://pbs.twimg.com/profile_images/699968807624798210/e61p2OuF_normal.png</v>
      </c>
      <c r="W1025" s="83">
        <v>44464.084131944444</v>
      </c>
      <c r="X1025" s="89">
        <v>44464</v>
      </c>
      <c r="Y1025" s="86" t="s">
        <v>3503</v>
      </c>
      <c r="Z1025" s="84" t="str">
        <f>HYPERLINK("https://twitter.com/kendari_pos/status/1441583523060609025")</f>
        <v>https://twitter.com/kendari_pos/status/1441583523060609025</v>
      </c>
      <c r="AA1025" s="81"/>
      <c r="AB1025" s="81"/>
      <c r="AC1025" s="86" t="s">
        <v>4968</v>
      </c>
      <c r="AD1025" s="81"/>
      <c r="AE1025" s="81" t="b">
        <v>0</v>
      </c>
      <c r="AF1025" s="81">
        <v>0</v>
      </c>
      <c r="AG1025" s="86" t="s">
        <v>6240</v>
      </c>
      <c r="AH1025" s="81" t="b">
        <v>0</v>
      </c>
      <c r="AI1025" s="81" t="s">
        <v>6478</v>
      </c>
      <c r="AJ1025" s="81"/>
      <c r="AK1025" s="86" t="s">
        <v>6240</v>
      </c>
      <c r="AL1025" s="81" t="b">
        <v>0</v>
      </c>
      <c r="AM1025" s="81">
        <v>0</v>
      </c>
      <c r="AN1025" s="86" t="s">
        <v>6240</v>
      </c>
      <c r="AO1025" s="86" t="s">
        <v>6509</v>
      </c>
      <c r="AP1025" s="81" t="b">
        <v>0</v>
      </c>
      <c r="AQ1025" s="86" t="s">
        <v>4968</v>
      </c>
      <c r="AR1025" s="81" t="s">
        <v>179</v>
      </c>
      <c r="AS1025" s="81">
        <v>0</v>
      </c>
      <c r="AT1025" s="81">
        <v>0</v>
      </c>
      <c r="AU1025" s="81"/>
      <c r="AV1025" s="81"/>
      <c r="AW1025" s="81"/>
      <c r="AX1025" s="81"/>
      <c r="AY1025" s="81"/>
      <c r="AZ1025" s="81"/>
      <c r="BA1025" s="81"/>
      <c r="BB1025" s="81"/>
    </row>
    <row r="1026" spans="1:54" x14ac:dyDescent="0.35">
      <c r="A1026" s="66" t="s">
        <v>876</v>
      </c>
      <c r="B1026" s="66" t="s">
        <v>907</v>
      </c>
      <c r="C1026" s="67"/>
      <c r="D1026" s="68"/>
      <c r="E1026" s="69"/>
      <c r="F1026" s="70"/>
      <c r="G1026" s="67"/>
      <c r="H1026" s="71"/>
      <c r="I1026" s="72"/>
      <c r="J1026" s="72"/>
      <c r="K1026" s="36"/>
      <c r="L1026" s="79"/>
      <c r="M1026" s="79"/>
      <c r="N1026" s="74"/>
      <c r="O1026" s="81" t="s">
        <v>1532</v>
      </c>
      <c r="P1026" s="83">
        <v>44464.115613425929</v>
      </c>
      <c r="Q1026" s="81" t="s">
        <v>1893</v>
      </c>
      <c r="R1026" s="81"/>
      <c r="S1026" s="81"/>
      <c r="T1026" s="86" t="s">
        <v>2667</v>
      </c>
      <c r="U1026" s="84" t="str">
        <f>HYPERLINK("https://pbs.twimg.com/media/FADMBqAUUAAn8ca.jpg")</f>
        <v>https://pbs.twimg.com/media/FADMBqAUUAAn8ca.jpg</v>
      </c>
      <c r="V1026" s="84" t="str">
        <f>HYPERLINK("https://pbs.twimg.com/media/FADMBqAUUAAn8ca.jpg")</f>
        <v>https://pbs.twimg.com/media/FADMBqAUUAAn8ca.jpg</v>
      </c>
      <c r="W1026" s="83">
        <v>44464.115613425929</v>
      </c>
      <c r="X1026" s="89">
        <v>44464</v>
      </c>
      <c r="Y1026" s="86" t="s">
        <v>3504</v>
      </c>
      <c r="Z1026" s="84" t="str">
        <f>HYPERLINK("https://twitter.com/jnoslatte/status/1441594928392327170")</f>
        <v>https://twitter.com/jnoslatte/status/1441594928392327170</v>
      </c>
      <c r="AA1026" s="81"/>
      <c r="AB1026" s="81"/>
      <c r="AC1026" s="86" t="s">
        <v>4969</v>
      </c>
      <c r="AD1026" s="81"/>
      <c r="AE1026" s="81" t="b">
        <v>0</v>
      </c>
      <c r="AF1026" s="81">
        <v>0</v>
      </c>
      <c r="AG1026" s="86" t="s">
        <v>6240</v>
      </c>
      <c r="AH1026" s="81" t="b">
        <v>0</v>
      </c>
      <c r="AI1026" s="81" t="s">
        <v>6479</v>
      </c>
      <c r="AJ1026" s="81"/>
      <c r="AK1026" s="86" t="s">
        <v>6240</v>
      </c>
      <c r="AL1026" s="81" t="b">
        <v>0</v>
      </c>
      <c r="AM1026" s="81">
        <v>9</v>
      </c>
      <c r="AN1026" s="86" t="s">
        <v>5014</v>
      </c>
      <c r="AO1026" s="86" t="s">
        <v>6503</v>
      </c>
      <c r="AP1026" s="81" t="b">
        <v>0</v>
      </c>
      <c r="AQ1026" s="86" t="s">
        <v>5014</v>
      </c>
      <c r="AR1026" s="81" t="s">
        <v>179</v>
      </c>
      <c r="AS1026" s="81">
        <v>0</v>
      </c>
      <c r="AT1026" s="81">
        <v>0</v>
      </c>
      <c r="AU1026" s="81"/>
      <c r="AV1026" s="81"/>
      <c r="AW1026" s="81"/>
      <c r="AX1026" s="81"/>
      <c r="AY1026" s="81"/>
      <c r="AZ1026" s="81"/>
      <c r="BA1026" s="81"/>
      <c r="BB1026" s="81"/>
    </row>
    <row r="1027" spans="1:54" x14ac:dyDescent="0.35">
      <c r="A1027" s="66" t="s">
        <v>877</v>
      </c>
      <c r="B1027" s="66" t="s">
        <v>1410</v>
      </c>
      <c r="C1027" s="67"/>
      <c r="D1027" s="68"/>
      <c r="E1027" s="69"/>
      <c r="F1027" s="70"/>
      <c r="G1027" s="67"/>
      <c r="H1027" s="71"/>
      <c r="I1027" s="72"/>
      <c r="J1027" s="72"/>
      <c r="K1027" s="36"/>
      <c r="L1027" s="79"/>
      <c r="M1027" s="79"/>
      <c r="N1027" s="74"/>
      <c r="O1027" s="81" t="s">
        <v>1533</v>
      </c>
      <c r="P1027" s="83">
        <v>44464.127233796295</v>
      </c>
      <c r="Q1027" s="81" t="s">
        <v>1909</v>
      </c>
      <c r="R1027" s="81"/>
      <c r="S1027" s="81"/>
      <c r="T1027" s="86" t="s">
        <v>1413</v>
      </c>
      <c r="U1027" s="84" t="str">
        <f>HYPERLINK("https://pbs.twimg.com/media/FAEa7dXVkAcjbKg.jpg")</f>
        <v>https://pbs.twimg.com/media/FAEa7dXVkAcjbKg.jpg</v>
      </c>
      <c r="V1027" s="84" t="str">
        <f>HYPERLINK("https://pbs.twimg.com/media/FAEa7dXVkAcjbKg.jpg")</f>
        <v>https://pbs.twimg.com/media/FAEa7dXVkAcjbKg.jpg</v>
      </c>
      <c r="W1027" s="83">
        <v>44464.127233796295</v>
      </c>
      <c r="X1027" s="89">
        <v>44464</v>
      </c>
      <c r="Y1027" s="86" t="s">
        <v>3505</v>
      </c>
      <c r="Z1027" s="84" t="str">
        <f>HYPERLINK("https://twitter.com/bunnykie/status/1441599141499396097")</f>
        <v>https://twitter.com/bunnykie/status/1441599141499396097</v>
      </c>
      <c r="AA1027" s="81"/>
      <c r="AB1027" s="81"/>
      <c r="AC1027" s="86" t="s">
        <v>4970</v>
      </c>
      <c r="AD1027" s="81"/>
      <c r="AE1027" s="81" t="b">
        <v>0</v>
      </c>
      <c r="AF1027" s="81">
        <v>0</v>
      </c>
      <c r="AG1027" s="86" t="s">
        <v>6240</v>
      </c>
      <c r="AH1027" s="81" t="b">
        <v>0</v>
      </c>
      <c r="AI1027" s="81" t="s">
        <v>6479</v>
      </c>
      <c r="AJ1027" s="81"/>
      <c r="AK1027" s="86" t="s">
        <v>6240</v>
      </c>
      <c r="AL1027" s="81" t="b">
        <v>0</v>
      </c>
      <c r="AM1027" s="81">
        <v>20</v>
      </c>
      <c r="AN1027" s="86" t="s">
        <v>5110</v>
      </c>
      <c r="AO1027" s="86" t="s">
        <v>6505</v>
      </c>
      <c r="AP1027" s="81" t="b">
        <v>0</v>
      </c>
      <c r="AQ1027" s="86" t="s">
        <v>5110</v>
      </c>
      <c r="AR1027" s="81" t="s">
        <v>179</v>
      </c>
      <c r="AS1027" s="81">
        <v>0</v>
      </c>
      <c r="AT1027" s="81">
        <v>0</v>
      </c>
      <c r="AU1027" s="81"/>
      <c r="AV1027" s="81"/>
      <c r="AW1027" s="81"/>
      <c r="AX1027" s="81"/>
      <c r="AY1027" s="81"/>
      <c r="AZ1027" s="81"/>
      <c r="BA1027" s="81"/>
      <c r="BB1027" s="81"/>
    </row>
    <row r="1028" spans="1:54" x14ac:dyDescent="0.35">
      <c r="A1028" s="66" t="s">
        <v>877</v>
      </c>
      <c r="B1028" s="66" t="s">
        <v>1411</v>
      </c>
      <c r="C1028" s="67"/>
      <c r="D1028" s="68"/>
      <c r="E1028" s="69"/>
      <c r="F1028" s="70"/>
      <c r="G1028" s="67"/>
      <c r="H1028" s="71"/>
      <c r="I1028" s="72"/>
      <c r="J1028" s="72"/>
      <c r="K1028" s="36"/>
      <c r="L1028" s="79"/>
      <c r="M1028" s="79"/>
      <c r="N1028" s="74"/>
      <c r="O1028" s="81" t="s">
        <v>1533</v>
      </c>
      <c r="P1028" s="83">
        <v>44464.127233796295</v>
      </c>
      <c r="Q1028" s="81" t="s">
        <v>1909</v>
      </c>
      <c r="R1028" s="81"/>
      <c r="S1028" s="81"/>
      <c r="T1028" s="86" t="s">
        <v>1413</v>
      </c>
      <c r="U1028" s="84" t="str">
        <f>HYPERLINK("https://pbs.twimg.com/media/FAEa7dXVkAcjbKg.jpg")</f>
        <v>https://pbs.twimg.com/media/FAEa7dXVkAcjbKg.jpg</v>
      </c>
      <c r="V1028" s="84" t="str">
        <f>HYPERLINK("https://pbs.twimg.com/media/FAEa7dXVkAcjbKg.jpg")</f>
        <v>https://pbs.twimg.com/media/FAEa7dXVkAcjbKg.jpg</v>
      </c>
      <c r="W1028" s="83">
        <v>44464.127233796295</v>
      </c>
      <c r="X1028" s="89">
        <v>44464</v>
      </c>
      <c r="Y1028" s="86" t="s">
        <v>3505</v>
      </c>
      <c r="Z1028" s="84" t="str">
        <f>HYPERLINK("https://twitter.com/bunnykie/status/1441599141499396097")</f>
        <v>https://twitter.com/bunnykie/status/1441599141499396097</v>
      </c>
      <c r="AA1028" s="81"/>
      <c r="AB1028" s="81"/>
      <c r="AC1028" s="86" t="s">
        <v>4970</v>
      </c>
      <c r="AD1028" s="81"/>
      <c r="AE1028" s="81" t="b">
        <v>0</v>
      </c>
      <c r="AF1028" s="81">
        <v>0</v>
      </c>
      <c r="AG1028" s="86" t="s">
        <v>6240</v>
      </c>
      <c r="AH1028" s="81" t="b">
        <v>0</v>
      </c>
      <c r="AI1028" s="81" t="s">
        <v>6479</v>
      </c>
      <c r="AJ1028" s="81"/>
      <c r="AK1028" s="86" t="s">
        <v>6240</v>
      </c>
      <c r="AL1028" s="81" t="b">
        <v>0</v>
      </c>
      <c r="AM1028" s="81">
        <v>20</v>
      </c>
      <c r="AN1028" s="86" t="s">
        <v>5110</v>
      </c>
      <c r="AO1028" s="86" t="s">
        <v>6505</v>
      </c>
      <c r="AP1028" s="81" t="b">
        <v>0</v>
      </c>
      <c r="AQ1028" s="86" t="s">
        <v>5110</v>
      </c>
      <c r="AR1028" s="81" t="s">
        <v>179</v>
      </c>
      <c r="AS1028" s="81">
        <v>0</v>
      </c>
      <c r="AT1028" s="81">
        <v>0</v>
      </c>
      <c r="AU1028" s="81"/>
      <c r="AV1028" s="81"/>
      <c r="AW1028" s="81"/>
      <c r="AX1028" s="81"/>
      <c r="AY1028" s="81"/>
      <c r="AZ1028" s="81"/>
      <c r="BA1028" s="81"/>
      <c r="BB1028" s="81"/>
    </row>
    <row r="1029" spans="1:54" x14ac:dyDescent="0.35">
      <c r="A1029" s="66" t="s">
        <v>877</v>
      </c>
      <c r="B1029" s="66" t="s">
        <v>1412</v>
      </c>
      <c r="C1029" s="67"/>
      <c r="D1029" s="68"/>
      <c r="E1029" s="69"/>
      <c r="F1029" s="70"/>
      <c r="G1029" s="67"/>
      <c r="H1029" s="71"/>
      <c r="I1029" s="72"/>
      <c r="J1029" s="72"/>
      <c r="K1029" s="36"/>
      <c r="L1029" s="79"/>
      <c r="M1029" s="79"/>
      <c r="N1029" s="74"/>
      <c r="O1029" s="81" t="s">
        <v>1533</v>
      </c>
      <c r="P1029" s="83">
        <v>44464.127233796295</v>
      </c>
      <c r="Q1029" s="81" t="s">
        <v>1909</v>
      </c>
      <c r="R1029" s="81"/>
      <c r="S1029" s="81"/>
      <c r="T1029" s="86" t="s">
        <v>1413</v>
      </c>
      <c r="U1029" s="84" t="str">
        <f>HYPERLINK("https://pbs.twimg.com/media/FAEa7dXVkAcjbKg.jpg")</f>
        <v>https://pbs.twimg.com/media/FAEa7dXVkAcjbKg.jpg</v>
      </c>
      <c r="V1029" s="84" t="str">
        <f>HYPERLINK("https://pbs.twimg.com/media/FAEa7dXVkAcjbKg.jpg")</f>
        <v>https://pbs.twimg.com/media/FAEa7dXVkAcjbKg.jpg</v>
      </c>
      <c r="W1029" s="83">
        <v>44464.127233796295</v>
      </c>
      <c r="X1029" s="89">
        <v>44464</v>
      </c>
      <c r="Y1029" s="86" t="s">
        <v>3505</v>
      </c>
      <c r="Z1029" s="84" t="str">
        <f>HYPERLINK("https://twitter.com/bunnykie/status/1441599141499396097")</f>
        <v>https://twitter.com/bunnykie/status/1441599141499396097</v>
      </c>
      <c r="AA1029" s="81"/>
      <c r="AB1029" s="81"/>
      <c r="AC1029" s="86" t="s">
        <v>4970</v>
      </c>
      <c r="AD1029" s="81"/>
      <c r="AE1029" s="81" t="b">
        <v>0</v>
      </c>
      <c r="AF1029" s="81">
        <v>0</v>
      </c>
      <c r="AG1029" s="86" t="s">
        <v>6240</v>
      </c>
      <c r="AH1029" s="81" t="b">
        <v>0</v>
      </c>
      <c r="AI1029" s="81" t="s">
        <v>6479</v>
      </c>
      <c r="AJ1029" s="81"/>
      <c r="AK1029" s="86" t="s">
        <v>6240</v>
      </c>
      <c r="AL1029" s="81" t="b">
        <v>0</v>
      </c>
      <c r="AM1029" s="81">
        <v>20</v>
      </c>
      <c r="AN1029" s="86" t="s">
        <v>5110</v>
      </c>
      <c r="AO1029" s="86" t="s">
        <v>6505</v>
      </c>
      <c r="AP1029" s="81" t="b">
        <v>0</v>
      </c>
      <c r="AQ1029" s="86" t="s">
        <v>5110</v>
      </c>
      <c r="AR1029" s="81" t="s">
        <v>179</v>
      </c>
      <c r="AS1029" s="81">
        <v>0</v>
      </c>
      <c r="AT1029" s="81">
        <v>0</v>
      </c>
      <c r="AU1029" s="81"/>
      <c r="AV1029" s="81"/>
      <c r="AW1029" s="81"/>
      <c r="AX1029" s="81"/>
      <c r="AY1029" s="81"/>
      <c r="AZ1029" s="81"/>
      <c r="BA1029" s="81"/>
      <c r="BB1029" s="81"/>
    </row>
    <row r="1030" spans="1:54" x14ac:dyDescent="0.35">
      <c r="A1030" s="66" t="s">
        <v>877</v>
      </c>
      <c r="B1030" s="66" t="s">
        <v>1413</v>
      </c>
      <c r="C1030" s="67"/>
      <c r="D1030" s="68"/>
      <c r="E1030" s="69"/>
      <c r="F1030" s="70"/>
      <c r="G1030" s="67"/>
      <c r="H1030" s="71"/>
      <c r="I1030" s="72"/>
      <c r="J1030" s="72"/>
      <c r="K1030" s="36"/>
      <c r="L1030" s="79"/>
      <c r="M1030" s="79"/>
      <c r="N1030" s="74"/>
      <c r="O1030" s="81" t="s">
        <v>1533</v>
      </c>
      <c r="P1030" s="83">
        <v>44464.127233796295</v>
      </c>
      <c r="Q1030" s="81" t="s">
        <v>1909</v>
      </c>
      <c r="R1030" s="81"/>
      <c r="S1030" s="81"/>
      <c r="T1030" s="86" t="s">
        <v>1413</v>
      </c>
      <c r="U1030" s="84" t="str">
        <f>HYPERLINK("https://pbs.twimg.com/media/FAEa7dXVkAcjbKg.jpg")</f>
        <v>https://pbs.twimg.com/media/FAEa7dXVkAcjbKg.jpg</v>
      </c>
      <c r="V1030" s="84" t="str">
        <f>HYPERLINK("https://pbs.twimg.com/media/FAEa7dXVkAcjbKg.jpg")</f>
        <v>https://pbs.twimg.com/media/FAEa7dXVkAcjbKg.jpg</v>
      </c>
      <c r="W1030" s="83">
        <v>44464.127233796295</v>
      </c>
      <c r="X1030" s="89">
        <v>44464</v>
      </c>
      <c r="Y1030" s="86" t="s">
        <v>3505</v>
      </c>
      <c r="Z1030" s="84" t="str">
        <f>HYPERLINK("https://twitter.com/bunnykie/status/1441599141499396097")</f>
        <v>https://twitter.com/bunnykie/status/1441599141499396097</v>
      </c>
      <c r="AA1030" s="81"/>
      <c r="AB1030" s="81"/>
      <c r="AC1030" s="86" t="s">
        <v>4970</v>
      </c>
      <c r="AD1030" s="81"/>
      <c r="AE1030" s="81" t="b">
        <v>0</v>
      </c>
      <c r="AF1030" s="81">
        <v>0</v>
      </c>
      <c r="AG1030" s="86" t="s">
        <v>6240</v>
      </c>
      <c r="AH1030" s="81" t="b">
        <v>0</v>
      </c>
      <c r="AI1030" s="81" t="s">
        <v>6479</v>
      </c>
      <c r="AJ1030" s="81"/>
      <c r="AK1030" s="86" t="s">
        <v>6240</v>
      </c>
      <c r="AL1030" s="81" t="b">
        <v>0</v>
      </c>
      <c r="AM1030" s="81">
        <v>20</v>
      </c>
      <c r="AN1030" s="86" t="s">
        <v>5110</v>
      </c>
      <c r="AO1030" s="86" t="s">
        <v>6505</v>
      </c>
      <c r="AP1030" s="81" t="b">
        <v>0</v>
      </c>
      <c r="AQ1030" s="86" t="s">
        <v>5110</v>
      </c>
      <c r="AR1030" s="81" t="s">
        <v>179</v>
      </c>
      <c r="AS1030" s="81">
        <v>0</v>
      </c>
      <c r="AT1030" s="81">
        <v>0</v>
      </c>
      <c r="AU1030" s="81"/>
      <c r="AV1030" s="81"/>
      <c r="AW1030" s="81"/>
      <c r="AX1030" s="81"/>
      <c r="AY1030" s="81"/>
      <c r="AZ1030" s="81"/>
      <c r="BA1030" s="81"/>
      <c r="BB1030" s="81"/>
    </row>
    <row r="1031" spans="1:54" x14ac:dyDescent="0.35">
      <c r="A1031" s="66" t="s">
        <v>877</v>
      </c>
      <c r="B1031" s="66" t="s">
        <v>990</v>
      </c>
      <c r="C1031" s="67"/>
      <c r="D1031" s="68"/>
      <c r="E1031" s="69"/>
      <c r="F1031" s="70"/>
      <c r="G1031" s="67"/>
      <c r="H1031" s="71"/>
      <c r="I1031" s="72"/>
      <c r="J1031" s="72"/>
      <c r="K1031" s="36"/>
      <c r="L1031" s="79"/>
      <c r="M1031" s="79"/>
      <c r="N1031" s="74"/>
      <c r="O1031" s="81" t="s">
        <v>1532</v>
      </c>
      <c r="P1031" s="83">
        <v>44464.127233796295</v>
      </c>
      <c r="Q1031" s="81" t="s">
        <v>1909</v>
      </c>
      <c r="R1031" s="81"/>
      <c r="S1031" s="81"/>
      <c r="T1031" s="86" t="s">
        <v>1413</v>
      </c>
      <c r="U1031" s="84" t="str">
        <f>HYPERLINK("https://pbs.twimg.com/media/FAEa7dXVkAcjbKg.jpg")</f>
        <v>https://pbs.twimg.com/media/FAEa7dXVkAcjbKg.jpg</v>
      </c>
      <c r="V1031" s="84" t="str">
        <f>HYPERLINK("https://pbs.twimg.com/media/FAEa7dXVkAcjbKg.jpg")</f>
        <v>https://pbs.twimg.com/media/FAEa7dXVkAcjbKg.jpg</v>
      </c>
      <c r="W1031" s="83">
        <v>44464.127233796295</v>
      </c>
      <c r="X1031" s="89">
        <v>44464</v>
      </c>
      <c r="Y1031" s="86" t="s">
        <v>3505</v>
      </c>
      <c r="Z1031" s="84" t="str">
        <f>HYPERLINK("https://twitter.com/bunnykie/status/1441599141499396097")</f>
        <v>https://twitter.com/bunnykie/status/1441599141499396097</v>
      </c>
      <c r="AA1031" s="81"/>
      <c r="AB1031" s="81"/>
      <c r="AC1031" s="86" t="s">
        <v>4970</v>
      </c>
      <c r="AD1031" s="81"/>
      <c r="AE1031" s="81" t="b">
        <v>0</v>
      </c>
      <c r="AF1031" s="81">
        <v>0</v>
      </c>
      <c r="AG1031" s="86" t="s">
        <v>6240</v>
      </c>
      <c r="AH1031" s="81" t="b">
        <v>0</v>
      </c>
      <c r="AI1031" s="81" t="s">
        <v>6479</v>
      </c>
      <c r="AJ1031" s="81"/>
      <c r="AK1031" s="86" t="s">
        <v>6240</v>
      </c>
      <c r="AL1031" s="81" t="b">
        <v>0</v>
      </c>
      <c r="AM1031" s="81">
        <v>20</v>
      </c>
      <c r="AN1031" s="86" t="s">
        <v>5110</v>
      </c>
      <c r="AO1031" s="86" t="s">
        <v>6505</v>
      </c>
      <c r="AP1031" s="81" t="b">
        <v>0</v>
      </c>
      <c r="AQ1031" s="86" t="s">
        <v>5110</v>
      </c>
      <c r="AR1031" s="81" t="s">
        <v>179</v>
      </c>
      <c r="AS1031" s="81">
        <v>0</v>
      </c>
      <c r="AT1031" s="81">
        <v>0</v>
      </c>
      <c r="AU1031" s="81"/>
      <c r="AV1031" s="81"/>
      <c r="AW1031" s="81"/>
      <c r="AX1031" s="81"/>
      <c r="AY1031" s="81"/>
      <c r="AZ1031" s="81"/>
      <c r="BA1031" s="81"/>
      <c r="BB1031" s="81"/>
    </row>
    <row r="1032" spans="1:54" x14ac:dyDescent="0.35">
      <c r="A1032" s="66" t="s">
        <v>878</v>
      </c>
      <c r="B1032" s="66" t="s">
        <v>878</v>
      </c>
      <c r="C1032" s="67"/>
      <c r="D1032" s="68"/>
      <c r="E1032" s="69"/>
      <c r="F1032" s="70"/>
      <c r="G1032" s="67"/>
      <c r="H1032" s="71"/>
      <c r="I1032" s="72"/>
      <c r="J1032" s="72"/>
      <c r="K1032" s="36"/>
      <c r="L1032" s="79"/>
      <c r="M1032" s="79"/>
      <c r="N1032" s="74"/>
      <c r="O1032" s="81" t="s">
        <v>179</v>
      </c>
      <c r="P1032" s="83">
        <v>44464.136828703704</v>
      </c>
      <c r="Q1032" s="81" t="s">
        <v>1918</v>
      </c>
      <c r="R1032" s="84" t="str">
        <f>HYPERLINK("https://infolokerserang.com/lowongan-kerja-pt-sicepat-ekspres-indonesia-penempatan-cilegon/?utm_source=dlvr.it&amp;utm_medium=twitter")</f>
        <v>https://infolokerserang.com/lowongan-kerja-pt-sicepat-ekspres-indonesia-penempatan-cilegon/?utm_source=dlvr.it&amp;utm_medium=twitter</v>
      </c>
      <c r="S1032" s="81" t="s">
        <v>2628</v>
      </c>
      <c r="T1032" s="81"/>
      <c r="U1032" s="81"/>
      <c r="V1032" s="84" t="str">
        <f>HYPERLINK("https://pbs.twimg.com/profile_images/1423412896076234755/1Gq4AX7A_normal.jpg")</f>
        <v>https://pbs.twimg.com/profile_images/1423412896076234755/1Gq4AX7A_normal.jpg</v>
      </c>
      <c r="W1032" s="83">
        <v>44464.136828703704</v>
      </c>
      <c r="X1032" s="89">
        <v>44464</v>
      </c>
      <c r="Y1032" s="86" t="s">
        <v>3506</v>
      </c>
      <c r="Z1032" s="84" t="str">
        <f>HYPERLINK("https://twitter.com/infolokerserang/status/1441602618854297604")</f>
        <v>https://twitter.com/infolokerserang/status/1441602618854297604</v>
      </c>
      <c r="AA1032" s="81"/>
      <c r="AB1032" s="81"/>
      <c r="AC1032" s="86" t="s">
        <v>4971</v>
      </c>
      <c r="AD1032" s="81"/>
      <c r="AE1032" s="81" t="b">
        <v>0</v>
      </c>
      <c r="AF1032" s="81">
        <v>1</v>
      </c>
      <c r="AG1032" s="86" t="s">
        <v>6240</v>
      </c>
      <c r="AH1032" s="81" t="b">
        <v>0</v>
      </c>
      <c r="AI1032" s="81" t="s">
        <v>6478</v>
      </c>
      <c r="AJ1032" s="81"/>
      <c r="AK1032" s="86" t="s">
        <v>6240</v>
      </c>
      <c r="AL1032" s="81" t="b">
        <v>0</v>
      </c>
      <c r="AM1032" s="81">
        <v>0</v>
      </c>
      <c r="AN1032" s="86" t="s">
        <v>6240</v>
      </c>
      <c r="AO1032" s="86" t="s">
        <v>6515</v>
      </c>
      <c r="AP1032" s="81" t="b">
        <v>0</v>
      </c>
      <c r="AQ1032" s="86" t="s">
        <v>4971</v>
      </c>
      <c r="AR1032" s="81" t="s">
        <v>179</v>
      </c>
      <c r="AS1032" s="81">
        <v>0</v>
      </c>
      <c r="AT1032" s="81">
        <v>0</v>
      </c>
      <c r="AU1032" s="81"/>
      <c r="AV1032" s="81"/>
      <c r="AW1032" s="81"/>
      <c r="AX1032" s="81"/>
      <c r="AY1032" s="81"/>
      <c r="AZ1032" s="81"/>
      <c r="BA1032" s="81"/>
      <c r="BB1032" s="81"/>
    </row>
    <row r="1033" spans="1:54" x14ac:dyDescent="0.35">
      <c r="A1033" s="66" t="s">
        <v>879</v>
      </c>
      <c r="B1033" s="66" t="s">
        <v>1410</v>
      </c>
      <c r="C1033" s="67"/>
      <c r="D1033" s="68"/>
      <c r="E1033" s="69"/>
      <c r="F1033" s="70"/>
      <c r="G1033" s="67"/>
      <c r="H1033" s="71"/>
      <c r="I1033" s="72"/>
      <c r="J1033" s="72"/>
      <c r="K1033" s="36"/>
      <c r="L1033" s="79"/>
      <c r="M1033" s="79"/>
      <c r="N1033" s="74"/>
      <c r="O1033" s="81" t="s">
        <v>1533</v>
      </c>
      <c r="P1033" s="83">
        <v>44464.146921296298</v>
      </c>
      <c r="Q1033" s="81" t="s">
        <v>1910</v>
      </c>
      <c r="R1033" s="81"/>
      <c r="S1033" s="81"/>
      <c r="T1033" s="86" t="s">
        <v>1413</v>
      </c>
      <c r="U1033" s="84" t="str">
        <f>HYPERLINK("https://pbs.twimg.com/media/FAEaAdPVgAgaH2z.jpg")</f>
        <v>https://pbs.twimg.com/media/FAEaAdPVgAgaH2z.jpg</v>
      </c>
      <c r="V1033" s="84" t="str">
        <f>HYPERLINK("https://pbs.twimg.com/media/FAEaAdPVgAgaH2z.jpg")</f>
        <v>https://pbs.twimg.com/media/FAEaAdPVgAgaH2z.jpg</v>
      </c>
      <c r="W1033" s="83">
        <v>44464.146921296298</v>
      </c>
      <c r="X1033" s="89">
        <v>44464</v>
      </c>
      <c r="Y1033" s="86" t="s">
        <v>3507</v>
      </c>
      <c r="Z1033" s="84" t="str">
        <f>HYPERLINK("https://twitter.com/dinotaete/status/1441606275373035520")</f>
        <v>https://twitter.com/dinotaete/status/1441606275373035520</v>
      </c>
      <c r="AA1033" s="81"/>
      <c r="AB1033" s="81"/>
      <c r="AC1033" s="86" t="s">
        <v>4972</v>
      </c>
      <c r="AD1033" s="81"/>
      <c r="AE1033" s="81" t="b">
        <v>0</v>
      </c>
      <c r="AF1033" s="81">
        <v>0</v>
      </c>
      <c r="AG1033" s="86" t="s">
        <v>6240</v>
      </c>
      <c r="AH1033" s="81" t="b">
        <v>0</v>
      </c>
      <c r="AI1033" s="81" t="s">
        <v>6479</v>
      </c>
      <c r="AJ1033" s="81"/>
      <c r="AK1033" s="86" t="s">
        <v>6240</v>
      </c>
      <c r="AL1033" s="81" t="b">
        <v>0</v>
      </c>
      <c r="AM1033" s="81">
        <v>21</v>
      </c>
      <c r="AN1033" s="86" t="s">
        <v>5109</v>
      </c>
      <c r="AO1033" s="86" t="s">
        <v>6505</v>
      </c>
      <c r="AP1033" s="81" t="b">
        <v>0</v>
      </c>
      <c r="AQ1033" s="86" t="s">
        <v>5109</v>
      </c>
      <c r="AR1033" s="81" t="s">
        <v>179</v>
      </c>
      <c r="AS1033" s="81">
        <v>0</v>
      </c>
      <c r="AT1033" s="81">
        <v>0</v>
      </c>
      <c r="AU1033" s="81"/>
      <c r="AV1033" s="81"/>
      <c r="AW1033" s="81"/>
      <c r="AX1033" s="81"/>
      <c r="AY1033" s="81"/>
      <c r="AZ1033" s="81"/>
      <c r="BA1033" s="81"/>
      <c r="BB1033" s="81"/>
    </row>
    <row r="1034" spans="1:54" x14ac:dyDescent="0.35">
      <c r="A1034" s="66" t="s">
        <v>879</v>
      </c>
      <c r="B1034" s="66" t="s">
        <v>1411</v>
      </c>
      <c r="C1034" s="67"/>
      <c r="D1034" s="68"/>
      <c r="E1034" s="69"/>
      <c r="F1034" s="70"/>
      <c r="G1034" s="67"/>
      <c r="H1034" s="71"/>
      <c r="I1034" s="72"/>
      <c r="J1034" s="72"/>
      <c r="K1034" s="36"/>
      <c r="L1034" s="79"/>
      <c r="M1034" s="79"/>
      <c r="N1034" s="74"/>
      <c r="O1034" s="81" t="s">
        <v>1533</v>
      </c>
      <c r="P1034" s="83">
        <v>44464.146921296298</v>
      </c>
      <c r="Q1034" s="81" t="s">
        <v>1910</v>
      </c>
      <c r="R1034" s="81"/>
      <c r="S1034" s="81"/>
      <c r="T1034" s="86" t="s">
        <v>1413</v>
      </c>
      <c r="U1034" s="84" t="str">
        <f>HYPERLINK("https://pbs.twimg.com/media/FAEaAdPVgAgaH2z.jpg")</f>
        <v>https://pbs.twimg.com/media/FAEaAdPVgAgaH2z.jpg</v>
      </c>
      <c r="V1034" s="84" t="str">
        <f>HYPERLINK("https://pbs.twimg.com/media/FAEaAdPVgAgaH2z.jpg")</f>
        <v>https://pbs.twimg.com/media/FAEaAdPVgAgaH2z.jpg</v>
      </c>
      <c r="W1034" s="83">
        <v>44464.146921296298</v>
      </c>
      <c r="X1034" s="89">
        <v>44464</v>
      </c>
      <c r="Y1034" s="86" t="s">
        <v>3507</v>
      </c>
      <c r="Z1034" s="84" t="str">
        <f>HYPERLINK("https://twitter.com/dinotaete/status/1441606275373035520")</f>
        <v>https://twitter.com/dinotaete/status/1441606275373035520</v>
      </c>
      <c r="AA1034" s="81"/>
      <c r="AB1034" s="81"/>
      <c r="AC1034" s="86" t="s">
        <v>4972</v>
      </c>
      <c r="AD1034" s="81"/>
      <c r="AE1034" s="81" t="b">
        <v>0</v>
      </c>
      <c r="AF1034" s="81">
        <v>0</v>
      </c>
      <c r="AG1034" s="86" t="s">
        <v>6240</v>
      </c>
      <c r="AH1034" s="81" t="b">
        <v>0</v>
      </c>
      <c r="AI1034" s="81" t="s">
        <v>6479</v>
      </c>
      <c r="AJ1034" s="81"/>
      <c r="AK1034" s="86" t="s">
        <v>6240</v>
      </c>
      <c r="AL1034" s="81" t="b">
        <v>0</v>
      </c>
      <c r="AM1034" s="81">
        <v>21</v>
      </c>
      <c r="AN1034" s="86" t="s">
        <v>5109</v>
      </c>
      <c r="AO1034" s="86" t="s">
        <v>6505</v>
      </c>
      <c r="AP1034" s="81" t="b">
        <v>0</v>
      </c>
      <c r="AQ1034" s="86" t="s">
        <v>5109</v>
      </c>
      <c r="AR1034" s="81" t="s">
        <v>179</v>
      </c>
      <c r="AS1034" s="81">
        <v>0</v>
      </c>
      <c r="AT1034" s="81">
        <v>0</v>
      </c>
      <c r="AU1034" s="81"/>
      <c r="AV1034" s="81"/>
      <c r="AW1034" s="81"/>
      <c r="AX1034" s="81"/>
      <c r="AY1034" s="81"/>
      <c r="AZ1034" s="81"/>
      <c r="BA1034" s="81"/>
      <c r="BB1034" s="81"/>
    </row>
    <row r="1035" spans="1:54" x14ac:dyDescent="0.35">
      <c r="A1035" s="66" t="s">
        <v>879</v>
      </c>
      <c r="B1035" s="66" t="s">
        <v>1412</v>
      </c>
      <c r="C1035" s="67"/>
      <c r="D1035" s="68"/>
      <c r="E1035" s="69"/>
      <c r="F1035" s="70"/>
      <c r="G1035" s="67"/>
      <c r="H1035" s="71"/>
      <c r="I1035" s="72"/>
      <c r="J1035" s="72"/>
      <c r="K1035" s="36"/>
      <c r="L1035" s="79"/>
      <c r="M1035" s="79"/>
      <c r="N1035" s="74"/>
      <c r="O1035" s="81" t="s">
        <v>1533</v>
      </c>
      <c r="P1035" s="83">
        <v>44464.146921296298</v>
      </c>
      <c r="Q1035" s="81" t="s">
        <v>1910</v>
      </c>
      <c r="R1035" s="81"/>
      <c r="S1035" s="81"/>
      <c r="T1035" s="86" t="s">
        <v>1413</v>
      </c>
      <c r="U1035" s="84" t="str">
        <f>HYPERLINK("https://pbs.twimg.com/media/FAEaAdPVgAgaH2z.jpg")</f>
        <v>https://pbs.twimg.com/media/FAEaAdPVgAgaH2z.jpg</v>
      </c>
      <c r="V1035" s="84" t="str">
        <f>HYPERLINK("https://pbs.twimg.com/media/FAEaAdPVgAgaH2z.jpg")</f>
        <v>https://pbs.twimg.com/media/FAEaAdPVgAgaH2z.jpg</v>
      </c>
      <c r="W1035" s="83">
        <v>44464.146921296298</v>
      </c>
      <c r="X1035" s="89">
        <v>44464</v>
      </c>
      <c r="Y1035" s="86" t="s">
        <v>3507</v>
      </c>
      <c r="Z1035" s="84" t="str">
        <f>HYPERLINK("https://twitter.com/dinotaete/status/1441606275373035520")</f>
        <v>https://twitter.com/dinotaete/status/1441606275373035520</v>
      </c>
      <c r="AA1035" s="81"/>
      <c r="AB1035" s="81"/>
      <c r="AC1035" s="86" t="s">
        <v>4972</v>
      </c>
      <c r="AD1035" s="81"/>
      <c r="AE1035" s="81" t="b">
        <v>0</v>
      </c>
      <c r="AF1035" s="81">
        <v>0</v>
      </c>
      <c r="AG1035" s="86" t="s">
        <v>6240</v>
      </c>
      <c r="AH1035" s="81" t="b">
        <v>0</v>
      </c>
      <c r="AI1035" s="81" t="s">
        <v>6479</v>
      </c>
      <c r="AJ1035" s="81"/>
      <c r="AK1035" s="86" t="s">
        <v>6240</v>
      </c>
      <c r="AL1035" s="81" t="b">
        <v>0</v>
      </c>
      <c r="AM1035" s="81">
        <v>21</v>
      </c>
      <c r="AN1035" s="86" t="s">
        <v>5109</v>
      </c>
      <c r="AO1035" s="86" t="s">
        <v>6505</v>
      </c>
      <c r="AP1035" s="81" t="b">
        <v>0</v>
      </c>
      <c r="AQ1035" s="86" t="s">
        <v>5109</v>
      </c>
      <c r="AR1035" s="81" t="s">
        <v>179</v>
      </c>
      <c r="AS1035" s="81">
        <v>0</v>
      </c>
      <c r="AT1035" s="81">
        <v>0</v>
      </c>
      <c r="AU1035" s="81"/>
      <c r="AV1035" s="81"/>
      <c r="AW1035" s="81"/>
      <c r="AX1035" s="81"/>
      <c r="AY1035" s="81"/>
      <c r="AZ1035" s="81"/>
      <c r="BA1035" s="81"/>
      <c r="BB1035" s="81"/>
    </row>
    <row r="1036" spans="1:54" x14ac:dyDescent="0.35">
      <c r="A1036" s="66" t="s">
        <v>879</v>
      </c>
      <c r="B1036" s="66" t="s">
        <v>1413</v>
      </c>
      <c r="C1036" s="67"/>
      <c r="D1036" s="68"/>
      <c r="E1036" s="69"/>
      <c r="F1036" s="70"/>
      <c r="G1036" s="67"/>
      <c r="H1036" s="71"/>
      <c r="I1036" s="72"/>
      <c r="J1036" s="72"/>
      <c r="K1036" s="36"/>
      <c r="L1036" s="79"/>
      <c r="M1036" s="79"/>
      <c r="N1036" s="74"/>
      <c r="O1036" s="81" t="s">
        <v>1533</v>
      </c>
      <c r="P1036" s="83">
        <v>44464.146921296298</v>
      </c>
      <c r="Q1036" s="81" t="s">
        <v>1910</v>
      </c>
      <c r="R1036" s="81"/>
      <c r="S1036" s="81"/>
      <c r="T1036" s="86" t="s">
        <v>1413</v>
      </c>
      <c r="U1036" s="84" t="str">
        <f>HYPERLINK("https://pbs.twimg.com/media/FAEaAdPVgAgaH2z.jpg")</f>
        <v>https://pbs.twimg.com/media/FAEaAdPVgAgaH2z.jpg</v>
      </c>
      <c r="V1036" s="84" t="str">
        <f>HYPERLINK("https://pbs.twimg.com/media/FAEaAdPVgAgaH2z.jpg")</f>
        <v>https://pbs.twimg.com/media/FAEaAdPVgAgaH2z.jpg</v>
      </c>
      <c r="W1036" s="83">
        <v>44464.146921296298</v>
      </c>
      <c r="X1036" s="89">
        <v>44464</v>
      </c>
      <c r="Y1036" s="86" t="s">
        <v>3507</v>
      </c>
      <c r="Z1036" s="84" t="str">
        <f>HYPERLINK("https://twitter.com/dinotaete/status/1441606275373035520")</f>
        <v>https://twitter.com/dinotaete/status/1441606275373035520</v>
      </c>
      <c r="AA1036" s="81"/>
      <c r="AB1036" s="81"/>
      <c r="AC1036" s="86" t="s">
        <v>4972</v>
      </c>
      <c r="AD1036" s="81"/>
      <c r="AE1036" s="81" t="b">
        <v>0</v>
      </c>
      <c r="AF1036" s="81">
        <v>0</v>
      </c>
      <c r="AG1036" s="86" t="s">
        <v>6240</v>
      </c>
      <c r="AH1036" s="81" t="b">
        <v>0</v>
      </c>
      <c r="AI1036" s="81" t="s">
        <v>6479</v>
      </c>
      <c r="AJ1036" s="81"/>
      <c r="AK1036" s="86" t="s">
        <v>6240</v>
      </c>
      <c r="AL1036" s="81" t="b">
        <v>0</v>
      </c>
      <c r="AM1036" s="81">
        <v>21</v>
      </c>
      <c r="AN1036" s="86" t="s">
        <v>5109</v>
      </c>
      <c r="AO1036" s="86" t="s">
        <v>6505</v>
      </c>
      <c r="AP1036" s="81" t="b">
        <v>0</v>
      </c>
      <c r="AQ1036" s="86" t="s">
        <v>5109</v>
      </c>
      <c r="AR1036" s="81" t="s">
        <v>179</v>
      </c>
      <c r="AS1036" s="81">
        <v>0</v>
      </c>
      <c r="AT1036" s="81">
        <v>0</v>
      </c>
      <c r="AU1036" s="81"/>
      <c r="AV1036" s="81"/>
      <c r="AW1036" s="81"/>
      <c r="AX1036" s="81"/>
      <c r="AY1036" s="81"/>
      <c r="AZ1036" s="81"/>
      <c r="BA1036" s="81"/>
      <c r="BB1036" s="81"/>
    </row>
    <row r="1037" spans="1:54" x14ac:dyDescent="0.35">
      <c r="A1037" s="66" t="s">
        <v>879</v>
      </c>
      <c r="B1037" s="66" t="s">
        <v>990</v>
      </c>
      <c r="C1037" s="67"/>
      <c r="D1037" s="68"/>
      <c r="E1037" s="69"/>
      <c r="F1037" s="70"/>
      <c r="G1037" s="67"/>
      <c r="H1037" s="71"/>
      <c r="I1037" s="72"/>
      <c r="J1037" s="72"/>
      <c r="K1037" s="36"/>
      <c r="L1037" s="79"/>
      <c r="M1037" s="79"/>
      <c r="N1037" s="74"/>
      <c r="O1037" s="81" t="s">
        <v>1532</v>
      </c>
      <c r="P1037" s="83">
        <v>44464.146921296298</v>
      </c>
      <c r="Q1037" s="81" t="s">
        <v>1910</v>
      </c>
      <c r="R1037" s="81"/>
      <c r="S1037" s="81"/>
      <c r="T1037" s="86" t="s">
        <v>1413</v>
      </c>
      <c r="U1037" s="84" t="str">
        <f>HYPERLINK("https://pbs.twimg.com/media/FAEaAdPVgAgaH2z.jpg")</f>
        <v>https://pbs.twimg.com/media/FAEaAdPVgAgaH2z.jpg</v>
      </c>
      <c r="V1037" s="84" t="str">
        <f>HYPERLINK("https://pbs.twimg.com/media/FAEaAdPVgAgaH2z.jpg")</f>
        <v>https://pbs.twimg.com/media/FAEaAdPVgAgaH2z.jpg</v>
      </c>
      <c r="W1037" s="83">
        <v>44464.146921296298</v>
      </c>
      <c r="X1037" s="89">
        <v>44464</v>
      </c>
      <c r="Y1037" s="86" t="s">
        <v>3507</v>
      </c>
      <c r="Z1037" s="84" t="str">
        <f>HYPERLINK("https://twitter.com/dinotaete/status/1441606275373035520")</f>
        <v>https://twitter.com/dinotaete/status/1441606275373035520</v>
      </c>
      <c r="AA1037" s="81"/>
      <c r="AB1037" s="81"/>
      <c r="AC1037" s="86" t="s">
        <v>4972</v>
      </c>
      <c r="AD1037" s="81"/>
      <c r="AE1037" s="81" t="b">
        <v>0</v>
      </c>
      <c r="AF1037" s="81">
        <v>0</v>
      </c>
      <c r="AG1037" s="86" t="s">
        <v>6240</v>
      </c>
      <c r="AH1037" s="81" t="b">
        <v>0</v>
      </c>
      <c r="AI1037" s="81" t="s">
        <v>6479</v>
      </c>
      <c r="AJ1037" s="81"/>
      <c r="AK1037" s="86" t="s">
        <v>6240</v>
      </c>
      <c r="AL1037" s="81" t="b">
        <v>0</v>
      </c>
      <c r="AM1037" s="81">
        <v>21</v>
      </c>
      <c r="AN1037" s="86" t="s">
        <v>5109</v>
      </c>
      <c r="AO1037" s="86" t="s">
        <v>6505</v>
      </c>
      <c r="AP1037" s="81" t="b">
        <v>0</v>
      </c>
      <c r="AQ1037" s="86" t="s">
        <v>5109</v>
      </c>
      <c r="AR1037" s="81" t="s">
        <v>179</v>
      </c>
      <c r="AS1037" s="81">
        <v>0</v>
      </c>
      <c r="AT1037" s="81">
        <v>0</v>
      </c>
      <c r="AU1037" s="81"/>
      <c r="AV1037" s="81"/>
      <c r="AW1037" s="81"/>
      <c r="AX1037" s="81"/>
      <c r="AY1037" s="81"/>
      <c r="AZ1037" s="81"/>
      <c r="BA1037" s="81"/>
      <c r="BB1037" s="81"/>
    </row>
    <row r="1038" spans="1:54" x14ac:dyDescent="0.35">
      <c r="A1038" s="66" t="s">
        <v>880</v>
      </c>
      <c r="B1038" s="66" t="s">
        <v>880</v>
      </c>
      <c r="C1038" s="67"/>
      <c r="D1038" s="68"/>
      <c r="E1038" s="69"/>
      <c r="F1038" s="70"/>
      <c r="G1038" s="67"/>
      <c r="H1038" s="71"/>
      <c r="I1038" s="72"/>
      <c r="J1038" s="72"/>
      <c r="K1038" s="36"/>
      <c r="L1038" s="79"/>
      <c r="M1038" s="79"/>
      <c r="N1038" s="74"/>
      <c r="O1038" s="81" t="s">
        <v>179</v>
      </c>
      <c r="P1038" s="83">
        <v>44464.147037037037</v>
      </c>
      <c r="Q1038" s="81" t="s">
        <v>1919</v>
      </c>
      <c r="R1038" s="81"/>
      <c r="S1038" s="81"/>
      <c r="T1038" s="81"/>
      <c r="U1038" s="81"/>
      <c r="V1038" s="84" t="str">
        <f>HYPERLINK("https://pbs.twimg.com/profile_images/1383062714147168260/GcZi_a5I_normal.jpg")</f>
        <v>https://pbs.twimg.com/profile_images/1383062714147168260/GcZi_a5I_normal.jpg</v>
      </c>
      <c r="W1038" s="83">
        <v>44464.147037037037</v>
      </c>
      <c r="X1038" s="89">
        <v>44464</v>
      </c>
      <c r="Y1038" s="86" t="s">
        <v>3508</v>
      </c>
      <c r="Z1038" s="84" t="str">
        <f>HYPERLINK("https://twitter.com/drp_supportina/status/1441606317609684998")</f>
        <v>https://twitter.com/drp_supportina/status/1441606317609684998</v>
      </c>
      <c r="AA1038" s="81"/>
      <c r="AB1038" s="81"/>
      <c r="AC1038" s="86" t="s">
        <v>4973</v>
      </c>
      <c r="AD1038" s="86" t="s">
        <v>6107</v>
      </c>
      <c r="AE1038" s="81" t="b">
        <v>0</v>
      </c>
      <c r="AF1038" s="81">
        <v>2</v>
      </c>
      <c r="AG1038" s="86" t="s">
        <v>6366</v>
      </c>
      <c r="AH1038" s="81" t="b">
        <v>0</v>
      </c>
      <c r="AI1038" s="81" t="s">
        <v>6478</v>
      </c>
      <c r="AJ1038" s="81"/>
      <c r="AK1038" s="86" t="s">
        <v>6240</v>
      </c>
      <c r="AL1038" s="81" t="b">
        <v>0</v>
      </c>
      <c r="AM1038" s="81">
        <v>0</v>
      </c>
      <c r="AN1038" s="86" t="s">
        <v>6240</v>
      </c>
      <c r="AO1038" s="86" t="s">
        <v>6507</v>
      </c>
      <c r="AP1038" s="81" t="b">
        <v>0</v>
      </c>
      <c r="AQ1038" s="86" t="s">
        <v>6107</v>
      </c>
      <c r="AR1038" s="81" t="s">
        <v>179</v>
      </c>
      <c r="AS1038" s="81">
        <v>0</v>
      </c>
      <c r="AT1038" s="81">
        <v>0</v>
      </c>
      <c r="AU1038" s="81"/>
      <c r="AV1038" s="81"/>
      <c r="AW1038" s="81"/>
      <c r="AX1038" s="81"/>
      <c r="AY1038" s="81"/>
      <c r="AZ1038" s="81"/>
      <c r="BA1038" s="81"/>
      <c r="BB1038" s="81"/>
    </row>
    <row r="1039" spans="1:54" x14ac:dyDescent="0.35">
      <c r="A1039" s="66" t="s">
        <v>881</v>
      </c>
      <c r="B1039" s="66" t="s">
        <v>1410</v>
      </c>
      <c r="C1039" s="67"/>
      <c r="D1039" s="68"/>
      <c r="E1039" s="69"/>
      <c r="F1039" s="70"/>
      <c r="G1039" s="67"/>
      <c r="H1039" s="71"/>
      <c r="I1039" s="72"/>
      <c r="J1039" s="72"/>
      <c r="K1039" s="36"/>
      <c r="L1039" s="79"/>
      <c r="M1039" s="79"/>
      <c r="N1039" s="74"/>
      <c r="O1039" s="81" t="s">
        <v>1533</v>
      </c>
      <c r="P1039" s="83">
        <v>44464.149259259262</v>
      </c>
      <c r="Q1039" s="81" t="s">
        <v>1910</v>
      </c>
      <c r="R1039" s="81"/>
      <c r="S1039" s="81"/>
      <c r="T1039" s="86" t="s">
        <v>1413</v>
      </c>
      <c r="U1039" s="84" t="str">
        <f>HYPERLINK("https://pbs.twimg.com/media/FAEaAdPVgAgaH2z.jpg")</f>
        <v>https://pbs.twimg.com/media/FAEaAdPVgAgaH2z.jpg</v>
      </c>
      <c r="V1039" s="84" t="str">
        <f>HYPERLINK("https://pbs.twimg.com/media/FAEaAdPVgAgaH2z.jpg")</f>
        <v>https://pbs.twimg.com/media/FAEaAdPVgAgaH2z.jpg</v>
      </c>
      <c r="W1039" s="83">
        <v>44464.149259259262</v>
      </c>
      <c r="X1039" s="89">
        <v>44464</v>
      </c>
      <c r="Y1039" s="86" t="s">
        <v>3509</v>
      </c>
      <c r="Z1039" s="84" t="str">
        <f>HYPERLINK("https://twitter.com/vantaesfm/status/1441607124904079362")</f>
        <v>https://twitter.com/vantaesfm/status/1441607124904079362</v>
      </c>
      <c r="AA1039" s="81"/>
      <c r="AB1039" s="81"/>
      <c r="AC1039" s="86" t="s">
        <v>4974</v>
      </c>
      <c r="AD1039" s="81"/>
      <c r="AE1039" s="81" t="b">
        <v>0</v>
      </c>
      <c r="AF1039" s="81">
        <v>0</v>
      </c>
      <c r="AG1039" s="86" t="s">
        <v>6240</v>
      </c>
      <c r="AH1039" s="81" t="b">
        <v>0</v>
      </c>
      <c r="AI1039" s="81" t="s">
        <v>6479</v>
      </c>
      <c r="AJ1039" s="81"/>
      <c r="AK1039" s="86" t="s">
        <v>6240</v>
      </c>
      <c r="AL1039" s="81" t="b">
        <v>0</v>
      </c>
      <c r="AM1039" s="81">
        <v>21</v>
      </c>
      <c r="AN1039" s="86" t="s">
        <v>5109</v>
      </c>
      <c r="AO1039" s="86" t="s">
        <v>6505</v>
      </c>
      <c r="AP1039" s="81" t="b">
        <v>0</v>
      </c>
      <c r="AQ1039" s="86" t="s">
        <v>5109</v>
      </c>
      <c r="AR1039" s="81" t="s">
        <v>179</v>
      </c>
      <c r="AS1039" s="81">
        <v>0</v>
      </c>
      <c r="AT1039" s="81">
        <v>0</v>
      </c>
      <c r="AU1039" s="81"/>
      <c r="AV1039" s="81"/>
      <c r="AW1039" s="81"/>
      <c r="AX1039" s="81"/>
      <c r="AY1039" s="81"/>
      <c r="AZ1039" s="81"/>
      <c r="BA1039" s="81"/>
      <c r="BB1039" s="81"/>
    </row>
    <row r="1040" spans="1:54" x14ac:dyDescent="0.35">
      <c r="A1040" s="66" t="s">
        <v>881</v>
      </c>
      <c r="B1040" s="66" t="s">
        <v>1411</v>
      </c>
      <c r="C1040" s="67"/>
      <c r="D1040" s="68"/>
      <c r="E1040" s="69"/>
      <c r="F1040" s="70"/>
      <c r="G1040" s="67"/>
      <c r="H1040" s="71"/>
      <c r="I1040" s="72"/>
      <c r="J1040" s="72"/>
      <c r="K1040" s="36"/>
      <c r="L1040" s="79"/>
      <c r="M1040" s="79"/>
      <c r="N1040" s="74"/>
      <c r="O1040" s="81" t="s">
        <v>1533</v>
      </c>
      <c r="P1040" s="83">
        <v>44464.149259259262</v>
      </c>
      <c r="Q1040" s="81" t="s">
        <v>1910</v>
      </c>
      <c r="R1040" s="81"/>
      <c r="S1040" s="81"/>
      <c r="T1040" s="86" t="s">
        <v>1413</v>
      </c>
      <c r="U1040" s="84" t="str">
        <f>HYPERLINK("https://pbs.twimg.com/media/FAEaAdPVgAgaH2z.jpg")</f>
        <v>https://pbs.twimg.com/media/FAEaAdPVgAgaH2z.jpg</v>
      </c>
      <c r="V1040" s="84" t="str">
        <f>HYPERLINK("https://pbs.twimg.com/media/FAEaAdPVgAgaH2z.jpg")</f>
        <v>https://pbs.twimg.com/media/FAEaAdPVgAgaH2z.jpg</v>
      </c>
      <c r="W1040" s="83">
        <v>44464.149259259262</v>
      </c>
      <c r="X1040" s="89">
        <v>44464</v>
      </c>
      <c r="Y1040" s="86" t="s">
        <v>3509</v>
      </c>
      <c r="Z1040" s="84" t="str">
        <f>HYPERLINK("https://twitter.com/vantaesfm/status/1441607124904079362")</f>
        <v>https://twitter.com/vantaesfm/status/1441607124904079362</v>
      </c>
      <c r="AA1040" s="81"/>
      <c r="AB1040" s="81"/>
      <c r="AC1040" s="86" t="s">
        <v>4974</v>
      </c>
      <c r="AD1040" s="81"/>
      <c r="AE1040" s="81" t="b">
        <v>0</v>
      </c>
      <c r="AF1040" s="81">
        <v>0</v>
      </c>
      <c r="AG1040" s="86" t="s">
        <v>6240</v>
      </c>
      <c r="AH1040" s="81" t="b">
        <v>0</v>
      </c>
      <c r="AI1040" s="81" t="s">
        <v>6479</v>
      </c>
      <c r="AJ1040" s="81"/>
      <c r="AK1040" s="86" t="s">
        <v>6240</v>
      </c>
      <c r="AL1040" s="81" t="b">
        <v>0</v>
      </c>
      <c r="AM1040" s="81">
        <v>21</v>
      </c>
      <c r="AN1040" s="86" t="s">
        <v>5109</v>
      </c>
      <c r="AO1040" s="86" t="s">
        <v>6505</v>
      </c>
      <c r="AP1040" s="81" t="b">
        <v>0</v>
      </c>
      <c r="AQ1040" s="86" t="s">
        <v>5109</v>
      </c>
      <c r="AR1040" s="81" t="s">
        <v>179</v>
      </c>
      <c r="AS1040" s="81">
        <v>0</v>
      </c>
      <c r="AT1040" s="81">
        <v>0</v>
      </c>
      <c r="AU1040" s="81"/>
      <c r="AV1040" s="81"/>
      <c r="AW1040" s="81"/>
      <c r="AX1040" s="81"/>
      <c r="AY1040" s="81"/>
      <c r="AZ1040" s="81"/>
      <c r="BA1040" s="81"/>
      <c r="BB1040" s="81"/>
    </row>
    <row r="1041" spans="1:54" x14ac:dyDescent="0.35">
      <c r="A1041" s="66" t="s">
        <v>881</v>
      </c>
      <c r="B1041" s="66" t="s">
        <v>1412</v>
      </c>
      <c r="C1041" s="67"/>
      <c r="D1041" s="68"/>
      <c r="E1041" s="69"/>
      <c r="F1041" s="70"/>
      <c r="G1041" s="67"/>
      <c r="H1041" s="71"/>
      <c r="I1041" s="72"/>
      <c r="J1041" s="72"/>
      <c r="K1041" s="36"/>
      <c r="L1041" s="79"/>
      <c r="M1041" s="79"/>
      <c r="N1041" s="74"/>
      <c r="O1041" s="81" t="s">
        <v>1533</v>
      </c>
      <c r="P1041" s="83">
        <v>44464.149259259262</v>
      </c>
      <c r="Q1041" s="81" t="s">
        <v>1910</v>
      </c>
      <c r="R1041" s="81"/>
      <c r="S1041" s="81"/>
      <c r="T1041" s="86" t="s">
        <v>1413</v>
      </c>
      <c r="U1041" s="84" t="str">
        <f>HYPERLINK("https://pbs.twimg.com/media/FAEaAdPVgAgaH2z.jpg")</f>
        <v>https://pbs.twimg.com/media/FAEaAdPVgAgaH2z.jpg</v>
      </c>
      <c r="V1041" s="84" t="str">
        <f>HYPERLINK("https://pbs.twimg.com/media/FAEaAdPVgAgaH2z.jpg")</f>
        <v>https://pbs.twimg.com/media/FAEaAdPVgAgaH2z.jpg</v>
      </c>
      <c r="W1041" s="83">
        <v>44464.149259259262</v>
      </c>
      <c r="X1041" s="89">
        <v>44464</v>
      </c>
      <c r="Y1041" s="86" t="s">
        <v>3509</v>
      </c>
      <c r="Z1041" s="84" t="str">
        <f>HYPERLINK("https://twitter.com/vantaesfm/status/1441607124904079362")</f>
        <v>https://twitter.com/vantaesfm/status/1441607124904079362</v>
      </c>
      <c r="AA1041" s="81"/>
      <c r="AB1041" s="81"/>
      <c r="AC1041" s="86" t="s">
        <v>4974</v>
      </c>
      <c r="AD1041" s="81"/>
      <c r="AE1041" s="81" t="b">
        <v>0</v>
      </c>
      <c r="AF1041" s="81">
        <v>0</v>
      </c>
      <c r="AG1041" s="86" t="s">
        <v>6240</v>
      </c>
      <c r="AH1041" s="81" t="b">
        <v>0</v>
      </c>
      <c r="AI1041" s="81" t="s">
        <v>6479</v>
      </c>
      <c r="AJ1041" s="81"/>
      <c r="AK1041" s="86" t="s">
        <v>6240</v>
      </c>
      <c r="AL1041" s="81" t="b">
        <v>0</v>
      </c>
      <c r="AM1041" s="81">
        <v>21</v>
      </c>
      <c r="AN1041" s="86" t="s">
        <v>5109</v>
      </c>
      <c r="AO1041" s="86" t="s">
        <v>6505</v>
      </c>
      <c r="AP1041" s="81" t="b">
        <v>0</v>
      </c>
      <c r="AQ1041" s="86" t="s">
        <v>5109</v>
      </c>
      <c r="AR1041" s="81" t="s">
        <v>179</v>
      </c>
      <c r="AS1041" s="81">
        <v>0</v>
      </c>
      <c r="AT1041" s="81">
        <v>0</v>
      </c>
      <c r="AU1041" s="81"/>
      <c r="AV1041" s="81"/>
      <c r="AW1041" s="81"/>
      <c r="AX1041" s="81"/>
      <c r="AY1041" s="81"/>
      <c r="AZ1041" s="81"/>
      <c r="BA1041" s="81"/>
      <c r="BB1041" s="81"/>
    </row>
    <row r="1042" spans="1:54" x14ac:dyDescent="0.35">
      <c r="A1042" s="66" t="s">
        <v>881</v>
      </c>
      <c r="B1042" s="66" t="s">
        <v>1413</v>
      </c>
      <c r="C1042" s="67"/>
      <c r="D1042" s="68"/>
      <c r="E1042" s="69"/>
      <c r="F1042" s="70"/>
      <c r="G1042" s="67"/>
      <c r="H1042" s="71"/>
      <c r="I1042" s="72"/>
      <c r="J1042" s="72"/>
      <c r="K1042" s="36"/>
      <c r="L1042" s="79"/>
      <c r="M1042" s="79"/>
      <c r="N1042" s="74"/>
      <c r="O1042" s="81" t="s">
        <v>1533</v>
      </c>
      <c r="P1042" s="83">
        <v>44464.149259259262</v>
      </c>
      <c r="Q1042" s="81" t="s">
        <v>1910</v>
      </c>
      <c r="R1042" s="81"/>
      <c r="S1042" s="81"/>
      <c r="T1042" s="86" t="s">
        <v>1413</v>
      </c>
      <c r="U1042" s="84" t="str">
        <f>HYPERLINK("https://pbs.twimg.com/media/FAEaAdPVgAgaH2z.jpg")</f>
        <v>https://pbs.twimg.com/media/FAEaAdPVgAgaH2z.jpg</v>
      </c>
      <c r="V1042" s="84" t="str">
        <f>HYPERLINK("https://pbs.twimg.com/media/FAEaAdPVgAgaH2z.jpg")</f>
        <v>https://pbs.twimg.com/media/FAEaAdPVgAgaH2z.jpg</v>
      </c>
      <c r="W1042" s="83">
        <v>44464.149259259262</v>
      </c>
      <c r="X1042" s="89">
        <v>44464</v>
      </c>
      <c r="Y1042" s="86" t="s">
        <v>3509</v>
      </c>
      <c r="Z1042" s="84" t="str">
        <f>HYPERLINK("https://twitter.com/vantaesfm/status/1441607124904079362")</f>
        <v>https://twitter.com/vantaesfm/status/1441607124904079362</v>
      </c>
      <c r="AA1042" s="81"/>
      <c r="AB1042" s="81"/>
      <c r="AC1042" s="86" t="s">
        <v>4974</v>
      </c>
      <c r="AD1042" s="81"/>
      <c r="AE1042" s="81" t="b">
        <v>0</v>
      </c>
      <c r="AF1042" s="81">
        <v>0</v>
      </c>
      <c r="AG1042" s="86" t="s">
        <v>6240</v>
      </c>
      <c r="AH1042" s="81" t="b">
        <v>0</v>
      </c>
      <c r="AI1042" s="81" t="s">
        <v>6479</v>
      </c>
      <c r="AJ1042" s="81"/>
      <c r="AK1042" s="86" t="s">
        <v>6240</v>
      </c>
      <c r="AL1042" s="81" t="b">
        <v>0</v>
      </c>
      <c r="AM1042" s="81">
        <v>21</v>
      </c>
      <c r="AN1042" s="86" t="s">
        <v>5109</v>
      </c>
      <c r="AO1042" s="86" t="s">
        <v>6505</v>
      </c>
      <c r="AP1042" s="81" t="b">
        <v>0</v>
      </c>
      <c r="AQ1042" s="86" t="s">
        <v>5109</v>
      </c>
      <c r="AR1042" s="81" t="s">
        <v>179</v>
      </c>
      <c r="AS1042" s="81">
        <v>0</v>
      </c>
      <c r="AT1042" s="81">
        <v>0</v>
      </c>
      <c r="AU1042" s="81"/>
      <c r="AV1042" s="81"/>
      <c r="AW1042" s="81"/>
      <c r="AX1042" s="81"/>
      <c r="AY1042" s="81"/>
      <c r="AZ1042" s="81"/>
      <c r="BA1042" s="81"/>
      <c r="BB1042" s="81"/>
    </row>
    <row r="1043" spans="1:54" x14ac:dyDescent="0.35">
      <c r="A1043" s="66" t="s">
        <v>881</v>
      </c>
      <c r="B1043" s="66" t="s">
        <v>990</v>
      </c>
      <c r="C1043" s="67"/>
      <c r="D1043" s="68"/>
      <c r="E1043" s="69"/>
      <c r="F1043" s="70"/>
      <c r="G1043" s="67"/>
      <c r="H1043" s="71"/>
      <c r="I1043" s="72"/>
      <c r="J1043" s="72"/>
      <c r="K1043" s="36"/>
      <c r="L1043" s="79"/>
      <c r="M1043" s="79"/>
      <c r="N1043" s="74"/>
      <c r="O1043" s="81" t="s">
        <v>1532</v>
      </c>
      <c r="P1043" s="83">
        <v>44464.149259259262</v>
      </c>
      <c r="Q1043" s="81" t="s">
        <v>1910</v>
      </c>
      <c r="R1043" s="81"/>
      <c r="S1043" s="81"/>
      <c r="T1043" s="86" t="s">
        <v>1413</v>
      </c>
      <c r="U1043" s="84" t="str">
        <f>HYPERLINK("https://pbs.twimg.com/media/FAEaAdPVgAgaH2z.jpg")</f>
        <v>https://pbs.twimg.com/media/FAEaAdPVgAgaH2z.jpg</v>
      </c>
      <c r="V1043" s="84" t="str">
        <f>HYPERLINK("https://pbs.twimg.com/media/FAEaAdPVgAgaH2z.jpg")</f>
        <v>https://pbs.twimg.com/media/FAEaAdPVgAgaH2z.jpg</v>
      </c>
      <c r="W1043" s="83">
        <v>44464.149259259262</v>
      </c>
      <c r="X1043" s="89">
        <v>44464</v>
      </c>
      <c r="Y1043" s="86" t="s">
        <v>3509</v>
      </c>
      <c r="Z1043" s="84" t="str">
        <f>HYPERLINK("https://twitter.com/vantaesfm/status/1441607124904079362")</f>
        <v>https://twitter.com/vantaesfm/status/1441607124904079362</v>
      </c>
      <c r="AA1043" s="81"/>
      <c r="AB1043" s="81"/>
      <c r="AC1043" s="86" t="s">
        <v>4974</v>
      </c>
      <c r="AD1043" s="81"/>
      <c r="AE1043" s="81" t="b">
        <v>0</v>
      </c>
      <c r="AF1043" s="81">
        <v>0</v>
      </c>
      <c r="AG1043" s="86" t="s">
        <v>6240</v>
      </c>
      <c r="AH1043" s="81" t="b">
        <v>0</v>
      </c>
      <c r="AI1043" s="81" t="s">
        <v>6479</v>
      </c>
      <c r="AJ1043" s="81"/>
      <c r="AK1043" s="86" t="s">
        <v>6240</v>
      </c>
      <c r="AL1043" s="81" t="b">
        <v>0</v>
      </c>
      <c r="AM1043" s="81">
        <v>21</v>
      </c>
      <c r="AN1043" s="86" t="s">
        <v>5109</v>
      </c>
      <c r="AO1043" s="86" t="s">
        <v>6505</v>
      </c>
      <c r="AP1043" s="81" t="b">
        <v>0</v>
      </c>
      <c r="AQ1043" s="86" t="s">
        <v>5109</v>
      </c>
      <c r="AR1043" s="81" t="s">
        <v>179</v>
      </c>
      <c r="AS1043" s="81">
        <v>0</v>
      </c>
      <c r="AT1043" s="81">
        <v>0</v>
      </c>
      <c r="AU1043" s="81"/>
      <c r="AV1043" s="81"/>
      <c r="AW1043" s="81"/>
      <c r="AX1043" s="81"/>
      <c r="AY1043" s="81"/>
      <c r="AZ1043" s="81"/>
      <c r="BA1043" s="81"/>
      <c r="BB1043" s="81"/>
    </row>
    <row r="1044" spans="1:54" x14ac:dyDescent="0.35">
      <c r="A1044" s="66" t="s">
        <v>882</v>
      </c>
      <c r="B1044" s="66" t="s">
        <v>1410</v>
      </c>
      <c r="C1044" s="67"/>
      <c r="D1044" s="68"/>
      <c r="E1044" s="69"/>
      <c r="F1044" s="70"/>
      <c r="G1044" s="67"/>
      <c r="H1044" s="71"/>
      <c r="I1044" s="72"/>
      <c r="J1044" s="72"/>
      <c r="K1044" s="36"/>
      <c r="L1044" s="79"/>
      <c r="M1044" s="79"/>
      <c r="N1044" s="74"/>
      <c r="O1044" s="81" t="s">
        <v>1533</v>
      </c>
      <c r="P1044" s="83">
        <v>44464.150347222225</v>
      </c>
      <c r="Q1044" s="81" t="s">
        <v>1910</v>
      </c>
      <c r="R1044" s="81"/>
      <c r="S1044" s="81"/>
      <c r="T1044" s="86" t="s">
        <v>1413</v>
      </c>
      <c r="U1044" s="84" t="str">
        <f>HYPERLINK("https://pbs.twimg.com/media/FAEaAdPVgAgaH2z.jpg")</f>
        <v>https://pbs.twimg.com/media/FAEaAdPVgAgaH2z.jpg</v>
      </c>
      <c r="V1044" s="84" t="str">
        <f>HYPERLINK("https://pbs.twimg.com/media/FAEaAdPVgAgaH2z.jpg")</f>
        <v>https://pbs.twimg.com/media/FAEaAdPVgAgaH2z.jpg</v>
      </c>
      <c r="W1044" s="83">
        <v>44464.150347222225</v>
      </c>
      <c r="X1044" s="89">
        <v>44464</v>
      </c>
      <c r="Y1044" s="86" t="s">
        <v>3510</v>
      </c>
      <c r="Z1044" s="84" t="str">
        <f>HYPERLINK("https://twitter.com/glitterzkoo/status/1441607516903727105")</f>
        <v>https://twitter.com/glitterzkoo/status/1441607516903727105</v>
      </c>
      <c r="AA1044" s="81"/>
      <c r="AB1044" s="81"/>
      <c r="AC1044" s="86" t="s">
        <v>4975</v>
      </c>
      <c r="AD1044" s="81"/>
      <c r="AE1044" s="81" t="b">
        <v>0</v>
      </c>
      <c r="AF1044" s="81">
        <v>0</v>
      </c>
      <c r="AG1044" s="86" t="s">
        <v>6240</v>
      </c>
      <c r="AH1044" s="81" t="b">
        <v>0</v>
      </c>
      <c r="AI1044" s="81" t="s">
        <v>6479</v>
      </c>
      <c r="AJ1044" s="81"/>
      <c r="AK1044" s="86" t="s">
        <v>6240</v>
      </c>
      <c r="AL1044" s="81" t="b">
        <v>0</v>
      </c>
      <c r="AM1044" s="81">
        <v>21</v>
      </c>
      <c r="AN1044" s="86" t="s">
        <v>5109</v>
      </c>
      <c r="AO1044" s="86" t="s">
        <v>6505</v>
      </c>
      <c r="AP1044" s="81" t="b">
        <v>0</v>
      </c>
      <c r="AQ1044" s="86" t="s">
        <v>5109</v>
      </c>
      <c r="AR1044" s="81" t="s">
        <v>179</v>
      </c>
      <c r="AS1044" s="81">
        <v>0</v>
      </c>
      <c r="AT1044" s="81">
        <v>0</v>
      </c>
      <c r="AU1044" s="81"/>
      <c r="AV1044" s="81"/>
      <c r="AW1044" s="81"/>
      <c r="AX1044" s="81"/>
      <c r="AY1044" s="81"/>
      <c r="AZ1044" s="81"/>
      <c r="BA1044" s="81"/>
      <c r="BB1044" s="81"/>
    </row>
    <row r="1045" spans="1:54" x14ac:dyDescent="0.35">
      <c r="A1045" s="66" t="s">
        <v>882</v>
      </c>
      <c r="B1045" s="66" t="s">
        <v>1411</v>
      </c>
      <c r="C1045" s="67"/>
      <c r="D1045" s="68"/>
      <c r="E1045" s="69"/>
      <c r="F1045" s="70"/>
      <c r="G1045" s="67"/>
      <c r="H1045" s="71"/>
      <c r="I1045" s="72"/>
      <c r="J1045" s="72"/>
      <c r="K1045" s="36"/>
      <c r="L1045" s="79"/>
      <c r="M1045" s="79"/>
      <c r="N1045" s="74"/>
      <c r="O1045" s="81" t="s">
        <v>1533</v>
      </c>
      <c r="P1045" s="83">
        <v>44464.150347222225</v>
      </c>
      <c r="Q1045" s="81" t="s">
        <v>1910</v>
      </c>
      <c r="R1045" s="81"/>
      <c r="S1045" s="81"/>
      <c r="T1045" s="86" t="s">
        <v>1413</v>
      </c>
      <c r="U1045" s="84" t="str">
        <f>HYPERLINK("https://pbs.twimg.com/media/FAEaAdPVgAgaH2z.jpg")</f>
        <v>https://pbs.twimg.com/media/FAEaAdPVgAgaH2z.jpg</v>
      </c>
      <c r="V1045" s="84" t="str">
        <f>HYPERLINK("https://pbs.twimg.com/media/FAEaAdPVgAgaH2z.jpg")</f>
        <v>https://pbs.twimg.com/media/FAEaAdPVgAgaH2z.jpg</v>
      </c>
      <c r="W1045" s="83">
        <v>44464.150347222225</v>
      </c>
      <c r="X1045" s="89">
        <v>44464</v>
      </c>
      <c r="Y1045" s="86" t="s">
        <v>3510</v>
      </c>
      <c r="Z1045" s="84" t="str">
        <f>HYPERLINK("https://twitter.com/glitterzkoo/status/1441607516903727105")</f>
        <v>https://twitter.com/glitterzkoo/status/1441607516903727105</v>
      </c>
      <c r="AA1045" s="81"/>
      <c r="AB1045" s="81"/>
      <c r="AC1045" s="86" t="s">
        <v>4975</v>
      </c>
      <c r="AD1045" s="81"/>
      <c r="AE1045" s="81" t="b">
        <v>0</v>
      </c>
      <c r="AF1045" s="81">
        <v>0</v>
      </c>
      <c r="AG1045" s="86" t="s">
        <v>6240</v>
      </c>
      <c r="AH1045" s="81" t="b">
        <v>0</v>
      </c>
      <c r="AI1045" s="81" t="s">
        <v>6479</v>
      </c>
      <c r="AJ1045" s="81"/>
      <c r="AK1045" s="86" t="s">
        <v>6240</v>
      </c>
      <c r="AL1045" s="81" t="b">
        <v>0</v>
      </c>
      <c r="AM1045" s="81">
        <v>21</v>
      </c>
      <c r="AN1045" s="86" t="s">
        <v>5109</v>
      </c>
      <c r="AO1045" s="86" t="s">
        <v>6505</v>
      </c>
      <c r="AP1045" s="81" t="b">
        <v>0</v>
      </c>
      <c r="AQ1045" s="86" t="s">
        <v>5109</v>
      </c>
      <c r="AR1045" s="81" t="s">
        <v>179</v>
      </c>
      <c r="AS1045" s="81">
        <v>0</v>
      </c>
      <c r="AT1045" s="81">
        <v>0</v>
      </c>
      <c r="AU1045" s="81"/>
      <c r="AV1045" s="81"/>
      <c r="AW1045" s="81"/>
      <c r="AX1045" s="81"/>
      <c r="AY1045" s="81"/>
      <c r="AZ1045" s="81"/>
      <c r="BA1045" s="81"/>
      <c r="BB1045" s="81"/>
    </row>
    <row r="1046" spans="1:54" x14ac:dyDescent="0.35">
      <c r="A1046" s="66" t="s">
        <v>882</v>
      </c>
      <c r="B1046" s="66" t="s">
        <v>1412</v>
      </c>
      <c r="C1046" s="67"/>
      <c r="D1046" s="68"/>
      <c r="E1046" s="69"/>
      <c r="F1046" s="70"/>
      <c r="G1046" s="67"/>
      <c r="H1046" s="71"/>
      <c r="I1046" s="72"/>
      <c r="J1046" s="72"/>
      <c r="K1046" s="36"/>
      <c r="L1046" s="79"/>
      <c r="M1046" s="79"/>
      <c r="N1046" s="74"/>
      <c r="O1046" s="81" t="s">
        <v>1533</v>
      </c>
      <c r="P1046" s="83">
        <v>44464.150347222225</v>
      </c>
      <c r="Q1046" s="81" t="s">
        <v>1910</v>
      </c>
      <c r="R1046" s="81"/>
      <c r="S1046" s="81"/>
      <c r="T1046" s="86" t="s">
        <v>1413</v>
      </c>
      <c r="U1046" s="84" t="str">
        <f>HYPERLINK("https://pbs.twimg.com/media/FAEaAdPVgAgaH2z.jpg")</f>
        <v>https://pbs.twimg.com/media/FAEaAdPVgAgaH2z.jpg</v>
      </c>
      <c r="V1046" s="84" t="str">
        <f>HYPERLINK("https://pbs.twimg.com/media/FAEaAdPVgAgaH2z.jpg")</f>
        <v>https://pbs.twimg.com/media/FAEaAdPVgAgaH2z.jpg</v>
      </c>
      <c r="W1046" s="83">
        <v>44464.150347222225</v>
      </c>
      <c r="X1046" s="89">
        <v>44464</v>
      </c>
      <c r="Y1046" s="86" t="s">
        <v>3510</v>
      </c>
      <c r="Z1046" s="84" t="str">
        <f>HYPERLINK("https://twitter.com/glitterzkoo/status/1441607516903727105")</f>
        <v>https://twitter.com/glitterzkoo/status/1441607516903727105</v>
      </c>
      <c r="AA1046" s="81"/>
      <c r="AB1046" s="81"/>
      <c r="AC1046" s="86" t="s">
        <v>4975</v>
      </c>
      <c r="AD1046" s="81"/>
      <c r="AE1046" s="81" t="b">
        <v>0</v>
      </c>
      <c r="AF1046" s="81">
        <v>0</v>
      </c>
      <c r="AG1046" s="86" t="s">
        <v>6240</v>
      </c>
      <c r="AH1046" s="81" t="b">
        <v>0</v>
      </c>
      <c r="AI1046" s="81" t="s">
        <v>6479</v>
      </c>
      <c r="AJ1046" s="81"/>
      <c r="AK1046" s="86" t="s">
        <v>6240</v>
      </c>
      <c r="AL1046" s="81" t="b">
        <v>0</v>
      </c>
      <c r="AM1046" s="81">
        <v>21</v>
      </c>
      <c r="AN1046" s="86" t="s">
        <v>5109</v>
      </c>
      <c r="AO1046" s="86" t="s">
        <v>6505</v>
      </c>
      <c r="AP1046" s="81" t="b">
        <v>0</v>
      </c>
      <c r="AQ1046" s="86" t="s">
        <v>5109</v>
      </c>
      <c r="AR1046" s="81" t="s">
        <v>179</v>
      </c>
      <c r="AS1046" s="81">
        <v>0</v>
      </c>
      <c r="AT1046" s="81">
        <v>0</v>
      </c>
      <c r="AU1046" s="81"/>
      <c r="AV1046" s="81"/>
      <c r="AW1046" s="81"/>
      <c r="AX1046" s="81"/>
      <c r="AY1046" s="81"/>
      <c r="AZ1046" s="81"/>
      <c r="BA1046" s="81"/>
      <c r="BB1046" s="81"/>
    </row>
    <row r="1047" spans="1:54" x14ac:dyDescent="0.35">
      <c r="A1047" s="66" t="s">
        <v>882</v>
      </c>
      <c r="B1047" s="66" t="s">
        <v>1413</v>
      </c>
      <c r="C1047" s="67"/>
      <c r="D1047" s="68"/>
      <c r="E1047" s="69"/>
      <c r="F1047" s="70"/>
      <c r="G1047" s="67"/>
      <c r="H1047" s="71"/>
      <c r="I1047" s="72"/>
      <c r="J1047" s="72"/>
      <c r="K1047" s="36"/>
      <c r="L1047" s="79"/>
      <c r="M1047" s="79"/>
      <c r="N1047" s="74"/>
      <c r="O1047" s="81" t="s">
        <v>1533</v>
      </c>
      <c r="P1047" s="83">
        <v>44464.150347222225</v>
      </c>
      <c r="Q1047" s="81" t="s">
        <v>1910</v>
      </c>
      <c r="R1047" s="81"/>
      <c r="S1047" s="81"/>
      <c r="T1047" s="86" t="s">
        <v>1413</v>
      </c>
      <c r="U1047" s="84" t="str">
        <f>HYPERLINK("https://pbs.twimg.com/media/FAEaAdPVgAgaH2z.jpg")</f>
        <v>https://pbs.twimg.com/media/FAEaAdPVgAgaH2z.jpg</v>
      </c>
      <c r="V1047" s="84" t="str">
        <f>HYPERLINK("https://pbs.twimg.com/media/FAEaAdPVgAgaH2z.jpg")</f>
        <v>https://pbs.twimg.com/media/FAEaAdPVgAgaH2z.jpg</v>
      </c>
      <c r="W1047" s="83">
        <v>44464.150347222225</v>
      </c>
      <c r="X1047" s="89">
        <v>44464</v>
      </c>
      <c r="Y1047" s="86" t="s">
        <v>3510</v>
      </c>
      <c r="Z1047" s="84" t="str">
        <f>HYPERLINK("https://twitter.com/glitterzkoo/status/1441607516903727105")</f>
        <v>https://twitter.com/glitterzkoo/status/1441607516903727105</v>
      </c>
      <c r="AA1047" s="81"/>
      <c r="AB1047" s="81"/>
      <c r="AC1047" s="86" t="s">
        <v>4975</v>
      </c>
      <c r="AD1047" s="81"/>
      <c r="AE1047" s="81" t="b">
        <v>0</v>
      </c>
      <c r="AF1047" s="81">
        <v>0</v>
      </c>
      <c r="AG1047" s="86" t="s">
        <v>6240</v>
      </c>
      <c r="AH1047" s="81" t="b">
        <v>0</v>
      </c>
      <c r="AI1047" s="81" t="s">
        <v>6479</v>
      </c>
      <c r="AJ1047" s="81"/>
      <c r="AK1047" s="86" t="s">
        <v>6240</v>
      </c>
      <c r="AL1047" s="81" t="b">
        <v>0</v>
      </c>
      <c r="AM1047" s="81">
        <v>21</v>
      </c>
      <c r="AN1047" s="86" t="s">
        <v>5109</v>
      </c>
      <c r="AO1047" s="86" t="s">
        <v>6505</v>
      </c>
      <c r="AP1047" s="81" t="b">
        <v>0</v>
      </c>
      <c r="AQ1047" s="86" t="s">
        <v>5109</v>
      </c>
      <c r="AR1047" s="81" t="s">
        <v>179</v>
      </c>
      <c r="AS1047" s="81">
        <v>0</v>
      </c>
      <c r="AT1047" s="81">
        <v>0</v>
      </c>
      <c r="AU1047" s="81"/>
      <c r="AV1047" s="81"/>
      <c r="AW1047" s="81"/>
      <c r="AX1047" s="81"/>
      <c r="AY1047" s="81"/>
      <c r="AZ1047" s="81"/>
      <c r="BA1047" s="81"/>
      <c r="BB1047" s="81"/>
    </row>
    <row r="1048" spans="1:54" x14ac:dyDescent="0.35">
      <c r="A1048" s="66" t="s">
        <v>882</v>
      </c>
      <c r="B1048" s="66" t="s">
        <v>990</v>
      </c>
      <c r="C1048" s="67"/>
      <c r="D1048" s="68"/>
      <c r="E1048" s="69"/>
      <c r="F1048" s="70"/>
      <c r="G1048" s="67"/>
      <c r="H1048" s="71"/>
      <c r="I1048" s="72"/>
      <c r="J1048" s="72"/>
      <c r="K1048" s="36"/>
      <c r="L1048" s="79"/>
      <c r="M1048" s="79"/>
      <c r="N1048" s="74"/>
      <c r="O1048" s="81" t="s">
        <v>1532</v>
      </c>
      <c r="P1048" s="83">
        <v>44464.150347222225</v>
      </c>
      <c r="Q1048" s="81" t="s">
        <v>1910</v>
      </c>
      <c r="R1048" s="81"/>
      <c r="S1048" s="81"/>
      <c r="T1048" s="86" t="s">
        <v>1413</v>
      </c>
      <c r="U1048" s="84" t="str">
        <f>HYPERLINK("https://pbs.twimg.com/media/FAEaAdPVgAgaH2z.jpg")</f>
        <v>https://pbs.twimg.com/media/FAEaAdPVgAgaH2z.jpg</v>
      </c>
      <c r="V1048" s="84" t="str">
        <f>HYPERLINK("https://pbs.twimg.com/media/FAEaAdPVgAgaH2z.jpg")</f>
        <v>https://pbs.twimg.com/media/FAEaAdPVgAgaH2z.jpg</v>
      </c>
      <c r="W1048" s="83">
        <v>44464.150347222225</v>
      </c>
      <c r="X1048" s="89">
        <v>44464</v>
      </c>
      <c r="Y1048" s="86" t="s">
        <v>3510</v>
      </c>
      <c r="Z1048" s="84" t="str">
        <f>HYPERLINK("https://twitter.com/glitterzkoo/status/1441607516903727105")</f>
        <v>https://twitter.com/glitterzkoo/status/1441607516903727105</v>
      </c>
      <c r="AA1048" s="81"/>
      <c r="AB1048" s="81"/>
      <c r="AC1048" s="86" t="s">
        <v>4975</v>
      </c>
      <c r="AD1048" s="81"/>
      <c r="AE1048" s="81" t="b">
        <v>0</v>
      </c>
      <c r="AF1048" s="81">
        <v>0</v>
      </c>
      <c r="AG1048" s="86" t="s">
        <v>6240</v>
      </c>
      <c r="AH1048" s="81" t="b">
        <v>0</v>
      </c>
      <c r="AI1048" s="81" t="s">
        <v>6479</v>
      </c>
      <c r="AJ1048" s="81"/>
      <c r="AK1048" s="86" t="s">
        <v>6240</v>
      </c>
      <c r="AL1048" s="81" t="b">
        <v>0</v>
      </c>
      <c r="AM1048" s="81">
        <v>21</v>
      </c>
      <c r="AN1048" s="86" t="s">
        <v>5109</v>
      </c>
      <c r="AO1048" s="86" t="s">
        <v>6505</v>
      </c>
      <c r="AP1048" s="81" t="b">
        <v>0</v>
      </c>
      <c r="AQ1048" s="86" t="s">
        <v>5109</v>
      </c>
      <c r="AR1048" s="81" t="s">
        <v>179</v>
      </c>
      <c r="AS1048" s="81">
        <v>0</v>
      </c>
      <c r="AT1048" s="81">
        <v>0</v>
      </c>
      <c r="AU1048" s="81"/>
      <c r="AV1048" s="81"/>
      <c r="AW1048" s="81"/>
      <c r="AX1048" s="81"/>
      <c r="AY1048" s="81"/>
      <c r="AZ1048" s="81"/>
      <c r="BA1048" s="81"/>
      <c r="BB1048" s="81"/>
    </row>
    <row r="1049" spans="1:54" x14ac:dyDescent="0.35">
      <c r="A1049" s="66" t="s">
        <v>883</v>
      </c>
      <c r="B1049" s="66" t="s">
        <v>1426</v>
      </c>
      <c r="C1049" s="67"/>
      <c r="D1049" s="68"/>
      <c r="E1049" s="69"/>
      <c r="F1049" s="70"/>
      <c r="G1049" s="67"/>
      <c r="H1049" s="71"/>
      <c r="I1049" s="72"/>
      <c r="J1049" s="72"/>
      <c r="K1049" s="36"/>
      <c r="L1049" s="79"/>
      <c r="M1049" s="79"/>
      <c r="N1049" s="74"/>
      <c r="O1049" s="81" t="s">
        <v>1534</v>
      </c>
      <c r="P1049" s="83">
        <v>44464.137858796297</v>
      </c>
      <c r="Q1049" s="81" t="s">
        <v>1920</v>
      </c>
      <c r="R1049" s="81"/>
      <c r="S1049" s="81"/>
      <c r="T1049" s="81"/>
      <c r="U1049" s="81"/>
      <c r="V1049" s="84" t="str">
        <f>HYPERLINK("https://pbs.twimg.com/profile_images/1441023855028359173/YobrKGw4_normal.jpg")</f>
        <v>https://pbs.twimg.com/profile_images/1441023855028359173/YobrKGw4_normal.jpg</v>
      </c>
      <c r="W1049" s="83">
        <v>44464.137858796297</v>
      </c>
      <c r="X1049" s="89">
        <v>44464</v>
      </c>
      <c r="Y1049" s="86" t="s">
        <v>3511</v>
      </c>
      <c r="Z1049" s="84" t="str">
        <f>HYPERLINK("https://twitter.com/jamaisvuphoria/status/1441602992726179842")</f>
        <v>https://twitter.com/jamaisvuphoria/status/1441602992726179842</v>
      </c>
      <c r="AA1049" s="81"/>
      <c r="AB1049" s="81"/>
      <c r="AC1049" s="86" t="s">
        <v>4976</v>
      </c>
      <c r="AD1049" s="86" t="s">
        <v>6108</v>
      </c>
      <c r="AE1049" s="81" t="b">
        <v>0</v>
      </c>
      <c r="AF1049" s="81">
        <v>0</v>
      </c>
      <c r="AG1049" s="86" t="s">
        <v>6367</v>
      </c>
      <c r="AH1049" s="81" t="b">
        <v>0</v>
      </c>
      <c r="AI1049" s="81" t="s">
        <v>6478</v>
      </c>
      <c r="AJ1049" s="81"/>
      <c r="AK1049" s="86" t="s">
        <v>6240</v>
      </c>
      <c r="AL1049" s="81" t="b">
        <v>0</v>
      </c>
      <c r="AM1049" s="81">
        <v>0</v>
      </c>
      <c r="AN1049" s="86" t="s">
        <v>6240</v>
      </c>
      <c r="AO1049" s="86" t="s">
        <v>6503</v>
      </c>
      <c r="AP1049" s="81" t="b">
        <v>0</v>
      </c>
      <c r="AQ1049" s="86" t="s">
        <v>6108</v>
      </c>
      <c r="AR1049" s="81" t="s">
        <v>179</v>
      </c>
      <c r="AS1049" s="81">
        <v>0</v>
      </c>
      <c r="AT1049" s="81">
        <v>0</v>
      </c>
      <c r="AU1049" s="81"/>
      <c r="AV1049" s="81"/>
      <c r="AW1049" s="81"/>
      <c r="AX1049" s="81"/>
      <c r="AY1049" s="81"/>
      <c r="AZ1049" s="81"/>
      <c r="BA1049" s="81"/>
      <c r="BB1049" s="81"/>
    </row>
    <row r="1050" spans="1:54" x14ac:dyDescent="0.35">
      <c r="A1050" s="66" t="s">
        <v>883</v>
      </c>
      <c r="B1050" s="66" t="s">
        <v>1426</v>
      </c>
      <c r="C1050" s="67"/>
      <c r="D1050" s="68"/>
      <c r="E1050" s="69"/>
      <c r="F1050" s="70"/>
      <c r="G1050" s="67"/>
      <c r="H1050" s="71"/>
      <c r="I1050" s="72"/>
      <c r="J1050" s="72"/>
      <c r="K1050" s="36"/>
      <c r="L1050" s="79"/>
      <c r="M1050" s="79"/>
      <c r="N1050" s="74"/>
      <c r="O1050" s="81" t="s">
        <v>1534</v>
      </c>
      <c r="P1050" s="83">
        <v>44464.150775462964</v>
      </c>
      <c r="Q1050" s="81" t="s">
        <v>1921</v>
      </c>
      <c r="R1050" s="81"/>
      <c r="S1050" s="81"/>
      <c r="T1050" s="81"/>
      <c r="U1050" s="81"/>
      <c r="V1050" s="84" t="str">
        <f>HYPERLINK("https://pbs.twimg.com/profile_images/1441023855028359173/YobrKGw4_normal.jpg")</f>
        <v>https://pbs.twimg.com/profile_images/1441023855028359173/YobrKGw4_normal.jpg</v>
      </c>
      <c r="W1050" s="83">
        <v>44464.150775462964</v>
      </c>
      <c r="X1050" s="89">
        <v>44464</v>
      </c>
      <c r="Y1050" s="86" t="s">
        <v>3512</v>
      </c>
      <c r="Z1050" s="84" t="str">
        <f>HYPERLINK("https://twitter.com/jamaisvuphoria/status/1441607673175162882")</f>
        <v>https://twitter.com/jamaisvuphoria/status/1441607673175162882</v>
      </c>
      <c r="AA1050" s="81"/>
      <c r="AB1050" s="81"/>
      <c r="AC1050" s="86" t="s">
        <v>4977</v>
      </c>
      <c r="AD1050" s="86" t="s">
        <v>6109</v>
      </c>
      <c r="AE1050" s="81" t="b">
        <v>0</v>
      </c>
      <c r="AF1050" s="81">
        <v>0</v>
      </c>
      <c r="AG1050" s="86" t="s">
        <v>6367</v>
      </c>
      <c r="AH1050" s="81" t="b">
        <v>0</v>
      </c>
      <c r="AI1050" s="81" t="s">
        <v>6478</v>
      </c>
      <c r="AJ1050" s="81"/>
      <c r="AK1050" s="86" t="s">
        <v>6240</v>
      </c>
      <c r="AL1050" s="81" t="b">
        <v>0</v>
      </c>
      <c r="AM1050" s="81">
        <v>0</v>
      </c>
      <c r="AN1050" s="86" t="s">
        <v>6240</v>
      </c>
      <c r="AO1050" s="86" t="s">
        <v>6503</v>
      </c>
      <c r="AP1050" s="81" t="b">
        <v>0</v>
      </c>
      <c r="AQ1050" s="86" t="s">
        <v>6109</v>
      </c>
      <c r="AR1050" s="81" t="s">
        <v>179</v>
      </c>
      <c r="AS1050" s="81">
        <v>0</v>
      </c>
      <c r="AT1050" s="81">
        <v>0</v>
      </c>
      <c r="AU1050" s="81"/>
      <c r="AV1050" s="81"/>
      <c r="AW1050" s="81"/>
      <c r="AX1050" s="81"/>
      <c r="AY1050" s="81"/>
      <c r="AZ1050" s="81"/>
      <c r="BA1050" s="81"/>
      <c r="BB1050" s="81"/>
    </row>
    <row r="1051" spans="1:54" x14ac:dyDescent="0.35">
      <c r="A1051" s="66" t="s">
        <v>884</v>
      </c>
      <c r="B1051" s="66" t="s">
        <v>884</v>
      </c>
      <c r="C1051" s="67"/>
      <c r="D1051" s="68"/>
      <c r="E1051" s="69"/>
      <c r="F1051" s="70"/>
      <c r="G1051" s="67"/>
      <c r="H1051" s="71"/>
      <c r="I1051" s="72"/>
      <c r="J1051" s="72"/>
      <c r="K1051" s="36"/>
      <c r="L1051" s="79"/>
      <c r="M1051" s="79"/>
      <c r="N1051" s="74"/>
      <c r="O1051" s="81" t="s">
        <v>179</v>
      </c>
      <c r="P1051" s="83">
        <v>44458.135949074072</v>
      </c>
      <c r="Q1051" s="81" t="s">
        <v>1922</v>
      </c>
      <c r="R1051" s="84" t="str">
        <f>HYPERLINK("https://www.depokpos.com/2021/09/produk-kerajinan-dekorasi-rumah-indonesia-diserbu-di-italia/?utm_source=ReviveOldPost&amp;utm_medium=social&amp;utm_campaign=ReviveOldPost")</f>
        <v>https://www.depokpos.com/2021/09/produk-kerajinan-dekorasi-rumah-indonesia-diserbu-di-italia/?utm_source=ReviveOldPost&amp;utm_medium=social&amp;utm_campaign=ReviveOldPost</v>
      </c>
      <c r="S1051" s="81" t="s">
        <v>2629</v>
      </c>
      <c r="T1051" s="81"/>
      <c r="U1051" s="81"/>
      <c r="V1051" s="84" t="str">
        <f>HYPERLINK("https://pbs.twimg.com/profile_images/1014738295408902144/a74g9AXR_normal.jpg")</f>
        <v>https://pbs.twimg.com/profile_images/1014738295408902144/a74g9AXR_normal.jpg</v>
      </c>
      <c r="W1051" s="83">
        <v>44458.135949074072</v>
      </c>
      <c r="X1051" s="89">
        <v>44458</v>
      </c>
      <c r="Y1051" s="86" t="s">
        <v>3513</v>
      </c>
      <c r="Z1051" s="84" t="str">
        <f>HYPERLINK("https://twitter.com/depok_pos/status/1439427973455638533")</f>
        <v>https://twitter.com/depok_pos/status/1439427973455638533</v>
      </c>
      <c r="AA1051" s="81"/>
      <c r="AB1051" s="81"/>
      <c r="AC1051" s="86" t="s">
        <v>4978</v>
      </c>
      <c r="AD1051" s="81"/>
      <c r="AE1051" s="81" t="b">
        <v>0</v>
      </c>
      <c r="AF1051" s="81">
        <v>0</v>
      </c>
      <c r="AG1051" s="86" t="s">
        <v>6240</v>
      </c>
      <c r="AH1051" s="81" t="b">
        <v>0</v>
      </c>
      <c r="AI1051" s="81" t="s">
        <v>6478</v>
      </c>
      <c r="AJ1051" s="81"/>
      <c r="AK1051" s="86" t="s">
        <v>6240</v>
      </c>
      <c r="AL1051" s="81" t="b">
        <v>0</v>
      </c>
      <c r="AM1051" s="81">
        <v>0</v>
      </c>
      <c r="AN1051" s="86" t="s">
        <v>6240</v>
      </c>
      <c r="AO1051" s="86" t="s">
        <v>884</v>
      </c>
      <c r="AP1051" s="81" t="b">
        <v>0</v>
      </c>
      <c r="AQ1051" s="86" t="s">
        <v>4978</v>
      </c>
      <c r="AR1051" s="81" t="s">
        <v>179</v>
      </c>
      <c r="AS1051" s="81">
        <v>0</v>
      </c>
      <c r="AT1051" s="81">
        <v>0</v>
      </c>
      <c r="AU1051" s="81"/>
      <c r="AV1051" s="81"/>
      <c r="AW1051" s="81"/>
      <c r="AX1051" s="81"/>
      <c r="AY1051" s="81"/>
      <c r="AZ1051" s="81"/>
      <c r="BA1051" s="81"/>
      <c r="BB1051" s="81"/>
    </row>
    <row r="1052" spans="1:54" x14ac:dyDescent="0.35">
      <c r="A1052" s="66" t="s">
        <v>884</v>
      </c>
      <c r="B1052" s="66" t="s">
        <v>884</v>
      </c>
      <c r="C1052" s="67"/>
      <c r="D1052" s="68"/>
      <c r="E1052" s="69"/>
      <c r="F1052" s="70"/>
      <c r="G1052" s="67"/>
      <c r="H1052" s="71"/>
      <c r="I1052" s="72"/>
      <c r="J1052" s="72"/>
      <c r="K1052" s="36"/>
      <c r="L1052" s="79"/>
      <c r="M1052" s="79"/>
      <c r="N1052" s="74"/>
      <c r="O1052" s="81" t="s">
        <v>179</v>
      </c>
      <c r="P1052" s="83">
        <v>44458.165416666663</v>
      </c>
      <c r="Q1052" s="81" t="s">
        <v>1923</v>
      </c>
      <c r="R1052" s="84" t="str">
        <f>HYPERLINK("https://www.depokpos.com/2021/09/lowongan-kerja-bumn-pos-indonesia-hingga-23-september-lulusan-sma-merapat/?utm_source=ReviveOldPost&amp;utm_medium=social&amp;utm_campaign=ReviveOldPost")</f>
        <v>https://www.depokpos.com/2021/09/lowongan-kerja-bumn-pos-indonesia-hingga-23-september-lulusan-sma-merapat/?utm_source=ReviveOldPost&amp;utm_medium=social&amp;utm_campaign=ReviveOldPost</v>
      </c>
      <c r="S1052" s="81" t="s">
        <v>2629</v>
      </c>
      <c r="T1052" s="81"/>
      <c r="U1052" s="81"/>
      <c r="V1052" s="84" t="str">
        <f>HYPERLINK("https://pbs.twimg.com/profile_images/1014738295408902144/a74g9AXR_normal.jpg")</f>
        <v>https://pbs.twimg.com/profile_images/1014738295408902144/a74g9AXR_normal.jpg</v>
      </c>
      <c r="W1052" s="83">
        <v>44458.165416666663</v>
      </c>
      <c r="X1052" s="89">
        <v>44458</v>
      </c>
      <c r="Y1052" s="86" t="s">
        <v>3514</v>
      </c>
      <c r="Z1052" s="84" t="str">
        <f>HYPERLINK("https://twitter.com/depok_pos/status/1439438652581441545")</f>
        <v>https://twitter.com/depok_pos/status/1439438652581441545</v>
      </c>
      <c r="AA1052" s="81"/>
      <c r="AB1052" s="81"/>
      <c r="AC1052" s="86" t="s">
        <v>4979</v>
      </c>
      <c r="AD1052" s="81"/>
      <c r="AE1052" s="81" t="b">
        <v>0</v>
      </c>
      <c r="AF1052" s="81">
        <v>0</v>
      </c>
      <c r="AG1052" s="86" t="s">
        <v>6240</v>
      </c>
      <c r="AH1052" s="81" t="b">
        <v>0</v>
      </c>
      <c r="AI1052" s="81" t="s">
        <v>6478</v>
      </c>
      <c r="AJ1052" s="81"/>
      <c r="AK1052" s="86" t="s">
        <v>6240</v>
      </c>
      <c r="AL1052" s="81" t="b">
        <v>0</v>
      </c>
      <c r="AM1052" s="81">
        <v>0</v>
      </c>
      <c r="AN1052" s="86" t="s">
        <v>6240</v>
      </c>
      <c r="AO1052" s="86" t="s">
        <v>884</v>
      </c>
      <c r="AP1052" s="81" t="b">
        <v>0</v>
      </c>
      <c r="AQ1052" s="86" t="s">
        <v>4979</v>
      </c>
      <c r="AR1052" s="81" t="s">
        <v>179</v>
      </c>
      <c r="AS1052" s="81">
        <v>0</v>
      </c>
      <c r="AT1052" s="81">
        <v>0</v>
      </c>
      <c r="AU1052" s="81"/>
      <c r="AV1052" s="81"/>
      <c r="AW1052" s="81"/>
      <c r="AX1052" s="81"/>
      <c r="AY1052" s="81"/>
      <c r="AZ1052" s="81"/>
      <c r="BA1052" s="81"/>
      <c r="BB1052" s="81"/>
    </row>
    <row r="1053" spans="1:54" x14ac:dyDescent="0.35">
      <c r="A1053" s="66" t="s">
        <v>884</v>
      </c>
      <c r="B1053" s="66" t="s">
        <v>884</v>
      </c>
      <c r="C1053" s="67"/>
      <c r="D1053" s="68"/>
      <c r="E1053" s="69"/>
      <c r="F1053" s="70"/>
      <c r="G1053" s="67"/>
      <c r="H1053" s="71"/>
      <c r="I1053" s="72"/>
      <c r="J1053" s="72"/>
      <c r="K1053" s="36"/>
      <c r="L1053" s="79"/>
      <c r="M1053" s="79"/>
      <c r="N1053" s="74"/>
      <c r="O1053" s="81" t="s">
        <v>179</v>
      </c>
      <c r="P1053" s="83">
        <v>44459.454768518517</v>
      </c>
      <c r="Q1053" s="81" t="s">
        <v>1924</v>
      </c>
      <c r="R1053" s="84" t="str">
        <f>HYPERLINK("https://www.depokpos.com/2021/09/ui-raih-penghargaan-di-ajang-anugerah-humas-indonesia/?utm_source=ReviveOldPost&amp;utm_medium=social&amp;utm_campaign=ReviveOldPost")</f>
        <v>https://www.depokpos.com/2021/09/ui-raih-penghargaan-di-ajang-anugerah-humas-indonesia/?utm_source=ReviveOldPost&amp;utm_medium=social&amp;utm_campaign=ReviveOldPost</v>
      </c>
      <c r="S1053" s="81" t="s">
        <v>2629</v>
      </c>
      <c r="T1053" s="81"/>
      <c r="U1053" s="81"/>
      <c r="V1053" s="84" t="str">
        <f>HYPERLINK("https://pbs.twimg.com/profile_images/1014738295408902144/a74g9AXR_normal.jpg")</f>
        <v>https://pbs.twimg.com/profile_images/1014738295408902144/a74g9AXR_normal.jpg</v>
      </c>
      <c r="W1053" s="83">
        <v>44459.454768518517</v>
      </c>
      <c r="X1053" s="89">
        <v>44459</v>
      </c>
      <c r="Y1053" s="86" t="s">
        <v>3515</v>
      </c>
      <c r="Z1053" s="84" t="str">
        <f>HYPERLINK("https://twitter.com/depok_pos/status/1439905897120092164")</f>
        <v>https://twitter.com/depok_pos/status/1439905897120092164</v>
      </c>
      <c r="AA1053" s="81"/>
      <c r="AB1053" s="81"/>
      <c r="AC1053" s="86" t="s">
        <v>4980</v>
      </c>
      <c r="AD1053" s="81"/>
      <c r="AE1053" s="81" t="b">
        <v>0</v>
      </c>
      <c r="AF1053" s="81">
        <v>0</v>
      </c>
      <c r="AG1053" s="86" t="s">
        <v>6240</v>
      </c>
      <c r="AH1053" s="81" t="b">
        <v>0</v>
      </c>
      <c r="AI1053" s="81" t="s">
        <v>6478</v>
      </c>
      <c r="AJ1053" s="81"/>
      <c r="AK1053" s="86" t="s">
        <v>6240</v>
      </c>
      <c r="AL1053" s="81" t="b">
        <v>0</v>
      </c>
      <c r="AM1053" s="81">
        <v>0</v>
      </c>
      <c r="AN1053" s="86" t="s">
        <v>6240</v>
      </c>
      <c r="AO1053" s="86" t="s">
        <v>884</v>
      </c>
      <c r="AP1053" s="81" t="b">
        <v>0</v>
      </c>
      <c r="AQ1053" s="86" t="s">
        <v>4980</v>
      </c>
      <c r="AR1053" s="81" t="s">
        <v>179</v>
      </c>
      <c r="AS1053" s="81">
        <v>0</v>
      </c>
      <c r="AT1053" s="81">
        <v>0</v>
      </c>
      <c r="AU1053" s="81"/>
      <c r="AV1053" s="81"/>
      <c r="AW1053" s="81"/>
      <c r="AX1053" s="81"/>
      <c r="AY1053" s="81"/>
      <c r="AZ1053" s="81"/>
      <c r="BA1053" s="81"/>
      <c r="BB1053" s="81"/>
    </row>
    <row r="1054" spans="1:54" x14ac:dyDescent="0.35">
      <c r="A1054" s="66" t="s">
        <v>884</v>
      </c>
      <c r="B1054" s="66" t="s">
        <v>884</v>
      </c>
      <c r="C1054" s="67"/>
      <c r="D1054" s="68"/>
      <c r="E1054" s="69"/>
      <c r="F1054" s="70"/>
      <c r="G1054" s="67"/>
      <c r="H1054" s="71"/>
      <c r="I1054" s="72"/>
      <c r="J1054" s="72"/>
      <c r="K1054" s="36"/>
      <c r="L1054" s="79"/>
      <c r="M1054" s="79"/>
      <c r="N1054" s="74"/>
      <c r="O1054" s="81" t="s">
        <v>179</v>
      </c>
      <c r="P1054" s="83">
        <v>44459.504791666666</v>
      </c>
      <c r="Q1054" s="81" t="s">
        <v>1925</v>
      </c>
      <c r="R1054" s="84" t="str">
        <f>HYPERLINK("https://www.depokpos.com/2021/09/indonesia-kembali-terima-kiriman-5-juta-dosis-vaksin-sinovac/?utm_source=ReviveOldPost&amp;utm_medium=social&amp;utm_campaign=ReviveOldPost")</f>
        <v>https://www.depokpos.com/2021/09/indonesia-kembali-terima-kiriman-5-juta-dosis-vaksin-sinovac/?utm_source=ReviveOldPost&amp;utm_medium=social&amp;utm_campaign=ReviveOldPost</v>
      </c>
      <c r="S1054" s="81" t="s">
        <v>2629</v>
      </c>
      <c r="T1054" s="81"/>
      <c r="U1054" s="81"/>
      <c r="V1054" s="84" t="str">
        <f>HYPERLINK("https://pbs.twimg.com/profile_images/1014738295408902144/a74g9AXR_normal.jpg")</f>
        <v>https://pbs.twimg.com/profile_images/1014738295408902144/a74g9AXR_normal.jpg</v>
      </c>
      <c r="W1054" s="83">
        <v>44459.504791666666</v>
      </c>
      <c r="X1054" s="89">
        <v>44459</v>
      </c>
      <c r="Y1054" s="86" t="s">
        <v>3516</v>
      </c>
      <c r="Z1054" s="84" t="str">
        <f>HYPERLINK("https://twitter.com/depok_pos/status/1439924025560494080")</f>
        <v>https://twitter.com/depok_pos/status/1439924025560494080</v>
      </c>
      <c r="AA1054" s="81"/>
      <c r="AB1054" s="81"/>
      <c r="AC1054" s="86" t="s">
        <v>4981</v>
      </c>
      <c r="AD1054" s="81"/>
      <c r="AE1054" s="81" t="b">
        <v>0</v>
      </c>
      <c r="AF1054" s="81">
        <v>0</v>
      </c>
      <c r="AG1054" s="86" t="s">
        <v>6240</v>
      </c>
      <c r="AH1054" s="81" t="b">
        <v>0</v>
      </c>
      <c r="AI1054" s="81" t="s">
        <v>6478</v>
      </c>
      <c r="AJ1054" s="81"/>
      <c r="AK1054" s="86" t="s">
        <v>6240</v>
      </c>
      <c r="AL1054" s="81" t="b">
        <v>0</v>
      </c>
      <c r="AM1054" s="81">
        <v>0</v>
      </c>
      <c r="AN1054" s="86" t="s">
        <v>6240</v>
      </c>
      <c r="AO1054" s="86" t="s">
        <v>884</v>
      </c>
      <c r="AP1054" s="81" t="b">
        <v>0</v>
      </c>
      <c r="AQ1054" s="86" t="s">
        <v>4981</v>
      </c>
      <c r="AR1054" s="81" t="s">
        <v>179</v>
      </c>
      <c r="AS1054" s="81">
        <v>0</v>
      </c>
      <c r="AT1054" s="81">
        <v>0</v>
      </c>
      <c r="AU1054" s="81"/>
      <c r="AV1054" s="81"/>
      <c r="AW1054" s="81"/>
      <c r="AX1054" s="81"/>
      <c r="AY1054" s="81"/>
      <c r="AZ1054" s="81"/>
      <c r="BA1054" s="81"/>
      <c r="BB1054" s="81"/>
    </row>
    <row r="1055" spans="1:54" x14ac:dyDescent="0.35">
      <c r="A1055" s="66" t="s">
        <v>884</v>
      </c>
      <c r="B1055" s="66" t="s">
        <v>884</v>
      </c>
      <c r="C1055" s="67"/>
      <c r="D1055" s="68"/>
      <c r="E1055" s="69"/>
      <c r="F1055" s="70"/>
      <c r="G1055" s="67"/>
      <c r="H1055" s="71"/>
      <c r="I1055" s="72"/>
      <c r="J1055" s="72"/>
      <c r="K1055" s="36"/>
      <c r="L1055" s="79"/>
      <c r="M1055" s="79"/>
      <c r="N1055" s="74"/>
      <c r="O1055" s="81" t="s">
        <v>179</v>
      </c>
      <c r="P1055" s="83">
        <v>44460.138124999998</v>
      </c>
      <c r="Q1055" s="81" t="s">
        <v>1926</v>
      </c>
      <c r="R1055" s="84" t="str">
        <f>HYPERLINK("https://www.depokpos.com/2021/09/ui-uq-gelar-forum-bilateral-penerapan-sdgs-di-indonesia/?utm_source=ReviveOldPost&amp;utm_medium=social&amp;utm_campaign=ReviveOldPost")</f>
        <v>https://www.depokpos.com/2021/09/ui-uq-gelar-forum-bilateral-penerapan-sdgs-di-indonesia/?utm_source=ReviveOldPost&amp;utm_medium=social&amp;utm_campaign=ReviveOldPost</v>
      </c>
      <c r="S1055" s="81" t="s">
        <v>2629</v>
      </c>
      <c r="T1055" s="81"/>
      <c r="U1055" s="81"/>
      <c r="V1055" s="84" t="str">
        <f>HYPERLINK("https://pbs.twimg.com/profile_images/1014738295408902144/a74g9AXR_normal.jpg")</f>
        <v>https://pbs.twimg.com/profile_images/1014738295408902144/a74g9AXR_normal.jpg</v>
      </c>
      <c r="W1055" s="83">
        <v>44460.138124999998</v>
      </c>
      <c r="X1055" s="89">
        <v>44460</v>
      </c>
      <c r="Y1055" s="86" t="s">
        <v>3517</v>
      </c>
      <c r="Z1055" s="84" t="str">
        <f>HYPERLINK("https://twitter.com/depok_pos/status/1440153537170665472")</f>
        <v>https://twitter.com/depok_pos/status/1440153537170665472</v>
      </c>
      <c r="AA1055" s="81"/>
      <c r="AB1055" s="81"/>
      <c r="AC1055" s="86" t="s">
        <v>4982</v>
      </c>
      <c r="AD1055" s="81"/>
      <c r="AE1055" s="81" t="b">
        <v>0</v>
      </c>
      <c r="AF1055" s="81">
        <v>0</v>
      </c>
      <c r="AG1055" s="86" t="s">
        <v>6240</v>
      </c>
      <c r="AH1055" s="81" t="b">
        <v>0</v>
      </c>
      <c r="AI1055" s="81" t="s">
        <v>6478</v>
      </c>
      <c r="AJ1055" s="81"/>
      <c r="AK1055" s="86" t="s">
        <v>6240</v>
      </c>
      <c r="AL1055" s="81" t="b">
        <v>0</v>
      </c>
      <c r="AM1055" s="81">
        <v>0</v>
      </c>
      <c r="AN1055" s="86" t="s">
        <v>6240</v>
      </c>
      <c r="AO1055" s="86" t="s">
        <v>884</v>
      </c>
      <c r="AP1055" s="81" t="b">
        <v>0</v>
      </c>
      <c r="AQ1055" s="86" t="s">
        <v>4982</v>
      </c>
      <c r="AR1055" s="81" t="s">
        <v>179</v>
      </c>
      <c r="AS1055" s="81">
        <v>0</v>
      </c>
      <c r="AT1055" s="81">
        <v>0</v>
      </c>
      <c r="AU1055" s="81"/>
      <c r="AV1055" s="81"/>
      <c r="AW1055" s="81"/>
      <c r="AX1055" s="81"/>
      <c r="AY1055" s="81"/>
      <c r="AZ1055" s="81"/>
      <c r="BA1055" s="81"/>
      <c r="BB1055" s="81"/>
    </row>
    <row r="1056" spans="1:54" x14ac:dyDescent="0.35">
      <c r="A1056" s="66" t="s">
        <v>884</v>
      </c>
      <c r="B1056" s="66" t="s">
        <v>884</v>
      </c>
      <c r="C1056" s="67"/>
      <c r="D1056" s="68"/>
      <c r="E1056" s="69"/>
      <c r="F1056" s="70"/>
      <c r="G1056" s="67"/>
      <c r="H1056" s="71"/>
      <c r="I1056" s="72"/>
      <c r="J1056" s="72"/>
      <c r="K1056" s="36"/>
      <c r="L1056" s="79"/>
      <c r="M1056" s="79"/>
      <c r="N1056" s="74"/>
      <c r="O1056" s="81" t="s">
        <v>179</v>
      </c>
      <c r="P1056" s="83">
        <v>44461.237511574072</v>
      </c>
      <c r="Q1056" s="81" t="s">
        <v>1927</v>
      </c>
      <c r="R1056" s="84" t="str">
        <f>HYPERLINK("https://www.depokpos.com/2021/09/pertama-kali-di-dunia-honda-luncurkan-all-new-honda-br-v-di-indonesia/?utm_source=ReviveOldPost&amp;utm_medium=social&amp;utm_campaign=ReviveOldPost")</f>
        <v>https://www.depokpos.com/2021/09/pertama-kali-di-dunia-honda-luncurkan-all-new-honda-br-v-di-indonesia/?utm_source=ReviveOldPost&amp;utm_medium=social&amp;utm_campaign=ReviveOldPost</v>
      </c>
      <c r="S1056" s="81" t="s">
        <v>2629</v>
      </c>
      <c r="T1056" s="81"/>
      <c r="U1056" s="81"/>
      <c r="V1056" s="84" t="str">
        <f>HYPERLINK("https://pbs.twimg.com/profile_images/1014738295408902144/a74g9AXR_normal.jpg")</f>
        <v>https://pbs.twimg.com/profile_images/1014738295408902144/a74g9AXR_normal.jpg</v>
      </c>
      <c r="W1056" s="83">
        <v>44461.237511574072</v>
      </c>
      <c r="X1056" s="89">
        <v>44461</v>
      </c>
      <c r="Y1056" s="86" t="s">
        <v>3518</v>
      </c>
      <c r="Z1056" s="84" t="str">
        <f>HYPERLINK("https://twitter.com/depok_pos/status/1440551942309113863")</f>
        <v>https://twitter.com/depok_pos/status/1440551942309113863</v>
      </c>
      <c r="AA1056" s="81"/>
      <c r="AB1056" s="81"/>
      <c r="AC1056" s="86" t="s">
        <v>4983</v>
      </c>
      <c r="AD1056" s="81"/>
      <c r="AE1056" s="81" t="b">
        <v>0</v>
      </c>
      <c r="AF1056" s="81">
        <v>0</v>
      </c>
      <c r="AG1056" s="86" t="s">
        <v>6240</v>
      </c>
      <c r="AH1056" s="81" t="b">
        <v>0</v>
      </c>
      <c r="AI1056" s="81" t="s">
        <v>6478</v>
      </c>
      <c r="AJ1056" s="81"/>
      <c r="AK1056" s="86" t="s">
        <v>6240</v>
      </c>
      <c r="AL1056" s="81" t="b">
        <v>0</v>
      </c>
      <c r="AM1056" s="81">
        <v>0</v>
      </c>
      <c r="AN1056" s="86" t="s">
        <v>6240</v>
      </c>
      <c r="AO1056" s="86" t="s">
        <v>884</v>
      </c>
      <c r="AP1056" s="81" t="b">
        <v>0</v>
      </c>
      <c r="AQ1056" s="86" t="s">
        <v>4983</v>
      </c>
      <c r="AR1056" s="81" t="s">
        <v>179</v>
      </c>
      <c r="AS1056" s="81">
        <v>0</v>
      </c>
      <c r="AT1056" s="81">
        <v>0</v>
      </c>
      <c r="AU1056" s="81"/>
      <c r="AV1056" s="81"/>
      <c r="AW1056" s="81"/>
      <c r="AX1056" s="81"/>
      <c r="AY1056" s="81"/>
      <c r="AZ1056" s="81"/>
      <c r="BA1056" s="81"/>
      <c r="BB1056" s="81"/>
    </row>
    <row r="1057" spans="1:54" x14ac:dyDescent="0.35">
      <c r="A1057" s="66" t="s">
        <v>884</v>
      </c>
      <c r="B1057" s="66" t="s">
        <v>884</v>
      </c>
      <c r="C1057" s="67"/>
      <c r="D1057" s="68"/>
      <c r="E1057" s="69"/>
      <c r="F1057" s="70"/>
      <c r="G1057" s="67"/>
      <c r="H1057" s="71"/>
      <c r="I1057" s="72"/>
      <c r="J1057" s="72"/>
      <c r="K1057" s="36"/>
      <c r="L1057" s="79"/>
      <c r="M1057" s="79"/>
      <c r="N1057" s="74"/>
      <c r="O1057" s="81" t="s">
        <v>179</v>
      </c>
      <c r="P1057" s="83">
        <v>44461.391446759262</v>
      </c>
      <c r="Q1057" s="81" t="s">
        <v>1928</v>
      </c>
      <c r="R1057" s="84" t="str">
        <f>HYPERLINK("https://www.depokpos.com/2021/09/menperin-luncurkan-indonesia-halal-industry-award-2021/?utm_source=ReviveOldPost&amp;utm_medium=social&amp;utm_campaign=ReviveOldPost")</f>
        <v>https://www.depokpos.com/2021/09/menperin-luncurkan-indonesia-halal-industry-award-2021/?utm_source=ReviveOldPost&amp;utm_medium=social&amp;utm_campaign=ReviveOldPost</v>
      </c>
      <c r="S1057" s="81" t="s">
        <v>2629</v>
      </c>
      <c r="T1057" s="81"/>
      <c r="U1057" s="81"/>
      <c r="V1057" s="84" t="str">
        <f>HYPERLINK("https://pbs.twimg.com/profile_images/1014738295408902144/a74g9AXR_normal.jpg")</f>
        <v>https://pbs.twimg.com/profile_images/1014738295408902144/a74g9AXR_normal.jpg</v>
      </c>
      <c r="W1057" s="83">
        <v>44461.391446759262</v>
      </c>
      <c r="X1057" s="89">
        <v>44461</v>
      </c>
      <c r="Y1057" s="86" t="s">
        <v>3519</v>
      </c>
      <c r="Z1057" s="84" t="str">
        <f>HYPERLINK("https://twitter.com/depok_pos/status/1440607726464163845")</f>
        <v>https://twitter.com/depok_pos/status/1440607726464163845</v>
      </c>
      <c r="AA1057" s="81"/>
      <c r="AB1057" s="81"/>
      <c r="AC1057" s="86" t="s">
        <v>4984</v>
      </c>
      <c r="AD1057" s="81"/>
      <c r="AE1057" s="81" t="b">
        <v>0</v>
      </c>
      <c r="AF1057" s="81">
        <v>0</v>
      </c>
      <c r="AG1057" s="86" t="s">
        <v>6240</v>
      </c>
      <c r="AH1057" s="81" t="b">
        <v>0</v>
      </c>
      <c r="AI1057" s="81" t="s">
        <v>6478</v>
      </c>
      <c r="AJ1057" s="81"/>
      <c r="AK1057" s="86" t="s">
        <v>6240</v>
      </c>
      <c r="AL1057" s="81" t="b">
        <v>0</v>
      </c>
      <c r="AM1057" s="81">
        <v>0</v>
      </c>
      <c r="AN1057" s="86" t="s">
        <v>6240</v>
      </c>
      <c r="AO1057" s="86" t="s">
        <v>884</v>
      </c>
      <c r="AP1057" s="81" t="b">
        <v>0</v>
      </c>
      <c r="AQ1057" s="86" t="s">
        <v>4984</v>
      </c>
      <c r="AR1057" s="81" t="s">
        <v>179</v>
      </c>
      <c r="AS1057" s="81">
        <v>0</v>
      </c>
      <c r="AT1057" s="81">
        <v>0</v>
      </c>
      <c r="AU1057" s="81"/>
      <c r="AV1057" s="81"/>
      <c r="AW1057" s="81"/>
      <c r="AX1057" s="81"/>
      <c r="AY1057" s="81"/>
      <c r="AZ1057" s="81"/>
      <c r="BA1057" s="81"/>
      <c r="BB1057" s="81"/>
    </row>
    <row r="1058" spans="1:54" x14ac:dyDescent="0.35">
      <c r="A1058" s="66" t="s">
        <v>884</v>
      </c>
      <c r="B1058" s="66" t="s">
        <v>884</v>
      </c>
      <c r="C1058" s="67"/>
      <c r="D1058" s="68"/>
      <c r="E1058" s="69"/>
      <c r="F1058" s="70"/>
      <c r="G1058" s="67"/>
      <c r="H1058" s="71"/>
      <c r="I1058" s="72"/>
      <c r="J1058" s="72"/>
      <c r="K1058" s="36"/>
      <c r="L1058" s="79"/>
      <c r="M1058" s="79"/>
      <c r="N1058" s="74"/>
      <c r="O1058" s="81" t="s">
        <v>179</v>
      </c>
      <c r="P1058" s="83">
        <v>44464.152442129627</v>
      </c>
      <c r="Q1058" s="81" t="s">
        <v>1929</v>
      </c>
      <c r="R1058" s="84" t="str">
        <f>HYPERLINK("https://www.depokpos.com/2021/09/ui-terbaik-di-indonesia-versi-lembaga-riset-dunia/?utm_source=ReviveOldPost&amp;utm_medium=social&amp;utm_campaign=ReviveOldPost")</f>
        <v>https://www.depokpos.com/2021/09/ui-terbaik-di-indonesia-versi-lembaga-riset-dunia/?utm_source=ReviveOldPost&amp;utm_medium=social&amp;utm_campaign=ReviveOldPost</v>
      </c>
      <c r="S1058" s="81" t="s">
        <v>2629</v>
      </c>
      <c r="T1058" s="81"/>
      <c r="U1058" s="81"/>
      <c r="V1058" s="84" t="str">
        <f>HYPERLINK("https://pbs.twimg.com/profile_images/1014738295408902144/a74g9AXR_normal.jpg")</f>
        <v>https://pbs.twimg.com/profile_images/1014738295408902144/a74g9AXR_normal.jpg</v>
      </c>
      <c r="W1058" s="83">
        <v>44464.152442129627</v>
      </c>
      <c r="X1058" s="89">
        <v>44464</v>
      </c>
      <c r="Y1058" s="86" t="s">
        <v>3520</v>
      </c>
      <c r="Z1058" s="84" t="str">
        <f>HYPERLINK("https://twitter.com/depok_pos/status/1441608276337065990")</f>
        <v>https://twitter.com/depok_pos/status/1441608276337065990</v>
      </c>
      <c r="AA1058" s="81"/>
      <c r="AB1058" s="81"/>
      <c r="AC1058" s="86" t="s">
        <v>4985</v>
      </c>
      <c r="AD1058" s="81"/>
      <c r="AE1058" s="81" t="b">
        <v>0</v>
      </c>
      <c r="AF1058" s="81">
        <v>0</v>
      </c>
      <c r="AG1058" s="86" t="s">
        <v>6240</v>
      </c>
      <c r="AH1058" s="81" t="b">
        <v>0</v>
      </c>
      <c r="AI1058" s="81" t="s">
        <v>6478</v>
      </c>
      <c r="AJ1058" s="81"/>
      <c r="AK1058" s="86" t="s">
        <v>6240</v>
      </c>
      <c r="AL1058" s="81" t="b">
        <v>0</v>
      </c>
      <c r="AM1058" s="81">
        <v>0</v>
      </c>
      <c r="AN1058" s="86" t="s">
        <v>6240</v>
      </c>
      <c r="AO1058" s="86" t="s">
        <v>884</v>
      </c>
      <c r="AP1058" s="81" t="b">
        <v>0</v>
      </c>
      <c r="AQ1058" s="86" t="s">
        <v>4985</v>
      </c>
      <c r="AR1058" s="81" t="s">
        <v>179</v>
      </c>
      <c r="AS1058" s="81">
        <v>0</v>
      </c>
      <c r="AT1058" s="81">
        <v>0</v>
      </c>
      <c r="AU1058" s="81"/>
      <c r="AV1058" s="81"/>
      <c r="AW1058" s="81"/>
      <c r="AX1058" s="81"/>
      <c r="AY1058" s="81"/>
      <c r="AZ1058" s="81"/>
      <c r="BA1058" s="81"/>
      <c r="BB1058" s="81"/>
    </row>
    <row r="1059" spans="1:54" x14ac:dyDescent="0.35">
      <c r="A1059" s="66" t="s">
        <v>885</v>
      </c>
      <c r="B1059" s="66" t="s">
        <v>885</v>
      </c>
      <c r="C1059" s="67"/>
      <c r="D1059" s="68"/>
      <c r="E1059" s="69"/>
      <c r="F1059" s="70"/>
      <c r="G1059" s="67"/>
      <c r="H1059" s="71"/>
      <c r="I1059" s="72"/>
      <c r="J1059" s="72"/>
      <c r="K1059" s="36"/>
      <c r="L1059" s="79"/>
      <c r="M1059" s="79"/>
      <c r="N1059" s="74"/>
      <c r="O1059" s="81" t="s">
        <v>179</v>
      </c>
      <c r="P1059" s="83">
        <v>44464.173125000001</v>
      </c>
      <c r="Q1059" s="81" t="s">
        <v>1930</v>
      </c>
      <c r="R1059" s="84" t="str">
        <f>HYPERLINK("https://twitter.com/filmsforjin/status/1441614639947599873")</f>
        <v>https://twitter.com/filmsforjin/status/1441614639947599873</v>
      </c>
      <c r="S1059" s="81" t="s">
        <v>2588</v>
      </c>
      <c r="T1059" s="81"/>
      <c r="U1059" s="81"/>
      <c r="V1059" s="84" t="str">
        <f>HYPERLINK("https://pbs.twimg.com/profile_images/1440242262101803019/CucQtg-J_normal.jpg")</f>
        <v>https://pbs.twimg.com/profile_images/1440242262101803019/CucQtg-J_normal.jpg</v>
      </c>
      <c r="W1059" s="83">
        <v>44464.173125000001</v>
      </c>
      <c r="X1059" s="89">
        <v>44464</v>
      </c>
      <c r="Y1059" s="86" t="s">
        <v>3521</v>
      </c>
      <c r="Z1059" s="84" t="str">
        <f>HYPERLINK("https://twitter.com/lunarwolfj/status/1441615769859608578")</f>
        <v>https://twitter.com/lunarwolfj/status/1441615769859608578</v>
      </c>
      <c r="AA1059" s="81"/>
      <c r="AB1059" s="81"/>
      <c r="AC1059" s="86" t="s">
        <v>4986</v>
      </c>
      <c r="AD1059" s="81"/>
      <c r="AE1059" s="81" t="b">
        <v>0</v>
      </c>
      <c r="AF1059" s="81">
        <v>6</v>
      </c>
      <c r="AG1059" s="86" t="s">
        <v>6240</v>
      </c>
      <c r="AH1059" s="81" t="b">
        <v>1</v>
      </c>
      <c r="AI1059" s="81" t="s">
        <v>6478</v>
      </c>
      <c r="AJ1059" s="81"/>
      <c r="AK1059" s="86" t="s">
        <v>6499</v>
      </c>
      <c r="AL1059" s="81" t="b">
        <v>0</v>
      </c>
      <c r="AM1059" s="81">
        <v>0</v>
      </c>
      <c r="AN1059" s="86" t="s">
        <v>6240</v>
      </c>
      <c r="AO1059" s="86" t="s">
        <v>6503</v>
      </c>
      <c r="AP1059" s="81" t="b">
        <v>0</v>
      </c>
      <c r="AQ1059" s="86" t="s">
        <v>4986</v>
      </c>
      <c r="AR1059" s="81" t="s">
        <v>179</v>
      </c>
      <c r="AS1059" s="81">
        <v>0</v>
      </c>
      <c r="AT1059" s="81">
        <v>0</v>
      </c>
      <c r="AU1059" s="81"/>
      <c r="AV1059" s="81"/>
      <c r="AW1059" s="81"/>
      <c r="AX1059" s="81"/>
      <c r="AY1059" s="81"/>
      <c r="AZ1059" s="81"/>
      <c r="BA1059" s="81"/>
      <c r="BB1059" s="81"/>
    </row>
    <row r="1060" spans="1:54" x14ac:dyDescent="0.35">
      <c r="A1060" s="66" t="s">
        <v>886</v>
      </c>
      <c r="B1060" s="66" t="s">
        <v>1427</v>
      </c>
      <c r="C1060" s="67"/>
      <c r="D1060" s="68"/>
      <c r="E1060" s="69"/>
      <c r="F1060" s="70"/>
      <c r="G1060" s="67"/>
      <c r="H1060" s="71"/>
      <c r="I1060" s="72"/>
      <c r="J1060" s="72"/>
      <c r="K1060" s="36"/>
      <c r="L1060" s="79"/>
      <c r="M1060" s="79"/>
      <c r="N1060" s="74"/>
      <c r="O1060" s="81" t="s">
        <v>1535</v>
      </c>
      <c r="P1060" s="83">
        <v>44464.176157407404</v>
      </c>
      <c r="Q1060" s="81" t="s">
        <v>1931</v>
      </c>
      <c r="R1060" s="81"/>
      <c r="S1060" s="81"/>
      <c r="T1060" s="81"/>
      <c r="U1060" s="84" t="str">
        <f>HYPERLINK("https://pbs.twimg.com/media/FAGm5ngUcAgO-Vi.jpg")</f>
        <v>https://pbs.twimg.com/media/FAGm5ngUcAgO-Vi.jpg</v>
      </c>
      <c r="V1060" s="84" t="str">
        <f>HYPERLINK("https://pbs.twimg.com/media/FAGm5ngUcAgO-Vi.jpg")</f>
        <v>https://pbs.twimg.com/media/FAGm5ngUcAgO-Vi.jpg</v>
      </c>
      <c r="W1060" s="83">
        <v>44464.176157407404</v>
      </c>
      <c r="X1060" s="89">
        <v>44464</v>
      </c>
      <c r="Y1060" s="86" t="s">
        <v>3522</v>
      </c>
      <c r="Z1060" s="84" t="str">
        <f>HYPERLINK("https://twitter.com/alyessamariani/status/1441616872147881989")</f>
        <v>https://twitter.com/alyessamariani/status/1441616872147881989</v>
      </c>
      <c r="AA1060" s="81"/>
      <c r="AB1060" s="81"/>
      <c r="AC1060" s="86" t="s">
        <v>4987</v>
      </c>
      <c r="AD1060" s="81"/>
      <c r="AE1060" s="81" t="b">
        <v>0</v>
      </c>
      <c r="AF1060" s="81">
        <v>0</v>
      </c>
      <c r="AG1060" s="86" t="s">
        <v>6240</v>
      </c>
      <c r="AH1060" s="81" t="b">
        <v>0</v>
      </c>
      <c r="AI1060" s="81" t="s">
        <v>6478</v>
      </c>
      <c r="AJ1060" s="81"/>
      <c r="AK1060" s="86" t="s">
        <v>6240</v>
      </c>
      <c r="AL1060" s="81" t="b">
        <v>0</v>
      </c>
      <c r="AM1060" s="81">
        <v>0</v>
      </c>
      <c r="AN1060" s="86" t="s">
        <v>6240</v>
      </c>
      <c r="AO1060" s="86" t="s">
        <v>6503</v>
      </c>
      <c r="AP1060" s="81" t="b">
        <v>0</v>
      </c>
      <c r="AQ1060" s="86" t="s">
        <v>4987</v>
      </c>
      <c r="AR1060" s="81" t="s">
        <v>179</v>
      </c>
      <c r="AS1060" s="81">
        <v>0</v>
      </c>
      <c r="AT1060" s="81">
        <v>0</v>
      </c>
      <c r="AU1060" s="81"/>
      <c r="AV1060" s="81"/>
      <c r="AW1060" s="81"/>
      <c r="AX1060" s="81"/>
      <c r="AY1060" s="81"/>
      <c r="AZ1060" s="81"/>
      <c r="BA1060" s="81"/>
      <c r="BB1060" s="81"/>
    </row>
    <row r="1061" spans="1:54" x14ac:dyDescent="0.35">
      <c r="A1061" s="66" t="s">
        <v>886</v>
      </c>
      <c r="B1061" s="66" t="s">
        <v>1428</v>
      </c>
      <c r="C1061" s="67"/>
      <c r="D1061" s="68"/>
      <c r="E1061" s="69"/>
      <c r="F1061" s="70"/>
      <c r="G1061" s="67"/>
      <c r="H1061" s="71"/>
      <c r="I1061" s="72"/>
      <c r="J1061" s="72"/>
      <c r="K1061" s="36"/>
      <c r="L1061" s="79"/>
      <c r="M1061" s="79"/>
      <c r="N1061" s="74"/>
      <c r="O1061" s="81" t="s">
        <v>1535</v>
      </c>
      <c r="P1061" s="83">
        <v>44464.176157407404</v>
      </c>
      <c r="Q1061" s="81" t="s">
        <v>1931</v>
      </c>
      <c r="R1061" s="81"/>
      <c r="S1061" s="81"/>
      <c r="T1061" s="81"/>
      <c r="U1061" s="84" t="str">
        <f>HYPERLINK("https://pbs.twimg.com/media/FAGm5ngUcAgO-Vi.jpg")</f>
        <v>https://pbs.twimg.com/media/FAGm5ngUcAgO-Vi.jpg</v>
      </c>
      <c r="V1061" s="84" t="str">
        <f>HYPERLINK("https://pbs.twimg.com/media/FAGm5ngUcAgO-Vi.jpg")</f>
        <v>https://pbs.twimg.com/media/FAGm5ngUcAgO-Vi.jpg</v>
      </c>
      <c r="W1061" s="83">
        <v>44464.176157407404</v>
      </c>
      <c r="X1061" s="89">
        <v>44464</v>
      </c>
      <c r="Y1061" s="86" t="s">
        <v>3522</v>
      </c>
      <c r="Z1061" s="84" t="str">
        <f>HYPERLINK("https://twitter.com/alyessamariani/status/1441616872147881989")</f>
        <v>https://twitter.com/alyessamariani/status/1441616872147881989</v>
      </c>
      <c r="AA1061" s="81"/>
      <c r="AB1061" s="81"/>
      <c r="AC1061" s="86" t="s">
        <v>4987</v>
      </c>
      <c r="AD1061" s="81"/>
      <c r="AE1061" s="81" t="b">
        <v>0</v>
      </c>
      <c r="AF1061" s="81">
        <v>0</v>
      </c>
      <c r="AG1061" s="86" t="s">
        <v>6240</v>
      </c>
      <c r="AH1061" s="81" t="b">
        <v>0</v>
      </c>
      <c r="AI1061" s="81" t="s">
        <v>6478</v>
      </c>
      <c r="AJ1061" s="81"/>
      <c r="AK1061" s="86" t="s">
        <v>6240</v>
      </c>
      <c r="AL1061" s="81" t="b">
        <v>0</v>
      </c>
      <c r="AM1061" s="81">
        <v>0</v>
      </c>
      <c r="AN1061" s="86" t="s">
        <v>6240</v>
      </c>
      <c r="AO1061" s="86" t="s">
        <v>6503</v>
      </c>
      <c r="AP1061" s="81" t="b">
        <v>0</v>
      </c>
      <c r="AQ1061" s="86" t="s">
        <v>4987</v>
      </c>
      <c r="AR1061" s="81" t="s">
        <v>179</v>
      </c>
      <c r="AS1061" s="81">
        <v>0</v>
      </c>
      <c r="AT1061" s="81">
        <v>0</v>
      </c>
      <c r="AU1061" s="81"/>
      <c r="AV1061" s="81"/>
      <c r="AW1061" s="81"/>
      <c r="AX1061" s="81"/>
      <c r="AY1061" s="81"/>
      <c r="AZ1061" s="81"/>
      <c r="BA1061" s="81"/>
      <c r="BB1061" s="81"/>
    </row>
    <row r="1062" spans="1:54" x14ac:dyDescent="0.35">
      <c r="A1062" s="66" t="s">
        <v>886</v>
      </c>
      <c r="B1062" s="66" t="s">
        <v>1429</v>
      </c>
      <c r="C1062" s="67"/>
      <c r="D1062" s="68"/>
      <c r="E1062" s="69"/>
      <c r="F1062" s="70"/>
      <c r="G1062" s="67"/>
      <c r="H1062" s="71"/>
      <c r="I1062" s="72"/>
      <c r="J1062" s="72"/>
      <c r="K1062" s="36"/>
      <c r="L1062" s="79"/>
      <c r="M1062" s="79"/>
      <c r="N1062" s="74"/>
      <c r="O1062" s="81" t="s">
        <v>1535</v>
      </c>
      <c r="P1062" s="83">
        <v>44464.176157407404</v>
      </c>
      <c r="Q1062" s="81" t="s">
        <v>1931</v>
      </c>
      <c r="R1062" s="81"/>
      <c r="S1062" s="81"/>
      <c r="T1062" s="81"/>
      <c r="U1062" s="84" t="str">
        <f>HYPERLINK("https://pbs.twimg.com/media/FAGm5ngUcAgO-Vi.jpg")</f>
        <v>https://pbs.twimg.com/media/FAGm5ngUcAgO-Vi.jpg</v>
      </c>
      <c r="V1062" s="84" t="str">
        <f>HYPERLINK("https://pbs.twimg.com/media/FAGm5ngUcAgO-Vi.jpg")</f>
        <v>https://pbs.twimg.com/media/FAGm5ngUcAgO-Vi.jpg</v>
      </c>
      <c r="W1062" s="83">
        <v>44464.176157407404</v>
      </c>
      <c r="X1062" s="89">
        <v>44464</v>
      </c>
      <c r="Y1062" s="86" t="s">
        <v>3522</v>
      </c>
      <c r="Z1062" s="84" t="str">
        <f>HYPERLINK("https://twitter.com/alyessamariani/status/1441616872147881989")</f>
        <v>https://twitter.com/alyessamariani/status/1441616872147881989</v>
      </c>
      <c r="AA1062" s="81"/>
      <c r="AB1062" s="81"/>
      <c r="AC1062" s="86" t="s">
        <v>4987</v>
      </c>
      <c r="AD1062" s="81"/>
      <c r="AE1062" s="81" t="b">
        <v>0</v>
      </c>
      <c r="AF1062" s="81">
        <v>0</v>
      </c>
      <c r="AG1062" s="86" t="s">
        <v>6240</v>
      </c>
      <c r="AH1062" s="81" t="b">
        <v>0</v>
      </c>
      <c r="AI1062" s="81" t="s">
        <v>6478</v>
      </c>
      <c r="AJ1062" s="81"/>
      <c r="AK1062" s="86" t="s">
        <v>6240</v>
      </c>
      <c r="AL1062" s="81" t="b">
        <v>0</v>
      </c>
      <c r="AM1062" s="81">
        <v>0</v>
      </c>
      <c r="AN1062" s="86" t="s">
        <v>6240</v>
      </c>
      <c r="AO1062" s="86" t="s">
        <v>6503</v>
      </c>
      <c r="AP1062" s="81" t="b">
        <v>0</v>
      </c>
      <c r="AQ1062" s="86" t="s">
        <v>4987</v>
      </c>
      <c r="AR1062" s="81" t="s">
        <v>179</v>
      </c>
      <c r="AS1062" s="81">
        <v>0</v>
      </c>
      <c r="AT1062" s="81">
        <v>0</v>
      </c>
      <c r="AU1062" s="81"/>
      <c r="AV1062" s="81"/>
      <c r="AW1062" s="81"/>
      <c r="AX1062" s="81"/>
      <c r="AY1062" s="81"/>
      <c r="AZ1062" s="81"/>
      <c r="BA1062" s="81"/>
      <c r="BB1062" s="81"/>
    </row>
    <row r="1063" spans="1:54" x14ac:dyDescent="0.35">
      <c r="A1063" s="66" t="s">
        <v>886</v>
      </c>
      <c r="B1063" s="66" t="s">
        <v>1430</v>
      </c>
      <c r="C1063" s="67"/>
      <c r="D1063" s="68"/>
      <c r="E1063" s="69"/>
      <c r="F1063" s="70"/>
      <c r="G1063" s="67"/>
      <c r="H1063" s="71"/>
      <c r="I1063" s="72"/>
      <c r="J1063" s="72"/>
      <c r="K1063" s="36"/>
      <c r="L1063" s="79"/>
      <c r="M1063" s="79"/>
      <c r="N1063" s="74"/>
      <c r="O1063" s="81" t="s">
        <v>1535</v>
      </c>
      <c r="P1063" s="83">
        <v>44464.176157407404</v>
      </c>
      <c r="Q1063" s="81" t="s">
        <v>1931</v>
      </c>
      <c r="R1063" s="81"/>
      <c r="S1063" s="81"/>
      <c r="T1063" s="81"/>
      <c r="U1063" s="84" t="str">
        <f>HYPERLINK("https://pbs.twimg.com/media/FAGm5ngUcAgO-Vi.jpg")</f>
        <v>https://pbs.twimg.com/media/FAGm5ngUcAgO-Vi.jpg</v>
      </c>
      <c r="V1063" s="84" t="str">
        <f>HYPERLINK("https://pbs.twimg.com/media/FAGm5ngUcAgO-Vi.jpg")</f>
        <v>https://pbs.twimg.com/media/FAGm5ngUcAgO-Vi.jpg</v>
      </c>
      <c r="W1063" s="83">
        <v>44464.176157407404</v>
      </c>
      <c r="X1063" s="89">
        <v>44464</v>
      </c>
      <c r="Y1063" s="86" t="s">
        <v>3522</v>
      </c>
      <c r="Z1063" s="84" t="str">
        <f>HYPERLINK("https://twitter.com/alyessamariani/status/1441616872147881989")</f>
        <v>https://twitter.com/alyessamariani/status/1441616872147881989</v>
      </c>
      <c r="AA1063" s="81"/>
      <c r="AB1063" s="81"/>
      <c r="AC1063" s="86" t="s">
        <v>4987</v>
      </c>
      <c r="AD1063" s="81"/>
      <c r="AE1063" s="81" t="b">
        <v>0</v>
      </c>
      <c r="AF1063" s="81">
        <v>0</v>
      </c>
      <c r="AG1063" s="86" t="s">
        <v>6240</v>
      </c>
      <c r="AH1063" s="81" t="b">
        <v>0</v>
      </c>
      <c r="AI1063" s="81" t="s">
        <v>6478</v>
      </c>
      <c r="AJ1063" s="81"/>
      <c r="AK1063" s="86" t="s">
        <v>6240</v>
      </c>
      <c r="AL1063" s="81" t="b">
        <v>0</v>
      </c>
      <c r="AM1063" s="81">
        <v>0</v>
      </c>
      <c r="AN1063" s="86" t="s">
        <v>6240</v>
      </c>
      <c r="AO1063" s="86" t="s">
        <v>6503</v>
      </c>
      <c r="AP1063" s="81" t="b">
        <v>0</v>
      </c>
      <c r="AQ1063" s="86" t="s">
        <v>4987</v>
      </c>
      <c r="AR1063" s="81" t="s">
        <v>179</v>
      </c>
      <c r="AS1063" s="81">
        <v>0</v>
      </c>
      <c r="AT1063" s="81">
        <v>0</v>
      </c>
      <c r="AU1063" s="81"/>
      <c r="AV1063" s="81"/>
      <c r="AW1063" s="81"/>
      <c r="AX1063" s="81"/>
      <c r="AY1063" s="81"/>
      <c r="AZ1063" s="81"/>
      <c r="BA1063" s="81"/>
      <c r="BB1063" s="81"/>
    </row>
    <row r="1064" spans="1:54" x14ac:dyDescent="0.35">
      <c r="A1064" s="66" t="s">
        <v>886</v>
      </c>
      <c r="B1064" s="66" t="s">
        <v>1431</v>
      </c>
      <c r="C1064" s="67"/>
      <c r="D1064" s="68"/>
      <c r="E1064" s="69"/>
      <c r="F1064" s="70"/>
      <c r="G1064" s="67"/>
      <c r="H1064" s="71"/>
      <c r="I1064" s="72"/>
      <c r="J1064" s="72"/>
      <c r="K1064" s="36"/>
      <c r="L1064" s="79"/>
      <c r="M1064" s="79"/>
      <c r="N1064" s="74"/>
      <c r="O1064" s="81" t="s">
        <v>1535</v>
      </c>
      <c r="P1064" s="83">
        <v>44464.176157407404</v>
      </c>
      <c r="Q1064" s="81" t="s">
        <v>1931</v>
      </c>
      <c r="R1064" s="81"/>
      <c r="S1064" s="81"/>
      <c r="T1064" s="81"/>
      <c r="U1064" s="84" t="str">
        <f>HYPERLINK("https://pbs.twimg.com/media/FAGm5ngUcAgO-Vi.jpg")</f>
        <v>https://pbs.twimg.com/media/FAGm5ngUcAgO-Vi.jpg</v>
      </c>
      <c r="V1064" s="84" t="str">
        <f>HYPERLINK("https://pbs.twimg.com/media/FAGm5ngUcAgO-Vi.jpg")</f>
        <v>https://pbs.twimg.com/media/FAGm5ngUcAgO-Vi.jpg</v>
      </c>
      <c r="W1064" s="83">
        <v>44464.176157407404</v>
      </c>
      <c r="X1064" s="89">
        <v>44464</v>
      </c>
      <c r="Y1064" s="86" t="s">
        <v>3522</v>
      </c>
      <c r="Z1064" s="84" t="str">
        <f>HYPERLINK("https://twitter.com/alyessamariani/status/1441616872147881989")</f>
        <v>https://twitter.com/alyessamariani/status/1441616872147881989</v>
      </c>
      <c r="AA1064" s="81"/>
      <c r="AB1064" s="81"/>
      <c r="AC1064" s="86" t="s">
        <v>4987</v>
      </c>
      <c r="AD1064" s="81"/>
      <c r="AE1064" s="81" t="b">
        <v>0</v>
      </c>
      <c r="AF1064" s="81">
        <v>0</v>
      </c>
      <c r="AG1064" s="86" t="s">
        <v>6240</v>
      </c>
      <c r="AH1064" s="81" t="b">
        <v>0</v>
      </c>
      <c r="AI1064" s="81" t="s">
        <v>6478</v>
      </c>
      <c r="AJ1064" s="81"/>
      <c r="AK1064" s="86" t="s">
        <v>6240</v>
      </c>
      <c r="AL1064" s="81" t="b">
        <v>0</v>
      </c>
      <c r="AM1064" s="81">
        <v>0</v>
      </c>
      <c r="AN1064" s="86" t="s">
        <v>6240</v>
      </c>
      <c r="AO1064" s="86" t="s">
        <v>6503</v>
      </c>
      <c r="AP1064" s="81" t="b">
        <v>0</v>
      </c>
      <c r="AQ1064" s="86" t="s">
        <v>4987</v>
      </c>
      <c r="AR1064" s="81" t="s">
        <v>179</v>
      </c>
      <c r="AS1064" s="81">
        <v>0</v>
      </c>
      <c r="AT1064" s="81">
        <v>0</v>
      </c>
      <c r="AU1064" s="81"/>
      <c r="AV1064" s="81"/>
      <c r="AW1064" s="81"/>
      <c r="AX1064" s="81"/>
      <c r="AY1064" s="81"/>
      <c r="AZ1064" s="81"/>
      <c r="BA1064" s="81"/>
      <c r="BB1064" s="81"/>
    </row>
    <row r="1065" spans="1:54" x14ac:dyDescent="0.35">
      <c r="A1065" s="66" t="s">
        <v>886</v>
      </c>
      <c r="B1065" s="66" t="s">
        <v>1432</v>
      </c>
      <c r="C1065" s="67"/>
      <c r="D1065" s="68"/>
      <c r="E1065" s="69"/>
      <c r="F1065" s="70"/>
      <c r="G1065" s="67"/>
      <c r="H1065" s="71"/>
      <c r="I1065" s="72"/>
      <c r="J1065" s="72"/>
      <c r="K1065" s="36"/>
      <c r="L1065" s="79"/>
      <c r="M1065" s="79"/>
      <c r="N1065" s="74"/>
      <c r="O1065" s="81" t="s">
        <v>1535</v>
      </c>
      <c r="P1065" s="83">
        <v>44464.176157407404</v>
      </c>
      <c r="Q1065" s="81" t="s">
        <v>1931</v>
      </c>
      <c r="R1065" s="81"/>
      <c r="S1065" s="81"/>
      <c r="T1065" s="81"/>
      <c r="U1065" s="84" t="str">
        <f>HYPERLINK("https://pbs.twimg.com/media/FAGm5ngUcAgO-Vi.jpg")</f>
        <v>https://pbs.twimg.com/media/FAGm5ngUcAgO-Vi.jpg</v>
      </c>
      <c r="V1065" s="84" t="str">
        <f>HYPERLINK("https://pbs.twimg.com/media/FAGm5ngUcAgO-Vi.jpg")</f>
        <v>https://pbs.twimg.com/media/FAGm5ngUcAgO-Vi.jpg</v>
      </c>
      <c r="W1065" s="83">
        <v>44464.176157407404</v>
      </c>
      <c r="X1065" s="89">
        <v>44464</v>
      </c>
      <c r="Y1065" s="86" t="s">
        <v>3522</v>
      </c>
      <c r="Z1065" s="84" t="str">
        <f>HYPERLINK("https://twitter.com/alyessamariani/status/1441616872147881989")</f>
        <v>https://twitter.com/alyessamariani/status/1441616872147881989</v>
      </c>
      <c r="AA1065" s="81"/>
      <c r="AB1065" s="81"/>
      <c r="AC1065" s="86" t="s">
        <v>4987</v>
      </c>
      <c r="AD1065" s="81"/>
      <c r="AE1065" s="81" t="b">
        <v>0</v>
      </c>
      <c r="AF1065" s="81">
        <v>0</v>
      </c>
      <c r="AG1065" s="86" t="s">
        <v>6240</v>
      </c>
      <c r="AH1065" s="81" t="b">
        <v>0</v>
      </c>
      <c r="AI1065" s="81" t="s">
        <v>6478</v>
      </c>
      <c r="AJ1065" s="81"/>
      <c r="AK1065" s="86" t="s">
        <v>6240</v>
      </c>
      <c r="AL1065" s="81" t="b">
        <v>0</v>
      </c>
      <c r="AM1065" s="81">
        <v>0</v>
      </c>
      <c r="AN1065" s="86" t="s">
        <v>6240</v>
      </c>
      <c r="AO1065" s="86" t="s">
        <v>6503</v>
      </c>
      <c r="AP1065" s="81" t="b">
        <v>0</v>
      </c>
      <c r="AQ1065" s="86" t="s">
        <v>4987</v>
      </c>
      <c r="AR1065" s="81" t="s">
        <v>179</v>
      </c>
      <c r="AS1065" s="81">
        <v>0</v>
      </c>
      <c r="AT1065" s="81">
        <v>0</v>
      </c>
      <c r="AU1065" s="81"/>
      <c r="AV1065" s="81"/>
      <c r="AW1065" s="81"/>
      <c r="AX1065" s="81"/>
      <c r="AY1065" s="81"/>
      <c r="AZ1065" s="81"/>
      <c r="BA1065" s="81"/>
      <c r="BB1065" s="81"/>
    </row>
    <row r="1066" spans="1:54" x14ac:dyDescent="0.35">
      <c r="A1066" s="66" t="s">
        <v>887</v>
      </c>
      <c r="B1066" s="66" t="s">
        <v>1410</v>
      </c>
      <c r="C1066" s="67"/>
      <c r="D1066" s="68"/>
      <c r="E1066" s="69"/>
      <c r="F1066" s="70"/>
      <c r="G1066" s="67"/>
      <c r="H1066" s="71"/>
      <c r="I1066" s="72"/>
      <c r="J1066" s="72"/>
      <c r="K1066" s="36"/>
      <c r="L1066" s="79"/>
      <c r="M1066" s="79"/>
      <c r="N1066" s="74"/>
      <c r="O1066" s="81" t="s">
        <v>1533</v>
      </c>
      <c r="P1066" s="83">
        <v>44464.189814814818</v>
      </c>
      <c r="Q1066" s="81" t="s">
        <v>1910</v>
      </c>
      <c r="R1066" s="81"/>
      <c r="S1066" s="81"/>
      <c r="T1066" s="86" t="s">
        <v>1413</v>
      </c>
      <c r="U1066" s="84" t="str">
        <f>HYPERLINK("https://pbs.twimg.com/media/FAEaAdPVgAgaH2z.jpg")</f>
        <v>https://pbs.twimg.com/media/FAEaAdPVgAgaH2z.jpg</v>
      </c>
      <c r="V1066" s="84" t="str">
        <f>HYPERLINK("https://pbs.twimg.com/media/FAEaAdPVgAgaH2z.jpg")</f>
        <v>https://pbs.twimg.com/media/FAEaAdPVgAgaH2z.jpg</v>
      </c>
      <c r="W1066" s="83">
        <v>44464.189814814818</v>
      </c>
      <c r="X1066" s="89">
        <v>44464</v>
      </c>
      <c r="Y1066" s="86" t="s">
        <v>3523</v>
      </c>
      <c r="Z1066" s="84" t="str">
        <f>HYPERLINK("https://twitter.com/wintervecember_/status/1441621820512243714")</f>
        <v>https://twitter.com/wintervecember_/status/1441621820512243714</v>
      </c>
      <c r="AA1066" s="81"/>
      <c r="AB1066" s="81"/>
      <c r="AC1066" s="86" t="s">
        <v>4988</v>
      </c>
      <c r="AD1066" s="81"/>
      <c r="AE1066" s="81" t="b">
        <v>0</v>
      </c>
      <c r="AF1066" s="81">
        <v>0</v>
      </c>
      <c r="AG1066" s="86" t="s">
        <v>6240</v>
      </c>
      <c r="AH1066" s="81" t="b">
        <v>0</v>
      </c>
      <c r="AI1066" s="81" t="s">
        <v>6479</v>
      </c>
      <c r="AJ1066" s="81"/>
      <c r="AK1066" s="86" t="s">
        <v>6240</v>
      </c>
      <c r="AL1066" s="81" t="b">
        <v>0</v>
      </c>
      <c r="AM1066" s="81">
        <v>21</v>
      </c>
      <c r="AN1066" s="86" t="s">
        <v>5109</v>
      </c>
      <c r="AO1066" s="86" t="s">
        <v>6505</v>
      </c>
      <c r="AP1066" s="81" t="b">
        <v>0</v>
      </c>
      <c r="AQ1066" s="86" t="s">
        <v>5109</v>
      </c>
      <c r="AR1066" s="81" t="s">
        <v>179</v>
      </c>
      <c r="AS1066" s="81">
        <v>0</v>
      </c>
      <c r="AT1066" s="81">
        <v>0</v>
      </c>
      <c r="AU1066" s="81"/>
      <c r="AV1066" s="81"/>
      <c r="AW1066" s="81"/>
      <c r="AX1066" s="81"/>
      <c r="AY1066" s="81"/>
      <c r="AZ1066" s="81"/>
      <c r="BA1066" s="81"/>
      <c r="BB1066" s="81"/>
    </row>
    <row r="1067" spans="1:54" x14ac:dyDescent="0.35">
      <c r="A1067" s="66" t="s">
        <v>887</v>
      </c>
      <c r="B1067" s="66" t="s">
        <v>1411</v>
      </c>
      <c r="C1067" s="67"/>
      <c r="D1067" s="68"/>
      <c r="E1067" s="69"/>
      <c r="F1067" s="70"/>
      <c r="G1067" s="67"/>
      <c r="H1067" s="71"/>
      <c r="I1067" s="72"/>
      <c r="J1067" s="72"/>
      <c r="K1067" s="36"/>
      <c r="L1067" s="79"/>
      <c r="M1067" s="79"/>
      <c r="N1067" s="74"/>
      <c r="O1067" s="81" t="s">
        <v>1533</v>
      </c>
      <c r="P1067" s="83">
        <v>44464.189814814818</v>
      </c>
      <c r="Q1067" s="81" t="s">
        <v>1910</v>
      </c>
      <c r="R1067" s="81"/>
      <c r="S1067" s="81"/>
      <c r="T1067" s="86" t="s">
        <v>1413</v>
      </c>
      <c r="U1067" s="84" t="str">
        <f>HYPERLINK("https://pbs.twimg.com/media/FAEaAdPVgAgaH2z.jpg")</f>
        <v>https://pbs.twimg.com/media/FAEaAdPVgAgaH2z.jpg</v>
      </c>
      <c r="V1067" s="84" t="str">
        <f>HYPERLINK("https://pbs.twimg.com/media/FAEaAdPVgAgaH2z.jpg")</f>
        <v>https://pbs.twimg.com/media/FAEaAdPVgAgaH2z.jpg</v>
      </c>
      <c r="W1067" s="83">
        <v>44464.189814814818</v>
      </c>
      <c r="X1067" s="89">
        <v>44464</v>
      </c>
      <c r="Y1067" s="86" t="s">
        <v>3523</v>
      </c>
      <c r="Z1067" s="84" t="str">
        <f>HYPERLINK("https://twitter.com/wintervecember_/status/1441621820512243714")</f>
        <v>https://twitter.com/wintervecember_/status/1441621820512243714</v>
      </c>
      <c r="AA1067" s="81"/>
      <c r="AB1067" s="81"/>
      <c r="AC1067" s="86" t="s">
        <v>4988</v>
      </c>
      <c r="AD1067" s="81"/>
      <c r="AE1067" s="81" t="b">
        <v>0</v>
      </c>
      <c r="AF1067" s="81">
        <v>0</v>
      </c>
      <c r="AG1067" s="86" t="s">
        <v>6240</v>
      </c>
      <c r="AH1067" s="81" t="b">
        <v>0</v>
      </c>
      <c r="AI1067" s="81" t="s">
        <v>6479</v>
      </c>
      <c r="AJ1067" s="81"/>
      <c r="AK1067" s="86" t="s">
        <v>6240</v>
      </c>
      <c r="AL1067" s="81" t="b">
        <v>0</v>
      </c>
      <c r="AM1067" s="81">
        <v>21</v>
      </c>
      <c r="AN1067" s="86" t="s">
        <v>5109</v>
      </c>
      <c r="AO1067" s="86" t="s">
        <v>6505</v>
      </c>
      <c r="AP1067" s="81" t="b">
        <v>0</v>
      </c>
      <c r="AQ1067" s="86" t="s">
        <v>5109</v>
      </c>
      <c r="AR1067" s="81" t="s">
        <v>179</v>
      </c>
      <c r="AS1067" s="81">
        <v>0</v>
      </c>
      <c r="AT1067" s="81">
        <v>0</v>
      </c>
      <c r="AU1067" s="81"/>
      <c r="AV1067" s="81"/>
      <c r="AW1067" s="81"/>
      <c r="AX1067" s="81"/>
      <c r="AY1067" s="81"/>
      <c r="AZ1067" s="81"/>
      <c r="BA1067" s="81"/>
      <c r="BB1067" s="81"/>
    </row>
    <row r="1068" spans="1:54" x14ac:dyDescent="0.35">
      <c r="A1068" s="66" t="s">
        <v>887</v>
      </c>
      <c r="B1068" s="66" t="s">
        <v>1412</v>
      </c>
      <c r="C1068" s="67"/>
      <c r="D1068" s="68"/>
      <c r="E1068" s="69"/>
      <c r="F1068" s="70"/>
      <c r="G1068" s="67"/>
      <c r="H1068" s="71"/>
      <c r="I1068" s="72"/>
      <c r="J1068" s="72"/>
      <c r="K1068" s="36"/>
      <c r="L1068" s="79"/>
      <c r="M1068" s="79"/>
      <c r="N1068" s="74"/>
      <c r="O1068" s="81" t="s">
        <v>1533</v>
      </c>
      <c r="P1068" s="83">
        <v>44464.189814814818</v>
      </c>
      <c r="Q1068" s="81" t="s">
        <v>1910</v>
      </c>
      <c r="R1068" s="81"/>
      <c r="S1068" s="81"/>
      <c r="T1068" s="86" t="s">
        <v>1413</v>
      </c>
      <c r="U1068" s="84" t="str">
        <f>HYPERLINK("https://pbs.twimg.com/media/FAEaAdPVgAgaH2z.jpg")</f>
        <v>https://pbs.twimg.com/media/FAEaAdPVgAgaH2z.jpg</v>
      </c>
      <c r="V1068" s="84" t="str">
        <f>HYPERLINK("https://pbs.twimg.com/media/FAEaAdPVgAgaH2z.jpg")</f>
        <v>https://pbs.twimg.com/media/FAEaAdPVgAgaH2z.jpg</v>
      </c>
      <c r="W1068" s="83">
        <v>44464.189814814818</v>
      </c>
      <c r="X1068" s="89">
        <v>44464</v>
      </c>
      <c r="Y1068" s="86" t="s">
        <v>3523</v>
      </c>
      <c r="Z1068" s="84" t="str">
        <f>HYPERLINK("https://twitter.com/wintervecember_/status/1441621820512243714")</f>
        <v>https://twitter.com/wintervecember_/status/1441621820512243714</v>
      </c>
      <c r="AA1068" s="81"/>
      <c r="AB1068" s="81"/>
      <c r="AC1068" s="86" t="s">
        <v>4988</v>
      </c>
      <c r="AD1068" s="81"/>
      <c r="AE1068" s="81" t="b">
        <v>0</v>
      </c>
      <c r="AF1068" s="81">
        <v>0</v>
      </c>
      <c r="AG1068" s="86" t="s">
        <v>6240</v>
      </c>
      <c r="AH1068" s="81" t="b">
        <v>0</v>
      </c>
      <c r="AI1068" s="81" t="s">
        <v>6479</v>
      </c>
      <c r="AJ1068" s="81"/>
      <c r="AK1068" s="86" t="s">
        <v>6240</v>
      </c>
      <c r="AL1068" s="81" t="b">
        <v>0</v>
      </c>
      <c r="AM1068" s="81">
        <v>21</v>
      </c>
      <c r="AN1068" s="86" t="s">
        <v>5109</v>
      </c>
      <c r="AO1068" s="86" t="s">
        <v>6505</v>
      </c>
      <c r="AP1068" s="81" t="b">
        <v>0</v>
      </c>
      <c r="AQ1068" s="86" t="s">
        <v>5109</v>
      </c>
      <c r="AR1068" s="81" t="s">
        <v>179</v>
      </c>
      <c r="AS1068" s="81">
        <v>0</v>
      </c>
      <c r="AT1068" s="81">
        <v>0</v>
      </c>
      <c r="AU1068" s="81"/>
      <c r="AV1068" s="81"/>
      <c r="AW1068" s="81"/>
      <c r="AX1068" s="81"/>
      <c r="AY1068" s="81"/>
      <c r="AZ1068" s="81"/>
      <c r="BA1068" s="81"/>
      <c r="BB1068" s="81"/>
    </row>
    <row r="1069" spans="1:54" x14ac:dyDescent="0.35">
      <c r="A1069" s="66" t="s">
        <v>887</v>
      </c>
      <c r="B1069" s="66" t="s">
        <v>1413</v>
      </c>
      <c r="C1069" s="67"/>
      <c r="D1069" s="68"/>
      <c r="E1069" s="69"/>
      <c r="F1069" s="70"/>
      <c r="G1069" s="67"/>
      <c r="H1069" s="71"/>
      <c r="I1069" s="72"/>
      <c r="J1069" s="72"/>
      <c r="K1069" s="36"/>
      <c r="L1069" s="79"/>
      <c r="M1069" s="79"/>
      <c r="N1069" s="74"/>
      <c r="O1069" s="81" t="s">
        <v>1533</v>
      </c>
      <c r="P1069" s="83">
        <v>44464.189814814818</v>
      </c>
      <c r="Q1069" s="81" t="s">
        <v>1910</v>
      </c>
      <c r="R1069" s="81"/>
      <c r="S1069" s="81"/>
      <c r="T1069" s="86" t="s">
        <v>1413</v>
      </c>
      <c r="U1069" s="84" t="str">
        <f>HYPERLINK("https://pbs.twimg.com/media/FAEaAdPVgAgaH2z.jpg")</f>
        <v>https://pbs.twimg.com/media/FAEaAdPVgAgaH2z.jpg</v>
      </c>
      <c r="V1069" s="84" t="str">
        <f>HYPERLINK("https://pbs.twimg.com/media/FAEaAdPVgAgaH2z.jpg")</f>
        <v>https://pbs.twimg.com/media/FAEaAdPVgAgaH2z.jpg</v>
      </c>
      <c r="W1069" s="83">
        <v>44464.189814814818</v>
      </c>
      <c r="X1069" s="89">
        <v>44464</v>
      </c>
      <c r="Y1069" s="86" t="s">
        <v>3523</v>
      </c>
      <c r="Z1069" s="84" t="str">
        <f>HYPERLINK("https://twitter.com/wintervecember_/status/1441621820512243714")</f>
        <v>https://twitter.com/wintervecember_/status/1441621820512243714</v>
      </c>
      <c r="AA1069" s="81"/>
      <c r="AB1069" s="81"/>
      <c r="AC1069" s="86" t="s">
        <v>4988</v>
      </c>
      <c r="AD1069" s="81"/>
      <c r="AE1069" s="81" t="b">
        <v>0</v>
      </c>
      <c r="AF1069" s="81">
        <v>0</v>
      </c>
      <c r="AG1069" s="86" t="s">
        <v>6240</v>
      </c>
      <c r="AH1069" s="81" t="b">
        <v>0</v>
      </c>
      <c r="AI1069" s="81" t="s">
        <v>6479</v>
      </c>
      <c r="AJ1069" s="81"/>
      <c r="AK1069" s="86" t="s">
        <v>6240</v>
      </c>
      <c r="AL1069" s="81" t="b">
        <v>0</v>
      </c>
      <c r="AM1069" s="81">
        <v>21</v>
      </c>
      <c r="AN1069" s="86" t="s">
        <v>5109</v>
      </c>
      <c r="AO1069" s="86" t="s">
        <v>6505</v>
      </c>
      <c r="AP1069" s="81" t="b">
        <v>0</v>
      </c>
      <c r="AQ1069" s="86" t="s">
        <v>5109</v>
      </c>
      <c r="AR1069" s="81" t="s">
        <v>179</v>
      </c>
      <c r="AS1069" s="81">
        <v>0</v>
      </c>
      <c r="AT1069" s="81">
        <v>0</v>
      </c>
      <c r="AU1069" s="81"/>
      <c r="AV1069" s="81"/>
      <c r="AW1069" s="81"/>
      <c r="AX1069" s="81"/>
      <c r="AY1069" s="81"/>
      <c r="AZ1069" s="81"/>
      <c r="BA1069" s="81"/>
      <c r="BB1069" s="81"/>
    </row>
    <row r="1070" spans="1:54" x14ac:dyDescent="0.35">
      <c r="A1070" s="66" t="s">
        <v>887</v>
      </c>
      <c r="B1070" s="66" t="s">
        <v>990</v>
      </c>
      <c r="C1070" s="67"/>
      <c r="D1070" s="68"/>
      <c r="E1070" s="69"/>
      <c r="F1070" s="70"/>
      <c r="G1070" s="67"/>
      <c r="H1070" s="71"/>
      <c r="I1070" s="72"/>
      <c r="J1070" s="72"/>
      <c r="K1070" s="36"/>
      <c r="L1070" s="79"/>
      <c r="M1070" s="79"/>
      <c r="N1070" s="74"/>
      <c r="O1070" s="81" t="s">
        <v>1532</v>
      </c>
      <c r="P1070" s="83">
        <v>44464.189814814818</v>
      </c>
      <c r="Q1070" s="81" t="s">
        <v>1910</v>
      </c>
      <c r="R1070" s="81"/>
      <c r="S1070" s="81"/>
      <c r="T1070" s="86" t="s">
        <v>1413</v>
      </c>
      <c r="U1070" s="84" t="str">
        <f>HYPERLINK("https://pbs.twimg.com/media/FAEaAdPVgAgaH2z.jpg")</f>
        <v>https://pbs.twimg.com/media/FAEaAdPVgAgaH2z.jpg</v>
      </c>
      <c r="V1070" s="84" t="str">
        <f>HYPERLINK("https://pbs.twimg.com/media/FAEaAdPVgAgaH2z.jpg")</f>
        <v>https://pbs.twimg.com/media/FAEaAdPVgAgaH2z.jpg</v>
      </c>
      <c r="W1070" s="83">
        <v>44464.189814814818</v>
      </c>
      <c r="X1070" s="89">
        <v>44464</v>
      </c>
      <c r="Y1070" s="86" t="s">
        <v>3523</v>
      </c>
      <c r="Z1070" s="84" t="str">
        <f>HYPERLINK("https://twitter.com/wintervecember_/status/1441621820512243714")</f>
        <v>https://twitter.com/wintervecember_/status/1441621820512243714</v>
      </c>
      <c r="AA1070" s="81"/>
      <c r="AB1070" s="81"/>
      <c r="AC1070" s="86" t="s">
        <v>4988</v>
      </c>
      <c r="AD1070" s="81"/>
      <c r="AE1070" s="81" t="b">
        <v>0</v>
      </c>
      <c r="AF1070" s="81">
        <v>0</v>
      </c>
      <c r="AG1070" s="86" t="s">
        <v>6240</v>
      </c>
      <c r="AH1070" s="81" t="b">
        <v>0</v>
      </c>
      <c r="AI1070" s="81" t="s">
        <v>6479</v>
      </c>
      <c r="AJ1070" s="81"/>
      <c r="AK1070" s="86" t="s">
        <v>6240</v>
      </c>
      <c r="AL1070" s="81" t="b">
        <v>0</v>
      </c>
      <c r="AM1070" s="81">
        <v>21</v>
      </c>
      <c r="AN1070" s="86" t="s">
        <v>5109</v>
      </c>
      <c r="AO1070" s="86" t="s">
        <v>6505</v>
      </c>
      <c r="AP1070" s="81" t="b">
        <v>0</v>
      </c>
      <c r="AQ1070" s="86" t="s">
        <v>5109</v>
      </c>
      <c r="AR1070" s="81" t="s">
        <v>179</v>
      </c>
      <c r="AS1070" s="81">
        <v>0</v>
      </c>
      <c r="AT1070" s="81">
        <v>0</v>
      </c>
      <c r="AU1070" s="81"/>
      <c r="AV1070" s="81"/>
      <c r="AW1070" s="81"/>
      <c r="AX1070" s="81"/>
      <c r="AY1070" s="81"/>
      <c r="AZ1070" s="81"/>
      <c r="BA1070" s="81"/>
      <c r="BB1070" s="81"/>
    </row>
    <row r="1071" spans="1:54" x14ac:dyDescent="0.35">
      <c r="A1071" s="66" t="s">
        <v>888</v>
      </c>
      <c r="B1071" s="66" t="s">
        <v>1410</v>
      </c>
      <c r="C1071" s="67"/>
      <c r="D1071" s="68"/>
      <c r="E1071" s="69"/>
      <c r="F1071" s="70"/>
      <c r="G1071" s="67"/>
      <c r="H1071" s="71"/>
      <c r="I1071" s="72"/>
      <c r="J1071" s="72"/>
      <c r="K1071" s="36"/>
      <c r="L1071" s="79"/>
      <c r="M1071" s="79"/>
      <c r="N1071" s="74"/>
      <c r="O1071" s="81" t="s">
        <v>1533</v>
      </c>
      <c r="P1071" s="83">
        <v>44464.198321759257</v>
      </c>
      <c r="Q1071" s="81" t="s">
        <v>1910</v>
      </c>
      <c r="R1071" s="81"/>
      <c r="S1071" s="81"/>
      <c r="T1071" s="86" t="s">
        <v>1413</v>
      </c>
      <c r="U1071" s="84" t="str">
        <f>HYPERLINK("https://pbs.twimg.com/media/FAEaAdPVgAgaH2z.jpg")</f>
        <v>https://pbs.twimg.com/media/FAEaAdPVgAgaH2z.jpg</v>
      </c>
      <c r="V1071" s="84" t="str">
        <f>HYPERLINK("https://pbs.twimg.com/media/FAEaAdPVgAgaH2z.jpg")</f>
        <v>https://pbs.twimg.com/media/FAEaAdPVgAgaH2z.jpg</v>
      </c>
      <c r="W1071" s="83">
        <v>44464.198321759257</v>
      </c>
      <c r="X1071" s="89">
        <v>44464</v>
      </c>
      <c r="Y1071" s="86" t="s">
        <v>3524</v>
      </c>
      <c r="Z1071" s="84" t="str">
        <f>HYPERLINK("https://twitter.com/flowtaekoo/status/1441624902079971336")</f>
        <v>https://twitter.com/flowtaekoo/status/1441624902079971336</v>
      </c>
      <c r="AA1071" s="81"/>
      <c r="AB1071" s="81"/>
      <c r="AC1071" s="86" t="s">
        <v>4989</v>
      </c>
      <c r="AD1071" s="81"/>
      <c r="AE1071" s="81" t="b">
        <v>0</v>
      </c>
      <c r="AF1071" s="81">
        <v>0</v>
      </c>
      <c r="AG1071" s="86" t="s">
        <v>6240</v>
      </c>
      <c r="AH1071" s="81" t="b">
        <v>0</v>
      </c>
      <c r="AI1071" s="81" t="s">
        <v>6479</v>
      </c>
      <c r="AJ1071" s="81"/>
      <c r="AK1071" s="86" t="s">
        <v>6240</v>
      </c>
      <c r="AL1071" s="81" t="b">
        <v>0</v>
      </c>
      <c r="AM1071" s="81">
        <v>21</v>
      </c>
      <c r="AN1071" s="86" t="s">
        <v>5109</v>
      </c>
      <c r="AO1071" s="86" t="s">
        <v>6503</v>
      </c>
      <c r="AP1071" s="81" t="b">
        <v>0</v>
      </c>
      <c r="AQ1071" s="86" t="s">
        <v>5109</v>
      </c>
      <c r="AR1071" s="81" t="s">
        <v>179</v>
      </c>
      <c r="AS1071" s="81">
        <v>0</v>
      </c>
      <c r="AT1071" s="81">
        <v>0</v>
      </c>
      <c r="AU1071" s="81"/>
      <c r="AV1071" s="81"/>
      <c r="AW1071" s="81"/>
      <c r="AX1071" s="81"/>
      <c r="AY1071" s="81"/>
      <c r="AZ1071" s="81"/>
      <c r="BA1071" s="81"/>
      <c r="BB1071" s="81"/>
    </row>
    <row r="1072" spans="1:54" x14ac:dyDescent="0.35">
      <c r="A1072" s="66" t="s">
        <v>888</v>
      </c>
      <c r="B1072" s="66" t="s">
        <v>1411</v>
      </c>
      <c r="C1072" s="67"/>
      <c r="D1072" s="68"/>
      <c r="E1072" s="69"/>
      <c r="F1072" s="70"/>
      <c r="G1072" s="67"/>
      <c r="H1072" s="71"/>
      <c r="I1072" s="72"/>
      <c r="J1072" s="72"/>
      <c r="K1072" s="36"/>
      <c r="L1072" s="79"/>
      <c r="M1072" s="79"/>
      <c r="N1072" s="74"/>
      <c r="O1072" s="81" t="s">
        <v>1533</v>
      </c>
      <c r="P1072" s="83">
        <v>44464.198321759257</v>
      </c>
      <c r="Q1072" s="81" t="s">
        <v>1910</v>
      </c>
      <c r="R1072" s="81"/>
      <c r="S1072" s="81"/>
      <c r="T1072" s="86" t="s">
        <v>1413</v>
      </c>
      <c r="U1072" s="84" t="str">
        <f>HYPERLINK("https://pbs.twimg.com/media/FAEaAdPVgAgaH2z.jpg")</f>
        <v>https://pbs.twimg.com/media/FAEaAdPVgAgaH2z.jpg</v>
      </c>
      <c r="V1072" s="84" t="str">
        <f>HYPERLINK("https://pbs.twimg.com/media/FAEaAdPVgAgaH2z.jpg")</f>
        <v>https://pbs.twimg.com/media/FAEaAdPVgAgaH2z.jpg</v>
      </c>
      <c r="W1072" s="83">
        <v>44464.198321759257</v>
      </c>
      <c r="X1072" s="89">
        <v>44464</v>
      </c>
      <c r="Y1072" s="86" t="s">
        <v>3524</v>
      </c>
      <c r="Z1072" s="84" t="str">
        <f>HYPERLINK("https://twitter.com/flowtaekoo/status/1441624902079971336")</f>
        <v>https://twitter.com/flowtaekoo/status/1441624902079971336</v>
      </c>
      <c r="AA1072" s="81"/>
      <c r="AB1072" s="81"/>
      <c r="AC1072" s="86" t="s">
        <v>4989</v>
      </c>
      <c r="AD1072" s="81"/>
      <c r="AE1072" s="81" t="b">
        <v>0</v>
      </c>
      <c r="AF1072" s="81">
        <v>0</v>
      </c>
      <c r="AG1072" s="86" t="s">
        <v>6240</v>
      </c>
      <c r="AH1072" s="81" t="b">
        <v>0</v>
      </c>
      <c r="AI1072" s="81" t="s">
        <v>6479</v>
      </c>
      <c r="AJ1072" s="81"/>
      <c r="AK1072" s="86" t="s">
        <v>6240</v>
      </c>
      <c r="AL1072" s="81" t="b">
        <v>0</v>
      </c>
      <c r="AM1072" s="81">
        <v>21</v>
      </c>
      <c r="AN1072" s="86" t="s">
        <v>5109</v>
      </c>
      <c r="AO1072" s="86" t="s">
        <v>6503</v>
      </c>
      <c r="AP1072" s="81" t="b">
        <v>0</v>
      </c>
      <c r="AQ1072" s="86" t="s">
        <v>5109</v>
      </c>
      <c r="AR1072" s="81" t="s">
        <v>179</v>
      </c>
      <c r="AS1072" s="81">
        <v>0</v>
      </c>
      <c r="AT1072" s="81">
        <v>0</v>
      </c>
      <c r="AU1072" s="81"/>
      <c r="AV1072" s="81"/>
      <c r="AW1072" s="81"/>
      <c r="AX1072" s="81"/>
      <c r="AY1072" s="81"/>
      <c r="AZ1072" s="81"/>
      <c r="BA1072" s="81"/>
      <c r="BB1072" s="81"/>
    </row>
    <row r="1073" spans="1:54" x14ac:dyDescent="0.35">
      <c r="A1073" s="66" t="s">
        <v>888</v>
      </c>
      <c r="B1073" s="66" t="s">
        <v>1412</v>
      </c>
      <c r="C1073" s="67"/>
      <c r="D1073" s="68"/>
      <c r="E1073" s="69"/>
      <c r="F1073" s="70"/>
      <c r="G1073" s="67"/>
      <c r="H1073" s="71"/>
      <c r="I1073" s="72"/>
      <c r="J1073" s="72"/>
      <c r="K1073" s="36"/>
      <c r="L1073" s="79"/>
      <c r="M1073" s="79"/>
      <c r="N1073" s="74"/>
      <c r="O1073" s="81" t="s">
        <v>1533</v>
      </c>
      <c r="P1073" s="83">
        <v>44464.198321759257</v>
      </c>
      <c r="Q1073" s="81" t="s">
        <v>1910</v>
      </c>
      <c r="R1073" s="81"/>
      <c r="S1073" s="81"/>
      <c r="T1073" s="86" t="s">
        <v>1413</v>
      </c>
      <c r="U1073" s="84" t="str">
        <f>HYPERLINK("https://pbs.twimg.com/media/FAEaAdPVgAgaH2z.jpg")</f>
        <v>https://pbs.twimg.com/media/FAEaAdPVgAgaH2z.jpg</v>
      </c>
      <c r="V1073" s="84" t="str">
        <f>HYPERLINK("https://pbs.twimg.com/media/FAEaAdPVgAgaH2z.jpg")</f>
        <v>https://pbs.twimg.com/media/FAEaAdPVgAgaH2z.jpg</v>
      </c>
      <c r="W1073" s="83">
        <v>44464.198321759257</v>
      </c>
      <c r="X1073" s="89">
        <v>44464</v>
      </c>
      <c r="Y1073" s="86" t="s">
        <v>3524</v>
      </c>
      <c r="Z1073" s="84" t="str">
        <f>HYPERLINK("https://twitter.com/flowtaekoo/status/1441624902079971336")</f>
        <v>https://twitter.com/flowtaekoo/status/1441624902079971336</v>
      </c>
      <c r="AA1073" s="81"/>
      <c r="AB1073" s="81"/>
      <c r="AC1073" s="86" t="s">
        <v>4989</v>
      </c>
      <c r="AD1073" s="81"/>
      <c r="AE1073" s="81" t="b">
        <v>0</v>
      </c>
      <c r="AF1073" s="81">
        <v>0</v>
      </c>
      <c r="AG1073" s="86" t="s">
        <v>6240</v>
      </c>
      <c r="AH1073" s="81" t="b">
        <v>0</v>
      </c>
      <c r="AI1073" s="81" t="s">
        <v>6479</v>
      </c>
      <c r="AJ1073" s="81"/>
      <c r="AK1073" s="86" t="s">
        <v>6240</v>
      </c>
      <c r="AL1073" s="81" t="b">
        <v>0</v>
      </c>
      <c r="AM1073" s="81">
        <v>21</v>
      </c>
      <c r="AN1073" s="86" t="s">
        <v>5109</v>
      </c>
      <c r="AO1073" s="86" t="s">
        <v>6503</v>
      </c>
      <c r="AP1073" s="81" t="b">
        <v>0</v>
      </c>
      <c r="AQ1073" s="86" t="s">
        <v>5109</v>
      </c>
      <c r="AR1073" s="81" t="s">
        <v>179</v>
      </c>
      <c r="AS1073" s="81">
        <v>0</v>
      </c>
      <c r="AT1073" s="81">
        <v>0</v>
      </c>
      <c r="AU1073" s="81"/>
      <c r="AV1073" s="81"/>
      <c r="AW1073" s="81"/>
      <c r="AX1073" s="81"/>
      <c r="AY1073" s="81"/>
      <c r="AZ1073" s="81"/>
      <c r="BA1073" s="81"/>
      <c r="BB1073" s="81"/>
    </row>
    <row r="1074" spans="1:54" x14ac:dyDescent="0.35">
      <c r="A1074" s="66" t="s">
        <v>888</v>
      </c>
      <c r="B1074" s="66" t="s">
        <v>1413</v>
      </c>
      <c r="C1074" s="67"/>
      <c r="D1074" s="68"/>
      <c r="E1074" s="69"/>
      <c r="F1074" s="70"/>
      <c r="G1074" s="67"/>
      <c r="H1074" s="71"/>
      <c r="I1074" s="72"/>
      <c r="J1074" s="72"/>
      <c r="K1074" s="36"/>
      <c r="L1074" s="79"/>
      <c r="M1074" s="79"/>
      <c r="N1074" s="74"/>
      <c r="O1074" s="81" t="s">
        <v>1533</v>
      </c>
      <c r="P1074" s="83">
        <v>44464.198321759257</v>
      </c>
      <c r="Q1074" s="81" t="s">
        <v>1910</v>
      </c>
      <c r="R1074" s="81"/>
      <c r="S1074" s="81"/>
      <c r="T1074" s="86" t="s">
        <v>1413</v>
      </c>
      <c r="U1074" s="84" t="str">
        <f>HYPERLINK("https://pbs.twimg.com/media/FAEaAdPVgAgaH2z.jpg")</f>
        <v>https://pbs.twimg.com/media/FAEaAdPVgAgaH2z.jpg</v>
      </c>
      <c r="V1074" s="84" t="str">
        <f>HYPERLINK("https://pbs.twimg.com/media/FAEaAdPVgAgaH2z.jpg")</f>
        <v>https://pbs.twimg.com/media/FAEaAdPVgAgaH2z.jpg</v>
      </c>
      <c r="W1074" s="83">
        <v>44464.198321759257</v>
      </c>
      <c r="X1074" s="89">
        <v>44464</v>
      </c>
      <c r="Y1074" s="86" t="s">
        <v>3524</v>
      </c>
      <c r="Z1074" s="84" t="str">
        <f>HYPERLINK("https://twitter.com/flowtaekoo/status/1441624902079971336")</f>
        <v>https://twitter.com/flowtaekoo/status/1441624902079971336</v>
      </c>
      <c r="AA1074" s="81"/>
      <c r="AB1074" s="81"/>
      <c r="AC1074" s="86" t="s">
        <v>4989</v>
      </c>
      <c r="AD1074" s="81"/>
      <c r="AE1074" s="81" t="b">
        <v>0</v>
      </c>
      <c r="AF1074" s="81">
        <v>0</v>
      </c>
      <c r="AG1074" s="86" t="s">
        <v>6240</v>
      </c>
      <c r="AH1074" s="81" t="b">
        <v>0</v>
      </c>
      <c r="AI1074" s="81" t="s">
        <v>6479</v>
      </c>
      <c r="AJ1074" s="81"/>
      <c r="AK1074" s="86" t="s">
        <v>6240</v>
      </c>
      <c r="AL1074" s="81" t="b">
        <v>0</v>
      </c>
      <c r="AM1074" s="81">
        <v>21</v>
      </c>
      <c r="AN1074" s="86" t="s">
        <v>5109</v>
      </c>
      <c r="AO1074" s="86" t="s">
        <v>6503</v>
      </c>
      <c r="AP1074" s="81" t="b">
        <v>0</v>
      </c>
      <c r="AQ1074" s="86" t="s">
        <v>5109</v>
      </c>
      <c r="AR1074" s="81" t="s">
        <v>179</v>
      </c>
      <c r="AS1074" s="81">
        <v>0</v>
      </c>
      <c r="AT1074" s="81">
        <v>0</v>
      </c>
      <c r="AU1074" s="81"/>
      <c r="AV1074" s="81"/>
      <c r="AW1074" s="81"/>
      <c r="AX1074" s="81"/>
      <c r="AY1074" s="81"/>
      <c r="AZ1074" s="81"/>
      <c r="BA1074" s="81"/>
      <c r="BB1074" s="81"/>
    </row>
    <row r="1075" spans="1:54" x14ac:dyDescent="0.35">
      <c r="A1075" s="66" t="s">
        <v>888</v>
      </c>
      <c r="B1075" s="66" t="s">
        <v>990</v>
      </c>
      <c r="C1075" s="67"/>
      <c r="D1075" s="68"/>
      <c r="E1075" s="69"/>
      <c r="F1075" s="70"/>
      <c r="G1075" s="67"/>
      <c r="H1075" s="71"/>
      <c r="I1075" s="72"/>
      <c r="J1075" s="72"/>
      <c r="K1075" s="36"/>
      <c r="L1075" s="79"/>
      <c r="M1075" s="79"/>
      <c r="N1075" s="74"/>
      <c r="O1075" s="81" t="s">
        <v>1532</v>
      </c>
      <c r="P1075" s="83">
        <v>44464.198321759257</v>
      </c>
      <c r="Q1075" s="81" t="s">
        <v>1910</v>
      </c>
      <c r="R1075" s="81"/>
      <c r="S1075" s="81"/>
      <c r="T1075" s="86" t="s">
        <v>1413</v>
      </c>
      <c r="U1075" s="84" t="str">
        <f>HYPERLINK("https://pbs.twimg.com/media/FAEaAdPVgAgaH2z.jpg")</f>
        <v>https://pbs.twimg.com/media/FAEaAdPVgAgaH2z.jpg</v>
      </c>
      <c r="V1075" s="84" t="str">
        <f>HYPERLINK("https://pbs.twimg.com/media/FAEaAdPVgAgaH2z.jpg")</f>
        <v>https://pbs.twimg.com/media/FAEaAdPVgAgaH2z.jpg</v>
      </c>
      <c r="W1075" s="83">
        <v>44464.198321759257</v>
      </c>
      <c r="X1075" s="89">
        <v>44464</v>
      </c>
      <c r="Y1075" s="86" t="s">
        <v>3524</v>
      </c>
      <c r="Z1075" s="84" t="str">
        <f>HYPERLINK("https://twitter.com/flowtaekoo/status/1441624902079971336")</f>
        <v>https://twitter.com/flowtaekoo/status/1441624902079971336</v>
      </c>
      <c r="AA1075" s="81"/>
      <c r="AB1075" s="81"/>
      <c r="AC1075" s="86" t="s">
        <v>4989</v>
      </c>
      <c r="AD1075" s="81"/>
      <c r="AE1075" s="81" t="b">
        <v>0</v>
      </c>
      <c r="AF1075" s="81">
        <v>0</v>
      </c>
      <c r="AG1075" s="86" t="s">
        <v>6240</v>
      </c>
      <c r="AH1075" s="81" t="b">
        <v>0</v>
      </c>
      <c r="AI1075" s="81" t="s">
        <v>6479</v>
      </c>
      <c r="AJ1075" s="81"/>
      <c r="AK1075" s="86" t="s">
        <v>6240</v>
      </c>
      <c r="AL1075" s="81" t="b">
        <v>0</v>
      </c>
      <c r="AM1075" s="81">
        <v>21</v>
      </c>
      <c r="AN1075" s="86" t="s">
        <v>5109</v>
      </c>
      <c r="AO1075" s="86" t="s">
        <v>6503</v>
      </c>
      <c r="AP1075" s="81" t="b">
        <v>0</v>
      </c>
      <c r="AQ1075" s="86" t="s">
        <v>5109</v>
      </c>
      <c r="AR1075" s="81" t="s">
        <v>179</v>
      </c>
      <c r="AS1075" s="81">
        <v>0</v>
      </c>
      <c r="AT1075" s="81">
        <v>0</v>
      </c>
      <c r="AU1075" s="81"/>
      <c r="AV1075" s="81"/>
      <c r="AW1075" s="81"/>
      <c r="AX1075" s="81"/>
      <c r="AY1075" s="81"/>
      <c r="AZ1075" s="81"/>
      <c r="BA1075" s="81"/>
      <c r="BB1075" s="81"/>
    </row>
    <row r="1076" spans="1:54" x14ac:dyDescent="0.35">
      <c r="A1076" s="66" t="s">
        <v>889</v>
      </c>
      <c r="B1076" s="66" t="s">
        <v>1373</v>
      </c>
      <c r="C1076" s="67"/>
      <c r="D1076" s="68"/>
      <c r="E1076" s="69"/>
      <c r="F1076" s="70"/>
      <c r="G1076" s="67"/>
      <c r="H1076" s="71"/>
      <c r="I1076" s="72"/>
      <c r="J1076" s="72"/>
      <c r="K1076" s="36"/>
      <c r="L1076" s="79"/>
      <c r="M1076" s="79"/>
      <c r="N1076" s="74"/>
      <c r="O1076" s="81" t="s">
        <v>1535</v>
      </c>
      <c r="P1076" s="83">
        <v>44464.209791666668</v>
      </c>
      <c r="Q1076" s="81" t="s">
        <v>1932</v>
      </c>
      <c r="R1076" s="81"/>
      <c r="S1076" s="81"/>
      <c r="T1076" s="81"/>
      <c r="U1076" s="81"/>
      <c r="V1076" s="84" t="str">
        <f>HYPERLINK("https://pbs.twimg.com/profile_images/795050173596479488/YOIvTyjF_normal.jpg")</f>
        <v>https://pbs.twimg.com/profile_images/795050173596479488/YOIvTyjF_normal.jpg</v>
      </c>
      <c r="W1076" s="83">
        <v>44464.209791666668</v>
      </c>
      <c r="X1076" s="89">
        <v>44464</v>
      </c>
      <c r="Y1076" s="86" t="s">
        <v>3525</v>
      </c>
      <c r="Z1076" s="84" t="str">
        <f>HYPERLINK("https://twitter.com/hengkyfathurr/status/1441629057750208524")</f>
        <v>https://twitter.com/hengkyfathurr/status/1441629057750208524</v>
      </c>
      <c r="AA1076" s="81"/>
      <c r="AB1076" s="81"/>
      <c r="AC1076" s="86" t="s">
        <v>4990</v>
      </c>
      <c r="AD1076" s="81"/>
      <c r="AE1076" s="81" t="b">
        <v>0</v>
      </c>
      <c r="AF1076" s="81">
        <v>0</v>
      </c>
      <c r="AG1076" s="86" t="s">
        <v>6240</v>
      </c>
      <c r="AH1076" s="81" t="b">
        <v>0</v>
      </c>
      <c r="AI1076" s="81" t="s">
        <v>6478</v>
      </c>
      <c r="AJ1076" s="81"/>
      <c r="AK1076" s="86" t="s">
        <v>6240</v>
      </c>
      <c r="AL1076" s="81" t="b">
        <v>0</v>
      </c>
      <c r="AM1076" s="81">
        <v>0</v>
      </c>
      <c r="AN1076" s="86" t="s">
        <v>6240</v>
      </c>
      <c r="AO1076" s="86" t="s">
        <v>6505</v>
      </c>
      <c r="AP1076" s="81" t="b">
        <v>0</v>
      </c>
      <c r="AQ1076" s="86" t="s">
        <v>4990</v>
      </c>
      <c r="AR1076" s="81" t="s">
        <v>179</v>
      </c>
      <c r="AS1076" s="81">
        <v>0</v>
      </c>
      <c r="AT1076" s="81">
        <v>0</v>
      </c>
      <c r="AU1076" s="81"/>
      <c r="AV1076" s="81"/>
      <c r="AW1076" s="81"/>
      <c r="AX1076" s="81"/>
      <c r="AY1076" s="81"/>
      <c r="AZ1076" s="81"/>
      <c r="BA1076" s="81"/>
      <c r="BB1076" s="81"/>
    </row>
    <row r="1077" spans="1:54" x14ac:dyDescent="0.35">
      <c r="A1077" s="66" t="s">
        <v>889</v>
      </c>
      <c r="B1077" s="66" t="s">
        <v>1433</v>
      </c>
      <c r="C1077" s="67"/>
      <c r="D1077" s="68"/>
      <c r="E1077" s="69"/>
      <c r="F1077" s="70"/>
      <c r="G1077" s="67"/>
      <c r="H1077" s="71"/>
      <c r="I1077" s="72"/>
      <c r="J1077" s="72"/>
      <c r="K1077" s="36"/>
      <c r="L1077" s="79"/>
      <c r="M1077" s="79"/>
      <c r="N1077" s="74"/>
      <c r="O1077" s="81" t="s">
        <v>1535</v>
      </c>
      <c r="P1077" s="83">
        <v>44464.209791666668</v>
      </c>
      <c r="Q1077" s="81" t="s">
        <v>1932</v>
      </c>
      <c r="R1077" s="81"/>
      <c r="S1077" s="81"/>
      <c r="T1077" s="81"/>
      <c r="U1077" s="81"/>
      <c r="V1077" s="84" t="str">
        <f>HYPERLINK("https://pbs.twimg.com/profile_images/795050173596479488/YOIvTyjF_normal.jpg")</f>
        <v>https://pbs.twimg.com/profile_images/795050173596479488/YOIvTyjF_normal.jpg</v>
      </c>
      <c r="W1077" s="83">
        <v>44464.209791666668</v>
      </c>
      <c r="X1077" s="89">
        <v>44464</v>
      </c>
      <c r="Y1077" s="86" t="s">
        <v>3525</v>
      </c>
      <c r="Z1077" s="84" t="str">
        <f>HYPERLINK("https://twitter.com/hengkyfathurr/status/1441629057750208524")</f>
        <v>https://twitter.com/hengkyfathurr/status/1441629057750208524</v>
      </c>
      <c r="AA1077" s="81"/>
      <c r="AB1077" s="81"/>
      <c r="AC1077" s="86" t="s">
        <v>4990</v>
      </c>
      <c r="AD1077" s="81"/>
      <c r="AE1077" s="81" t="b">
        <v>0</v>
      </c>
      <c r="AF1077" s="81">
        <v>0</v>
      </c>
      <c r="AG1077" s="86" t="s">
        <v>6240</v>
      </c>
      <c r="AH1077" s="81" t="b">
        <v>0</v>
      </c>
      <c r="AI1077" s="81" t="s">
        <v>6478</v>
      </c>
      <c r="AJ1077" s="81"/>
      <c r="AK1077" s="86" t="s">
        <v>6240</v>
      </c>
      <c r="AL1077" s="81" t="b">
        <v>0</v>
      </c>
      <c r="AM1077" s="81">
        <v>0</v>
      </c>
      <c r="AN1077" s="86" t="s">
        <v>6240</v>
      </c>
      <c r="AO1077" s="86" t="s">
        <v>6505</v>
      </c>
      <c r="AP1077" s="81" t="b">
        <v>0</v>
      </c>
      <c r="AQ1077" s="86" t="s">
        <v>4990</v>
      </c>
      <c r="AR1077" s="81" t="s">
        <v>179</v>
      </c>
      <c r="AS1077" s="81">
        <v>0</v>
      </c>
      <c r="AT1077" s="81">
        <v>0</v>
      </c>
      <c r="AU1077" s="81"/>
      <c r="AV1077" s="81"/>
      <c r="AW1077" s="81"/>
      <c r="AX1077" s="81"/>
      <c r="AY1077" s="81"/>
      <c r="AZ1077" s="81"/>
      <c r="BA1077" s="81"/>
      <c r="BB1077" s="81"/>
    </row>
    <row r="1078" spans="1:54" x14ac:dyDescent="0.35">
      <c r="A1078" s="66" t="s">
        <v>889</v>
      </c>
      <c r="B1078" s="66" t="s">
        <v>1268</v>
      </c>
      <c r="C1078" s="67"/>
      <c r="D1078" s="68"/>
      <c r="E1078" s="69"/>
      <c r="F1078" s="70"/>
      <c r="G1078" s="67"/>
      <c r="H1078" s="71"/>
      <c r="I1078" s="72"/>
      <c r="J1078" s="72"/>
      <c r="K1078" s="36"/>
      <c r="L1078" s="79"/>
      <c r="M1078" s="79"/>
      <c r="N1078" s="74"/>
      <c r="O1078" s="81" t="s">
        <v>1535</v>
      </c>
      <c r="P1078" s="83">
        <v>44464.209791666668</v>
      </c>
      <c r="Q1078" s="81" t="s">
        <v>1932</v>
      </c>
      <c r="R1078" s="81"/>
      <c r="S1078" s="81"/>
      <c r="T1078" s="81"/>
      <c r="U1078" s="81"/>
      <c r="V1078" s="84" t="str">
        <f>HYPERLINK("https://pbs.twimg.com/profile_images/795050173596479488/YOIvTyjF_normal.jpg")</f>
        <v>https://pbs.twimg.com/profile_images/795050173596479488/YOIvTyjF_normal.jpg</v>
      </c>
      <c r="W1078" s="83">
        <v>44464.209791666668</v>
      </c>
      <c r="X1078" s="89">
        <v>44464</v>
      </c>
      <c r="Y1078" s="86" t="s">
        <v>3525</v>
      </c>
      <c r="Z1078" s="84" t="str">
        <f>HYPERLINK("https://twitter.com/hengkyfathurr/status/1441629057750208524")</f>
        <v>https://twitter.com/hengkyfathurr/status/1441629057750208524</v>
      </c>
      <c r="AA1078" s="81"/>
      <c r="AB1078" s="81"/>
      <c r="AC1078" s="86" t="s">
        <v>4990</v>
      </c>
      <c r="AD1078" s="81"/>
      <c r="AE1078" s="81" t="b">
        <v>0</v>
      </c>
      <c r="AF1078" s="81">
        <v>0</v>
      </c>
      <c r="AG1078" s="86" t="s">
        <v>6240</v>
      </c>
      <c r="AH1078" s="81" t="b">
        <v>0</v>
      </c>
      <c r="AI1078" s="81" t="s">
        <v>6478</v>
      </c>
      <c r="AJ1078" s="81"/>
      <c r="AK1078" s="86" t="s">
        <v>6240</v>
      </c>
      <c r="AL1078" s="81" t="b">
        <v>0</v>
      </c>
      <c r="AM1078" s="81">
        <v>0</v>
      </c>
      <c r="AN1078" s="86" t="s">
        <v>6240</v>
      </c>
      <c r="AO1078" s="86" t="s">
        <v>6505</v>
      </c>
      <c r="AP1078" s="81" t="b">
        <v>0</v>
      </c>
      <c r="AQ1078" s="86" t="s">
        <v>4990</v>
      </c>
      <c r="AR1078" s="81" t="s">
        <v>179</v>
      </c>
      <c r="AS1078" s="81">
        <v>0</v>
      </c>
      <c r="AT1078" s="81">
        <v>0</v>
      </c>
      <c r="AU1078" s="81"/>
      <c r="AV1078" s="81"/>
      <c r="AW1078" s="81"/>
      <c r="AX1078" s="81"/>
      <c r="AY1078" s="81"/>
      <c r="AZ1078" s="81"/>
      <c r="BA1078" s="81"/>
      <c r="BB1078" s="81"/>
    </row>
    <row r="1079" spans="1:54" x14ac:dyDescent="0.35">
      <c r="A1079" s="66" t="s">
        <v>889</v>
      </c>
      <c r="B1079" s="66" t="s">
        <v>1372</v>
      </c>
      <c r="C1079" s="67"/>
      <c r="D1079" s="68"/>
      <c r="E1079" s="69"/>
      <c r="F1079" s="70"/>
      <c r="G1079" s="67"/>
      <c r="H1079" s="71"/>
      <c r="I1079" s="72"/>
      <c r="J1079" s="72"/>
      <c r="K1079" s="36"/>
      <c r="L1079" s="79"/>
      <c r="M1079" s="79"/>
      <c r="N1079" s="74"/>
      <c r="O1079" s="81" t="s">
        <v>1535</v>
      </c>
      <c r="P1079" s="83">
        <v>44464.209791666668</v>
      </c>
      <c r="Q1079" s="81" t="s">
        <v>1932</v>
      </c>
      <c r="R1079" s="81"/>
      <c r="S1079" s="81"/>
      <c r="T1079" s="81"/>
      <c r="U1079" s="81"/>
      <c r="V1079" s="84" t="str">
        <f>HYPERLINK("https://pbs.twimg.com/profile_images/795050173596479488/YOIvTyjF_normal.jpg")</f>
        <v>https://pbs.twimg.com/profile_images/795050173596479488/YOIvTyjF_normal.jpg</v>
      </c>
      <c r="W1079" s="83">
        <v>44464.209791666668</v>
      </c>
      <c r="X1079" s="89">
        <v>44464</v>
      </c>
      <c r="Y1079" s="86" t="s">
        <v>3525</v>
      </c>
      <c r="Z1079" s="84" t="str">
        <f>HYPERLINK("https://twitter.com/hengkyfathurr/status/1441629057750208524")</f>
        <v>https://twitter.com/hengkyfathurr/status/1441629057750208524</v>
      </c>
      <c r="AA1079" s="81"/>
      <c r="AB1079" s="81"/>
      <c r="AC1079" s="86" t="s">
        <v>4990</v>
      </c>
      <c r="AD1079" s="81"/>
      <c r="AE1079" s="81" t="b">
        <v>0</v>
      </c>
      <c r="AF1079" s="81">
        <v>0</v>
      </c>
      <c r="AG1079" s="86" t="s">
        <v>6240</v>
      </c>
      <c r="AH1079" s="81" t="b">
        <v>0</v>
      </c>
      <c r="AI1079" s="81" t="s">
        <v>6478</v>
      </c>
      <c r="AJ1079" s="81"/>
      <c r="AK1079" s="86" t="s">
        <v>6240</v>
      </c>
      <c r="AL1079" s="81" t="b">
        <v>0</v>
      </c>
      <c r="AM1079" s="81">
        <v>0</v>
      </c>
      <c r="AN1079" s="86" t="s">
        <v>6240</v>
      </c>
      <c r="AO1079" s="86" t="s">
        <v>6505</v>
      </c>
      <c r="AP1079" s="81" t="b">
        <v>0</v>
      </c>
      <c r="AQ1079" s="86" t="s">
        <v>4990</v>
      </c>
      <c r="AR1079" s="81" t="s">
        <v>179</v>
      </c>
      <c r="AS1079" s="81">
        <v>0</v>
      </c>
      <c r="AT1079" s="81">
        <v>0</v>
      </c>
      <c r="AU1079" s="81"/>
      <c r="AV1079" s="81"/>
      <c r="AW1079" s="81"/>
      <c r="AX1079" s="81"/>
      <c r="AY1079" s="81"/>
      <c r="AZ1079" s="81"/>
      <c r="BA1079" s="81"/>
      <c r="BB1079" s="81"/>
    </row>
    <row r="1080" spans="1:54" x14ac:dyDescent="0.35">
      <c r="A1080" s="66" t="s">
        <v>889</v>
      </c>
      <c r="B1080" s="66" t="s">
        <v>1434</v>
      </c>
      <c r="C1080" s="67"/>
      <c r="D1080" s="68"/>
      <c r="E1080" s="69"/>
      <c r="F1080" s="70"/>
      <c r="G1080" s="67"/>
      <c r="H1080" s="71"/>
      <c r="I1080" s="72"/>
      <c r="J1080" s="72"/>
      <c r="K1080" s="36"/>
      <c r="L1080" s="79"/>
      <c r="M1080" s="79"/>
      <c r="N1080" s="74"/>
      <c r="O1080" s="81" t="s">
        <v>1535</v>
      </c>
      <c r="P1080" s="83">
        <v>44464.209791666668</v>
      </c>
      <c r="Q1080" s="81" t="s">
        <v>1932</v>
      </c>
      <c r="R1080" s="81"/>
      <c r="S1080" s="81"/>
      <c r="T1080" s="81"/>
      <c r="U1080" s="81"/>
      <c r="V1080" s="84" t="str">
        <f>HYPERLINK("https://pbs.twimg.com/profile_images/795050173596479488/YOIvTyjF_normal.jpg")</f>
        <v>https://pbs.twimg.com/profile_images/795050173596479488/YOIvTyjF_normal.jpg</v>
      </c>
      <c r="W1080" s="83">
        <v>44464.209791666668</v>
      </c>
      <c r="X1080" s="89">
        <v>44464</v>
      </c>
      <c r="Y1080" s="86" t="s">
        <v>3525</v>
      </c>
      <c r="Z1080" s="84" t="str">
        <f>HYPERLINK("https://twitter.com/hengkyfathurr/status/1441629057750208524")</f>
        <v>https://twitter.com/hengkyfathurr/status/1441629057750208524</v>
      </c>
      <c r="AA1080" s="81"/>
      <c r="AB1080" s="81"/>
      <c r="AC1080" s="86" t="s">
        <v>4990</v>
      </c>
      <c r="AD1080" s="81"/>
      <c r="AE1080" s="81" t="b">
        <v>0</v>
      </c>
      <c r="AF1080" s="81">
        <v>0</v>
      </c>
      <c r="AG1080" s="86" t="s">
        <v>6240</v>
      </c>
      <c r="AH1080" s="81" t="b">
        <v>0</v>
      </c>
      <c r="AI1080" s="81" t="s">
        <v>6478</v>
      </c>
      <c r="AJ1080" s="81"/>
      <c r="AK1080" s="86" t="s">
        <v>6240</v>
      </c>
      <c r="AL1080" s="81" t="b">
        <v>0</v>
      </c>
      <c r="AM1080" s="81">
        <v>0</v>
      </c>
      <c r="AN1080" s="86" t="s">
        <v>6240</v>
      </c>
      <c r="AO1080" s="86" t="s">
        <v>6505</v>
      </c>
      <c r="AP1080" s="81" t="b">
        <v>0</v>
      </c>
      <c r="AQ1080" s="86" t="s">
        <v>4990</v>
      </c>
      <c r="AR1080" s="81" t="s">
        <v>179</v>
      </c>
      <c r="AS1080" s="81">
        <v>0</v>
      </c>
      <c r="AT1080" s="81">
        <v>0</v>
      </c>
      <c r="AU1080" s="81"/>
      <c r="AV1080" s="81"/>
      <c r="AW1080" s="81"/>
      <c r="AX1080" s="81"/>
      <c r="AY1080" s="81"/>
      <c r="AZ1080" s="81"/>
      <c r="BA1080" s="81"/>
      <c r="BB1080" s="81"/>
    </row>
    <row r="1081" spans="1:54" x14ac:dyDescent="0.35">
      <c r="A1081" s="66" t="s">
        <v>890</v>
      </c>
      <c r="B1081" s="66" t="s">
        <v>890</v>
      </c>
      <c r="C1081" s="67"/>
      <c r="D1081" s="68"/>
      <c r="E1081" s="69"/>
      <c r="F1081" s="70"/>
      <c r="G1081" s="67"/>
      <c r="H1081" s="71"/>
      <c r="I1081" s="72"/>
      <c r="J1081" s="72"/>
      <c r="K1081" s="36"/>
      <c r="L1081" s="79"/>
      <c r="M1081" s="79"/>
      <c r="N1081" s="74"/>
      <c r="O1081" s="81" t="s">
        <v>179</v>
      </c>
      <c r="P1081" s="83">
        <v>44464.214756944442</v>
      </c>
      <c r="Q1081" s="81" t="s">
        <v>1933</v>
      </c>
      <c r="R1081" s="81"/>
      <c r="S1081" s="81"/>
      <c r="T1081" s="81"/>
      <c r="U1081" s="81"/>
      <c r="V1081" s="84" t="str">
        <f>HYPERLINK("https://pbs.twimg.com/profile_images/1441767139346567180/ugYZUSxR_normal.jpg")</f>
        <v>https://pbs.twimg.com/profile_images/1441767139346567180/ugYZUSxR_normal.jpg</v>
      </c>
      <c r="W1081" s="83">
        <v>44464.214756944442</v>
      </c>
      <c r="X1081" s="89">
        <v>44464</v>
      </c>
      <c r="Y1081" s="86" t="s">
        <v>3526</v>
      </c>
      <c r="Z1081" s="84" t="str">
        <f>HYPERLINK("https://twitter.com/picknava3/status/1441630858490777602")</f>
        <v>https://twitter.com/picknava3/status/1441630858490777602</v>
      </c>
      <c r="AA1081" s="81"/>
      <c r="AB1081" s="81"/>
      <c r="AC1081" s="86" t="s">
        <v>4991</v>
      </c>
      <c r="AD1081" s="81"/>
      <c r="AE1081" s="81" t="b">
        <v>0</v>
      </c>
      <c r="AF1081" s="81">
        <v>0</v>
      </c>
      <c r="AG1081" s="86" t="s">
        <v>6240</v>
      </c>
      <c r="AH1081" s="81" t="b">
        <v>0</v>
      </c>
      <c r="AI1081" s="81" t="s">
        <v>6478</v>
      </c>
      <c r="AJ1081" s="81"/>
      <c r="AK1081" s="86" t="s">
        <v>6240</v>
      </c>
      <c r="AL1081" s="81" t="b">
        <v>0</v>
      </c>
      <c r="AM1081" s="81">
        <v>0</v>
      </c>
      <c r="AN1081" s="86" t="s">
        <v>6240</v>
      </c>
      <c r="AO1081" s="86" t="s">
        <v>6503</v>
      </c>
      <c r="AP1081" s="81" t="b">
        <v>0</v>
      </c>
      <c r="AQ1081" s="86" t="s">
        <v>4991</v>
      </c>
      <c r="AR1081" s="81" t="s">
        <v>179</v>
      </c>
      <c r="AS1081" s="81">
        <v>0</v>
      </c>
      <c r="AT1081" s="81">
        <v>0</v>
      </c>
      <c r="AU1081" s="81"/>
      <c r="AV1081" s="81"/>
      <c r="AW1081" s="81"/>
      <c r="AX1081" s="81"/>
      <c r="AY1081" s="81"/>
      <c r="AZ1081" s="81"/>
      <c r="BA1081" s="81"/>
      <c r="BB1081" s="81"/>
    </row>
    <row r="1082" spans="1:54" x14ac:dyDescent="0.35">
      <c r="A1082" s="66" t="s">
        <v>891</v>
      </c>
      <c r="B1082" s="66" t="s">
        <v>1410</v>
      </c>
      <c r="C1082" s="67"/>
      <c r="D1082" s="68"/>
      <c r="E1082" s="69"/>
      <c r="F1082" s="70"/>
      <c r="G1082" s="67"/>
      <c r="H1082" s="71"/>
      <c r="I1082" s="72"/>
      <c r="J1082" s="72"/>
      <c r="K1082" s="36"/>
      <c r="L1082" s="79"/>
      <c r="M1082" s="79"/>
      <c r="N1082" s="74"/>
      <c r="O1082" s="81" t="s">
        <v>1533</v>
      </c>
      <c r="P1082" s="83">
        <v>44464.229201388887</v>
      </c>
      <c r="Q1082" s="81" t="s">
        <v>1910</v>
      </c>
      <c r="R1082" s="81"/>
      <c r="S1082" s="81"/>
      <c r="T1082" s="86" t="s">
        <v>1413</v>
      </c>
      <c r="U1082" s="84" t="str">
        <f>HYPERLINK("https://pbs.twimg.com/media/FAEaAdPVgAgaH2z.jpg")</f>
        <v>https://pbs.twimg.com/media/FAEaAdPVgAgaH2z.jpg</v>
      </c>
      <c r="V1082" s="84" t="str">
        <f>HYPERLINK("https://pbs.twimg.com/media/FAEaAdPVgAgaH2z.jpg")</f>
        <v>https://pbs.twimg.com/media/FAEaAdPVgAgaH2z.jpg</v>
      </c>
      <c r="W1082" s="83">
        <v>44464.229201388887</v>
      </c>
      <c r="X1082" s="89">
        <v>44464</v>
      </c>
      <c r="Y1082" s="86" t="s">
        <v>3527</v>
      </c>
      <c r="Z1082" s="84" t="str">
        <f>HYPERLINK("https://twitter.com/lauvkia/status/1441636094844407808")</f>
        <v>https://twitter.com/lauvkia/status/1441636094844407808</v>
      </c>
      <c r="AA1082" s="81"/>
      <c r="AB1082" s="81"/>
      <c r="AC1082" s="86" t="s">
        <v>4992</v>
      </c>
      <c r="AD1082" s="81"/>
      <c r="AE1082" s="81" t="b">
        <v>0</v>
      </c>
      <c r="AF1082" s="81">
        <v>0</v>
      </c>
      <c r="AG1082" s="86" t="s">
        <v>6240</v>
      </c>
      <c r="AH1082" s="81" t="b">
        <v>0</v>
      </c>
      <c r="AI1082" s="81" t="s">
        <v>6479</v>
      </c>
      <c r="AJ1082" s="81"/>
      <c r="AK1082" s="86" t="s">
        <v>6240</v>
      </c>
      <c r="AL1082" s="81" t="b">
        <v>0</v>
      </c>
      <c r="AM1082" s="81">
        <v>21</v>
      </c>
      <c r="AN1082" s="86" t="s">
        <v>5109</v>
      </c>
      <c r="AO1082" s="86" t="s">
        <v>6505</v>
      </c>
      <c r="AP1082" s="81" t="b">
        <v>0</v>
      </c>
      <c r="AQ1082" s="86" t="s">
        <v>5109</v>
      </c>
      <c r="AR1082" s="81" t="s">
        <v>179</v>
      </c>
      <c r="AS1082" s="81">
        <v>0</v>
      </c>
      <c r="AT1082" s="81">
        <v>0</v>
      </c>
      <c r="AU1082" s="81"/>
      <c r="AV1082" s="81"/>
      <c r="AW1082" s="81"/>
      <c r="AX1082" s="81"/>
      <c r="AY1082" s="81"/>
      <c r="AZ1082" s="81"/>
      <c r="BA1082" s="81"/>
      <c r="BB1082" s="81"/>
    </row>
    <row r="1083" spans="1:54" x14ac:dyDescent="0.35">
      <c r="A1083" s="66" t="s">
        <v>891</v>
      </c>
      <c r="B1083" s="66" t="s">
        <v>1411</v>
      </c>
      <c r="C1083" s="67"/>
      <c r="D1083" s="68"/>
      <c r="E1083" s="69"/>
      <c r="F1083" s="70"/>
      <c r="G1083" s="67"/>
      <c r="H1083" s="71"/>
      <c r="I1083" s="72"/>
      <c r="J1083" s="72"/>
      <c r="K1083" s="36"/>
      <c r="L1083" s="79"/>
      <c r="M1083" s="79"/>
      <c r="N1083" s="74"/>
      <c r="O1083" s="81" t="s">
        <v>1533</v>
      </c>
      <c r="P1083" s="83">
        <v>44464.229201388887</v>
      </c>
      <c r="Q1083" s="81" t="s">
        <v>1910</v>
      </c>
      <c r="R1083" s="81"/>
      <c r="S1083" s="81"/>
      <c r="T1083" s="86" t="s">
        <v>1413</v>
      </c>
      <c r="U1083" s="84" t="str">
        <f>HYPERLINK("https://pbs.twimg.com/media/FAEaAdPVgAgaH2z.jpg")</f>
        <v>https://pbs.twimg.com/media/FAEaAdPVgAgaH2z.jpg</v>
      </c>
      <c r="V1083" s="84" t="str">
        <f>HYPERLINK("https://pbs.twimg.com/media/FAEaAdPVgAgaH2z.jpg")</f>
        <v>https://pbs.twimg.com/media/FAEaAdPVgAgaH2z.jpg</v>
      </c>
      <c r="W1083" s="83">
        <v>44464.229201388887</v>
      </c>
      <c r="X1083" s="89">
        <v>44464</v>
      </c>
      <c r="Y1083" s="86" t="s">
        <v>3527</v>
      </c>
      <c r="Z1083" s="84" t="str">
        <f>HYPERLINK("https://twitter.com/lauvkia/status/1441636094844407808")</f>
        <v>https://twitter.com/lauvkia/status/1441636094844407808</v>
      </c>
      <c r="AA1083" s="81"/>
      <c r="AB1083" s="81"/>
      <c r="AC1083" s="86" t="s">
        <v>4992</v>
      </c>
      <c r="AD1083" s="81"/>
      <c r="AE1083" s="81" t="b">
        <v>0</v>
      </c>
      <c r="AF1083" s="81">
        <v>0</v>
      </c>
      <c r="AG1083" s="86" t="s">
        <v>6240</v>
      </c>
      <c r="AH1083" s="81" t="b">
        <v>0</v>
      </c>
      <c r="AI1083" s="81" t="s">
        <v>6479</v>
      </c>
      <c r="AJ1083" s="81"/>
      <c r="AK1083" s="86" t="s">
        <v>6240</v>
      </c>
      <c r="AL1083" s="81" t="b">
        <v>0</v>
      </c>
      <c r="AM1083" s="81">
        <v>21</v>
      </c>
      <c r="AN1083" s="86" t="s">
        <v>5109</v>
      </c>
      <c r="AO1083" s="86" t="s">
        <v>6505</v>
      </c>
      <c r="AP1083" s="81" t="b">
        <v>0</v>
      </c>
      <c r="AQ1083" s="86" t="s">
        <v>5109</v>
      </c>
      <c r="AR1083" s="81" t="s">
        <v>179</v>
      </c>
      <c r="AS1083" s="81">
        <v>0</v>
      </c>
      <c r="AT1083" s="81">
        <v>0</v>
      </c>
      <c r="AU1083" s="81"/>
      <c r="AV1083" s="81"/>
      <c r="AW1083" s="81"/>
      <c r="AX1083" s="81"/>
      <c r="AY1083" s="81"/>
      <c r="AZ1083" s="81"/>
      <c r="BA1083" s="81"/>
      <c r="BB1083" s="81"/>
    </row>
    <row r="1084" spans="1:54" x14ac:dyDescent="0.35">
      <c r="A1084" s="66" t="s">
        <v>891</v>
      </c>
      <c r="B1084" s="66" t="s">
        <v>1412</v>
      </c>
      <c r="C1084" s="67"/>
      <c r="D1084" s="68"/>
      <c r="E1084" s="69"/>
      <c r="F1084" s="70"/>
      <c r="G1084" s="67"/>
      <c r="H1084" s="71"/>
      <c r="I1084" s="72"/>
      <c r="J1084" s="72"/>
      <c r="K1084" s="36"/>
      <c r="L1084" s="79"/>
      <c r="M1084" s="79"/>
      <c r="N1084" s="74"/>
      <c r="O1084" s="81" t="s">
        <v>1533</v>
      </c>
      <c r="P1084" s="83">
        <v>44464.229201388887</v>
      </c>
      <c r="Q1084" s="81" t="s">
        <v>1910</v>
      </c>
      <c r="R1084" s="81"/>
      <c r="S1084" s="81"/>
      <c r="T1084" s="86" t="s">
        <v>1413</v>
      </c>
      <c r="U1084" s="84" t="str">
        <f>HYPERLINK("https://pbs.twimg.com/media/FAEaAdPVgAgaH2z.jpg")</f>
        <v>https://pbs.twimg.com/media/FAEaAdPVgAgaH2z.jpg</v>
      </c>
      <c r="V1084" s="84" t="str">
        <f>HYPERLINK("https://pbs.twimg.com/media/FAEaAdPVgAgaH2z.jpg")</f>
        <v>https://pbs.twimg.com/media/FAEaAdPVgAgaH2z.jpg</v>
      </c>
      <c r="W1084" s="83">
        <v>44464.229201388887</v>
      </c>
      <c r="X1084" s="89">
        <v>44464</v>
      </c>
      <c r="Y1084" s="86" t="s">
        <v>3527</v>
      </c>
      <c r="Z1084" s="84" t="str">
        <f>HYPERLINK("https://twitter.com/lauvkia/status/1441636094844407808")</f>
        <v>https://twitter.com/lauvkia/status/1441636094844407808</v>
      </c>
      <c r="AA1084" s="81"/>
      <c r="AB1084" s="81"/>
      <c r="AC1084" s="86" t="s">
        <v>4992</v>
      </c>
      <c r="AD1084" s="81"/>
      <c r="AE1084" s="81" t="b">
        <v>0</v>
      </c>
      <c r="AF1084" s="81">
        <v>0</v>
      </c>
      <c r="AG1084" s="86" t="s">
        <v>6240</v>
      </c>
      <c r="AH1084" s="81" t="b">
        <v>0</v>
      </c>
      <c r="AI1084" s="81" t="s">
        <v>6479</v>
      </c>
      <c r="AJ1084" s="81"/>
      <c r="AK1084" s="86" t="s">
        <v>6240</v>
      </c>
      <c r="AL1084" s="81" t="b">
        <v>0</v>
      </c>
      <c r="AM1084" s="81">
        <v>21</v>
      </c>
      <c r="AN1084" s="86" t="s">
        <v>5109</v>
      </c>
      <c r="AO1084" s="86" t="s">
        <v>6505</v>
      </c>
      <c r="AP1084" s="81" t="b">
        <v>0</v>
      </c>
      <c r="AQ1084" s="86" t="s">
        <v>5109</v>
      </c>
      <c r="AR1084" s="81" t="s">
        <v>179</v>
      </c>
      <c r="AS1084" s="81">
        <v>0</v>
      </c>
      <c r="AT1084" s="81">
        <v>0</v>
      </c>
      <c r="AU1084" s="81"/>
      <c r="AV1084" s="81"/>
      <c r="AW1084" s="81"/>
      <c r="AX1084" s="81"/>
      <c r="AY1084" s="81"/>
      <c r="AZ1084" s="81"/>
      <c r="BA1084" s="81"/>
      <c r="BB1084" s="81"/>
    </row>
    <row r="1085" spans="1:54" x14ac:dyDescent="0.35">
      <c r="A1085" s="66" t="s">
        <v>891</v>
      </c>
      <c r="B1085" s="66" t="s">
        <v>1413</v>
      </c>
      <c r="C1085" s="67"/>
      <c r="D1085" s="68"/>
      <c r="E1085" s="69"/>
      <c r="F1085" s="70"/>
      <c r="G1085" s="67"/>
      <c r="H1085" s="71"/>
      <c r="I1085" s="72"/>
      <c r="J1085" s="72"/>
      <c r="K1085" s="36"/>
      <c r="L1085" s="79"/>
      <c r="M1085" s="79"/>
      <c r="N1085" s="74"/>
      <c r="O1085" s="81" t="s">
        <v>1533</v>
      </c>
      <c r="P1085" s="83">
        <v>44464.229201388887</v>
      </c>
      <c r="Q1085" s="81" t="s">
        <v>1910</v>
      </c>
      <c r="R1085" s="81"/>
      <c r="S1085" s="81"/>
      <c r="T1085" s="86" t="s">
        <v>1413</v>
      </c>
      <c r="U1085" s="84" t="str">
        <f>HYPERLINK("https://pbs.twimg.com/media/FAEaAdPVgAgaH2z.jpg")</f>
        <v>https://pbs.twimg.com/media/FAEaAdPVgAgaH2z.jpg</v>
      </c>
      <c r="V1085" s="84" t="str">
        <f>HYPERLINK("https://pbs.twimg.com/media/FAEaAdPVgAgaH2z.jpg")</f>
        <v>https://pbs.twimg.com/media/FAEaAdPVgAgaH2z.jpg</v>
      </c>
      <c r="W1085" s="83">
        <v>44464.229201388887</v>
      </c>
      <c r="X1085" s="89">
        <v>44464</v>
      </c>
      <c r="Y1085" s="86" t="s">
        <v>3527</v>
      </c>
      <c r="Z1085" s="84" t="str">
        <f>HYPERLINK("https://twitter.com/lauvkia/status/1441636094844407808")</f>
        <v>https://twitter.com/lauvkia/status/1441636094844407808</v>
      </c>
      <c r="AA1085" s="81"/>
      <c r="AB1085" s="81"/>
      <c r="AC1085" s="86" t="s">
        <v>4992</v>
      </c>
      <c r="AD1085" s="81"/>
      <c r="AE1085" s="81" t="b">
        <v>0</v>
      </c>
      <c r="AF1085" s="81">
        <v>0</v>
      </c>
      <c r="AG1085" s="86" t="s">
        <v>6240</v>
      </c>
      <c r="AH1085" s="81" t="b">
        <v>0</v>
      </c>
      <c r="AI1085" s="81" t="s">
        <v>6479</v>
      </c>
      <c r="AJ1085" s="81"/>
      <c r="AK1085" s="86" t="s">
        <v>6240</v>
      </c>
      <c r="AL1085" s="81" t="b">
        <v>0</v>
      </c>
      <c r="AM1085" s="81">
        <v>21</v>
      </c>
      <c r="AN1085" s="86" t="s">
        <v>5109</v>
      </c>
      <c r="AO1085" s="86" t="s">
        <v>6505</v>
      </c>
      <c r="AP1085" s="81" t="b">
        <v>0</v>
      </c>
      <c r="AQ1085" s="86" t="s">
        <v>5109</v>
      </c>
      <c r="AR1085" s="81" t="s">
        <v>179</v>
      </c>
      <c r="AS1085" s="81">
        <v>0</v>
      </c>
      <c r="AT1085" s="81">
        <v>0</v>
      </c>
      <c r="AU1085" s="81"/>
      <c r="AV1085" s="81"/>
      <c r="AW1085" s="81"/>
      <c r="AX1085" s="81"/>
      <c r="AY1085" s="81"/>
      <c r="AZ1085" s="81"/>
      <c r="BA1085" s="81"/>
      <c r="BB1085" s="81"/>
    </row>
    <row r="1086" spans="1:54" x14ac:dyDescent="0.35">
      <c r="A1086" s="66" t="s">
        <v>891</v>
      </c>
      <c r="B1086" s="66" t="s">
        <v>990</v>
      </c>
      <c r="C1086" s="67"/>
      <c r="D1086" s="68"/>
      <c r="E1086" s="69"/>
      <c r="F1086" s="70"/>
      <c r="G1086" s="67"/>
      <c r="H1086" s="71"/>
      <c r="I1086" s="72"/>
      <c r="J1086" s="72"/>
      <c r="K1086" s="36"/>
      <c r="L1086" s="79"/>
      <c r="M1086" s="79"/>
      <c r="N1086" s="74"/>
      <c r="O1086" s="81" t="s">
        <v>1532</v>
      </c>
      <c r="P1086" s="83">
        <v>44464.229201388887</v>
      </c>
      <c r="Q1086" s="81" t="s">
        <v>1910</v>
      </c>
      <c r="R1086" s="81"/>
      <c r="S1086" s="81"/>
      <c r="T1086" s="86" t="s">
        <v>1413</v>
      </c>
      <c r="U1086" s="84" t="str">
        <f>HYPERLINK("https://pbs.twimg.com/media/FAEaAdPVgAgaH2z.jpg")</f>
        <v>https://pbs.twimg.com/media/FAEaAdPVgAgaH2z.jpg</v>
      </c>
      <c r="V1086" s="84" t="str">
        <f>HYPERLINK("https://pbs.twimg.com/media/FAEaAdPVgAgaH2z.jpg")</f>
        <v>https://pbs.twimg.com/media/FAEaAdPVgAgaH2z.jpg</v>
      </c>
      <c r="W1086" s="83">
        <v>44464.229201388887</v>
      </c>
      <c r="X1086" s="89">
        <v>44464</v>
      </c>
      <c r="Y1086" s="86" t="s">
        <v>3527</v>
      </c>
      <c r="Z1086" s="84" t="str">
        <f>HYPERLINK("https://twitter.com/lauvkia/status/1441636094844407808")</f>
        <v>https://twitter.com/lauvkia/status/1441636094844407808</v>
      </c>
      <c r="AA1086" s="81"/>
      <c r="AB1086" s="81"/>
      <c r="AC1086" s="86" t="s">
        <v>4992</v>
      </c>
      <c r="AD1086" s="81"/>
      <c r="AE1086" s="81" t="b">
        <v>0</v>
      </c>
      <c r="AF1086" s="81">
        <v>0</v>
      </c>
      <c r="AG1086" s="86" t="s">
        <v>6240</v>
      </c>
      <c r="AH1086" s="81" t="b">
        <v>0</v>
      </c>
      <c r="AI1086" s="81" t="s">
        <v>6479</v>
      </c>
      <c r="AJ1086" s="81"/>
      <c r="AK1086" s="86" t="s">
        <v>6240</v>
      </c>
      <c r="AL1086" s="81" t="b">
        <v>0</v>
      </c>
      <c r="AM1086" s="81">
        <v>21</v>
      </c>
      <c r="AN1086" s="86" t="s">
        <v>5109</v>
      </c>
      <c r="AO1086" s="86" t="s">
        <v>6505</v>
      </c>
      <c r="AP1086" s="81" t="b">
        <v>0</v>
      </c>
      <c r="AQ1086" s="86" t="s">
        <v>5109</v>
      </c>
      <c r="AR1086" s="81" t="s">
        <v>179</v>
      </c>
      <c r="AS1086" s="81">
        <v>0</v>
      </c>
      <c r="AT1086" s="81">
        <v>0</v>
      </c>
      <c r="AU1086" s="81"/>
      <c r="AV1086" s="81"/>
      <c r="AW1086" s="81"/>
      <c r="AX1086" s="81"/>
      <c r="AY1086" s="81"/>
      <c r="AZ1086" s="81"/>
      <c r="BA1086" s="81"/>
      <c r="BB1086" s="81"/>
    </row>
    <row r="1087" spans="1:54" x14ac:dyDescent="0.35">
      <c r="A1087" s="66" t="s">
        <v>892</v>
      </c>
      <c r="B1087" s="66" t="s">
        <v>1435</v>
      </c>
      <c r="C1087" s="67"/>
      <c r="D1087" s="68"/>
      <c r="E1087" s="69"/>
      <c r="F1087" s="70"/>
      <c r="G1087" s="67"/>
      <c r="H1087" s="71"/>
      <c r="I1087" s="72"/>
      <c r="J1087" s="72"/>
      <c r="K1087" s="36"/>
      <c r="L1087" s="79"/>
      <c r="M1087" s="79"/>
      <c r="N1087" s="74"/>
      <c r="O1087" s="81" t="s">
        <v>1534</v>
      </c>
      <c r="P1087" s="83">
        <v>44464.229351851849</v>
      </c>
      <c r="Q1087" s="81" t="s">
        <v>1934</v>
      </c>
      <c r="R1087" s="81"/>
      <c r="S1087" s="81"/>
      <c r="T1087" s="81"/>
      <c r="U1087" s="81"/>
      <c r="V1087" s="84" t="str">
        <f>HYPERLINK("https://pbs.twimg.com/profile_images/1440244607577571331/3INHdfAa_normal.jpg")</f>
        <v>https://pbs.twimg.com/profile_images/1440244607577571331/3INHdfAa_normal.jpg</v>
      </c>
      <c r="W1087" s="83">
        <v>44464.229351851849</v>
      </c>
      <c r="X1087" s="89">
        <v>44464</v>
      </c>
      <c r="Y1087" s="86" t="s">
        <v>3528</v>
      </c>
      <c r="Z1087" s="84" t="str">
        <f>HYPERLINK("https://twitter.com/syazzyjinbts/status/1441636148846100483")</f>
        <v>https://twitter.com/syazzyjinbts/status/1441636148846100483</v>
      </c>
      <c r="AA1087" s="81"/>
      <c r="AB1087" s="81"/>
      <c r="AC1087" s="86" t="s">
        <v>4993</v>
      </c>
      <c r="AD1087" s="86" t="s">
        <v>6110</v>
      </c>
      <c r="AE1087" s="81" t="b">
        <v>0</v>
      </c>
      <c r="AF1087" s="81">
        <v>0</v>
      </c>
      <c r="AG1087" s="86" t="s">
        <v>6368</v>
      </c>
      <c r="AH1087" s="81" t="b">
        <v>0</v>
      </c>
      <c r="AI1087" s="81" t="s">
        <v>6478</v>
      </c>
      <c r="AJ1087" s="81"/>
      <c r="AK1087" s="86" t="s">
        <v>6240</v>
      </c>
      <c r="AL1087" s="81" t="b">
        <v>0</v>
      </c>
      <c r="AM1087" s="81">
        <v>0</v>
      </c>
      <c r="AN1087" s="86" t="s">
        <v>6240</v>
      </c>
      <c r="AO1087" s="86" t="s">
        <v>6503</v>
      </c>
      <c r="AP1087" s="81" t="b">
        <v>0</v>
      </c>
      <c r="AQ1087" s="86" t="s">
        <v>6110</v>
      </c>
      <c r="AR1087" s="81" t="s">
        <v>179</v>
      </c>
      <c r="AS1087" s="81">
        <v>0</v>
      </c>
      <c r="AT1087" s="81">
        <v>0</v>
      </c>
      <c r="AU1087" s="81"/>
      <c r="AV1087" s="81"/>
      <c r="AW1087" s="81"/>
      <c r="AX1087" s="81"/>
      <c r="AY1087" s="81"/>
      <c r="AZ1087" s="81"/>
      <c r="BA1087" s="81"/>
      <c r="BB1087" s="81"/>
    </row>
    <row r="1088" spans="1:54" x14ac:dyDescent="0.35">
      <c r="A1088" s="66" t="s">
        <v>893</v>
      </c>
      <c r="B1088" s="66" t="s">
        <v>1410</v>
      </c>
      <c r="C1088" s="67"/>
      <c r="D1088" s="68"/>
      <c r="E1088" s="69"/>
      <c r="F1088" s="70"/>
      <c r="G1088" s="67"/>
      <c r="H1088" s="71"/>
      <c r="I1088" s="72"/>
      <c r="J1088" s="72"/>
      <c r="K1088" s="36"/>
      <c r="L1088" s="79"/>
      <c r="M1088" s="79"/>
      <c r="N1088" s="74"/>
      <c r="O1088" s="81" t="s">
        <v>1533</v>
      </c>
      <c r="P1088" s="83">
        <v>44464.229629629626</v>
      </c>
      <c r="Q1088" s="81" t="s">
        <v>1910</v>
      </c>
      <c r="R1088" s="81"/>
      <c r="S1088" s="81"/>
      <c r="T1088" s="86" t="s">
        <v>1413</v>
      </c>
      <c r="U1088" s="84" t="str">
        <f>HYPERLINK("https://pbs.twimg.com/media/FAEaAdPVgAgaH2z.jpg")</f>
        <v>https://pbs.twimg.com/media/FAEaAdPVgAgaH2z.jpg</v>
      </c>
      <c r="V1088" s="84" t="str">
        <f>HYPERLINK("https://pbs.twimg.com/media/FAEaAdPVgAgaH2z.jpg")</f>
        <v>https://pbs.twimg.com/media/FAEaAdPVgAgaH2z.jpg</v>
      </c>
      <c r="W1088" s="83">
        <v>44464.229629629626</v>
      </c>
      <c r="X1088" s="89">
        <v>44464</v>
      </c>
      <c r="Y1088" s="86" t="s">
        <v>3529</v>
      </c>
      <c r="Z1088" s="84" t="str">
        <f>HYPERLINK("https://twitter.com/blkhairtannies/status/1441636249047998471")</f>
        <v>https://twitter.com/blkhairtannies/status/1441636249047998471</v>
      </c>
      <c r="AA1088" s="81"/>
      <c r="AB1088" s="81"/>
      <c r="AC1088" s="86" t="s">
        <v>4994</v>
      </c>
      <c r="AD1088" s="81"/>
      <c r="AE1088" s="81" t="b">
        <v>0</v>
      </c>
      <c r="AF1088" s="81">
        <v>0</v>
      </c>
      <c r="AG1088" s="86" t="s">
        <v>6240</v>
      </c>
      <c r="AH1088" s="81" t="b">
        <v>0</v>
      </c>
      <c r="AI1088" s="81" t="s">
        <v>6479</v>
      </c>
      <c r="AJ1088" s="81"/>
      <c r="AK1088" s="86" t="s">
        <v>6240</v>
      </c>
      <c r="AL1088" s="81" t="b">
        <v>0</v>
      </c>
      <c r="AM1088" s="81">
        <v>21</v>
      </c>
      <c r="AN1088" s="86" t="s">
        <v>5109</v>
      </c>
      <c r="AO1088" s="86" t="s">
        <v>6503</v>
      </c>
      <c r="AP1088" s="81" t="b">
        <v>0</v>
      </c>
      <c r="AQ1088" s="86" t="s">
        <v>5109</v>
      </c>
      <c r="AR1088" s="81" t="s">
        <v>179</v>
      </c>
      <c r="AS1088" s="81">
        <v>0</v>
      </c>
      <c r="AT1088" s="81">
        <v>0</v>
      </c>
      <c r="AU1088" s="81"/>
      <c r="AV1088" s="81"/>
      <c r="AW1088" s="81"/>
      <c r="AX1088" s="81"/>
      <c r="AY1088" s="81"/>
      <c r="AZ1088" s="81"/>
      <c r="BA1088" s="81"/>
      <c r="BB1088" s="81"/>
    </row>
    <row r="1089" spans="1:54" x14ac:dyDescent="0.35">
      <c r="A1089" s="66" t="s">
        <v>893</v>
      </c>
      <c r="B1089" s="66" t="s">
        <v>1411</v>
      </c>
      <c r="C1089" s="67"/>
      <c r="D1089" s="68"/>
      <c r="E1089" s="69"/>
      <c r="F1089" s="70"/>
      <c r="G1089" s="67"/>
      <c r="H1089" s="71"/>
      <c r="I1089" s="72"/>
      <c r="J1089" s="72"/>
      <c r="K1089" s="36"/>
      <c r="L1089" s="79"/>
      <c r="M1089" s="79"/>
      <c r="N1089" s="74"/>
      <c r="O1089" s="81" t="s">
        <v>1533</v>
      </c>
      <c r="P1089" s="83">
        <v>44464.229629629626</v>
      </c>
      <c r="Q1089" s="81" t="s">
        <v>1910</v>
      </c>
      <c r="R1089" s="81"/>
      <c r="S1089" s="81"/>
      <c r="T1089" s="86" t="s">
        <v>1413</v>
      </c>
      <c r="U1089" s="84" t="str">
        <f>HYPERLINK("https://pbs.twimg.com/media/FAEaAdPVgAgaH2z.jpg")</f>
        <v>https://pbs.twimg.com/media/FAEaAdPVgAgaH2z.jpg</v>
      </c>
      <c r="V1089" s="84" t="str">
        <f>HYPERLINK("https://pbs.twimg.com/media/FAEaAdPVgAgaH2z.jpg")</f>
        <v>https://pbs.twimg.com/media/FAEaAdPVgAgaH2z.jpg</v>
      </c>
      <c r="W1089" s="83">
        <v>44464.229629629626</v>
      </c>
      <c r="X1089" s="89">
        <v>44464</v>
      </c>
      <c r="Y1089" s="86" t="s">
        <v>3529</v>
      </c>
      <c r="Z1089" s="84" t="str">
        <f>HYPERLINK("https://twitter.com/blkhairtannies/status/1441636249047998471")</f>
        <v>https://twitter.com/blkhairtannies/status/1441636249047998471</v>
      </c>
      <c r="AA1089" s="81"/>
      <c r="AB1089" s="81"/>
      <c r="AC1089" s="86" t="s">
        <v>4994</v>
      </c>
      <c r="AD1089" s="81"/>
      <c r="AE1089" s="81" t="b">
        <v>0</v>
      </c>
      <c r="AF1089" s="81">
        <v>0</v>
      </c>
      <c r="AG1089" s="86" t="s">
        <v>6240</v>
      </c>
      <c r="AH1089" s="81" t="b">
        <v>0</v>
      </c>
      <c r="AI1089" s="81" t="s">
        <v>6479</v>
      </c>
      <c r="AJ1089" s="81"/>
      <c r="AK1089" s="86" t="s">
        <v>6240</v>
      </c>
      <c r="AL1089" s="81" t="b">
        <v>0</v>
      </c>
      <c r="AM1089" s="81">
        <v>21</v>
      </c>
      <c r="AN1089" s="86" t="s">
        <v>5109</v>
      </c>
      <c r="AO1089" s="86" t="s">
        <v>6503</v>
      </c>
      <c r="AP1089" s="81" t="b">
        <v>0</v>
      </c>
      <c r="AQ1089" s="86" t="s">
        <v>5109</v>
      </c>
      <c r="AR1089" s="81" t="s">
        <v>179</v>
      </c>
      <c r="AS1089" s="81">
        <v>0</v>
      </c>
      <c r="AT1089" s="81">
        <v>0</v>
      </c>
      <c r="AU1089" s="81"/>
      <c r="AV1089" s="81"/>
      <c r="AW1089" s="81"/>
      <c r="AX1089" s="81"/>
      <c r="AY1089" s="81"/>
      <c r="AZ1089" s="81"/>
      <c r="BA1089" s="81"/>
      <c r="BB1089" s="81"/>
    </row>
    <row r="1090" spans="1:54" x14ac:dyDescent="0.35">
      <c r="A1090" s="66" t="s">
        <v>893</v>
      </c>
      <c r="B1090" s="66" t="s">
        <v>1412</v>
      </c>
      <c r="C1090" s="67"/>
      <c r="D1090" s="68"/>
      <c r="E1090" s="69"/>
      <c r="F1090" s="70"/>
      <c r="G1090" s="67"/>
      <c r="H1090" s="71"/>
      <c r="I1090" s="72"/>
      <c r="J1090" s="72"/>
      <c r="K1090" s="36"/>
      <c r="L1090" s="79"/>
      <c r="M1090" s="79"/>
      <c r="N1090" s="74"/>
      <c r="O1090" s="81" t="s">
        <v>1533</v>
      </c>
      <c r="P1090" s="83">
        <v>44464.229629629626</v>
      </c>
      <c r="Q1090" s="81" t="s">
        <v>1910</v>
      </c>
      <c r="R1090" s="81"/>
      <c r="S1090" s="81"/>
      <c r="T1090" s="86" t="s">
        <v>1413</v>
      </c>
      <c r="U1090" s="84" t="str">
        <f>HYPERLINK("https://pbs.twimg.com/media/FAEaAdPVgAgaH2z.jpg")</f>
        <v>https://pbs.twimg.com/media/FAEaAdPVgAgaH2z.jpg</v>
      </c>
      <c r="V1090" s="84" t="str">
        <f>HYPERLINK("https://pbs.twimg.com/media/FAEaAdPVgAgaH2z.jpg")</f>
        <v>https://pbs.twimg.com/media/FAEaAdPVgAgaH2z.jpg</v>
      </c>
      <c r="W1090" s="83">
        <v>44464.229629629626</v>
      </c>
      <c r="X1090" s="89">
        <v>44464</v>
      </c>
      <c r="Y1090" s="86" t="s">
        <v>3529</v>
      </c>
      <c r="Z1090" s="84" t="str">
        <f>HYPERLINK("https://twitter.com/blkhairtannies/status/1441636249047998471")</f>
        <v>https://twitter.com/blkhairtannies/status/1441636249047998471</v>
      </c>
      <c r="AA1090" s="81"/>
      <c r="AB1090" s="81"/>
      <c r="AC1090" s="86" t="s">
        <v>4994</v>
      </c>
      <c r="AD1090" s="81"/>
      <c r="AE1090" s="81" t="b">
        <v>0</v>
      </c>
      <c r="AF1090" s="81">
        <v>0</v>
      </c>
      <c r="AG1090" s="86" t="s">
        <v>6240</v>
      </c>
      <c r="AH1090" s="81" t="b">
        <v>0</v>
      </c>
      <c r="AI1090" s="81" t="s">
        <v>6479</v>
      </c>
      <c r="AJ1090" s="81"/>
      <c r="AK1090" s="86" t="s">
        <v>6240</v>
      </c>
      <c r="AL1090" s="81" t="b">
        <v>0</v>
      </c>
      <c r="AM1090" s="81">
        <v>21</v>
      </c>
      <c r="AN1090" s="86" t="s">
        <v>5109</v>
      </c>
      <c r="AO1090" s="86" t="s">
        <v>6503</v>
      </c>
      <c r="AP1090" s="81" t="b">
        <v>0</v>
      </c>
      <c r="AQ1090" s="86" t="s">
        <v>5109</v>
      </c>
      <c r="AR1090" s="81" t="s">
        <v>179</v>
      </c>
      <c r="AS1090" s="81">
        <v>0</v>
      </c>
      <c r="AT1090" s="81">
        <v>0</v>
      </c>
      <c r="AU1090" s="81"/>
      <c r="AV1090" s="81"/>
      <c r="AW1090" s="81"/>
      <c r="AX1090" s="81"/>
      <c r="AY1090" s="81"/>
      <c r="AZ1090" s="81"/>
      <c r="BA1090" s="81"/>
      <c r="BB1090" s="81"/>
    </row>
    <row r="1091" spans="1:54" x14ac:dyDescent="0.35">
      <c r="A1091" s="66" t="s">
        <v>893</v>
      </c>
      <c r="B1091" s="66" t="s">
        <v>1413</v>
      </c>
      <c r="C1091" s="67"/>
      <c r="D1091" s="68"/>
      <c r="E1091" s="69"/>
      <c r="F1091" s="70"/>
      <c r="G1091" s="67"/>
      <c r="H1091" s="71"/>
      <c r="I1091" s="72"/>
      <c r="J1091" s="72"/>
      <c r="K1091" s="36"/>
      <c r="L1091" s="79"/>
      <c r="M1091" s="79"/>
      <c r="N1091" s="74"/>
      <c r="O1091" s="81" t="s">
        <v>1533</v>
      </c>
      <c r="P1091" s="83">
        <v>44464.229629629626</v>
      </c>
      <c r="Q1091" s="81" t="s">
        <v>1910</v>
      </c>
      <c r="R1091" s="81"/>
      <c r="S1091" s="81"/>
      <c r="T1091" s="86" t="s">
        <v>1413</v>
      </c>
      <c r="U1091" s="84" t="str">
        <f>HYPERLINK("https://pbs.twimg.com/media/FAEaAdPVgAgaH2z.jpg")</f>
        <v>https://pbs.twimg.com/media/FAEaAdPVgAgaH2z.jpg</v>
      </c>
      <c r="V1091" s="84" t="str">
        <f>HYPERLINK("https://pbs.twimg.com/media/FAEaAdPVgAgaH2z.jpg")</f>
        <v>https://pbs.twimg.com/media/FAEaAdPVgAgaH2z.jpg</v>
      </c>
      <c r="W1091" s="83">
        <v>44464.229629629626</v>
      </c>
      <c r="X1091" s="89">
        <v>44464</v>
      </c>
      <c r="Y1091" s="86" t="s">
        <v>3529</v>
      </c>
      <c r="Z1091" s="84" t="str">
        <f>HYPERLINK("https://twitter.com/blkhairtannies/status/1441636249047998471")</f>
        <v>https://twitter.com/blkhairtannies/status/1441636249047998471</v>
      </c>
      <c r="AA1091" s="81"/>
      <c r="AB1091" s="81"/>
      <c r="AC1091" s="86" t="s">
        <v>4994</v>
      </c>
      <c r="AD1091" s="81"/>
      <c r="AE1091" s="81" t="b">
        <v>0</v>
      </c>
      <c r="AF1091" s="81">
        <v>0</v>
      </c>
      <c r="AG1091" s="86" t="s">
        <v>6240</v>
      </c>
      <c r="AH1091" s="81" t="b">
        <v>0</v>
      </c>
      <c r="AI1091" s="81" t="s">
        <v>6479</v>
      </c>
      <c r="AJ1091" s="81"/>
      <c r="AK1091" s="86" t="s">
        <v>6240</v>
      </c>
      <c r="AL1091" s="81" t="b">
        <v>0</v>
      </c>
      <c r="AM1091" s="81">
        <v>21</v>
      </c>
      <c r="AN1091" s="86" t="s">
        <v>5109</v>
      </c>
      <c r="AO1091" s="86" t="s">
        <v>6503</v>
      </c>
      <c r="AP1091" s="81" t="b">
        <v>0</v>
      </c>
      <c r="AQ1091" s="86" t="s">
        <v>5109</v>
      </c>
      <c r="AR1091" s="81" t="s">
        <v>179</v>
      </c>
      <c r="AS1091" s="81">
        <v>0</v>
      </c>
      <c r="AT1091" s="81">
        <v>0</v>
      </c>
      <c r="AU1091" s="81"/>
      <c r="AV1091" s="81"/>
      <c r="AW1091" s="81"/>
      <c r="AX1091" s="81"/>
      <c r="AY1091" s="81"/>
      <c r="AZ1091" s="81"/>
      <c r="BA1091" s="81"/>
      <c r="BB1091" s="81"/>
    </row>
    <row r="1092" spans="1:54" x14ac:dyDescent="0.35">
      <c r="A1092" s="66" t="s">
        <v>893</v>
      </c>
      <c r="B1092" s="66" t="s">
        <v>990</v>
      </c>
      <c r="C1092" s="67"/>
      <c r="D1092" s="68"/>
      <c r="E1092" s="69"/>
      <c r="F1092" s="70"/>
      <c r="G1092" s="67"/>
      <c r="H1092" s="71"/>
      <c r="I1092" s="72"/>
      <c r="J1092" s="72"/>
      <c r="K1092" s="36"/>
      <c r="L1092" s="79"/>
      <c r="M1092" s="79"/>
      <c r="N1092" s="74"/>
      <c r="O1092" s="81" t="s">
        <v>1532</v>
      </c>
      <c r="P1092" s="83">
        <v>44464.229629629626</v>
      </c>
      <c r="Q1092" s="81" t="s">
        <v>1910</v>
      </c>
      <c r="R1092" s="81"/>
      <c r="S1092" s="81"/>
      <c r="T1092" s="86" t="s">
        <v>1413</v>
      </c>
      <c r="U1092" s="84" t="str">
        <f>HYPERLINK("https://pbs.twimg.com/media/FAEaAdPVgAgaH2z.jpg")</f>
        <v>https://pbs.twimg.com/media/FAEaAdPVgAgaH2z.jpg</v>
      </c>
      <c r="V1092" s="84" t="str">
        <f>HYPERLINK("https://pbs.twimg.com/media/FAEaAdPVgAgaH2z.jpg")</f>
        <v>https://pbs.twimg.com/media/FAEaAdPVgAgaH2z.jpg</v>
      </c>
      <c r="W1092" s="83">
        <v>44464.229629629626</v>
      </c>
      <c r="X1092" s="89">
        <v>44464</v>
      </c>
      <c r="Y1092" s="86" t="s">
        <v>3529</v>
      </c>
      <c r="Z1092" s="84" t="str">
        <f>HYPERLINK("https://twitter.com/blkhairtannies/status/1441636249047998471")</f>
        <v>https://twitter.com/blkhairtannies/status/1441636249047998471</v>
      </c>
      <c r="AA1092" s="81"/>
      <c r="AB1092" s="81"/>
      <c r="AC1092" s="86" t="s">
        <v>4994</v>
      </c>
      <c r="AD1092" s="81"/>
      <c r="AE1092" s="81" t="b">
        <v>0</v>
      </c>
      <c r="AF1092" s="81">
        <v>0</v>
      </c>
      <c r="AG1092" s="86" t="s">
        <v>6240</v>
      </c>
      <c r="AH1092" s="81" t="b">
        <v>0</v>
      </c>
      <c r="AI1092" s="81" t="s">
        <v>6479</v>
      </c>
      <c r="AJ1092" s="81"/>
      <c r="AK1092" s="86" t="s">
        <v>6240</v>
      </c>
      <c r="AL1092" s="81" t="b">
        <v>0</v>
      </c>
      <c r="AM1092" s="81">
        <v>21</v>
      </c>
      <c r="AN1092" s="86" t="s">
        <v>5109</v>
      </c>
      <c r="AO1092" s="86" t="s">
        <v>6503</v>
      </c>
      <c r="AP1092" s="81" t="b">
        <v>0</v>
      </c>
      <c r="AQ1092" s="86" t="s">
        <v>5109</v>
      </c>
      <c r="AR1092" s="81" t="s">
        <v>179</v>
      </c>
      <c r="AS1092" s="81">
        <v>0</v>
      </c>
      <c r="AT1092" s="81">
        <v>0</v>
      </c>
      <c r="AU1092" s="81"/>
      <c r="AV1092" s="81"/>
      <c r="AW1092" s="81"/>
      <c r="AX1092" s="81"/>
      <c r="AY1092" s="81"/>
      <c r="AZ1092" s="81"/>
      <c r="BA1092" s="81"/>
      <c r="BB1092" s="81"/>
    </row>
    <row r="1093" spans="1:54" x14ac:dyDescent="0.35">
      <c r="A1093" s="66" t="s">
        <v>894</v>
      </c>
      <c r="B1093" s="66" t="s">
        <v>1410</v>
      </c>
      <c r="C1093" s="67"/>
      <c r="D1093" s="68"/>
      <c r="E1093" s="69"/>
      <c r="F1093" s="70"/>
      <c r="G1093" s="67"/>
      <c r="H1093" s="71"/>
      <c r="I1093" s="72"/>
      <c r="J1093" s="72"/>
      <c r="K1093" s="36"/>
      <c r="L1093" s="79"/>
      <c r="M1093" s="79"/>
      <c r="N1093" s="74"/>
      <c r="O1093" s="81" t="s">
        <v>1533</v>
      </c>
      <c r="P1093" s="83">
        <v>44464.230833333335</v>
      </c>
      <c r="Q1093" s="81" t="s">
        <v>1910</v>
      </c>
      <c r="R1093" s="81"/>
      <c r="S1093" s="81"/>
      <c r="T1093" s="86" t="s">
        <v>1413</v>
      </c>
      <c r="U1093" s="84" t="str">
        <f>HYPERLINK("https://pbs.twimg.com/media/FAEaAdPVgAgaH2z.jpg")</f>
        <v>https://pbs.twimg.com/media/FAEaAdPVgAgaH2z.jpg</v>
      </c>
      <c r="V1093" s="84" t="str">
        <f>HYPERLINK("https://pbs.twimg.com/media/FAEaAdPVgAgaH2z.jpg")</f>
        <v>https://pbs.twimg.com/media/FAEaAdPVgAgaH2z.jpg</v>
      </c>
      <c r="W1093" s="83">
        <v>44464.230833333335</v>
      </c>
      <c r="X1093" s="89">
        <v>44464</v>
      </c>
      <c r="Y1093" s="86" t="s">
        <v>3530</v>
      </c>
      <c r="Z1093" s="84" t="str">
        <f>HYPERLINK("https://twitter.com/jeonbunnyqis/status/1441636685356273666")</f>
        <v>https://twitter.com/jeonbunnyqis/status/1441636685356273666</v>
      </c>
      <c r="AA1093" s="81"/>
      <c r="AB1093" s="81"/>
      <c r="AC1093" s="86" t="s">
        <v>4995</v>
      </c>
      <c r="AD1093" s="81"/>
      <c r="AE1093" s="81" t="b">
        <v>0</v>
      </c>
      <c r="AF1093" s="81">
        <v>0</v>
      </c>
      <c r="AG1093" s="86" t="s">
        <v>6240</v>
      </c>
      <c r="AH1093" s="81" t="b">
        <v>0</v>
      </c>
      <c r="AI1093" s="81" t="s">
        <v>6479</v>
      </c>
      <c r="AJ1093" s="81"/>
      <c r="AK1093" s="86" t="s">
        <v>6240</v>
      </c>
      <c r="AL1093" s="81" t="b">
        <v>0</v>
      </c>
      <c r="AM1093" s="81">
        <v>21</v>
      </c>
      <c r="AN1093" s="86" t="s">
        <v>5109</v>
      </c>
      <c r="AO1093" s="86" t="s">
        <v>6505</v>
      </c>
      <c r="AP1093" s="81" t="b">
        <v>0</v>
      </c>
      <c r="AQ1093" s="86" t="s">
        <v>5109</v>
      </c>
      <c r="AR1093" s="81" t="s">
        <v>179</v>
      </c>
      <c r="AS1093" s="81">
        <v>0</v>
      </c>
      <c r="AT1093" s="81">
        <v>0</v>
      </c>
      <c r="AU1093" s="81"/>
      <c r="AV1093" s="81"/>
      <c r="AW1093" s="81"/>
      <c r="AX1093" s="81"/>
      <c r="AY1093" s="81"/>
      <c r="AZ1093" s="81"/>
      <c r="BA1093" s="81"/>
      <c r="BB1093" s="81"/>
    </row>
    <row r="1094" spans="1:54" x14ac:dyDescent="0.35">
      <c r="A1094" s="66" t="s">
        <v>894</v>
      </c>
      <c r="B1094" s="66" t="s">
        <v>1411</v>
      </c>
      <c r="C1094" s="67"/>
      <c r="D1094" s="68"/>
      <c r="E1094" s="69"/>
      <c r="F1094" s="70"/>
      <c r="G1094" s="67"/>
      <c r="H1094" s="71"/>
      <c r="I1094" s="72"/>
      <c r="J1094" s="72"/>
      <c r="K1094" s="36"/>
      <c r="L1094" s="79"/>
      <c r="M1094" s="79"/>
      <c r="N1094" s="74"/>
      <c r="O1094" s="81" t="s">
        <v>1533</v>
      </c>
      <c r="P1094" s="83">
        <v>44464.230833333335</v>
      </c>
      <c r="Q1094" s="81" t="s">
        <v>1910</v>
      </c>
      <c r="R1094" s="81"/>
      <c r="S1094" s="81"/>
      <c r="T1094" s="86" t="s">
        <v>1413</v>
      </c>
      <c r="U1094" s="84" t="str">
        <f>HYPERLINK("https://pbs.twimg.com/media/FAEaAdPVgAgaH2z.jpg")</f>
        <v>https://pbs.twimg.com/media/FAEaAdPVgAgaH2z.jpg</v>
      </c>
      <c r="V1094" s="84" t="str">
        <f>HYPERLINK("https://pbs.twimg.com/media/FAEaAdPVgAgaH2z.jpg")</f>
        <v>https://pbs.twimg.com/media/FAEaAdPVgAgaH2z.jpg</v>
      </c>
      <c r="W1094" s="83">
        <v>44464.230833333335</v>
      </c>
      <c r="X1094" s="89">
        <v>44464</v>
      </c>
      <c r="Y1094" s="86" t="s">
        <v>3530</v>
      </c>
      <c r="Z1094" s="84" t="str">
        <f>HYPERLINK("https://twitter.com/jeonbunnyqis/status/1441636685356273666")</f>
        <v>https://twitter.com/jeonbunnyqis/status/1441636685356273666</v>
      </c>
      <c r="AA1094" s="81"/>
      <c r="AB1094" s="81"/>
      <c r="AC1094" s="86" t="s">
        <v>4995</v>
      </c>
      <c r="AD1094" s="81"/>
      <c r="AE1094" s="81" t="b">
        <v>0</v>
      </c>
      <c r="AF1094" s="81">
        <v>0</v>
      </c>
      <c r="AG1094" s="86" t="s">
        <v>6240</v>
      </c>
      <c r="AH1094" s="81" t="b">
        <v>0</v>
      </c>
      <c r="AI1094" s="81" t="s">
        <v>6479</v>
      </c>
      <c r="AJ1094" s="81"/>
      <c r="AK1094" s="86" t="s">
        <v>6240</v>
      </c>
      <c r="AL1094" s="81" t="b">
        <v>0</v>
      </c>
      <c r="AM1094" s="81">
        <v>21</v>
      </c>
      <c r="AN1094" s="86" t="s">
        <v>5109</v>
      </c>
      <c r="AO1094" s="86" t="s">
        <v>6505</v>
      </c>
      <c r="AP1094" s="81" t="b">
        <v>0</v>
      </c>
      <c r="AQ1094" s="86" t="s">
        <v>5109</v>
      </c>
      <c r="AR1094" s="81" t="s">
        <v>179</v>
      </c>
      <c r="AS1094" s="81">
        <v>0</v>
      </c>
      <c r="AT1094" s="81">
        <v>0</v>
      </c>
      <c r="AU1094" s="81"/>
      <c r="AV1094" s="81"/>
      <c r="AW1094" s="81"/>
      <c r="AX1094" s="81"/>
      <c r="AY1094" s="81"/>
      <c r="AZ1094" s="81"/>
      <c r="BA1094" s="81"/>
      <c r="BB1094" s="81"/>
    </row>
    <row r="1095" spans="1:54" x14ac:dyDescent="0.35">
      <c r="A1095" s="66" t="s">
        <v>894</v>
      </c>
      <c r="B1095" s="66" t="s">
        <v>1412</v>
      </c>
      <c r="C1095" s="67"/>
      <c r="D1095" s="68"/>
      <c r="E1095" s="69"/>
      <c r="F1095" s="70"/>
      <c r="G1095" s="67"/>
      <c r="H1095" s="71"/>
      <c r="I1095" s="72"/>
      <c r="J1095" s="72"/>
      <c r="K1095" s="36"/>
      <c r="L1095" s="79"/>
      <c r="M1095" s="79"/>
      <c r="N1095" s="74"/>
      <c r="O1095" s="81" t="s">
        <v>1533</v>
      </c>
      <c r="P1095" s="83">
        <v>44464.230833333335</v>
      </c>
      <c r="Q1095" s="81" t="s">
        <v>1910</v>
      </c>
      <c r="R1095" s="81"/>
      <c r="S1095" s="81"/>
      <c r="T1095" s="86" t="s">
        <v>1413</v>
      </c>
      <c r="U1095" s="84" t="str">
        <f>HYPERLINK("https://pbs.twimg.com/media/FAEaAdPVgAgaH2z.jpg")</f>
        <v>https://pbs.twimg.com/media/FAEaAdPVgAgaH2z.jpg</v>
      </c>
      <c r="V1095" s="84" t="str">
        <f>HYPERLINK("https://pbs.twimg.com/media/FAEaAdPVgAgaH2z.jpg")</f>
        <v>https://pbs.twimg.com/media/FAEaAdPVgAgaH2z.jpg</v>
      </c>
      <c r="W1095" s="83">
        <v>44464.230833333335</v>
      </c>
      <c r="X1095" s="89">
        <v>44464</v>
      </c>
      <c r="Y1095" s="86" t="s">
        <v>3530</v>
      </c>
      <c r="Z1095" s="84" t="str">
        <f>HYPERLINK("https://twitter.com/jeonbunnyqis/status/1441636685356273666")</f>
        <v>https://twitter.com/jeonbunnyqis/status/1441636685356273666</v>
      </c>
      <c r="AA1095" s="81"/>
      <c r="AB1095" s="81"/>
      <c r="AC1095" s="86" t="s">
        <v>4995</v>
      </c>
      <c r="AD1095" s="81"/>
      <c r="AE1095" s="81" t="b">
        <v>0</v>
      </c>
      <c r="AF1095" s="81">
        <v>0</v>
      </c>
      <c r="AG1095" s="86" t="s">
        <v>6240</v>
      </c>
      <c r="AH1095" s="81" t="b">
        <v>0</v>
      </c>
      <c r="AI1095" s="81" t="s">
        <v>6479</v>
      </c>
      <c r="AJ1095" s="81"/>
      <c r="AK1095" s="86" t="s">
        <v>6240</v>
      </c>
      <c r="AL1095" s="81" t="b">
        <v>0</v>
      </c>
      <c r="AM1095" s="81">
        <v>21</v>
      </c>
      <c r="AN1095" s="86" t="s">
        <v>5109</v>
      </c>
      <c r="AO1095" s="86" t="s">
        <v>6505</v>
      </c>
      <c r="AP1095" s="81" t="b">
        <v>0</v>
      </c>
      <c r="AQ1095" s="86" t="s">
        <v>5109</v>
      </c>
      <c r="AR1095" s="81" t="s">
        <v>179</v>
      </c>
      <c r="AS1095" s="81">
        <v>0</v>
      </c>
      <c r="AT1095" s="81">
        <v>0</v>
      </c>
      <c r="AU1095" s="81"/>
      <c r="AV1095" s="81"/>
      <c r="AW1095" s="81"/>
      <c r="AX1095" s="81"/>
      <c r="AY1095" s="81"/>
      <c r="AZ1095" s="81"/>
      <c r="BA1095" s="81"/>
      <c r="BB1095" s="81"/>
    </row>
    <row r="1096" spans="1:54" x14ac:dyDescent="0.35">
      <c r="A1096" s="66" t="s">
        <v>894</v>
      </c>
      <c r="B1096" s="66" t="s">
        <v>1413</v>
      </c>
      <c r="C1096" s="67"/>
      <c r="D1096" s="68"/>
      <c r="E1096" s="69"/>
      <c r="F1096" s="70"/>
      <c r="G1096" s="67"/>
      <c r="H1096" s="71"/>
      <c r="I1096" s="72"/>
      <c r="J1096" s="72"/>
      <c r="K1096" s="36"/>
      <c r="L1096" s="79"/>
      <c r="M1096" s="79"/>
      <c r="N1096" s="74"/>
      <c r="O1096" s="81" t="s">
        <v>1533</v>
      </c>
      <c r="P1096" s="83">
        <v>44464.230833333335</v>
      </c>
      <c r="Q1096" s="81" t="s">
        <v>1910</v>
      </c>
      <c r="R1096" s="81"/>
      <c r="S1096" s="81"/>
      <c r="T1096" s="86" t="s">
        <v>1413</v>
      </c>
      <c r="U1096" s="84" t="str">
        <f>HYPERLINK("https://pbs.twimg.com/media/FAEaAdPVgAgaH2z.jpg")</f>
        <v>https://pbs.twimg.com/media/FAEaAdPVgAgaH2z.jpg</v>
      </c>
      <c r="V1096" s="84" t="str">
        <f>HYPERLINK("https://pbs.twimg.com/media/FAEaAdPVgAgaH2z.jpg")</f>
        <v>https://pbs.twimg.com/media/FAEaAdPVgAgaH2z.jpg</v>
      </c>
      <c r="W1096" s="83">
        <v>44464.230833333335</v>
      </c>
      <c r="X1096" s="89">
        <v>44464</v>
      </c>
      <c r="Y1096" s="86" t="s">
        <v>3530</v>
      </c>
      <c r="Z1096" s="84" t="str">
        <f>HYPERLINK("https://twitter.com/jeonbunnyqis/status/1441636685356273666")</f>
        <v>https://twitter.com/jeonbunnyqis/status/1441636685356273666</v>
      </c>
      <c r="AA1096" s="81"/>
      <c r="AB1096" s="81"/>
      <c r="AC1096" s="86" t="s">
        <v>4995</v>
      </c>
      <c r="AD1096" s="81"/>
      <c r="AE1096" s="81" t="b">
        <v>0</v>
      </c>
      <c r="AF1096" s="81">
        <v>0</v>
      </c>
      <c r="AG1096" s="86" t="s">
        <v>6240</v>
      </c>
      <c r="AH1096" s="81" t="b">
        <v>0</v>
      </c>
      <c r="AI1096" s="81" t="s">
        <v>6479</v>
      </c>
      <c r="AJ1096" s="81"/>
      <c r="AK1096" s="86" t="s">
        <v>6240</v>
      </c>
      <c r="AL1096" s="81" t="b">
        <v>0</v>
      </c>
      <c r="AM1096" s="81">
        <v>21</v>
      </c>
      <c r="AN1096" s="86" t="s">
        <v>5109</v>
      </c>
      <c r="AO1096" s="86" t="s">
        <v>6505</v>
      </c>
      <c r="AP1096" s="81" t="b">
        <v>0</v>
      </c>
      <c r="AQ1096" s="86" t="s">
        <v>5109</v>
      </c>
      <c r="AR1096" s="81" t="s">
        <v>179</v>
      </c>
      <c r="AS1096" s="81">
        <v>0</v>
      </c>
      <c r="AT1096" s="81">
        <v>0</v>
      </c>
      <c r="AU1096" s="81"/>
      <c r="AV1096" s="81"/>
      <c r="AW1096" s="81"/>
      <c r="AX1096" s="81"/>
      <c r="AY1096" s="81"/>
      <c r="AZ1096" s="81"/>
      <c r="BA1096" s="81"/>
      <c r="BB1096" s="81"/>
    </row>
    <row r="1097" spans="1:54" x14ac:dyDescent="0.35">
      <c r="A1097" s="66" t="s">
        <v>894</v>
      </c>
      <c r="B1097" s="66" t="s">
        <v>990</v>
      </c>
      <c r="C1097" s="67"/>
      <c r="D1097" s="68"/>
      <c r="E1097" s="69"/>
      <c r="F1097" s="70"/>
      <c r="G1097" s="67"/>
      <c r="H1097" s="71"/>
      <c r="I1097" s="72"/>
      <c r="J1097" s="72"/>
      <c r="K1097" s="36"/>
      <c r="L1097" s="79"/>
      <c r="M1097" s="79"/>
      <c r="N1097" s="74"/>
      <c r="O1097" s="81" t="s">
        <v>1532</v>
      </c>
      <c r="P1097" s="83">
        <v>44464.230833333335</v>
      </c>
      <c r="Q1097" s="81" t="s">
        <v>1910</v>
      </c>
      <c r="R1097" s="81"/>
      <c r="S1097" s="81"/>
      <c r="T1097" s="86" t="s">
        <v>1413</v>
      </c>
      <c r="U1097" s="84" t="str">
        <f>HYPERLINK("https://pbs.twimg.com/media/FAEaAdPVgAgaH2z.jpg")</f>
        <v>https://pbs.twimg.com/media/FAEaAdPVgAgaH2z.jpg</v>
      </c>
      <c r="V1097" s="84" t="str">
        <f>HYPERLINK("https://pbs.twimg.com/media/FAEaAdPVgAgaH2z.jpg")</f>
        <v>https://pbs.twimg.com/media/FAEaAdPVgAgaH2z.jpg</v>
      </c>
      <c r="W1097" s="83">
        <v>44464.230833333335</v>
      </c>
      <c r="X1097" s="89">
        <v>44464</v>
      </c>
      <c r="Y1097" s="86" t="s">
        <v>3530</v>
      </c>
      <c r="Z1097" s="84" t="str">
        <f>HYPERLINK("https://twitter.com/jeonbunnyqis/status/1441636685356273666")</f>
        <v>https://twitter.com/jeonbunnyqis/status/1441636685356273666</v>
      </c>
      <c r="AA1097" s="81"/>
      <c r="AB1097" s="81"/>
      <c r="AC1097" s="86" t="s">
        <v>4995</v>
      </c>
      <c r="AD1097" s="81"/>
      <c r="AE1097" s="81" t="b">
        <v>0</v>
      </c>
      <c r="AF1097" s="81">
        <v>0</v>
      </c>
      <c r="AG1097" s="86" t="s">
        <v>6240</v>
      </c>
      <c r="AH1097" s="81" t="b">
        <v>0</v>
      </c>
      <c r="AI1097" s="81" t="s">
        <v>6479</v>
      </c>
      <c r="AJ1097" s="81"/>
      <c r="AK1097" s="86" t="s">
        <v>6240</v>
      </c>
      <c r="AL1097" s="81" t="b">
        <v>0</v>
      </c>
      <c r="AM1097" s="81">
        <v>21</v>
      </c>
      <c r="AN1097" s="86" t="s">
        <v>5109</v>
      </c>
      <c r="AO1097" s="86" t="s">
        <v>6505</v>
      </c>
      <c r="AP1097" s="81" t="b">
        <v>0</v>
      </c>
      <c r="AQ1097" s="86" t="s">
        <v>5109</v>
      </c>
      <c r="AR1097" s="81" t="s">
        <v>179</v>
      </c>
      <c r="AS1097" s="81">
        <v>0</v>
      </c>
      <c r="AT1097" s="81">
        <v>0</v>
      </c>
      <c r="AU1097" s="81"/>
      <c r="AV1097" s="81"/>
      <c r="AW1097" s="81"/>
      <c r="AX1097" s="81"/>
      <c r="AY1097" s="81"/>
      <c r="AZ1097" s="81"/>
      <c r="BA1097" s="81"/>
      <c r="BB1097" s="81"/>
    </row>
    <row r="1098" spans="1:54" x14ac:dyDescent="0.35">
      <c r="A1098" s="66" t="s">
        <v>895</v>
      </c>
      <c r="B1098" s="66" t="s">
        <v>1410</v>
      </c>
      <c r="C1098" s="67"/>
      <c r="D1098" s="68"/>
      <c r="E1098" s="69"/>
      <c r="F1098" s="70"/>
      <c r="G1098" s="67"/>
      <c r="H1098" s="71"/>
      <c r="I1098" s="72"/>
      <c r="J1098" s="72"/>
      <c r="K1098" s="36"/>
      <c r="L1098" s="79"/>
      <c r="M1098" s="79"/>
      <c r="N1098" s="74"/>
      <c r="O1098" s="81" t="s">
        <v>1533</v>
      </c>
      <c r="P1098" s="83">
        <v>44464.230983796297</v>
      </c>
      <c r="Q1098" s="81" t="s">
        <v>1910</v>
      </c>
      <c r="R1098" s="81"/>
      <c r="S1098" s="81"/>
      <c r="T1098" s="86" t="s">
        <v>1413</v>
      </c>
      <c r="U1098" s="84" t="str">
        <f>HYPERLINK("https://pbs.twimg.com/media/FAEaAdPVgAgaH2z.jpg")</f>
        <v>https://pbs.twimg.com/media/FAEaAdPVgAgaH2z.jpg</v>
      </c>
      <c r="V1098" s="84" t="str">
        <f>HYPERLINK("https://pbs.twimg.com/media/FAEaAdPVgAgaH2z.jpg")</f>
        <v>https://pbs.twimg.com/media/FAEaAdPVgAgaH2z.jpg</v>
      </c>
      <c r="W1098" s="83">
        <v>44464.230983796297</v>
      </c>
      <c r="X1098" s="89">
        <v>44464</v>
      </c>
      <c r="Y1098" s="86" t="s">
        <v>3531</v>
      </c>
      <c r="Z1098" s="84" t="str">
        <f>HYPERLINK("https://twitter.com/busannfairies/status/1441636738737184769")</f>
        <v>https://twitter.com/busannfairies/status/1441636738737184769</v>
      </c>
      <c r="AA1098" s="81"/>
      <c r="AB1098" s="81"/>
      <c r="AC1098" s="86" t="s">
        <v>4996</v>
      </c>
      <c r="AD1098" s="81"/>
      <c r="AE1098" s="81" t="b">
        <v>0</v>
      </c>
      <c r="AF1098" s="81">
        <v>0</v>
      </c>
      <c r="AG1098" s="86" t="s">
        <v>6240</v>
      </c>
      <c r="AH1098" s="81" t="b">
        <v>0</v>
      </c>
      <c r="AI1098" s="81" t="s">
        <v>6479</v>
      </c>
      <c r="AJ1098" s="81"/>
      <c r="AK1098" s="86" t="s">
        <v>6240</v>
      </c>
      <c r="AL1098" s="81" t="b">
        <v>0</v>
      </c>
      <c r="AM1098" s="81">
        <v>21</v>
      </c>
      <c r="AN1098" s="86" t="s">
        <v>5109</v>
      </c>
      <c r="AO1098" s="86" t="s">
        <v>6505</v>
      </c>
      <c r="AP1098" s="81" t="b">
        <v>0</v>
      </c>
      <c r="AQ1098" s="86" t="s">
        <v>5109</v>
      </c>
      <c r="AR1098" s="81" t="s">
        <v>179</v>
      </c>
      <c r="AS1098" s="81">
        <v>0</v>
      </c>
      <c r="AT1098" s="81">
        <v>0</v>
      </c>
      <c r="AU1098" s="81"/>
      <c r="AV1098" s="81"/>
      <c r="AW1098" s="81"/>
      <c r="AX1098" s="81"/>
      <c r="AY1098" s="81"/>
      <c r="AZ1098" s="81"/>
      <c r="BA1098" s="81"/>
      <c r="BB1098" s="81"/>
    </row>
    <row r="1099" spans="1:54" x14ac:dyDescent="0.35">
      <c r="A1099" s="66" t="s">
        <v>895</v>
      </c>
      <c r="B1099" s="66" t="s">
        <v>1411</v>
      </c>
      <c r="C1099" s="67"/>
      <c r="D1099" s="68"/>
      <c r="E1099" s="69"/>
      <c r="F1099" s="70"/>
      <c r="G1099" s="67"/>
      <c r="H1099" s="71"/>
      <c r="I1099" s="72"/>
      <c r="J1099" s="72"/>
      <c r="K1099" s="36"/>
      <c r="L1099" s="79"/>
      <c r="M1099" s="79"/>
      <c r="N1099" s="74"/>
      <c r="O1099" s="81" t="s">
        <v>1533</v>
      </c>
      <c r="P1099" s="83">
        <v>44464.230983796297</v>
      </c>
      <c r="Q1099" s="81" t="s">
        <v>1910</v>
      </c>
      <c r="R1099" s="81"/>
      <c r="S1099" s="81"/>
      <c r="T1099" s="86" t="s">
        <v>1413</v>
      </c>
      <c r="U1099" s="84" t="str">
        <f>HYPERLINK("https://pbs.twimg.com/media/FAEaAdPVgAgaH2z.jpg")</f>
        <v>https://pbs.twimg.com/media/FAEaAdPVgAgaH2z.jpg</v>
      </c>
      <c r="V1099" s="84" t="str">
        <f>HYPERLINK("https://pbs.twimg.com/media/FAEaAdPVgAgaH2z.jpg")</f>
        <v>https://pbs.twimg.com/media/FAEaAdPVgAgaH2z.jpg</v>
      </c>
      <c r="W1099" s="83">
        <v>44464.230983796297</v>
      </c>
      <c r="X1099" s="89">
        <v>44464</v>
      </c>
      <c r="Y1099" s="86" t="s">
        <v>3531</v>
      </c>
      <c r="Z1099" s="84" t="str">
        <f>HYPERLINK("https://twitter.com/busannfairies/status/1441636738737184769")</f>
        <v>https://twitter.com/busannfairies/status/1441636738737184769</v>
      </c>
      <c r="AA1099" s="81"/>
      <c r="AB1099" s="81"/>
      <c r="AC1099" s="86" t="s">
        <v>4996</v>
      </c>
      <c r="AD1099" s="81"/>
      <c r="AE1099" s="81" t="b">
        <v>0</v>
      </c>
      <c r="AF1099" s="81">
        <v>0</v>
      </c>
      <c r="AG1099" s="86" t="s">
        <v>6240</v>
      </c>
      <c r="AH1099" s="81" t="b">
        <v>0</v>
      </c>
      <c r="AI1099" s="81" t="s">
        <v>6479</v>
      </c>
      <c r="AJ1099" s="81"/>
      <c r="AK1099" s="86" t="s">
        <v>6240</v>
      </c>
      <c r="AL1099" s="81" t="b">
        <v>0</v>
      </c>
      <c r="AM1099" s="81">
        <v>21</v>
      </c>
      <c r="AN1099" s="86" t="s">
        <v>5109</v>
      </c>
      <c r="AO1099" s="86" t="s">
        <v>6505</v>
      </c>
      <c r="AP1099" s="81" t="b">
        <v>0</v>
      </c>
      <c r="AQ1099" s="86" t="s">
        <v>5109</v>
      </c>
      <c r="AR1099" s="81" t="s">
        <v>179</v>
      </c>
      <c r="AS1099" s="81">
        <v>0</v>
      </c>
      <c r="AT1099" s="81">
        <v>0</v>
      </c>
      <c r="AU1099" s="81"/>
      <c r="AV1099" s="81"/>
      <c r="AW1099" s="81"/>
      <c r="AX1099" s="81"/>
      <c r="AY1099" s="81"/>
      <c r="AZ1099" s="81"/>
      <c r="BA1099" s="81"/>
      <c r="BB1099" s="81"/>
    </row>
    <row r="1100" spans="1:54" x14ac:dyDescent="0.35">
      <c r="A1100" s="66" t="s">
        <v>895</v>
      </c>
      <c r="B1100" s="66" t="s">
        <v>1412</v>
      </c>
      <c r="C1100" s="67"/>
      <c r="D1100" s="68"/>
      <c r="E1100" s="69"/>
      <c r="F1100" s="70"/>
      <c r="G1100" s="67"/>
      <c r="H1100" s="71"/>
      <c r="I1100" s="72"/>
      <c r="J1100" s="72"/>
      <c r="K1100" s="36"/>
      <c r="L1100" s="79"/>
      <c r="M1100" s="79"/>
      <c r="N1100" s="74"/>
      <c r="O1100" s="81" t="s">
        <v>1533</v>
      </c>
      <c r="P1100" s="83">
        <v>44464.230983796297</v>
      </c>
      <c r="Q1100" s="81" t="s">
        <v>1910</v>
      </c>
      <c r="R1100" s="81"/>
      <c r="S1100" s="81"/>
      <c r="T1100" s="86" t="s">
        <v>1413</v>
      </c>
      <c r="U1100" s="84" t="str">
        <f>HYPERLINK("https://pbs.twimg.com/media/FAEaAdPVgAgaH2z.jpg")</f>
        <v>https://pbs.twimg.com/media/FAEaAdPVgAgaH2z.jpg</v>
      </c>
      <c r="V1100" s="84" t="str">
        <f>HYPERLINK("https://pbs.twimg.com/media/FAEaAdPVgAgaH2z.jpg")</f>
        <v>https://pbs.twimg.com/media/FAEaAdPVgAgaH2z.jpg</v>
      </c>
      <c r="W1100" s="83">
        <v>44464.230983796297</v>
      </c>
      <c r="X1100" s="89">
        <v>44464</v>
      </c>
      <c r="Y1100" s="86" t="s">
        <v>3531</v>
      </c>
      <c r="Z1100" s="84" t="str">
        <f>HYPERLINK("https://twitter.com/busannfairies/status/1441636738737184769")</f>
        <v>https://twitter.com/busannfairies/status/1441636738737184769</v>
      </c>
      <c r="AA1100" s="81"/>
      <c r="AB1100" s="81"/>
      <c r="AC1100" s="86" t="s">
        <v>4996</v>
      </c>
      <c r="AD1100" s="81"/>
      <c r="AE1100" s="81" t="b">
        <v>0</v>
      </c>
      <c r="AF1100" s="81">
        <v>0</v>
      </c>
      <c r="AG1100" s="86" t="s">
        <v>6240</v>
      </c>
      <c r="AH1100" s="81" t="b">
        <v>0</v>
      </c>
      <c r="AI1100" s="81" t="s">
        <v>6479</v>
      </c>
      <c r="AJ1100" s="81"/>
      <c r="AK1100" s="86" t="s">
        <v>6240</v>
      </c>
      <c r="AL1100" s="81" t="b">
        <v>0</v>
      </c>
      <c r="AM1100" s="81">
        <v>21</v>
      </c>
      <c r="AN1100" s="86" t="s">
        <v>5109</v>
      </c>
      <c r="AO1100" s="86" t="s">
        <v>6505</v>
      </c>
      <c r="AP1100" s="81" t="b">
        <v>0</v>
      </c>
      <c r="AQ1100" s="86" t="s">
        <v>5109</v>
      </c>
      <c r="AR1100" s="81" t="s">
        <v>179</v>
      </c>
      <c r="AS1100" s="81">
        <v>0</v>
      </c>
      <c r="AT1100" s="81">
        <v>0</v>
      </c>
      <c r="AU1100" s="81"/>
      <c r="AV1100" s="81"/>
      <c r="AW1100" s="81"/>
      <c r="AX1100" s="81"/>
      <c r="AY1100" s="81"/>
      <c r="AZ1100" s="81"/>
      <c r="BA1100" s="81"/>
      <c r="BB1100" s="81"/>
    </row>
    <row r="1101" spans="1:54" x14ac:dyDescent="0.35">
      <c r="A1101" s="66" t="s">
        <v>895</v>
      </c>
      <c r="B1101" s="66" t="s">
        <v>1413</v>
      </c>
      <c r="C1101" s="67"/>
      <c r="D1101" s="68"/>
      <c r="E1101" s="69"/>
      <c r="F1101" s="70"/>
      <c r="G1101" s="67"/>
      <c r="H1101" s="71"/>
      <c r="I1101" s="72"/>
      <c r="J1101" s="72"/>
      <c r="K1101" s="36"/>
      <c r="L1101" s="79"/>
      <c r="M1101" s="79"/>
      <c r="N1101" s="74"/>
      <c r="O1101" s="81" t="s">
        <v>1533</v>
      </c>
      <c r="P1101" s="83">
        <v>44464.230983796297</v>
      </c>
      <c r="Q1101" s="81" t="s">
        <v>1910</v>
      </c>
      <c r="R1101" s="81"/>
      <c r="S1101" s="81"/>
      <c r="T1101" s="86" t="s">
        <v>1413</v>
      </c>
      <c r="U1101" s="84" t="str">
        <f>HYPERLINK("https://pbs.twimg.com/media/FAEaAdPVgAgaH2z.jpg")</f>
        <v>https://pbs.twimg.com/media/FAEaAdPVgAgaH2z.jpg</v>
      </c>
      <c r="V1101" s="84" t="str">
        <f>HYPERLINK("https://pbs.twimg.com/media/FAEaAdPVgAgaH2z.jpg")</f>
        <v>https://pbs.twimg.com/media/FAEaAdPVgAgaH2z.jpg</v>
      </c>
      <c r="W1101" s="83">
        <v>44464.230983796297</v>
      </c>
      <c r="X1101" s="89">
        <v>44464</v>
      </c>
      <c r="Y1101" s="86" t="s">
        <v>3531</v>
      </c>
      <c r="Z1101" s="84" t="str">
        <f>HYPERLINK("https://twitter.com/busannfairies/status/1441636738737184769")</f>
        <v>https://twitter.com/busannfairies/status/1441636738737184769</v>
      </c>
      <c r="AA1101" s="81"/>
      <c r="AB1101" s="81"/>
      <c r="AC1101" s="86" t="s">
        <v>4996</v>
      </c>
      <c r="AD1101" s="81"/>
      <c r="AE1101" s="81" t="b">
        <v>0</v>
      </c>
      <c r="AF1101" s="81">
        <v>0</v>
      </c>
      <c r="AG1101" s="86" t="s">
        <v>6240</v>
      </c>
      <c r="AH1101" s="81" t="b">
        <v>0</v>
      </c>
      <c r="AI1101" s="81" t="s">
        <v>6479</v>
      </c>
      <c r="AJ1101" s="81"/>
      <c r="AK1101" s="86" t="s">
        <v>6240</v>
      </c>
      <c r="AL1101" s="81" t="b">
        <v>0</v>
      </c>
      <c r="AM1101" s="81">
        <v>21</v>
      </c>
      <c r="AN1101" s="86" t="s">
        <v>5109</v>
      </c>
      <c r="AO1101" s="86" t="s">
        <v>6505</v>
      </c>
      <c r="AP1101" s="81" t="b">
        <v>0</v>
      </c>
      <c r="AQ1101" s="86" t="s">
        <v>5109</v>
      </c>
      <c r="AR1101" s="81" t="s">
        <v>179</v>
      </c>
      <c r="AS1101" s="81">
        <v>0</v>
      </c>
      <c r="AT1101" s="81">
        <v>0</v>
      </c>
      <c r="AU1101" s="81"/>
      <c r="AV1101" s="81"/>
      <c r="AW1101" s="81"/>
      <c r="AX1101" s="81"/>
      <c r="AY1101" s="81"/>
      <c r="AZ1101" s="81"/>
      <c r="BA1101" s="81"/>
      <c r="BB1101" s="81"/>
    </row>
    <row r="1102" spans="1:54" x14ac:dyDescent="0.35">
      <c r="A1102" s="66" t="s">
        <v>895</v>
      </c>
      <c r="B1102" s="66" t="s">
        <v>990</v>
      </c>
      <c r="C1102" s="67"/>
      <c r="D1102" s="68"/>
      <c r="E1102" s="69"/>
      <c r="F1102" s="70"/>
      <c r="G1102" s="67"/>
      <c r="H1102" s="71"/>
      <c r="I1102" s="72"/>
      <c r="J1102" s="72"/>
      <c r="K1102" s="36"/>
      <c r="L1102" s="79"/>
      <c r="M1102" s="79"/>
      <c r="N1102" s="74"/>
      <c r="O1102" s="81" t="s">
        <v>1532</v>
      </c>
      <c r="P1102" s="83">
        <v>44464.230983796297</v>
      </c>
      <c r="Q1102" s="81" t="s">
        <v>1910</v>
      </c>
      <c r="R1102" s="81"/>
      <c r="S1102" s="81"/>
      <c r="T1102" s="86" t="s">
        <v>1413</v>
      </c>
      <c r="U1102" s="84" t="str">
        <f>HYPERLINK("https://pbs.twimg.com/media/FAEaAdPVgAgaH2z.jpg")</f>
        <v>https://pbs.twimg.com/media/FAEaAdPVgAgaH2z.jpg</v>
      </c>
      <c r="V1102" s="84" t="str">
        <f>HYPERLINK("https://pbs.twimg.com/media/FAEaAdPVgAgaH2z.jpg")</f>
        <v>https://pbs.twimg.com/media/FAEaAdPVgAgaH2z.jpg</v>
      </c>
      <c r="W1102" s="83">
        <v>44464.230983796297</v>
      </c>
      <c r="X1102" s="89">
        <v>44464</v>
      </c>
      <c r="Y1102" s="86" t="s">
        <v>3531</v>
      </c>
      <c r="Z1102" s="84" t="str">
        <f>HYPERLINK("https://twitter.com/busannfairies/status/1441636738737184769")</f>
        <v>https://twitter.com/busannfairies/status/1441636738737184769</v>
      </c>
      <c r="AA1102" s="81"/>
      <c r="AB1102" s="81"/>
      <c r="AC1102" s="86" t="s">
        <v>4996</v>
      </c>
      <c r="AD1102" s="81"/>
      <c r="AE1102" s="81" t="b">
        <v>0</v>
      </c>
      <c r="AF1102" s="81">
        <v>0</v>
      </c>
      <c r="AG1102" s="86" t="s">
        <v>6240</v>
      </c>
      <c r="AH1102" s="81" t="b">
        <v>0</v>
      </c>
      <c r="AI1102" s="81" t="s">
        <v>6479</v>
      </c>
      <c r="AJ1102" s="81"/>
      <c r="AK1102" s="86" t="s">
        <v>6240</v>
      </c>
      <c r="AL1102" s="81" t="b">
        <v>0</v>
      </c>
      <c r="AM1102" s="81">
        <v>21</v>
      </c>
      <c r="AN1102" s="86" t="s">
        <v>5109</v>
      </c>
      <c r="AO1102" s="86" t="s">
        <v>6505</v>
      </c>
      <c r="AP1102" s="81" t="b">
        <v>0</v>
      </c>
      <c r="AQ1102" s="86" t="s">
        <v>5109</v>
      </c>
      <c r="AR1102" s="81" t="s">
        <v>179</v>
      </c>
      <c r="AS1102" s="81">
        <v>0</v>
      </c>
      <c r="AT1102" s="81">
        <v>0</v>
      </c>
      <c r="AU1102" s="81"/>
      <c r="AV1102" s="81"/>
      <c r="AW1102" s="81"/>
      <c r="AX1102" s="81"/>
      <c r="AY1102" s="81"/>
      <c r="AZ1102" s="81"/>
      <c r="BA1102" s="81"/>
      <c r="BB1102" s="81"/>
    </row>
    <row r="1103" spans="1:54" x14ac:dyDescent="0.35">
      <c r="A1103" s="66" t="s">
        <v>896</v>
      </c>
      <c r="B1103" s="66" t="s">
        <v>1410</v>
      </c>
      <c r="C1103" s="67"/>
      <c r="D1103" s="68"/>
      <c r="E1103" s="69"/>
      <c r="F1103" s="70"/>
      <c r="G1103" s="67"/>
      <c r="H1103" s="71"/>
      <c r="I1103" s="72"/>
      <c r="J1103" s="72"/>
      <c r="K1103" s="36"/>
      <c r="L1103" s="79"/>
      <c r="M1103" s="79"/>
      <c r="N1103" s="74"/>
      <c r="O1103" s="81" t="s">
        <v>1533</v>
      </c>
      <c r="P1103" s="83">
        <v>44464.237442129626</v>
      </c>
      <c r="Q1103" s="81" t="s">
        <v>1910</v>
      </c>
      <c r="R1103" s="81"/>
      <c r="S1103" s="81"/>
      <c r="T1103" s="86" t="s">
        <v>1413</v>
      </c>
      <c r="U1103" s="84" t="str">
        <f>HYPERLINK("https://pbs.twimg.com/media/FAEaAdPVgAgaH2z.jpg")</f>
        <v>https://pbs.twimg.com/media/FAEaAdPVgAgaH2z.jpg</v>
      </c>
      <c r="V1103" s="84" t="str">
        <f>HYPERLINK("https://pbs.twimg.com/media/FAEaAdPVgAgaH2z.jpg")</f>
        <v>https://pbs.twimg.com/media/FAEaAdPVgAgaH2z.jpg</v>
      </c>
      <c r="W1103" s="83">
        <v>44464.237442129626</v>
      </c>
      <c r="X1103" s="89">
        <v>44464</v>
      </c>
      <c r="Y1103" s="86" t="s">
        <v>3532</v>
      </c>
      <c r="Z1103" s="84" t="str">
        <f>HYPERLINK("https://twitter.com/ho6ism/status/1441639077195902978")</f>
        <v>https://twitter.com/ho6ism/status/1441639077195902978</v>
      </c>
      <c r="AA1103" s="81"/>
      <c r="AB1103" s="81"/>
      <c r="AC1103" s="86" t="s">
        <v>4997</v>
      </c>
      <c r="AD1103" s="81"/>
      <c r="AE1103" s="81" t="b">
        <v>0</v>
      </c>
      <c r="AF1103" s="81">
        <v>0</v>
      </c>
      <c r="AG1103" s="86" t="s">
        <v>6240</v>
      </c>
      <c r="AH1103" s="81" t="b">
        <v>0</v>
      </c>
      <c r="AI1103" s="81" t="s">
        <v>6479</v>
      </c>
      <c r="AJ1103" s="81"/>
      <c r="AK1103" s="86" t="s">
        <v>6240</v>
      </c>
      <c r="AL1103" s="81" t="b">
        <v>0</v>
      </c>
      <c r="AM1103" s="81">
        <v>21</v>
      </c>
      <c r="AN1103" s="86" t="s">
        <v>5109</v>
      </c>
      <c r="AO1103" s="86" t="s">
        <v>6503</v>
      </c>
      <c r="AP1103" s="81" t="b">
        <v>0</v>
      </c>
      <c r="AQ1103" s="86" t="s">
        <v>5109</v>
      </c>
      <c r="AR1103" s="81" t="s">
        <v>179</v>
      </c>
      <c r="AS1103" s="81">
        <v>0</v>
      </c>
      <c r="AT1103" s="81">
        <v>0</v>
      </c>
      <c r="AU1103" s="81"/>
      <c r="AV1103" s="81"/>
      <c r="AW1103" s="81"/>
      <c r="AX1103" s="81"/>
      <c r="AY1103" s="81"/>
      <c r="AZ1103" s="81"/>
      <c r="BA1103" s="81"/>
      <c r="BB1103" s="81"/>
    </row>
    <row r="1104" spans="1:54" x14ac:dyDescent="0.35">
      <c r="A1104" s="66" t="s">
        <v>896</v>
      </c>
      <c r="B1104" s="66" t="s">
        <v>1411</v>
      </c>
      <c r="C1104" s="67"/>
      <c r="D1104" s="68"/>
      <c r="E1104" s="69"/>
      <c r="F1104" s="70"/>
      <c r="G1104" s="67"/>
      <c r="H1104" s="71"/>
      <c r="I1104" s="72"/>
      <c r="J1104" s="72"/>
      <c r="K1104" s="36"/>
      <c r="L1104" s="79"/>
      <c r="M1104" s="79"/>
      <c r="N1104" s="74"/>
      <c r="O1104" s="81" t="s">
        <v>1533</v>
      </c>
      <c r="P1104" s="83">
        <v>44464.237442129626</v>
      </c>
      <c r="Q1104" s="81" t="s">
        <v>1910</v>
      </c>
      <c r="R1104" s="81"/>
      <c r="S1104" s="81"/>
      <c r="T1104" s="86" t="s">
        <v>1413</v>
      </c>
      <c r="U1104" s="84" t="str">
        <f>HYPERLINK("https://pbs.twimg.com/media/FAEaAdPVgAgaH2z.jpg")</f>
        <v>https://pbs.twimg.com/media/FAEaAdPVgAgaH2z.jpg</v>
      </c>
      <c r="V1104" s="84" t="str">
        <f>HYPERLINK("https://pbs.twimg.com/media/FAEaAdPVgAgaH2z.jpg")</f>
        <v>https://pbs.twimg.com/media/FAEaAdPVgAgaH2z.jpg</v>
      </c>
      <c r="W1104" s="83">
        <v>44464.237442129626</v>
      </c>
      <c r="X1104" s="89">
        <v>44464</v>
      </c>
      <c r="Y1104" s="86" t="s">
        <v>3532</v>
      </c>
      <c r="Z1104" s="84" t="str">
        <f>HYPERLINK("https://twitter.com/ho6ism/status/1441639077195902978")</f>
        <v>https://twitter.com/ho6ism/status/1441639077195902978</v>
      </c>
      <c r="AA1104" s="81"/>
      <c r="AB1104" s="81"/>
      <c r="AC1104" s="86" t="s">
        <v>4997</v>
      </c>
      <c r="AD1104" s="81"/>
      <c r="AE1104" s="81" t="b">
        <v>0</v>
      </c>
      <c r="AF1104" s="81">
        <v>0</v>
      </c>
      <c r="AG1104" s="86" t="s">
        <v>6240</v>
      </c>
      <c r="AH1104" s="81" t="b">
        <v>0</v>
      </c>
      <c r="AI1104" s="81" t="s">
        <v>6479</v>
      </c>
      <c r="AJ1104" s="81"/>
      <c r="AK1104" s="86" t="s">
        <v>6240</v>
      </c>
      <c r="AL1104" s="81" t="b">
        <v>0</v>
      </c>
      <c r="AM1104" s="81">
        <v>21</v>
      </c>
      <c r="AN1104" s="86" t="s">
        <v>5109</v>
      </c>
      <c r="AO1104" s="86" t="s">
        <v>6503</v>
      </c>
      <c r="AP1104" s="81" t="b">
        <v>0</v>
      </c>
      <c r="AQ1104" s="86" t="s">
        <v>5109</v>
      </c>
      <c r="AR1104" s="81" t="s">
        <v>179</v>
      </c>
      <c r="AS1104" s="81">
        <v>0</v>
      </c>
      <c r="AT1104" s="81">
        <v>0</v>
      </c>
      <c r="AU1104" s="81"/>
      <c r="AV1104" s="81"/>
      <c r="AW1104" s="81"/>
      <c r="AX1104" s="81"/>
      <c r="AY1104" s="81"/>
      <c r="AZ1104" s="81"/>
      <c r="BA1104" s="81"/>
      <c r="BB1104" s="81"/>
    </row>
    <row r="1105" spans="1:54" x14ac:dyDescent="0.35">
      <c r="A1105" s="66" t="s">
        <v>896</v>
      </c>
      <c r="B1105" s="66" t="s">
        <v>1412</v>
      </c>
      <c r="C1105" s="67"/>
      <c r="D1105" s="68"/>
      <c r="E1105" s="69"/>
      <c r="F1105" s="70"/>
      <c r="G1105" s="67"/>
      <c r="H1105" s="71"/>
      <c r="I1105" s="72"/>
      <c r="J1105" s="72"/>
      <c r="K1105" s="36"/>
      <c r="L1105" s="79"/>
      <c r="M1105" s="79"/>
      <c r="N1105" s="74"/>
      <c r="O1105" s="81" t="s">
        <v>1533</v>
      </c>
      <c r="P1105" s="83">
        <v>44464.237442129626</v>
      </c>
      <c r="Q1105" s="81" t="s">
        <v>1910</v>
      </c>
      <c r="R1105" s="81"/>
      <c r="S1105" s="81"/>
      <c r="T1105" s="86" t="s">
        <v>1413</v>
      </c>
      <c r="U1105" s="84" t="str">
        <f>HYPERLINK("https://pbs.twimg.com/media/FAEaAdPVgAgaH2z.jpg")</f>
        <v>https://pbs.twimg.com/media/FAEaAdPVgAgaH2z.jpg</v>
      </c>
      <c r="V1105" s="84" t="str">
        <f>HYPERLINK("https://pbs.twimg.com/media/FAEaAdPVgAgaH2z.jpg")</f>
        <v>https://pbs.twimg.com/media/FAEaAdPVgAgaH2z.jpg</v>
      </c>
      <c r="W1105" s="83">
        <v>44464.237442129626</v>
      </c>
      <c r="X1105" s="89">
        <v>44464</v>
      </c>
      <c r="Y1105" s="86" t="s">
        <v>3532</v>
      </c>
      <c r="Z1105" s="84" t="str">
        <f>HYPERLINK("https://twitter.com/ho6ism/status/1441639077195902978")</f>
        <v>https://twitter.com/ho6ism/status/1441639077195902978</v>
      </c>
      <c r="AA1105" s="81"/>
      <c r="AB1105" s="81"/>
      <c r="AC1105" s="86" t="s">
        <v>4997</v>
      </c>
      <c r="AD1105" s="81"/>
      <c r="AE1105" s="81" t="b">
        <v>0</v>
      </c>
      <c r="AF1105" s="81">
        <v>0</v>
      </c>
      <c r="AG1105" s="86" t="s">
        <v>6240</v>
      </c>
      <c r="AH1105" s="81" t="b">
        <v>0</v>
      </c>
      <c r="AI1105" s="81" t="s">
        <v>6479</v>
      </c>
      <c r="AJ1105" s="81"/>
      <c r="AK1105" s="86" t="s">
        <v>6240</v>
      </c>
      <c r="AL1105" s="81" t="b">
        <v>0</v>
      </c>
      <c r="AM1105" s="81">
        <v>21</v>
      </c>
      <c r="AN1105" s="86" t="s">
        <v>5109</v>
      </c>
      <c r="AO1105" s="86" t="s">
        <v>6503</v>
      </c>
      <c r="AP1105" s="81" t="b">
        <v>0</v>
      </c>
      <c r="AQ1105" s="86" t="s">
        <v>5109</v>
      </c>
      <c r="AR1105" s="81" t="s">
        <v>179</v>
      </c>
      <c r="AS1105" s="81">
        <v>0</v>
      </c>
      <c r="AT1105" s="81">
        <v>0</v>
      </c>
      <c r="AU1105" s="81"/>
      <c r="AV1105" s="81"/>
      <c r="AW1105" s="81"/>
      <c r="AX1105" s="81"/>
      <c r="AY1105" s="81"/>
      <c r="AZ1105" s="81"/>
      <c r="BA1105" s="81"/>
      <c r="BB1105" s="81"/>
    </row>
    <row r="1106" spans="1:54" x14ac:dyDescent="0.35">
      <c r="A1106" s="66" t="s">
        <v>896</v>
      </c>
      <c r="B1106" s="66" t="s">
        <v>1413</v>
      </c>
      <c r="C1106" s="67"/>
      <c r="D1106" s="68"/>
      <c r="E1106" s="69"/>
      <c r="F1106" s="70"/>
      <c r="G1106" s="67"/>
      <c r="H1106" s="71"/>
      <c r="I1106" s="72"/>
      <c r="J1106" s="72"/>
      <c r="K1106" s="36"/>
      <c r="L1106" s="79"/>
      <c r="M1106" s="79"/>
      <c r="N1106" s="74"/>
      <c r="O1106" s="81" t="s">
        <v>1533</v>
      </c>
      <c r="P1106" s="83">
        <v>44464.237442129626</v>
      </c>
      <c r="Q1106" s="81" t="s">
        <v>1910</v>
      </c>
      <c r="R1106" s="81"/>
      <c r="S1106" s="81"/>
      <c r="T1106" s="86" t="s">
        <v>1413</v>
      </c>
      <c r="U1106" s="84" t="str">
        <f>HYPERLINK("https://pbs.twimg.com/media/FAEaAdPVgAgaH2z.jpg")</f>
        <v>https://pbs.twimg.com/media/FAEaAdPVgAgaH2z.jpg</v>
      </c>
      <c r="V1106" s="84" t="str">
        <f>HYPERLINK("https://pbs.twimg.com/media/FAEaAdPVgAgaH2z.jpg")</f>
        <v>https://pbs.twimg.com/media/FAEaAdPVgAgaH2z.jpg</v>
      </c>
      <c r="W1106" s="83">
        <v>44464.237442129626</v>
      </c>
      <c r="X1106" s="89">
        <v>44464</v>
      </c>
      <c r="Y1106" s="86" t="s">
        <v>3532</v>
      </c>
      <c r="Z1106" s="84" t="str">
        <f>HYPERLINK("https://twitter.com/ho6ism/status/1441639077195902978")</f>
        <v>https://twitter.com/ho6ism/status/1441639077195902978</v>
      </c>
      <c r="AA1106" s="81"/>
      <c r="AB1106" s="81"/>
      <c r="AC1106" s="86" t="s">
        <v>4997</v>
      </c>
      <c r="AD1106" s="81"/>
      <c r="AE1106" s="81" t="b">
        <v>0</v>
      </c>
      <c r="AF1106" s="81">
        <v>0</v>
      </c>
      <c r="AG1106" s="86" t="s">
        <v>6240</v>
      </c>
      <c r="AH1106" s="81" t="b">
        <v>0</v>
      </c>
      <c r="AI1106" s="81" t="s">
        <v>6479</v>
      </c>
      <c r="AJ1106" s="81"/>
      <c r="AK1106" s="86" t="s">
        <v>6240</v>
      </c>
      <c r="AL1106" s="81" t="b">
        <v>0</v>
      </c>
      <c r="AM1106" s="81">
        <v>21</v>
      </c>
      <c r="AN1106" s="86" t="s">
        <v>5109</v>
      </c>
      <c r="AO1106" s="86" t="s">
        <v>6503</v>
      </c>
      <c r="AP1106" s="81" t="b">
        <v>0</v>
      </c>
      <c r="AQ1106" s="86" t="s">
        <v>5109</v>
      </c>
      <c r="AR1106" s="81" t="s">
        <v>179</v>
      </c>
      <c r="AS1106" s="81">
        <v>0</v>
      </c>
      <c r="AT1106" s="81">
        <v>0</v>
      </c>
      <c r="AU1106" s="81"/>
      <c r="AV1106" s="81"/>
      <c r="AW1106" s="81"/>
      <c r="AX1106" s="81"/>
      <c r="AY1106" s="81"/>
      <c r="AZ1106" s="81"/>
      <c r="BA1106" s="81"/>
      <c r="BB1106" s="81"/>
    </row>
    <row r="1107" spans="1:54" x14ac:dyDescent="0.35">
      <c r="A1107" s="66" t="s">
        <v>896</v>
      </c>
      <c r="B1107" s="66" t="s">
        <v>990</v>
      </c>
      <c r="C1107" s="67"/>
      <c r="D1107" s="68"/>
      <c r="E1107" s="69"/>
      <c r="F1107" s="70"/>
      <c r="G1107" s="67"/>
      <c r="H1107" s="71"/>
      <c r="I1107" s="72"/>
      <c r="J1107" s="72"/>
      <c r="K1107" s="36"/>
      <c r="L1107" s="79"/>
      <c r="M1107" s="79"/>
      <c r="N1107" s="74"/>
      <c r="O1107" s="81" t="s">
        <v>1532</v>
      </c>
      <c r="P1107" s="83">
        <v>44464.237442129626</v>
      </c>
      <c r="Q1107" s="81" t="s">
        <v>1910</v>
      </c>
      <c r="R1107" s="81"/>
      <c r="S1107" s="81"/>
      <c r="T1107" s="86" t="s">
        <v>1413</v>
      </c>
      <c r="U1107" s="84" t="str">
        <f>HYPERLINK("https://pbs.twimg.com/media/FAEaAdPVgAgaH2z.jpg")</f>
        <v>https://pbs.twimg.com/media/FAEaAdPVgAgaH2z.jpg</v>
      </c>
      <c r="V1107" s="84" t="str">
        <f>HYPERLINK("https://pbs.twimg.com/media/FAEaAdPVgAgaH2z.jpg")</f>
        <v>https://pbs.twimg.com/media/FAEaAdPVgAgaH2z.jpg</v>
      </c>
      <c r="W1107" s="83">
        <v>44464.237442129626</v>
      </c>
      <c r="X1107" s="89">
        <v>44464</v>
      </c>
      <c r="Y1107" s="86" t="s">
        <v>3532</v>
      </c>
      <c r="Z1107" s="84" t="str">
        <f>HYPERLINK("https://twitter.com/ho6ism/status/1441639077195902978")</f>
        <v>https://twitter.com/ho6ism/status/1441639077195902978</v>
      </c>
      <c r="AA1107" s="81"/>
      <c r="AB1107" s="81"/>
      <c r="AC1107" s="86" t="s">
        <v>4997</v>
      </c>
      <c r="AD1107" s="81"/>
      <c r="AE1107" s="81" t="b">
        <v>0</v>
      </c>
      <c r="AF1107" s="81">
        <v>0</v>
      </c>
      <c r="AG1107" s="86" t="s">
        <v>6240</v>
      </c>
      <c r="AH1107" s="81" t="b">
        <v>0</v>
      </c>
      <c r="AI1107" s="81" t="s">
        <v>6479</v>
      </c>
      <c r="AJ1107" s="81"/>
      <c r="AK1107" s="86" t="s">
        <v>6240</v>
      </c>
      <c r="AL1107" s="81" t="b">
        <v>0</v>
      </c>
      <c r="AM1107" s="81">
        <v>21</v>
      </c>
      <c r="AN1107" s="86" t="s">
        <v>5109</v>
      </c>
      <c r="AO1107" s="86" t="s">
        <v>6503</v>
      </c>
      <c r="AP1107" s="81" t="b">
        <v>0</v>
      </c>
      <c r="AQ1107" s="86" t="s">
        <v>5109</v>
      </c>
      <c r="AR1107" s="81" t="s">
        <v>179</v>
      </c>
      <c r="AS1107" s="81">
        <v>0</v>
      </c>
      <c r="AT1107" s="81">
        <v>0</v>
      </c>
      <c r="AU1107" s="81"/>
      <c r="AV1107" s="81"/>
      <c r="AW1107" s="81"/>
      <c r="AX1107" s="81"/>
      <c r="AY1107" s="81"/>
      <c r="AZ1107" s="81"/>
      <c r="BA1107" s="81"/>
      <c r="BB1107" s="81"/>
    </row>
    <row r="1108" spans="1:54" x14ac:dyDescent="0.35">
      <c r="A1108" s="66" t="s">
        <v>897</v>
      </c>
      <c r="B1108" s="66" t="s">
        <v>1410</v>
      </c>
      <c r="C1108" s="67"/>
      <c r="D1108" s="68"/>
      <c r="E1108" s="69"/>
      <c r="F1108" s="70"/>
      <c r="G1108" s="67"/>
      <c r="H1108" s="71"/>
      <c r="I1108" s="72"/>
      <c r="J1108" s="72"/>
      <c r="K1108" s="36"/>
      <c r="L1108" s="79"/>
      <c r="M1108" s="79"/>
      <c r="N1108" s="74"/>
      <c r="O1108" s="81" t="s">
        <v>1533</v>
      </c>
      <c r="P1108" s="83">
        <v>44464.253611111111</v>
      </c>
      <c r="Q1108" s="81" t="s">
        <v>1909</v>
      </c>
      <c r="R1108" s="81"/>
      <c r="S1108" s="81"/>
      <c r="T1108" s="86" t="s">
        <v>1413</v>
      </c>
      <c r="U1108" s="84" t="str">
        <f>HYPERLINK("https://pbs.twimg.com/media/FAEa7dXVkAcjbKg.jpg")</f>
        <v>https://pbs.twimg.com/media/FAEa7dXVkAcjbKg.jpg</v>
      </c>
      <c r="V1108" s="84" t="str">
        <f>HYPERLINK("https://pbs.twimg.com/media/FAEa7dXVkAcjbKg.jpg")</f>
        <v>https://pbs.twimg.com/media/FAEa7dXVkAcjbKg.jpg</v>
      </c>
      <c r="W1108" s="83">
        <v>44464.253611111111</v>
      </c>
      <c r="X1108" s="89">
        <v>44464</v>
      </c>
      <c r="Y1108" s="86" t="s">
        <v>3533</v>
      </c>
      <c r="Z1108" s="84" t="str">
        <f>HYPERLINK("https://twitter.com/arnabjungkook/status/1441644939318751236")</f>
        <v>https://twitter.com/arnabjungkook/status/1441644939318751236</v>
      </c>
      <c r="AA1108" s="81"/>
      <c r="AB1108" s="81"/>
      <c r="AC1108" s="86" t="s">
        <v>4998</v>
      </c>
      <c r="AD1108" s="81"/>
      <c r="AE1108" s="81" t="b">
        <v>0</v>
      </c>
      <c r="AF1108" s="81">
        <v>0</v>
      </c>
      <c r="AG1108" s="86" t="s">
        <v>6240</v>
      </c>
      <c r="AH1108" s="81" t="b">
        <v>0</v>
      </c>
      <c r="AI1108" s="81" t="s">
        <v>6479</v>
      </c>
      <c r="AJ1108" s="81"/>
      <c r="AK1108" s="86" t="s">
        <v>6240</v>
      </c>
      <c r="AL1108" s="81" t="b">
        <v>0</v>
      </c>
      <c r="AM1108" s="81">
        <v>20</v>
      </c>
      <c r="AN1108" s="86" t="s">
        <v>5110</v>
      </c>
      <c r="AO1108" s="86" t="s">
        <v>6503</v>
      </c>
      <c r="AP1108" s="81" t="b">
        <v>0</v>
      </c>
      <c r="AQ1108" s="86" t="s">
        <v>5110</v>
      </c>
      <c r="AR1108" s="81" t="s">
        <v>179</v>
      </c>
      <c r="AS1108" s="81">
        <v>0</v>
      </c>
      <c r="AT1108" s="81">
        <v>0</v>
      </c>
      <c r="AU1108" s="81"/>
      <c r="AV1108" s="81"/>
      <c r="AW1108" s="81"/>
      <c r="AX1108" s="81"/>
      <c r="AY1108" s="81"/>
      <c r="AZ1108" s="81"/>
      <c r="BA1108" s="81"/>
      <c r="BB1108" s="81"/>
    </row>
    <row r="1109" spans="1:54" x14ac:dyDescent="0.35">
      <c r="A1109" s="66" t="s">
        <v>897</v>
      </c>
      <c r="B1109" s="66" t="s">
        <v>1411</v>
      </c>
      <c r="C1109" s="67"/>
      <c r="D1109" s="68"/>
      <c r="E1109" s="69"/>
      <c r="F1109" s="70"/>
      <c r="G1109" s="67"/>
      <c r="H1109" s="71"/>
      <c r="I1109" s="72"/>
      <c r="J1109" s="72"/>
      <c r="K1109" s="36"/>
      <c r="L1109" s="79"/>
      <c r="M1109" s="79"/>
      <c r="N1109" s="74"/>
      <c r="O1109" s="81" t="s">
        <v>1533</v>
      </c>
      <c r="P1109" s="83">
        <v>44464.253611111111</v>
      </c>
      <c r="Q1109" s="81" t="s">
        <v>1909</v>
      </c>
      <c r="R1109" s="81"/>
      <c r="S1109" s="81"/>
      <c r="T1109" s="86" t="s">
        <v>1413</v>
      </c>
      <c r="U1109" s="84" t="str">
        <f>HYPERLINK("https://pbs.twimg.com/media/FAEa7dXVkAcjbKg.jpg")</f>
        <v>https://pbs.twimg.com/media/FAEa7dXVkAcjbKg.jpg</v>
      </c>
      <c r="V1109" s="84" t="str">
        <f>HYPERLINK("https://pbs.twimg.com/media/FAEa7dXVkAcjbKg.jpg")</f>
        <v>https://pbs.twimg.com/media/FAEa7dXVkAcjbKg.jpg</v>
      </c>
      <c r="W1109" s="83">
        <v>44464.253611111111</v>
      </c>
      <c r="X1109" s="89">
        <v>44464</v>
      </c>
      <c r="Y1109" s="86" t="s">
        <v>3533</v>
      </c>
      <c r="Z1109" s="84" t="str">
        <f>HYPERLINK("https://twitter.com/arnabjungkook/status/1441644939318751236")</f>
        <v>https://twitter.com/arnabjungkook/status/1441644939318751236</v>
      </c>
      <c r="AA1109" s="81"/>
      <c r="AB1109" s="81"/>
      <c r="AC1109" s="86" t="s">
        <v>4998</v>
      </c>
      <c r="AD1109" s="81"/>
      <c r="AE1109" s="81" t="b">
        <v>0</v>
      </c>
      <c r="AF1109" s="81">
        <v>0</v>
      </c>
      <c r="AG1109" s="86" t="s">
        <v>6240</v>
      </c>
      <c r="AH1109" s="81" t="b">
        <v>0</v>
      </c>
      <c r="AI1109" s="81" t="s">
        <v>6479</v>
      </c>
      <c r="AJ1109" s="81"/>
      <c r="AK1109" s="86" t="s">
        <v>6240</v>
      </c>
      <c r="AL1109" s="81" t="b">
        <v>0</v>
      </c>
      <c r="AM1109" s="81">
        <v>20</v>
      </c>
      <c r="AN1109" s="86" t="s">
        <v>5110</v>
      </c>
      <c r="AO1109" s="86" t="s">
        <v>6503</v>
      </c>
      <c r="AP1109" s="81" t="b">
        <v>0</v>
      </c>
      <c r="AQ1109" s="86" t="s">
        <v>5110</v>
      </c>
      <c r="AR1109" s="81" t="s">
        <v>179</v>
      </c>
      <c r="AS1109" s="81">
        <v>0</v>
      </c>
      <c r="AT1109" s="81">
        <v>0</v>
      </c>
      <c r="AU1109" s="81"/>
      <c r="AV1109" s="81"/>
      <c r="AW1109" s="81"/>
      <c r="AX1109" s="81"/>
      <c r="AY1109" s="81"/>
      <c r="AZ1109" s="81"/>
      <c r="BA1109" s="81"/>
      <c r="BB1109" s="81"/>
    </row>
    <row r="1110" spans="1:54" x14ac:dyDescent="0.35">
      <c r="A1110" s="66" t="s">
        <v>897</v>
      </c>
      <c r="B1110" s="66" t="s">
        <v>1412</v>
      </c>
      <c r="C1110" s="67"/>
      <c r="D1110" s="68"/>
      <c r="E1110" s="69"/>
      <c r="F1110" s="70"/>
      <c r="G1110" s="67"/>
      <c r="H1110" s="71"/>
      <c r="I1110" s="72"/>
      <c r="J1110" s="72"/>
      <c r="K1110" s="36"/>
      <c r="L1110" s="79"/>
      <c r="M1110" s="79"/>
      <c r="N1110" s="74"/>
      <c r="O1110" s="81" t="s">
        <v>1533</v>
      </c>
      <c r="P1110" s="83">
        <v>44464.253611111111</v>
      </c>
      <c r="Q1110" s="81" t="s">
        <v>1909</v>
      </c>
      <c r="R1110" s="81"/>
      <c r="S1110" s="81"/>
      <c r="T1110" s="86" t="s">
        <v>1413</v>
      </c>
      <c r="U1110" s="84" t="str">
        <f>HYPERLINK("https://pbs.twimg.com/media/FAEa7dXVkAcjbKg.jpg")</f>
        <v>https://pbs.twimg.com/media/FAEa7dXVkAcjbKg.jpg</v>
      </c>
      <c r="V1110" s="84" t="str">
        <f>HYPERLINK("https://pbs.twimg.com/media/FAEa7dXVkAcjbKg.jpg")</f>
        <v>https://pbs.twimg.com/media/FAEa7dXVkAcjbKg.jpg</v>
      </c>
      <c r="W1110" s="83">
        <v>44464.253611111111</v>
      </c>
      <c r="X1110" s="89">
        <v>44464</v>
      </c>
      <c r="Y1110" s="86" t="s">
        <v>3533</v>
      </c>
      <c r="Z1110" s="84" t="str">
        <f>HYPERLINK("https://twitter.com/arnabjungkook/status/1441644939318751236")</f>
        <v>https://twitter.com/arnabjungkook/status/1441644939318751236</v>
      </c>
      <c r="AA1110" s="81"/>
      <c r="AB1110" s="81"/>
      <c r="AC1110" s="86" t="s">
        <v>4998</v>
      </c>
      <c r="AD1110" s="81"/>
      <c r="AE1110" s="81" t="b">
        <v>0</v>
      </c>
      <c r="AF1110" s="81">
        <v>0</v>
      </c>
      <c r="AG1110" s="86" t="s">
        <v>6240</v>
      </c>
      <c r="AH1110" s="81" t="b">
        <v>0</v>
      </c>
      <c r="AI1110" s="81" t="s">
        <v>6479</v>
      </c>
      <c r="AJ1110" s="81"/>
      <c r="AK1110" s="86" t="s">
        <v>6240</v>
      </c>
      <c r="AL1110" s="81" t="b">
        <v>0</v>
      </c>
      <c r="AM1110" s="81">
        <v>20</v>
      </c>
      <c r="AN1110" s="86" t="s">
        <v>5110</v>
      </c>
      <c r="AO1110" s="86" t="s">
        <v>6503</v>
      </c>
      <c r="AP1110" s="81" t="b">
        <v>0</v>
      </c>
      <c r="AQ1110" s="86" t="s">
        <v>5110</v>
      </c>
      <c r="AR1110" s="81" t="s">
        <v>179</v>
      </c>
      <c r="AS1110" s="81">
        <v>0</v>
      </c>
      <c r="AT1110" s="81">
        <v>0</v>
      </c>
      <c r="AU1110" s="81"/>
      <c r="AV1110" s="81"/>
      <c r="AW1110" s="81"/>
      <c r="AX1110" s="81"/>
      <c r="AY1110" s="81"/>
      <c r="AZ1110" s="81"/>
      <c r="BA1110" s="81"/>
      <c r="BB1110" s="81"/>
    </row>
    <row r="1111" spans="1:54" x14ac:dyDescent="0.35">
      <c r="A1111" s="66" t="s">
        <v>897</v>
      </c>
      <c r="B1111" s="66" t="s">
        <v>1413</v>
      </c>
      <c r="C1111" s="67"/>
      <c r="D1111" s="68"/>
      <c r="E1111" s="69"/>
      <c r="F1111" s="70"/>
      <c r="G1111" s="67"/>
      <c r="H1111" s="71"/>
      <c r="I1111" s="72"/>
      <c r="J1111" s="72"/>
      <c r="K1111" s="36"/>
      <c r="L1111" s="79"/>
      <c r="M1111" s="79"/>
      <c r="N1111" s="74"/>
      <c r="O1111" s="81" t="s">
        <v>1533</v>
      </c>
      <c r="P1111" s="83">
        <v>44464.253611111111</v>
      </c>
      <c r="Q1111" s="81" t="s">
        <v>1909</v>
      </c>
      <c r="R1111" s="81"/>
      <c r="S1111" s="81"/>
      <c r="T1111" s="86" t="s">
        <v>1413</v>
      </c>
      <c r="U1111" s="84" t="str">
        <f>HYPERLINK("https://pbs.twimg.com/media/FAEa7dXVkAcjbKg.jpg")</f>
        <v>https://pbs.twimg.com/media/FAEa7dXVkAcjbKg.jpg</v>
      </c>
      <c r="V1111" s="84" t="str">
        <f>HYPERLINK("https://pbs.twimg.com/media/FAEa7dXVkAcjbKg.jpg")</f>
        <v>https://pbs.twimg.com/media/FAEa7dXVkAcjbKg.jpg</v>
      </c>
      <c r="W1111" s="83">
        <v>44464.253611111111</v>
      </c>
      <c r="X1111" s="89">
        <v>44464</v>
      </c>
      <c r="Y1111" s="86" t="s">
        <v>3533</v>
      </c>
      <c r="Z1111" s="84" t="str">
        <f>HYPERLINK("https://twitter.com/arnabjungkook/status/1441644939318751236")</f>
        <v>https://twitter.com/arnabjungkook/status/1441644939318751236</v>
      </c>
      <c r="AA1111" s="81"/>
      <c r="AB1111" s="81"/>
      <c r="AC1111" s="86" t="s">
        <v>4998</v>
      </c>
      <c r="AD1111" s="81"/>
      <c r="AE1111" s="81" t="b">
        <v>0</v>
      </c>
      <c r="AF1111" s="81">
        <v>0</v>
      </c>
      <c r="AG1111" s="86" t="s">
        <v>6240</v>
      </c>
      <c r="AH1111" s="81" t="b">
        <v>0</v>
      </c>
      <c r="AI1111" s="81" t="s">
        <v>6479</v>
      </c>
      <c r="AJ1111" s="81"/>
      <c r="AK1111" s="86" t="s">
        <v>6240</v>
      </c>
      <c r="AL1111" s="81" t="b">
        <v>0</v>
      </c>
      <c r="AM1111" s="81">
        <v>20</v>
      </c>
      <c r="AN1111" s="86" t="s">
        <v>5110</v>
      </c>
      <c r="AO1111" s="86" t="s">
        <v>6503</v>
      </c>
      <c r="AP1111" s="81" t="b">
        <v>0</v>
      </c>
      <c r="AQ1111" s="86" t="s">
        <v>5110</v>
      </c>
      <c r="AR1111" s="81" t="s">
        <v>179</v>
      </c>
      <c r="AS1111" s="81">
        <v>0</v>
      </c>
      <c r="AT1111" s="81">
        <v>0</v>
      </c>
      <c r="AU1111" s="81"/>
      <c r="AV1111" s="81"/>
      <c r="AW1111" s="81"/>
      <c r="AX1111" s="81"/>
      <c r="AY1111" s="81"/>
      <c r="AZ1111" s="81"/>
      <c r="BA1111" s="81"/>
      <c r="BB1111" s="81"/>
    </row>
    <row r="1112" spans="1:54" x14ac:dyDescent="0.35">
      <c r="A1112" s="66" t="s">
        <v>897</v>
      </c>
      <c r="B1112" s="66" t="s">
        <v>990</v>
      </c>
      <c r="C1112" s="67"/>
      <c r="D1112" s="68"/>
      <c r="E1112" s="69"/>
      <c r="F1112" s="70"/>
      <c r="G1112" s="67"/>
      <c r="H1112" s="71"/>
      <c r="I1112" s="72"/>
      <c r="J1112" s="72"/>
      <c r="K1112" s="36"/>
      <c r="L1112" s="79"/>
      <c r="M1112" s="79"/>
      <c r="N1112" s="74"/>
      <c r="O1112" s="81" t="s">
        <v>1532</v>
      </c>
      <c r="P1112" s="83">
        <v>44464.253611111111</v>
      </c>
      <c r="Q1112" s="81" t="s">
        <v>1909</v>
      </c>
      <c r="R1112" s="81"/>
      <c r="S1112" s="81"/>
      <c r="T1112" s="86" t="s">
        <v>1413</v>
      </c>
      <c r="U1112" s="84" t="str">
        <f>HYPERLINK("https://pbs.twimg.com/media/FAEa7dXVkAcjbKg.jpg")</f>
        <v>https://pbs.twimg.com/media/FAEa7dXVkAcjbKg.jpg</v>
      </c>
      <c r="V1112" s="84" t="str">
        <f>HYPERLINK("https://pbs.twimg.com/media/FAEa7dXVkAcjbKg.jpg")</f>
        <v>https://pbs.twimg.com/media/FAEa7dXVkAcjbKg.jpg</v>
      </c>
      <c r="W1112" s="83">
        <v>44464.253611111111</v>
      </c>
      <c r="X1112" s="89">
        <v>44464</v>
      </c>
      <c r="Y1112" s="86" t="s">
        <v>3533</v>
      </c>
      <c r="Z1112" s="84" t="str">
        <f>HYPERLINK("https://twitter.com/arnabjungkook/status/1441644939318751236")</f>
        <v>https://twitter.com/arnabjungkook/status/1441644939318751236</v>
      </c>
      <c r="AA1112" s="81"/>
      <c r="AB1112" s="81"/>
      <c r="AC1112" s="86" t="s">
        <v>4998</v>
      </c>
      <c r="AD1112" s="81"/>
      <c r="AE1112" s="81" t="b">
        <v>0</v>
      </c>
      <c r="AF1112" s="81">
        <v>0</v>
      </c>
      <c r="AG1112" s="86" t="s">
        <v>6240</v>
      </c>
      <c r="AH1112" s="81" t="b">
        <v>0</v>
      </c>
      <c r="AI1112" s="81" t="s">
        <v>6479</v>
      </c>
      <c r="AJ1112" s="81"/>
      <c r="AK1112" s="86" t="s">
        <v>6240</v>
      </c>
      <c r="AL1112" s="81" t="b">
        <v>0</v>
      </c>
      <c r="AM1112" s="81">
        <v>20</v>
      </c>
      <c r="AN1112" s="86" t="s">
        <v>5110</v>
      </c>
      <c r="AO1112" s="86" t="s">
        <v>6503</v>
      </c>
      <c r="AP1112" s="81" t="b">
        <v>0</v>
      </c>
      <c r="AQ1112" s="86" t="s">
        <v>5110</v>
      </c>
      <c r="AR1112" s="81" t="s">
        <v>179</v>
      </c>
      <c r="AS1112" s="81">
        <v>0</v>
      </c>
      <c r="AT1112" s="81">
        <v>0</v>
      </c>
      <c r="AU1112" s="81"/>
      <c r="AV1112" s="81"/>
      <c r="AW1112" s="81"/>
      <c r="AX1112" s="81"/>
      <c r="AY1112" s="81"/>
      <c r="AZ1112" s="81"/>
      <c r="BA1112" s="81"/>
      <c r="BB1112" s="81"/>
    </row>
    <row r="1113" spans="1:54" x14ac:dyDescent="0.35">
      <c r="A1113" s="66" t="s">
        <v>898</v>
      </c>
      <c r="B1113" s="66" t="s">
        <v>1410</v>
      </c>
      <c r="C1113" s="67"/>
      <c r="D1113" s="68"/>
      <c r="E1113" s="69"/>
      <c r="F1113" s="70"/>
      <c r="G1113" s="67"/>
      <c r="H1113" s="71"/>
      <c r="I1113" s="72"/>
      <c r="J1113" s="72"/>
      <c r="K1113" s="36"/>
      <c r="L1113" s="79"/>
      <c r="M1113" s="79"/>
      <c r="N1113" s="74"/>
      <c r="O1113" s="81" t="s">
        <v>1533</v>
      </c>
      <c r="P1113" s="83">
        <v>44464.227835648147</v>
      </c>
      <c r="Q1113" s="81" t="s">
        <v>1909</v>
      </c>
      <c r="R1113" s="81"/>
      <c r="S1113" s="81"/>
      <c r="T1113" s="86" t="s">
        <v>1413</v>
      </c>
      <c r="U1113" s="84" t="str">
        <f>HYPERLINK("https://pbs.twimg.com/media/FAEa7dXVkAcjbKg.jpg")</f>
        <v>https://pbs.twimg.com/media/FAEa7dXVkAcjbKg.jpg</v>
      </c>
      <c r="V1113" s="84" t="str">
        <f>HYPERLINK("https://pbs.twimg.com/media/FAEa7dXVkAcjbKg.jpg")</f>
        <v>https://pbs.twimg.com/media/FAEa7dXVkAcjbKg.jpg</v>
      </c>
      <c r="W1113" s="83">
        <v>44464.227835648147</v>
      </c>
      <c r="X1113" s="89">
        <v>44464</v>
      </c>
      <c r="Y1113" s="86" t="s">
        <v>3534</v>
      </c>
      <c r="Z1113" s="84" t="str">
        <f>HYPERLINK("https://twitter.com/mydearjiminie/status/1441635596514910210")</f>
        <v>https://twitter.com/mydearjiminie/status/1441635596514910210</v>
      </c>
      <c r="AA1113" s="81"/>
      <c r="AB1113" s="81"/>
      <c r="AC1113" s="86" t="s">
        <v>4999</v>
      </c>
      <c r="AD1113" s="81"/>
      <c r="AE1113" s="81" t="b">
        <v>0</v>
      </c>
      <c r="AF1113" s="81">
        <v>0</v>
      </c>
      <c r="AG1113" s="86" t="s">
        <v>6240</v>
      </c>
      <c r="AH1113" s="81" t="b">
        <v>0</v>
      </c>
      <c r="AI1113" s="81" t="s">
        <v>6479</v>
      </c>
      <c r="AJ1113" s="81"/>
      <c r="AK1113" s="86" t="s">
        <v>6240</v>
      </c>
      <c r="AL1113" s="81" t="b">
        <v>0</v>
      </c>
      <c r="AM1113" s="81">
        <v>20</v>
      </c>
      <c r="AN1113" s="86" t="s">
        <v>5110</v>
      </c>
      <c r="AO1113" s="86" t="s">
        <v>6503</v>
      </c>
      <c r="AP1113" s="81" t="b">
        <v>0</v>
      </c>
      <c r="AQ1113" s="86" t="s">
        <v>5110</v>
      </c>
      <c r="AR1113" s="81" t="s">
        <v>179</v>
      </c>
      <c r="AS1113" s="81">
        <v>0</v>
      </c>
      <c r="AT1113" s="81">
        <v>0</v>
      </c>
      <c r="AU1113" s="81"/>
      <c r="AV1113" s="81"/>
      <c r="AW1113" s="81"/>
      <c r="AX1113" s="81"/>
      <c r="AY1113" s="81"/>
      <c r="AZ1113" s="81"/>
      <c r="BA1113" s="81"/>
      <c r="BB1113" s="81"/>
    </row>
    <row r="1114" spans="1:54" x14ac:dyDescent="0.35">
      <c r="A1114" s="66" t="s">
        <v>898</v>
      </c>
      <c r="B1114" s="66" t="s">
        <v>1411</v>
      </c>
      <c r="C1114" s="67"/>
      <c r="D1114" s="68"/>
      <c r="E1114" s="69"/>
      <c r="F1114" s="70"/>
      <c r="G1114" s="67"/>
      <c r="H1114" s="71"/>
      <c r="I1114" s="72"/>
      <c r="J1114" s="72"/>
      <c r="K1114" s="36"/>
      <c r="L1114" s="79"/>
      <c r="M1114" s="79"/>
      <c r="N1114" s="74"/>
      <c r="O1114" s="81" t="s">
        <v>1533</v>
      </c>
      <c r="P1114" s="83">
        <v>44464.227835648147</v>
      </c>
      <c r="Q1114" s="81" t="s">
        <v>1909</v>
      </c>
      <c r="R1114" s="81"/>
      <c r="S1114" s="81"/>
      <c r="T1114" s="86" t="s">
        <v>1413</v>
      </c>
      <c r="U1114" s="84" t="str">
        <f>HYPERLINK("https://pbs.twimg.com/media/FAEa7dXVkAcjbKg.jpg")</f>
        <v>https://pbs.twimg.com/media/FAEa7dXVkAcjbKg.jpg</v>
      </c>
      <c r="V1114" s="84" t="str">
        <f>HYPERLINK("https://pbs.twimg.com/media/FAEa7dXVkAcjbKg.jpg")</f>
        <v>https://pbs.twimg.com/media/FAEa7dXVkAcjbKg.jpg</v>
      </c>
      <c r="W1114" s="83">
        <v>44464.227835648147</v>
      </c>
      <c r="X1114" s="89">
        <v>44464</v>
      </c>
      <c r="Y1114" s="86" t="s">
        <v>3534</v>
      </c>
      <c r="Z1114" s="84" t="str">
        <f>HYPERLINK("https://twitter.com/mydearjiminie/status/1441635596514910210")</f>
        <v>https://twitter.com/mydearjiminie/status/1441635596514910210</v>
      </c>
      <c r="AA1114" s="81"/>
      <c r="AB1114" s="81"/>
      <c r="AC1114" s="86" t="s">
        <v>4999</v>
      </c>
      <c r="AD1114" s="81"/>
      <c r="AE1114" s="81" t="b">
        <v>0</v>
      </c>
      <c r="AF1114" s="81">
        <v>0</v>
      </c>
      <c r="AG1114" s="86" t="s">
        <v>6240</v>
      </c>
      <c r="AH1114" s="81" t="b">
        <v>0</v>
      </c>
      <c r="AI1114" s="81" t="s">
        <v>6479</v>
      </c>
      <c r="AJ1114" s="81"/>
      <c r="AK1114" s="86" t="s">
        <v>6240</v>
      </c>
      <c r="AL1114" s="81" t="b">
        <v>0</v>
      </c>
      <c r="AM1114" s="81">
        <v>20</v>
      </c>
      <c r="AN1114" s="86" t="s">
        <v>5110</v>
      </c>
      <c r="AO1114" s="86" t="s">
        <v>6503</v>
      </c>
      <c r="AP1114" s="81" t="b">
        <v>0</v>
      </c>
      <c r="AQ1114" s="86" t="s">
        <v>5110</v>
      </c>
      <c r="AR1114" s="81" t="s">
        <v>179</v>
      </c>
      <c r="AS1114" s="81">
        <v>0</v>
      </c>
      <c r="AT1114" s="81">
        <v>0</v>
      </c>
      <c r="AU1114" s="81"/>
      <c r="AV1114" s="81"/>
      <c r="AW1114" s="81"/>
      <c r="AX1114" s="81"/>
      <c r="AY1114" s="81"/>
      <c r="AZ1114" s="81"/>
      <c r="BA1114" s="81"/>
      <c r="BB1114" s="81"/>
    </row>
    <row r="1115" spans="1:54" x14ac:dyDescent="0.35">
      <c r="A1115" s="66" t="s">
        <v>898</v>
      </c>
      <c r="B1115" s="66" t="s">
        <v>1412</v>
      </c>
      <c r="C1115" s="67"/>
      <c r="D1115" s="68"/>
      <c r="E1115" s="69"/>
      <c r="F1115" s="70"/>
      <c r="G1115" s="67"/>
      <c r="H1115" s="71"/>
      <c r="I1115" s="72"/>
      <c r="J1115" s="72"/>
      <c r="K1115" s="36"/>
      <c r="L1115" s="79"/>
      <c r="M1115" s="79"/>
      <c r="N1115" s="74"/>
      <c r="O1115" s="81" t="s">
        <v>1533</v>
      </c>
      <c r="P1115" s="83">
        <v>44464.227835648147</v>
      </c>
      <c r="Q1115" s="81" t="s">
        <v>1909</v>
      </c>
      <c r="R1115" s="81"/>
      <c r="S1115" s="81"/>
      <c r="T1115" s="86" t="s">
        <v>1413</v>
      </c>
      <c r="U1115" s="84" t="str">
        <f>HYPERLINK("https://pbs.twimg.com/media/FAEa7dXVkAcjbKg.jpg")</f>
        <v>https://pbs.twimg.com/media/FAEa7dXVkAcjbKg.jpg</v>
      </c>
      <c r="V1115" s="84" t="str">
        <f>HYPERLINK("https://pbs.twimg.com/media/FAEa7dXVkAcjbKg.jpg")</f>
        <v>https://pbs.twimg.com/media/FAEa7dXVkAcjbKg.jpg</v>
      </c>
      <c r="W1115" s="83">
        <v>44464.227835648147</v>
      </c>
      <c r="X1115" s="89">
        <v>44464</v>
      </c>
      <c r="Y1115" s="86" t="s">
        <v>3534</v>
      </c>
      <c r="Z1115" s="84" t="str">
        <f>HYPERLINK("https://twitter.com/mydearjiminie/status/1441635596514910210")</f>
        <v>https://twitter.com/mydearjiminie/status/1441635596514910210</v>
      </c>
      <c r="AA1115" s="81"/>
      <c r="AB1115" s="81"/>
      <c r="AC1115" s="86" t="s">
        <v>4999</v>
      </c>
      <c r="AD1115" s="81"/>
      <c r="AE1115" s="81" t="b">
        <v>0</v>
      </c>
      <c r="AF1115" s="81">
        <v>0</v>
      </c>
      <c r="AG1115" s="86" t="s">
        <v>6240</v>
      </c>
      <c r="AH1115" s="81" t="b">
        <v>0</v>
      </c>
      <c r="AI1115" s="81" t="s">
        <v>6479</v>
      </c>
      <c r="AJ1115" s="81"/>
      <c r="AK1115" s="86" t="s">
        <v>6240</v>
      </c>
      <c r="AL1115" s="81" t="b">
        <v>0</v>
      </c>
      <c r="AM1115" s="81">
        <v>20</v>
      </c>
      <c r="AN1115" s="86" t="s">
        <v>5110</v>
      </c>
      <c r="AO1115" s="86" t="s">
        <v>6503</v>
      </c>
      <c r="AP1115" s="81" t="b">
        <v>0</v>
      </c>
      <c r="AQ1115" s="86" t="s">
        <v>5110</v>
      </c>
      <c r="AR1115" s="81" t="s">
        <v>179</v>
      </c>
      <c r="AS1115" s="81">
        <v>0</v>
      </c>
      <c r="AT1115" s="81">
        <v>0</v>
      </c>
      <c r="AU1115" s="81"/>
      <c r="AV1115" s="81"/>
      <c r="AW1115" s="81"/>
      <c r="AX1115" s="81"/>
      <c r="AY1115" s="81"/>
      <c r="AZ1115" s="81"/>
      <c r="BA1115" s="81"/>
      <c r="BB1115" s="81"/>
    </row>
    <row r="1116" spans="1:54" x14ac:dyDescent="0.35">
      <c r="A1116" s="66" t="s">
        <v>898</v>
      </c>
      <c r="B1116" s="66" t="s">
        <v>1413</v>
      </c>
      <c r="C1116" s="67"/>
      <c r="D1116" s="68"/>
      <c r="E1116" s="69"/>
      <c r="F1116" s="70"/>
      <c r="G1116" s="67"/>
      <c r="H1116" s="71"/>
      <c r="I1116" s="72"/>
      <c r="J1116" s="72"/>
      <c r="K1116" s="36"/>
      <c r="L1116" s="79"/>
      <c r="M1116" s="79"/>
      <c r="N1116" s="74"/>
      <c r="O1116" s="81" t="s">
        <v>1533</v>
      </c>
      <c r="P1116" s="83">
        <v>44464.227835648147</v>
      </c>
      <c r="Q1116" s="81" t="s">
        <v>1909</v>
      </c>
      <c r="R1116" s="81"/>
      <c r="S1116" s="81"/>
      <c r="T1116" s="86" t="s">
        <v>1413</v>
      </c>
      <c r="U1116" s="84" t="str">
        <f>HYPERLINK("https://pbs.twimg.com/media/FAEa7dXVkAcjbKg.jpg")</f>
        <v>https://pbs.twimg.com/media/FAEa7dXVkAcjbKg.jpg</v>
      </c>
      <c r="V1116" s="84" t="str">
        <f>HYPERLINK("https://pbs.twimg.com/media/FAEa7dXVkAcjbKg.jpg")</f>
        <v>https://pbs.twimg.com/media/FAEa7dXVkAcjbKg.jpg</v>
      </c>
      <c r="W1116" s="83">
        <v>44464.227835648147</v>
      </c>
      <c r="X1116" s="89">
        <v>44464</v>
      </c>
      <c r="Y1116" s="86" t="s">
        <v>3534</v>
      </c>
      <c r="Z1116" s="84" t="str">
        <f>HYPERLINK("https://twitter.com/mydearjiminie/status/1441635596514910210")</f>
        <v>https://twitter.com/mydearjiminie/status/1441635596514910210</v>
      </c>
      <c r="AA1116" s="81"/>
      <c r="AB1116" s="81"/>
      <c r="AC1116" s="86" t="s">
        <v>4999</v>
      </c>
      <c r="AD1116" s="81"/>
      <c r="AE1116" s="81" t="b">
        <v>0</v>
      </c>
      <c r="AF1116" s="81">
        <v>0</v>
      </c>
      <c r="AG1116" s="86" t="s">
        <v>6240</v>
      </c>
      <c r="AH1116" s="81" t="b">
        <v>0</v>
      </c>
      <c r="AI1116" s="81" t="s">
        <v>6479</v>
      </c>
      <c r="AJ1116" s="81"/>
      <c r="AK1116" s="86" t="s">
        <v>6240</v>
      </c>
      <c r="AL1116" s="81" t="b">
        <v>0</v>
      </c>
      <c r="AM1116" s="81">
        <v>20</v>
      </c>
      <c r="AN1116" s="86" t="s">
        <v>5110</v>
      </c>
      <c r="AO1116" s="86" t="s">
        <v>6503</v>
      </c>
      <c r="AP1116" s="81" t="b">
        <v>0</v>
      </c>
      <c r="AQ1116" s="86" t="s">
        <v>5110</v>
      </c>
      <c r="AR1116" s="81" t="s">
        <v>179</v>
      </c>
      <c r="AS1116" s="81">
        <v>0</v>
      </c>
      <c r="AT1116" s="81">
        <v>0</v>
      </c>
      <c r="AU1116" s="81"/>
      <c r="AV1116" s="81"/>
      <c r="AW1116" s="81"/>
      <c r="AX1116" s="81"/>
      <c r="AY1116" s="81"/>
      <c r="AZ1116" s="81"/>
      <c r="BA1116" s="81"/>
      <c r="BB1116" s="81"/>
    </row>
    <row r="1117" spans="1:54" x14ac:dyDescent="0.35">
      <c r="A1117" s="66" t="s">
        <v>898</v>
      </c>
      <c r="B1117" s="66" t="s">
        <v>990</v>
      </c>
      <c r="C1117" s="67"/>
      <c r="D1117" s="68"/>
      <c r="E1117" s="69"/>
      <c r="F1117" s="70"/>
      <c r="G1117" s="67"/>
      <c r="H1117" s="71"/>
      <c r="I1117" s="72"/>
      <c r="J1117" s="72"/>
      <c r="K1117" s="36"/>
      <c r="L1117" s="79"/>
      <c r="M1117" s="79"/>
      <c r="N1117" s="74"/>
      <c r="O1117" s="81" t="s">
        <v>1532</v>
      </c>
      <c r="P1117" s="83">
        <v>44464.227835648147</v>
      </c>
      <c r="Q1117" s="81" t="s">
        <v>1909</v>
      </c>
      <c r="R1117" s="81"/>
      <c r="S1117" s="81"/>
      <c r="T1117" s="86" t="s">
        <v>1413</v>
      </c>
      <c r="U1117" s="84" t="str">
        <f>HYPERLINK("https://pbs.twimg.com/media/FAEa7dXVkAcjbKg.jpg")</f>
        <v>https://pbs.twimg.com/media/FAEa7dXVkAcjbKg.jpg</v>
      </c>
      <c r="V1117" s="84" t="str">
        <f>HYPERLINK("https://pbs.twimg.com/media/FAEa7dXVkAcjbKg.jpg")</f>
        <v>https://pbs.twimg.com/media/FAEa7dXVkAcjbKg.jpg</v>
      </c>
      <c r="W1117" s="83">
        <v>44464.227835648147</v>
      </c>
      <c r="X1117" s="89">
        <v>44464</v>
      </c>
      <c r="Y1117" s="86" t="s">
        <v>3534</v>
      </c>
      <c r="Z1117" s="84" t="str">
        <f>HYPERLINK("https://twitter.com/mydearjiminie/status/1441635596514910210")</f>
        <v>https://twitter.com/mydearjiminie/status/1441635596514910210</v>
      </c>
      <c r="AA1117" s="81"/>
      <c r="AB1117" s="81"/>
      <c r="AC1117" s="86" t="s">
        <v>4999</v>
      </c>
      <c r="AD1117" s="81"/>
      <c r="AE1117" s="81" t="b">
        <v>0</v>
      </c>
      <c r="AF1117" s="81">
        <v>0</v>
      </c>
      <c r="AG1117" s="86" t="s">
        <v>6240</v>
      </c>
      <c r="AH1117" s="81" t="b">
        <v>0</v>
      </c>
      <c r="AI1117" s="81" t="s">
        <v>6479</v>
      </c>
      <c r="AJ1117" s="81"/>
      <c r="AK1117" s="86" t="s">
        <v>6240</v>
      </c>
      <c r="AL1117" s="81" t="b">
        <v>0</v>
      </c>
      <c r="AM1117" s="81">
        <v>20</v>
      </c>
      <c r="AN1117" s="86" t="s">
        <v>5110</v>
      </c>
      <c r="AO1117" s="86" t="s">
        <v>6503</v>
      </c>
      <c r="AP1117" s="81" t="b">
        <v>0</v>
      </c>
      <c r="AQ1117" s="86" t="s">
        <v>5110</v>
      </c>
      <c r="AR1117" s="81" t="s">
        <v>179</v>
      </c>
      <c r="AS1117" s="81">
        <v>0</v>
      </c>
      <c r="AT1117" s="81">
        <v>0</v>
      </c>
      <c r="AU1117" s="81"/>
      <c r="AV1117" s="81"/>
      <c r="AW1117" s="81"/>
      <c r="AX1117" s="81"/>
      <c r="AY1117" s="81"/>
      <c r="AZ1117" s="81"/>
      <c r="BA1117" s="81"/>
      <c r="BB1117" s="81"/>
    </row>
    <row r="1118" spans="1:54" x14ac:dyDescent="0.35">
      <c r="A1118" s="66" t="s">
        <v>898</v>
      </c>
      <c r="B1118" s="66" t="s">
        <v>1410</v>
      </c>
      <c r="C1118" s="67"/>
      <c r="D1118" s="68"/>
      <c r="E1118" s="69"/>
      <c r="F1118" s="70"/>
      <c r="G1118" s="67"/>
      <c r="H1118" s="71"/>
      <c r="I1118" s="72"/>
      <c r="J1118" s="72"/>
      <c r="K1118" s="36"/>
      <c r="L1118" s="79"/>
      <c r="M1118" s="79"/>
      <c r="N1118" s="74"/>
      <c r="O1118" s="81" t="s">
        <v>1533</v>
      </c>
      <c r="P1118" s="83">
        <v>44464.228032407409</v>
      </c>
      <c r="Q1118" s="81" t="s">
        <v>1910</v>
      </c>
      <c r="R1118" s="81"/>
      <c r="S1118" s="81"/>
      <c r="T1118" s="86" t="s">
        <v>1413</v>
      </c>
      <c r="U1118" s="84" t="str">
        <f>HYPERLINK("https://pbs.twimg.com/media/FAEaAdPVgAgaH2z.jpg")</f>
        <v>https://pbs.twimg.com/media/FAEaAdPVgAgaH2z.jpg</v>
      </c>
      <c r="V1118" s="84" t="str">
        <f>HYPERLINK("https://pbs.twimg.com/media/FAEaAdPVgAgaH2z.jpg")</f>
        <v>https://pbs.twimg.com/media/FAEaAdPVgAgaH2z.jpg</v>
      </c>
      <c r="W1118" s="83">
        <v>44464.228032407409</v>
      </c>
      <c r="X1118" s="89">
        <v>44464</v>
      </c>
      <c r="Y1118" s="86" t="s">
        <v>3535</v>
      </c>
      <c r="Z1118" s="84" t="str">
        <f>HYPERLINK("https://twitter.com/mydearjiminie/status/1441635670108246017")</f>
        <v>https://twitter.com/mydearjiminie/status/1441635670108246017</v>
      </c>
      <c r="AA1118" s="81"/>
      <c r="AB1118" s="81"/>
      <c r="AC1118" s="86" t="s">
        <v>5000</v>
      </c>
      <c r="AD1118" s="81"/>
      <c r="AE1118" s="81" t="b">
        <v>0</v>
      </c>
      <c r="AF1118" s="81">
        <v>0</v>
      </c>
      <c r="AG1118" s="86" t="s">
        <v>6240</v>
      </c>
      <c r="AH1118" s="81" t="b">
        <v>0</v>
      </c>
      <c r="AI1118" s="81" t="s">
        <v>6479</v>
      </c>
      <c r="AJ1118" s="81"/>
      <c r="AK1118" s="86" t="s">
        <v>6240</v>
      </c>
      <c r="AL1118" s="81" t="b">
        <v>0</v>
      </c>
      <c r="AM1118" s="81">
        <v>21</v>
      </c>
      <c r="AN1118" s="86" t="s">
        <v>5109</v>
      </c>
      <c r="AO1118" s="86" t="s">
        <v>6503</v>
      </c>
      <c r="AP1118" s="81" t="b">
        <v>0</v>
      </c>
      <c r="AQ1118" s="86" t="s">
        <v>5109</v>
      </c>
      <c r="AR1118" s="81" t="s">
        <v>179</v>
      </c>
      <c r="AS1118" s="81">
        <v>0</v>
      </c>
      <c r="AT1118" s="81">
        <v>0</v>
      </c>
      <c r="AU1118" s="81"/>
      <c r="AV1118" s="81"/>
      <c r="AW1118" s="81"/>
      <c r="AX1118" s="81"/>
      <c r="AY1118" s="81"/>
      <c r="AZ1118" s="81"/>
      <c r="BA1118" s="81"/>
      <c r="BB1118" s="81"/>
    </row>
    <row r="1119" spans="1:54" x14ac:dyDescent="0.35">
      <c r="A1119" s="66" t="s">
        <v>898</v>
      </c>
      <c r="B1119" s="66" t="s">
        <v>1411</v>
      </c>
      <c r="C1119" s="67"/>
      <c r="D1119" s="68"/>
      <c r="E1119" s="69"/>
      <c r="F1119" s="70"/>
      <c r="G1119" s="67"/>
      <c r="H1119" s="71"/>
      <c r="I1119" s="72"/>
      <c r="J1119" s="72"/>
      <c r="K1119" s="36"/>
      <c r="L1119" s="79"/>
      <c r="M1119" s="79"/>
      <c r="N1119" s="74"/>
      <c r="O1119" s="81" t="s">
        <v>1533</v>
      </c>
      <c r="P1119" s="83">
        <v>44464.228032407409</v>
      </c>
      <c r="Q1119" s="81" t="s">
        <v>1910</v>
      </c>
      <c r="R1119" s="81"/>
      <c r="S1119" s="81"/>
      <c r="T1119" s="86" t="s">
        <v>1413</v>
      </c>
      <c r="U1119" s="84" t="str">
        <f>HYPERLINK("https://pbs.twimg.com/media/FAEaAdPVgAgaH2z.jpg")</f>
        <v>https://pbs.twimg.com/media/FAEaAdPVgAgaH2z.jpg</v>
      </c>
      <c r="V1119" s="84" t="str">
        <f>HYPERLINK("https://pbs.twimg.com/media/FAEaAdPVgAgaH2z.jpg")</f>
        <v>https://pbs.twimg.com/media/FAEaAdPVgAgaH2z.jpg</v>
      </c>
      <c r="W1119" s="83">
        <v>44464.228032407409</v>
      </c>
      <c r="X1119" s="89">
        <v>44464</v>
      </c>
      <c r="Y1119" s="86" t="s">
        <v>3535</v>
      </c>
      <c r="Z1119" s="84" t="str">
        <f>HYPERLINK("https://twitter.com/mydearjiminie/status/1441635670108246017")</f>
        <v>https://twitter.com/mydearjiminie/status/1441635670108246017</v>
      </c>
      <c r="AA1119" s="81"/>
      <c r="AB1119" s="81"/>
      <c r="AC1119" s="86" t="s">
        <v>5000</v>
      </c>
      <c r="AD1119" s="81"/>
      <c r="AE1119" s="81" t="b">
        <v>0</v>
      </c>
      <c r="AF1119" s="81">
        <v>0</v>
      </c>
      <c r="AG1119" s="86" t="s">
        <v>6240</v>
      </c>
      <c r="AH1119" s="81" t="b">
        <v>0</v>
      </c>
      <c r="AI1119" s="81" t="s">
        <v>6479</v>
      </c>
      <c r="AJ1119" s="81"/>
      <c r="AK1119" s="86" t="s">
        <v>6240</v>
      </c>
      <c r="AL1119" s="81" t="b">
        <v>0</v>
      </c>
      <c r="AM1119" s="81">
        <v>21</v>
      </c>
      <c r="AN1119" s="86" t="s">
        <v>5109</v>
      </c>
      <c r="AO1119" s="86" t="s">
        <v>6503</v>
      </c>
      <c r="AP1119" s="81" t="b">
        <v>0</v>
      </c>
      <c r="AQ1119" s="86" t="s">
        <v>5109</v>
      </c>
      <c r="AR1119" s="81" t="s">
        <v>179</v>
      </c>
      <c r="AS1119" s="81">
        <v>0</v>
      </c>
      <c r="AT1119" s="81">
        <v>0</v>
      </c>
      <c r="AU1119" s="81"/>
      <c r="AV1119" s="81"/>
      <c r="AW1119" s="81"/>
      <c r="AX1119" s="81"/>
      <c r="AY1119" s="81"/>
      <c r="AZ1119" s="81"/>
      <c r="BA1119" s="81"/>
      <c r="BB1119" s="81"/>
    </row>
    <row r="1120" spans="1:54" x14ac:dyDescent="0.35">
      <c r="A1120" s="66" t="s">
        <v>898</v>
      </c>
      <c r="B1120" s="66" t="s">
        <v>1412</v>
      </c>
      <c r="C1120" s="67"/>
      <c r="D1120" s="68"/>
      <c r="E1120" s="69"/>
      <c r="F1120" s="70"/>
      <c r="G1120" s="67"/>
      <c r="H1120" s="71"/>
      <c r="I1120" s="72"/>
      <c r="J1120" s="72"/>
      <c r="K1120" s="36"/>
      <c r="L1120" s="79"/>
      <c r="M1120" s="79"/>
      <c r="N1120" s="74"/>
      <c r="O1120" s="81" t="s">
        <v>1533</v>
      </c>
      <c r="P1120" s="83">
        <v>44464.228032407409</v>
      </c>
      <c r="Q1120" s="81" t="s">
        <v>1910</v>
      </c>
      <c r="R1120" s="81"/>
      <c r="S1120" s="81"/>
      <c r="T1120" s="86" t="s">
        <v>1413</v>
      </c>
      <c r="U1120" s="84" t="str">
        <f>HYPERLINK("https://pbs.twimg.com/media/FAEaAdPVgAgaH2z.jpg")</f>
        <v>https://pbs.twimg.com/media/FAEaAdPVgAgaH2z.jpg</v>
      </c>
      <c r="V1120" s="84" t="str">
        <f>HYPERLINK("https://pbs.twimg.com/media/FAEaAdPVgAgaH2z.jpg")</f>
        <v>https://pbs.twimg.com/media/FAEaAdPVgAgaH2z.jpg</v>
      </c>
      <c r="W1120" s="83">
        <v>44464.228032407409</v>
      </c>
      <c r="X1120" s="89">
        <v>44464</v>
      </c>
      <c r="Y1120" s="86" t="s">
        <v>3535</v>
      </c>
      <c r="Z1120" s="84" t="str">
        <f>HYPERLINK("https://twitter.com/mydearjiminie/status/1441635670108246017")</f>
        <v>https://twitter.com/mydearjiminie/status/1441635670108246017</v>
      </c>
      <c r="AA1120" s="81"/>
      <c r="AB1120" s="81"/>
      <c r="AC1120" s="86" t="s">
        <v>5000</v>
      </c>
      <c r="AD1120" s="81"/>
      <c r="AE1120" s="81" t="b">
        <v>0</v>
      </c>
      <c r="AF1120" s="81">
        <v>0</v>
      </c>
      <c r="AG1120" s="86" t="s">
        <v>6240</v>
      </c>
      <c r="AH1120" s="81" t="b">
        <v>0</v>
      </c>
      <c r="AI1120" s="81" t="s">
        <v>6479</v>
      </c>
      <c r="AJ1120" s="81"/>
      <c r="AK1120" s="86" t="s">
        <v>6240</v>
      </c>
      <c r="AL1120" s="81" t="b">
        <v>0</v>
      </c>
      <c r="AM1120" s="81">
        <v>21</v>
      </c>
      <c r="AN1120" s="86" t="s">
        <v>5109</v>
      </c>
      <c r="AO1120" s="86" t="s">
        <v>6503</v>
      </c>
      <c r="AP1120" s="81" t="b">
        <v>0</v>
      </c>
      <c r="AQ1120" s="86" t="s">
        <v>5109</v>
      </c>
      <c r="AR1120" s="81" t="s">
        <v>179</v>
      </c>
      <c r="AS1120" s="81">
        <v>0</v>
      </c>
      <c r="AT1120" s="81">
        <v>0</v>
      </c>
      <c r="AU1120" s="81"/>
      <c r="AV1120" s="81"/>
      <c r="AW1120" s="81"/>
      <c r="AX1120" s="81"/>
      <c r="AY1120" s="81"/>
      <c r="AZ1120" s="81"/>
      <c r="BA1120" s="81"/>
      <c r="BB1120" s="81"/>
    </row>
    <row r="1121" spans="1:54" x14ac:dyDescent="0.35">
      <c r="A1121" s="66" t="s">
        <v>898</v>
      </c>
      <c r="B1121" s="66" t="s">
        <v>1413</v>
      </c>
      <c r="C1121" s="67"/>
      <c r="D1121" s="68"/>
      <c r="E1121" s="69"/>
      <c r="F1121" s="70"/>
      <c r="G1121" s="67"/>
      <c r="H1121" s="71"/>
      <c r="I1121" s="72"/>
      <c r="J1121" s="72"/>
      <c r="K1121" s="36"/>
      <c r="L1121" s="79"/>
      <c r="M1121" s="79"/>
      <c r="N1121" s="74"/>
      <c r="O1121" s="81" t="s">
        <v>1533</v>
      </c>
      <c r="P1121" s="83">
        <v>44464.228032407409</v>
      </c>
      <c r="Q1121" s="81" t="s">
        <v>1910</v>
      </c>
      <c r="R1121" s="81"/>
      <c r="S1121" s="81"/>
      <c r="T1121" s="86" t="s">
        <v>1413</v>
      </c>
      <c r="U1121" s="84" t="str">
        <f>HYPERLINK("https://pbs.twimg.com/media/FAEaAdPVgAgaH2z.jpg")</f>
        <v>https://pbs.twimg.com/media/FAEaAdPVgAgaH2z.jpg</v>
      </c>
      <c r="V1121" s="84" t="str">
        <f>HYPERLINK("https://pbs.twimg.com/media/FAEaAdPVgAgaH2z.jpg")</f>
        <v>https://pbs.twimg.com/media/FAEaAdPVgAgaH2z.jpg</v>
      </c>
      <c r="W1121" s="83">
        <v>44464.228032407409</v>
      </c>
      <c r="X1121" s="89">
        <v>44464</v>
      </c>
      <c r="Y1121" s="86" t="s">
        <v>3535</v>
      </c>
      <c r="Z1121" s="84" t="str">
        <f>HYPERLINK("https://twitter.com/mydearjiminie/status/1441635670108246017")</f>
        <v>https://twitter.com/mydearjiminie/status/1441635670108246017</v>
      </c>
      <c r="AA1121" s="81"/>
      <c r="AB1121" s="81"/>
      <c r="AC1121" s="86" t="s">
        <v>5000</v>
      </c>
      <c r="AD1121" s="81"/>
      <c r="AE1121" s="81" t="b">
        <v>0</v>
      </c>
      <c r="AF1121" s="81">
        <v>0</v>
      </c>
      <c r="AG1121" s="86" t="s">
        <v>6240</v>
      </c>
      <c r="AH1121" s="81" t="b">
        <v>0</v>
      </c>
      <c r="AI1121" s="81" t="s">
        <v>6479</v>
      </c>
      <c r="AJ1121" s="81"/>
      <c r="AK1121" s="86" t="s">
        <v>6240</v>
      </c>
      <c r="AL1121" s="81" t="b">
        <v>0</v>
      </c>
      <c r="AM1121" s="81">
        <v>21</v>
      </c>
      <c r="AN1121" s="86" t="s">
        <v>5109</v>
      </c>
      <c r="AO1121" s="86" t="s">
        <v>6503</v>
      </c>
      <c r="AP1121" s="81" t="b">
        <v>0</v>
      </c>
      <c r="AQ1121" s="86" t="s">
        <v>5109</v>
      </c>
      <c r="AR1121" s="81" t="s">
        <v>179</v>
      </c>
      <c r="AS1121" s="81">
        <v>0</v>
      </c>
      <c r="AT1121" s="81">
        <v>0</v>
      </c>
      <c r="AU1121" s="81"/>
      <c r="AV1121" s="81"/>
      <c r="AW1121" s="81"/>
      <c r="AX1121" s="81"/>
      <c r="AY1121" s="81"/>
      <c r="AZ1121" s="81"/>
      <c r="BA1121" s="81"/>
      <c r="BB1121" s="81"/>
    </row>
    <row r="1122" spans="1:54" x14ac:dyDescent="0.35">
      <c r="A1122" s="66" t="s">
        <v>898</v>
      </c>
      <c r="B1122" s="66" t="s">
        <v>990</v>
      </c>
      <c r="C1122" s="67"/>
      <c r="D1122" s="68"/>
      <c r="E1122" s="69"/>
      <c r="F1122" s="70"/>
      <c r="G1122" s="67"/>
      <c r="H1122" s="71"/>
      <c r="I1122" s="72"/>
      <c r="J1122" s="72"/>
      <c r="K1122" s="36"/>
      <c r="L1122" s="79"/>
      <c r="M1122" s="79"/>
      <c r="N1122" s="74"/>
      <c r="O1122" s="81" t="s">
        <v>1532</v>
      </c>
      <c r="P1122" s="83">
        <v>44464.228032407409</v>
      </c>
      <c r="Q1122" s="81" t="s">
        <v>1910</v>
      </c>
      <c r="R1122" s="81"/>
      <c r="S1122" s="81"/>
      <c r="T1122" s="86" t="s">
        <v>1413</v>
      </c>
      <c r="U1122" s="84" t="str">
        <f>HYPERLINK("https://pbs.twimg.com/media/FAEaAdPVgAgaH2z.jpg")</f>
        <v>https://pbs.twimg.com/media/FAEaAdPVgAgaH2z.jpg</v>
      </c>
      <c r="V1122" s="84" t="str">
        <f>HYPERLINK("https://pbs.twimg.com/media/FAEaAdPVgAgaH2z.jpg")</f>
        <v>https://pbs.twimg.com/media/FAEaAdPVgAgaH2z.jpg</v>
      </c>
      <c r="W1122" s="83">
        <v>44464.228032407409</v>
      </c>
      <c r="X1122" s="89">
        <v>44464</v>
      </c>
      <c r="Y1122" s="86" t="s">
        <v>3535</v>
      </c>
      <c r="Z1122" s="84" t="str">
        <f>HYPERLINK("https://twitter.com/mydearjiminie/status/1441635670108246017")</f>
        <v>https://twitter.com/mydearjiminie/status/1441635670108246017</v>
      </c>
      <c r="AA1122" s="81"/>
      <c r="AB1122" s="81"/>
      <c r="AC1122" s="86" t="s">
        <v>5000</v>
      </c>
      <c r="AD1122" s="81"/>
      <c r="AE1122" s="81" t="b">
        <v>0</v>
      </c>
      <c r="AF1122" s="81">
        <v>0</v>
      </c>
      <c r="AG1122" s="86" t="s">
        <v>6240</v>
      </c>
      <c r="AH1122" s="81" t="b">
        <v>0</v>
      </c>
      <c r="AI1122" s="81" t="s">
        <v>6479</v>
      </c>
      <c r="AJ1122" s="81"/>
      <c r="AK1122" s="86" t="s">
        <v>6240</v>
      </c>
      <c r="AL1122" s="81" t="b">
        <v>0</v>
      </c>
      <c r="AM1122" s="81">
        <v>21</v>
      </c>
      <c r="AN1122" s="86" t="s">
        <v>5109</v>
      </c>
      <c r="AO1122" s="86" t="s">
        <v>6503</v>
      </c>
      <c r="AP1122" s="81" t="b">
        <v>0</v>
      </c>
      <c r="AQ1122" s="86" t="s">
        <v>5109</v>
      </c>
      <c r="AR1122" s="81" t="s">
        <v>179</v>
      </c>
      <c r="AS1122" s="81">
        <v>0</v>
      </c>
      <c r="AT1122" s="81">
        <v>0</v>
      </c>
      <c r="AU1122" s="81"/>
      <c r="AV1122" s="81"/>
      <c r="AW1122" s="81"/>
      <c r="AX1122" s="81"/>
      <c r="AY1122" s="81"/>
      <c r="AZ1122" s="81"/>
      <c r="BA1122" s="81"/>
      <c r="BB1122" s="81"/>
    </row>
    <row r="1123" spans="1:54" x14ac:dyDescent="0.35">
      <c r="A1123" s="66" t="s">
        <v>898</v>
      </c>
      <c r="B1123" s="66" t="s">
        <v>1410</v>
      </c>
      <c r="C1123" s="67"/>
      <c r="D1123" s="68"/>
      <c r="E1123" s="69"/>
      <c r="F1123" s="70"/>
      <c r="G1123" s="67"/>
      <c r="H1123" s="71"/>
      <c r="I1123" s="72"/>
      <c r="J1123" s="72"/>
      <c r="K1123" s="36"/>
      <c r="L1123" s="79"/>
      <c r="M1123" s="79"/>
      <c r="N1123" s="74"/>
      <c r="O1123" s="81" t="s">
        <v>1533</v>
      </c>
      <c r="P1123" s="83">
        <v>44464.261111111111</v>
      </c>
      <c r="Q1123" s="81" t="s">
        <v>1908</v>
      </c>
      <c r="R1123" s="81"/>
      <c r="S1123" s="81"/>
      <c r="T1123" s="86" t="s">
        <v>1413</v>
      </c>
      <c r="U1123" s="84" t="str">
        <f>HYPERLINK("https://pbs.twimg.com/media/FAEa_mFUYAcoKUu.jpg")</f>
        <v>https://pbs.twimg.com/media/FAEa_mFUYAcoKUu.jpg</v>
      </c>
      <c r="V1123" s="84" t="str">
        <f>HYPERLINK("https://pbs.twimg.com/media/FAEa_mFUYAcoKUu.jpg")</f>
        <v>https://pbs.twimg.com/media/FAEa_mFUYAcoKUu.jpg</v>
      </c>
      <c r="W1123" s="83">
        <v>44464.261111111111</v>
      </c>
      <c r="X1123" s="89">
        <v>44464</v>
      </c>
      <c r="Y1123" s="86" t="s">
        <v>3536</v>
      </c>
      <c r="Z1123" s="84" t="str">
        <f>HYPERLINK("https://twitter.com/mydearjiminie/status/1441647656439144448")</f>
        <v>https://twitter.com/mydearjiminie/status/1441647656439144448</v>
      </c>
      <c r="AA1123" s="81"/>
      <c r="AB1123" s="81"/>
      <c r="AC1123" s="86" t="s">
        <v>5001</v>
      </c>
      <c r="AD1123" s="81"/>
      <c r="AE1123" s="81" t="b">
        <v>0</v>
      </c>
      <c r="AF1123" s="81">
        <v>0</v>
      </c>
      <c r="AG1123" s="86" t="s">
        <v>6240</v>
      </c>
      <c r="AH1123" s="81" t="b">
        <v>0</v>
      </c>
      <c r="AI1123" s="81" t="s">
        <v>6479</v>
      </c>
      <c r="AJ1123" s="81"/>
      <c r="AK1123" s="86" t="s">
        <v>6240</v>
      </c>
      <c r="AL1123" s="81" t="b">
        <v>0</v>
      </c>
      <c r="AM1123" s="81">
        <v>23</v>
      </c>
      <c r="AN1123" s="86" t="s">
        <v>5111</v>
      </c>
      <c r="AO1123" s="86" t="s">
        <v>6503</v>
      </c>
      <c r="AP1123" s="81" t="b">
        <v>0</v>
      </c>
      <c r="AQ1123" s="86" t="s">
        <v>5111</v>
      </c>
      <c r="AR1123" s="81" t="s">
        <v>179</v>
      </c>
      <c r="AS1123" s="81">
        <v>0</v>
      </c>
      <c r="AT1123" s="81">
        <v>0</v>
      </c>
      <c r="AU1123" s="81"/>
      <c r="AV1123" s="81"/>
      <c r="AW1123" s="81"/>
      <c r="AX1123" s="81"/>
      <c r="AY1123" s="81"/>
      <c r="AZ1123" s="81"/>
      <c r="BA1123" s="81"/>
      <c r="BB1123" s="81"/>
    </row>
    <row r="1124" spans="1:54" x14ac:dyDescent="0.35">
      <c r="A1124" s="66" t="s">
        <v>898</v>
      </c>
      <c r="B1124" s="66" t="s">
        <v>1411</v>
      </c>
      <c r="C1124" s="67"/>
      <c r="D1124" s="68"/>
      <c r="E1124" s="69"/>
      <c r="F1124" s="70"/>
      <c r="G1124" s="67"/>
      <c r="H1124" s="71"/>
      <c r="I1124" s="72"/>
      <c r="J1124" s="72"/>
      <c r="K1124" s="36"/>
      <c r="L1124" s="79"/>
      <c r="M1124" s="79"/>
      <c r="N1124" s="74"/>
      <c r="O1124" s="81" t="s">
        <v>1533</v>
      </c>
      <c r="P1124" s="83">
        <v>44464.261111111111</v>
      </c>
      <c r="Q1124" s="81" t="s">
        <v>1908</v>
      </c>
      <c r="R1124" s="81"/>
      <c r="S1124" s="81"/>
      <c r="T1124" s="86" t="s">
        <v>1413</v>
      </c>
      <c r="U1124" s="84" t="str">
        <f>HYPERLINK("https://pbs.twimg.com/media/FAEa_mFUYAcoKUu.jpg")</f>
        <v>https://pbs.twimg.com/media/FAEa_mFUYAcoKUu.jpg</v>
      </c>
      <c r="V1124" s="84" t="str">
        <f>HYPERLINK("https://pbs.twimg.com/media/FAEa_mFUYAcoKUu.jpg")</f>
        <v>https://pbs.twimg.com/media/FAEa_mFUYAcoKUu.jpg</v>
      </c>
      <c r="W1124" s="83">
        <v>44464.261111111111</v>
      </c>
      <c r="X1124" s="89">
        <v>44464</v>
      </c>
      <c r="Y1124" s="86" t="s">
        <v>3536</v>
      </c>
      <c r="Z1124" s="84" t="str">
        <f>HYPERLINK("https://twitter.com/mydearjiminie/status/1441647656439144448")</f>
        <v>https://twitter.com/mydearjiminie/status/1441647656439144448</v>
      </c>
      <c r="AA1124" s="81"/>
      <c r="AB1124" s="81"/>
      <c r="AC1124" s="86" t="s">
        <v>5001</v>
      </c>
      <c r="AD1124" s="81"/>
      <c r="AE1124" s="81" t="b">
        <v>0</v>
      </c>
      <c r="AF1124" s="81">
        <v>0</v>
      </c>
      <c r="AG1124" s="86" t="s">
        <v>6240</v>
      </c>
      <c r="AH1124" s="81" t="b">
        <v>0</v>
      </c>
      <c r="AI1124" s="81" t="s">
        <v>6479</v>
      </c>
      <c r="AJ1124" s="81"/>
      <c r="AK1124" s="86" t="s">
        <v>6240</v>
      </c>
      <c r="AL1124" s="81" t="b">
        <v>0</v>
      </c>
      <c r="AM1124" s="81">
        <v>23</v>
      </c>
      <c r="AN1124" s="86" t="s">
        <v>5111</v>
      </c>
      <c r="AO1124" s="86" t="s">
        <v>6503</v>
      </c>
      <c r="AP1124" s="81" t="b">
        <v>0</v>
      </c>
      <c r="AQ1124" s="86" t="s">
        <v>5111</v>
      </c>
      <c r="AR1124" s="81" t="s">
        <v>179</v>
      </c>
      <c r="AS1124" s="81">
        <v>0</v>
      </c>
      <c r="AT1124" s="81">
        <v>0</v>
      </c>
      <c r="AU1124" s="81"/>
      <c r="AV1124" s="81"/>
      <c r="AW1124" s="81"/>
      <c r="AX1124" s="81"/>
      <c r="AY1124" s="81"/>
      <c r="AZ1124" s="81"/>
      <c r="BA1124" s="81"/>
      <c r="BB1124" s="81"/>
    </row>
    <row r="1125" spans="1:54" x14ac:dyDescent="0.35">
      <c r="A1125" s="66" t="s">
        <v>898</v>
      </c>
      <c r="B1125" s="66" t="s">
        <v>1412</v>
      </c>
      <c r="C1125" s="67"/>
      <c r="D1125" s="68"/>
      <c r="E1125" s="69"/>
      <c r="F1125" s="70"/>
      <c r="G1125" s="67"/>
      <c r="H1125" s="71"/>
      <c r="I1125" s="72"/>
      <c r="J1125" s="72"/>
      <c r="K1125" s="36"/>
      <c r="L1125" s="79"/>
      <c r="M1125" s="79"/>
      <c r="N1125" s="74"/>
      <c r="O1125" s="81" t="s">
        <v>1533</v>
      </c>
      <c r="P1125" s="83">
        <v>44464.261111111111</v>
      </c>
      <c r="Q1125" s="81" t="s">
        <v>1908</v>
      </c>
      <c r="R1125" s="81"/>
      <c r="S1125" s="81"/>
      <c r="T1125" s="86" t="s">
        <v>1413</v>
      </c>
      <c r="U1125" s="84" t="str">
        <f>HYPERLINK("https://pbs.twimg.com/media/FAEa_mFUYAcoKUu.jpg")</f>
        <v>https://pbs.twimg.com/media/FAEa_mFUYAcoKUu.jpg</v>
      </c>
      <c r="V1125" s="84" t="str">
        <f>HYPERLINK("https://pbs.twimg.com/media/FAEa_mFUYAcoKUu.jpg")</f>
        <v>https://pbs.twimg.com/media/FAEa_mFUYAcoKUu.jpg</v>
      </c>
      <c r="W1125" s="83">
        <v>44464.261111111111</v>
      </c>
      <c r="X1125" s="89">
        <v>44464</v>
      </c>
      <c r="Y1125" s="86" t="s">
        <v>3536</v>
      </c>
      <c r="Z1125" s="84" t="str">
        <f>HYPERLINK("https://twitter.com/mydearjiminie/status/1441647656439144448")</f>
        <v>https://twitter.com/mydearjiminie/status/1441647656439144448</v>
      </c>
      <c r="AA1125" s="81"/>
      <c r="AB1125" s="81"/>
      <c r="AC1125" s="86" t="s">
        <v>5001</v>
      </c>
      <c r="AD1125" s="81"/>
      <c r="AE1125" s="81" t="b">
        <v>0</v>
      </c>
      <c r="AF1125" s="81">
        <v>0</v>
      </c>
      <c r="AG1125" s="86" t="s">
        <v>6240</v>
      </c>
      <c r="AH1125" s="81" t="b">
        <v>0</v>
      </c>
      <c r="AI1125" s="81" t="s">
        <v>6479</v>
      </c>
      <c r="AJ1125" s="81"/>
      <c r="AK1125" s="86" t="s">
        <v>6240</v>
      </c>
      <c r="AL1125" s="81" t="b">
        <v>0</v>
      </c>
      <c r="AM1125" s="81">
        <v>23</v>
      </c>
      <c r="AN1125" s="86" t="s">
        <v>5111</v>
      </c>
      <c r="AO1125" s="86" t="s">
        <v>6503</v>
      </c>
      <c r="AP1125" s="81" t="b">
        <v>0</v>
      </c>
      <c r="AQ1125" s="86" t="s">
        <v>5111</v>
      </c>
      <c r="AR1125" s="81" t="s">
        <v>179</v>
      </c>
      <c r="AS1125" s="81">
        <v>0</v>
      </c>
      <c r="AT1125" s="81">
        <v>0</v>
      </c>
      <c r="AU1125" s="81"/>
      <c r="AV1125" s="81"/>
      <c r="AW1125" s="81"/>
      <c r="AX1125" s="81"/>
      <c r="AY1125" s="81"/>
      <c r="AZ1125" s="81"/>
      <c r="BA1125" s="81"/>
      <c r="BB1125" s="81"/>
    </row>
    <row r="1126" spans="1:54" x14ac:dyDescent="0.35">
      <c r="A1126" s="66" t="s">
        <v>898</v>
      </c>
      <c r="B1126" s="66" t="s">
        <v>1413</v>
      </c>
      <c r="C1126" s="67"/>
      <c r="D1126" s="68"/>
      <c r="E1126" s="69"/>
      <c r="F1126" s="70"/>
      <c r="G1126" s="67"/>
      <c r="H1126" s="71"/>
      <c r="I1126" s="72"/>
      <c r="J1126" s="72"/>
      <c r="K1126" s="36"/>
      <c r="L1126" s="79"/>
      <c r="M1126" s="79"/>
      <c r="N1126" s="74"/>
      <c r="O1126" s="81" t="s">
        <v>1533</v>
      </c>
      <c r="P1126" s="83">
        <v>44464.261111111111</v>
      </c>
      <c r="Q1126" s="81" t="s">
        <v>1908</v>
      </c>
      <c r="R1126" s="81"/>
      <c r="S1126" s="81"/>
      <c r="T1126" s="86" t="s">
        <v>1413</v>
      </c>
      <c r="U1126" s="84" t="str">
        <f>HYPERLINK("https://pbs.twimg.com/media/FAEa_mFUYAcoKUu.jpg")</f>
        <v>https://pbs.twimg.com/media/FAEa_mFUYAcoKUu.jpg</v>
      </c>
      <c r="V1126" s="84" t="str">
        <f>HYPERLINK("https://pbs.twimg.com/media/FAEa_mFUYAcoKUu.jpg")</f>
        <v>https://pbs.twimg.com/media/FAEa_mFUYAcoKUu.jpg</v>
      </c>
      <c r="W1126" s="83">
        <v>44464.261111111111</v>
      </c>
      <c r="X1126" s="89">
        <v>44464</v>
      </c>
      <c r="Y1126" s="86" t="s">
        <v>3536</v>
      </c>
      <c r="Z1126" s="84" t="str">
        <f>HYPERLINK("https://twitter.com/mydearjiminie/status/1441647656439144448")</f>
        <v>https://twitter.com/mydearjiminie/status/1441647656439144448</v>
      </c>
      <c r="AA1126" s="81"/>
      <c r="AB1126" s="81"/>
      <c r="AC1126" s="86" t="s">
        <v>5001</v>
      </c>
      <c r="AD1126" s="81"/>
      <c r="AE1126" s="81" t="b">
        <v>0</v>
      </c>
      <c r="AF1126" s="81">
        <v>0</v>
      </c>
      <c r="AG1126" s="86" t="s">
        <v>6240</v>
      </c>
      <c r="AH1126" s="81" t="b">
        <v>0</v>
      </c>
      <c r="AI1126" s="81" t="s">
        <v>6479</v>
      </c>
      <c r="AJ1126" s="81"/>
      <c r="AK1126" s="86" t="s">
        <v>6240</v>
      </c>
      <c r="AL1126" s="81" t="b">
        <v>0</v>
      </c>
      <c r="AM1126" s="81">
        <v>23</v>
      </c>
      <c r="AN1126" s="86" t="s">
        <v>5111</v>
      </c>
      <c r="AO1126" s="86" t="s">
        <v>6503</v>
      </c>
      <c r="AP1126" s="81" t="b">
        <v>0</v>
      </c>
      <c r="AQ1126" s="86" t="s">
        <v>5111</v>
      </c>
      <c r="AR1126" s="81" t="s">
        <v>179</v>
      </c>
      <c r="AS1126" s="81">
        <v>0</v>
      </c>
      <c r="AT1126" s="81">
        <v>0</v>
      </c>
      <c r="AU1126" s="81"/>
      <c r="AV1126" s="81"/>
      <c r="AW1126" s="81"/>
      <c r="AX1126" s="81"/>
      <c r="AY1126" s="81"/>
      <c r="AZ1126" s="81"/>
      <c r="BA1126" s="81"/>
      <c r="BB1126" s="81"/>
    </row>
    <row r="1127" spans="1:54" x14ac:dyDescent="0.35">
      <c r="A1127" s="66" t="s">
        <v>898</v>
      </c>
      <c r="B1127" s="66" t="s">
        <v>990</v>
      </c>
      <c r="C1127" s="67"/>
      <c r="D1127" s="68"/>
      <c r="E1127" s="69"/>
      <c r="F1127" s="70"/>
      <c r="G1127" s="67"/>
      <c r="H1127" s="71"/>
      <c r="I1127" s="72"/>
      <c r="J1127" s="72"/>
      <c r="K1127" s="36"/>
      <c r="L1127" s="79"/>
      <c r="M1127" s="79"/>
      <c r="N1127" s="74"/>
      <c r="O1127" s="81" t="s">
        <v>1532</v>
      </c>
      <c r="P1127" s="83">
        <v>44464.261111111111</v>
      </c>
      <c r="Q1127" s="81" t="s">
        <v>1908</v>
      </c>
      <c r="R1127" s="81"/>
      <c r="S1127" s="81"/>
      <c r="T1127" s="86" t="s">
        <v>1413</v>
      </c>
      <c r="U1127" s="84" t="str">
        <f>HYPERLINK("https://pbs.twimg.com/media/FAEa_mFUYAcoKUu.jpg")</f>
        <v>https://pbs.twimg.com/media/FAEa_mFUYAcoKUu.jpg</v>
      </c>
      <c r="V1127" s="84" t="str">
        <f>HYPERLINK("https://pbs.twimg.com/media/FAEa_mFUYAcoKUu.jpg")</f>
        <v>https://pbs.twimg.com/media/FAEa_mFUYAcoKUu.jpg</v>
      </c>
      <c r="W1127" s="83">
        <v>44464.261111111111</v>
      </c>
      <c r="X1127" s="89">
        <v>44464</v>
      </c>
      <c r="Y1127" s="86" t="s">
        <v>3536</v>
      </c>
      <c r="Z1127" s="84" t="str">
        <f>HYPERLINK("https://twitter.com/mydearjiminie/status/1441647656439144448")</f>
        <v>https://twitter.com/mydearjiminie/status/1441647656439144448</v>
      </c>
      <c r="AA1127" s="81"/>
      <c r="AB1127" s="81"/>
      <c r="AC1127" s="86" t="s">
        <v>5001</v>
      </c>
      <c r="AD1127" s="81"/>
      <c r="AE1127" s="81" t="b">
        <v>0</v>
      </c>
      <c r="AF1127" s="81">
        <v>0</v>
      </c>
      <c r="AG1127" s="86" t="s">
        <v>6240</v>
      </c>
      <c r="AH1127" s="81" t="b">
        <v>0</v>
      </c>
      <c r="AI1127" s="81" t="s">
        <v>6479</v>
      </c>
      <c r="AJ1127" s="81"/>
      <c r="AK1127" s="86" t="s">
        <v>6240</v>
      </c>
      <c r="AL1127" s="81" t="b">
        <v>0</v>
      </c>
      <c r="AM1127" s="81">
        <v>23</v>
      </c>
      <c r="AN1127" s="86" t="s">
        <v>5111</v>
      </c>
      <c r="AO1127" s="86" t="s">
        <v>6503</v>
      </c>
      <c r="AP1127" s="81" t="b">
        <v>0</v>
      </c>
      <c r="AQ1127" s="86" t="s">
        <v>5111</v>
      </c>
      <c r="AR1127" s="81" t="s">
        <v>179</v>
      </c>
      <c r="AS1127" s="81">
        <v>0</v>
      </c>
      <c r="AT1127" s="81">
        <v>0</v>
      </c>
      <c r="AU1127" s="81"/>
      <c r="AV1127" s="81"/>
      <c r="AW1127" s="81"/>
      <c r="AX1127" s="81"/>
      <c r="AY1127" s="81"/>
      <c r="AZ1127" s="81"/>
      <c r="BA1127" s="81"/>
      <c r="BB1127" s="81"/>
    </row>
    <row r="1128" spans="1:54" x14ac:dyDescent="0.35">
      <c r="A1128" s="66" t="s">
        <v>899</v>
      </c>
      <c r="B1128" s="66" t="s">
        <v>1410</v>
      </c>
      <c r="C1128" s="67"/>
      <c r="D1128" s="68"/>
      <c r="E1128" s="69"/>
      <c r="F1128" s="70"/>
      <c r="G1128" s="67"/>
      <c r="H1128" s="71"/>
      <c r="I1128" s="72"/>
      <c r="J1128" s="72"/>
      <c r="K1128" s="36"/>
      <c r="L1128" s="79"/>
      <c r="M1128" s="79"/>
      <c r="N1128" s="74"/>
      <c r="O1128" s="81" t="s">
        <v>1533</v>
      </c>
      <c r="P1128" s="83">
        <v>44464.261608796296</v>
      </c>
      <c r="Q1128" s="81" t="s">
        <v>1908</v>
      </c>
      <c r="R1128" s="81"/>
      <c r="S1128" s="81"/>
      <c r="T1128" s="86" t="s">
        <v>1413</v>
      </c>
      <c r="U1128" s="84" t="str">
        <f>HYPERLINK("https://pbs.twimg.com/media/FAEa_mFUYAcoKUu.jpg")</f>
        <v>https://pbs.twimg.com/media/FAEa_mFUYAcoKUu.jpg</v>
      </c>
      <c r="V1128" s="84" t="str">
        <f>HYPERLINK("https://pbs.twimg.com/media/FAEa_mFUYAcoKUu.jpg")</f>
        <v>https://pbs.twimg.com/media/FAEa_mFUYAcoKUu.jpg</v>
      </c>
      <c r="W1128" s="83">
        <v>44464.261608796296</v>
      </c>
      <c r="X1128" s="89">
        <v>44464</v>
      </c>
      <c r="Y1128" s="86" t="s">
        <v>3537</v>
      </c>
      <c r="Z1128" s="84" t="str">
        <f>HYPERLINK("https://twitter.com/jks_ladyice/status/1441647836039315460")</f>
        <v>https://twitter.com/jks_ladyice/status/1441647836039315460</v>
      </c>
      <c r="AA1128" s="81"/>
      <c r="AB1128" s="81"/>
      <c r="AC1128" s="86" t="s">
        <v>5002</v>
      </c>
      <c r="AD1128" s="81"/>
      <c r="AE1128" s="81" t="b">
        <v>0</v>
      </c>
      <c r="AF1128" s="81">
        <v>0</v>
      </c>
      <c r="AG1128" s="86" t="s">
        <v>6240</v>
      </c>
      <c r="AH1128" s="81" t="b">
        <v>0</v>
      </c>
      <c r="AI1128" s="81" t="s">
        <v>6479</v>
      </c>
      <c r="AJ1128" s="81"/>
      <c r="AK1128" s="86" t="s">
        <v>6240</v>
      </c>
      <c r="AL1128" s="81" t="b">
        <v>0</v>
      </c>
      <c r="AM1128" s="81">
        <v>23</v>
      </c>
      <c r="AN1128" s="86" t="s">
        <v>5111</v>
      </c>
      <c r="AO1128" s="86" t="s">
        <v>6503</v>
      </c>
      <c r="AP1128" s="81" t="b">
        <v>0</v>
      </c>
      <c r="AQ1128" s="86" t="s">
        <v>5111</v>
      </c>
      <c r="AR1128" s="81" t="s">
        <v>179</v>
      </c>
      <c r="AS1128" s="81">
        <v>0</v>
      </c>
      <c r="AT1128" s="81">
        <v>0</v>
      </c>
      <c r="AU1128" s="81"/>
      <c r="AV1128" s="81"/>
      <c r="AW1128" s="81"/>
      <c r="AX1128" s="81"/>
      <c r="AY1128" s="81"/>
      <c r="AZ1128" s="81"/>
      <c r="BA1128" s="81"/>
      <c r="BB1128" s="81"/>
    </row>
    <row r="1129" spans="1:54" x14ac:dyDescent="0.35">
      <c r="A1129" s="66" t="s">
        <v>899</v>
      </c>
      <c r="B1129" s="66" t="s">
        <v>1411</v>
      </c>
      <c r="C1129" s="67"/>
      <c r="D1129" s="68"/>
      <c r="E1129" s="69"/>
      <c r="F1129" s="70"/>
      <c r="G1129" s="67"/>
      <c r="H1129" s="71"/>
      <c r="I1129" s="72"/>
      <c r="J1129" s="72"/>
      <c r="K1129" s="36"/>
      <c r="L1129" s="79"/>
      <c r="M1129" s="79"/>
      <c r="N1129" s="74"/>
      <c r="O1129" s="81" t="s">
        <v>1533</v>
      </c>
      <c r="P1129" s="83">
        <v>44464.261608796296</v>
      </c>
      <c r="Q1129" s="81" t="s">
        <v>1908</v>
      </c>
      <c r="R1129" s="81"/>
      <c r="S1129" s="81"/>
      <c r="T1129" s="86" t="s">
        <v>1413</v>
      </c>
      <c r="U1129" s="84" t="str">
        <f>HYPERLINK("https://pbs.twimg.com/media/FAEa_mFUYAcoKUu.jpg")</f>
        <v>https://pbs.twimg.com/media/FAEa_mFUYAcoKUu.jpg</v>
      </c>
      <c r="V1129" s="84" t="str">
        <f>HYPERLINK("https://pbs.twimg.com/media/FAEa_mFUYAcoKUu.jpg")</f>
        <v>https://pbs.twimg.com/media/FAEa_mFUYAcoKUu.jpg</v>
      </c>
      <c r="W1129" s="83">
        <v>44464.261608796296</v>
      </c>
      <c r="X1129" s="89">
        <v>44464</v>
      </c>
      <c r="Y1129" s="86" t="s">
        <v>3537</v>
      </c>
      <c r="Z1129" s="84" t="str">
        <f>HYPERLINK("https://twitter.com/jks_ladyice/status/1441647836039315460")</f>
        <v>https://twitter.com/jks_ladyice/status/1441647836039315460</v>
      </c>
      <c r="AA1129" s="81"/>
      <c r="AB1129" s="81"/>
      <c r="AC1129" s="86" t="s">
        <v>5002</v>
      </c>
      <c r="AD1129" s="81"/>
      <c r="AE1129" s="81" t="b">
        <v>0</v>
      </c>
      <c r="AF1129" s="81">
        <v>0</v>
      </c>
      <c r="AG1129" s="86" t="s">
        <v>6240</v>
      </c>
      <c r="AH1129" s="81" t="b">
        <v>0</v>
      </c>
      <c r="AI1129" s="81" t="s">
        <v>6479</v>
      </c>
      <c r="AJ1129" s="81"/>
      <c r="AK1129" s="86" t="s">
        <v>6240</v>
      </c>
      <c r="AL1129" s="81" t="b">
        <v>0</v>
      </c>
      <c r="AM1129" s="81">
        <v>23</v>
      </c>
      <c r="AN1129" s="86" t="s">
        <v>5111</v>
      </c>
      <c r="AO1129" s="86" t="s">
        <v>6503</v>
      </c>
      <c r="AP1129" s="81" t="b">
        <v>0</v>
      </c>
      <c r="AQ1129" s="86" t="s">
        <v>5111</v>
      </c>
      <c r="AR1129" s="81" t="s">
        <v>179</v>
      </c>
      <c r="AS1129" s="81">
        <v>0</v>
      </c>
      <c r="AT1129" s="81">
        <v>0</v>
      </c>
      <c r="AU1129" s="81"/>
      <c r="AV1129" s="81"/>
      <c r="AW1129" s="81"/>
      <c r="AX1129" s="81"/>
      <c r="AY1129" s="81"/>
      <c r="AZ1129" s="81"/>
      <c r="BA1129" s="81"/>
      <c r="BB1129" s="81"/>
    </row>
    <row r="1130" spans="1:54" x14ac:dyDescent="0.35">
      <c r="A1130" s="66" t="s">
        <v>899</v>
      </c>
      <c r="B1130" s="66" t="s">
        <v>1412</v>
      </c>
      <c r="C1130" s="67"/>
      <c r="D1130" s="68"/>
      <c r="E1130" s="69"/>
      <c r="F1130" s="70"/>
      <c r="G1130" s="67"/>
      <c r="H1130" s="71"/>
      <c r="I1130" s="72"/>
      <c r="J1130" s="72"/>
      <c r="K1130" s="36"/>
      <c r="L1130" s="79"/>
      <c r="M1130" s="79"/>
      <c r="N1130" s="74"/>
      <c r="O1130" s="81" t="s">
        <v>1533</v>
      </c>
      <c r="P1130" s="83">
        <v>44464.261608796296</v>
      </c>
      <c r="Q1130" s="81" t="s">
        <v>1908</v>
      </c>
      <c r="R1130" s="81"/>
      <c r="S1130" s="81"/>
      <c r="T1130" s="86" t="s">
        <v>1413</v>
      </c>
      <c r="U1130" s="84" t="str">
        <f>HYPERLINK("https://pbs.twimg.com/media/FAEa_mFUYAcoKUu.jpg")</f>
        <v>https://pbs.twimg.com/media/FAEa_mFUYAcoKUu.jpg</v>
      </c>
      <c r="V1130" s="84" t="str">
        <f>HYPERLINK("https://pbs.twimg.com/media/FAEa_mFUYAcoKUu.jpg")</f>
        <v>https://pbs.twimg.com/media/FAEa_mFUYAcoKUu.jpg</v>
      </c>
      <c r="W1130" s="83">
        <v>44464.261608796296</v>
      </c>
      <c r="X1130" s="89">
        <v>44464</v>
      </c>
      <c r="Y1130" s="86" t="s">
        <v>3537</v>
      </c>
      <c r="Z1130" s="84" t="str">
        <f>HYPERLINK("https://twitter.com/jks_ladyice/status/1441647836039315460")</f>
        <v>https://twitter.com/jks_ladyice/status/1441647836039315460</v>
      </c>
      <c r="AA1130" s="81"/>
      <c r="AB1130" s="81"/>
      <c r="AC1130" s="86" t="s">
        <v>5002</v>
      </c>
      <c r="AD1130" s="81"/>
      <c r="AE1130" s="81" t="b">
        <v>0</v>
      </c>
      <c r="AF1130" s="81">
        <v>0</v>
      </c>
      <c r="AG1130" s="86" t="s">
        <v>6240</v>
      </c>
      <c r="AH1130" s="81" t="b">
        <v>0</v>
      </c>
      <c r="AI1130" s="81" t="s">
        <v>6479</v>
      </c>
      <c r="AJ1130" s="81"/>
      <c r="AK1130" s="86" t="s">
        <v>6240</v>
      </c>
      <c r="AL1130" s="81" t="b">
        <v>0</v>
      </c>
      <c r="AM1130" s="81">
        <v>23</v>
      </c>
      <c r="AN1130" s="86" t="s">
        <v>5111</v>
      </c>
      <c r="AO1130" s="86" t="s">
        <v>6503</v>
      </c>
      <c r="AP1130" s="81" t="b">
        <v>0</v>
      </c>
      <c r="AQ1130" s="86" t="s">
        <v>5111</v>
      </c>
      <c r="AR1130" s="81" t="s">
        <v>179</v>
      </c>
      <c r="AS1130" s="81">
        <v>0</v>
      </c>
      <c r="AT1130" s="81">
        <v>0</v>
      </c>
      <c r="AU1130" s="81"/>
      <c r="AV1130" s="81"/>
      <c r="AW1130" s="81"/>
      <c r="AX1130" s="81"/>
      <c r="AY1130" s="81"/>
      <c r="AZ1130" s="81"/>
      <c r="BA1130" s="81"/>
      <c r="BB1130" s="81"/>
    </row>
    <row r="1131" spans="1:54" x14ac:dyDescent="0.35">
      <c r="A1131" s="66" t="s">
        <v>899</v>
      </c>
      <c r="B1131" s="66" t="s">
        <v>1413</v>
      </c>
      <c r="C1131" s="67"/>
      <c r="D1131" s="68"/>
      <c r="E1131" s="69"/>
      <c r="F1131" s="70"/>
      <c r="G1131" s="67"/>
      <c r="H1131" s="71"/>
      <c r="I1131" s="72"/>
      <c r="J1131" s="72"/>
      <c r="K1131" s="36"/>
      <c r="L1131" s="79"/>
      <c r="M1131" s="79"/>
      <c r="N1131" s="74"/>
      <c r="O1131" s="81" t="s">
        <v>1533</v>
      </c>
      <c r="P1131" s="83">
        <v>44464.261608796296</v>
      </c>
      <c r="Q1131" s="81" t="s">
        <v>1908</v>
      </c>
      <c r="R1131" s="81"/>
      <c r="S1131" s="81"/>
      <c r="T1131" s="86" t="s">
        <v>1413</v>
      </c>
      <c r="U1131" s="84" t="str">
        <f>HYPERLINK("https://pbs.twimg.com/media/FAEa_mFUYAcoKUu.jpg")</f>
        <v>https://pbs.twimg.com/media/FAEa_mFUYAcoKUu.jpg</v>
      </c>
      <c r="V1131" s="84" t="str">
        <f>HYPERLINK("https://pbs.twimg.com/media/FAEa_mFUYAcoKUu.jpg")</f>
        <v>https://pbs.twimg.com/media/FAEa_mFUYAcoKUu.jpg</v>
      </c>
      <c r="W1131" s="83">
        <v>44464.261608796296</v>
      </c>
      <c r="X1131" s="89">
        <v>44464</v>
      </c>
      <c r="Y1131" s="86" t="s">
        <v>3537</v>
      </c>
      <c r="Z1131" s="84" t="str">
        <f>HYPERLINK("https://twitter.com/jks_ladyice/status/1441647836039315460")</f>
        <v>https://twitter.com/jks_ladyice/status/1441647836039315460</v>
      </c>
      <c r="AA1131" s="81"/>
      <c r="AB1131" s="81"/>
      <c r="AC1131" s="86" t="s">
        <v>5002</v>
      </c>
      <c r="AD1131" s="81"/>
      <c r="AE1131" s="81" t="b">
        <v>0</v>
      </c>
      <c r="AF1131" s="81">
        <v>0</v>
      </c>
      <c r="AG1131" s="86" t="s">
        <v>6240</v>
      </c>
      <c r="AH1131" s="81" t="b">
        <v>0</v>
      </c>
      <c r="AI1131" s="81" t="s">
        <v>6479</v>
      </c>
      <c r="AJ1131" s="81"/>
      <c r="AK1131" s="86" t="s">
        <v>6240</v>
      </c>
      <c r="AL1131" s="81" t="b">
        <v>0</v>
      </c>
      <c r="AM1131" s="81">
        <v>23</v>
      </c>
      <c r="AN1131" s="86" t="s">
        <v>5111</v>
      </c>
      <c r="AO1131" s="86" t="s">
        <v>6503</v>
      </c>
      <c r="AP1131" s="81" t="b">
        <v>0</v>
      </c>
      <c r="AQ1131" s="86" t="s">
        <v>5111</v>
      </c>
      <c r="AR1131" s="81" t="s">
        <v>179</v>
      </c>
      <c r="AS1131" s="81">
        <v>0</v>
      </c>
      <c r="AT1131" s="81">
        <v>0</v>
      </c>
      <c r="AU1131" s="81"/>
      <c r="AV1131" s="81"/>
      <c r="AW1131" s="81"/>
      <c r="AX1131" s="81"/>
      <c r="AY1131" s="81"/>
      <c r="AZ1131" s="81"/>
      <c r="BA1131" s="81"/>
      <c r="BB1131" s="81"/>
    </row>
    <row r="1132" spans="1:54" x14ac:dyDescent="0.35">
      <c r="A1132" s="66" t="s">
        <v>899</v>
      </c>
      <c r="B1132" s="66" t="s">
        <v>990</v>
      </c>
      <c r="C1132" s="67"/>
      <c r="D1132" s="68"/>
      <c r="E1132" s="69"/>
      <c r="F1132" s="70"/>
      <c r="G1132" s="67"/>
      <c r="H1132" s="71"/>
      <c r="I1132" s="72"/>
      <c r="J1132" s="72"/>
      <c r="K1132" s="36"/>
      <c r="L1132" s="79"/>
      <c r="M1132" s="79"/>
      <c r="N1132" s="74"/>
      <c r="O1132" s="81" t="s">
        <v>1532</v>
      </c>
      <c r="P1132" s="83">
        <v>44464.261608796296</v>
      </c>
      <c r="Q1132" s="81" t="s">
        <v>1908</v>
      </c>
      <c r="R1132" s="81"/>
      <c r="S1132" s="81"/>
      <c r="T1132" s="86" t="s">
        <v>1413</v>
      </c>
      <c r="U1132" s="84" t="str">
        <f>HYPERLINK("https://pbs.twimg.com/media/FAEa_mFUYAcoKUu.jpg")</f>
        <v>https://pbs.twimg.com/media/FAEa_mFUYAcoKUu.jpg</v>
      </c>
      <c r="V1132" s="84" t="str">
        <f>HYPERLINK("https://pbs.twimg.com/media/FAEa_mFUYAcoKUu.jpg")</f>
        <v>https://pbs.twimg.com/media/FAEa_mFUYAcoKUu.jpg</v>
      </c>
      <c r="W1132" s="83">
        <v>44464.261608796296</v>
      </c>
      <c r="X1132" s="89">
        <v>44464</v>
      </c>
      <c r="Y1132" s="86" t="s">
        <v>3537</v>
      </c>
      <c r="Z1132" s="84" t="str">
        <f>HYPERLINK("https://twitter.com/jks_ladyice/status/1441647836039315460")</f>
        <v>https://twitter.com/jks_ladyice/status/1441647836039315460</v>
      </c>
      <c r="AA1132" s="81"/>
      <c r="AB1132" s="81"/>
      <c r="AC1132" s="86" t="s">
        <v>5002</v>
      </c>
      <c r="AD1132" s="81"/>
      <c r="AE1132" s="81" t="b">
        <v>0</v>
      </c>
      <c r="AF1132" s="81">
        <v>0</v>
      </c>
      <c r="AG1132" s="86" t="s">
        <v>6240</v>
      </c>
      <c r="AH1132" s="81" t="b">
        <v>0</v>
      </c>
      <c r="AI1132" s="81" t="s">
        <v>6479</v>
      </c>
      <c r="AJ1132" s="81"/>
      <c r="AK1132" s="86" t="s">
        <v>6240</v>
      </c>
      <c r="AL1132" s="81" t="b">
        <v>0</v>
      </c>
      <c r="AM1132" s="81">
        <v>23</v>
      </c>
      <c r="AN1132" s="86" t="s">
        <v>5111</v>
      </c>
      <c r="AO1132" s="86" t="s">
        <v>6503</v>
      </c>
      <c r="AP1132" s="81" t="b">
        <v>0</v>
      </c>
      <c r="AQ1132" s="86" t="s">
        <v>5111</v>
      </c>
      <c r="AR1132" s="81" t="s">
        <v>179</v>
      </c>
      <c r="AS1132" s="81">
        <v>0</v>
      </c>
      <c r="AT1132" s="81">
        <v>0</v>
      </c>
      <c r="AU1132" s="81"/>
      <c r="AV1132" s="81"/>
      <c r="AW1132" s="81"/>
      <c r="AX1132" s="81"/>
      <c r="AY1132" s="81"/>
      <c r="AZ1132" s="81"/>
      <c r="BA1132" s="81"/>
      <c r="BB1132" s="81"/>
    </row>
    <row r="1133" spans="1:54" x14ac:dyDescent="0.35">
      <c r="A1133" s="66" t="s">
        <v>900</v>
      </c>
      <c r="B1133" s="66" t="s">
        <v>1436</v>
      </c>
      <c r="C1133" s="67"/>
      <c r="D1133" s="68"/>
      <c r="E1133" s="69"/>
      <c r="F1133" s="70"/>
      <c r="G1133" s="67"/>
      <c r="H1133" s="71"/>
      <c r="I1133" s="72"/>
      <c r="J1133" s="72"/>
      <c r="K1133" s="36"/>
      <c r="L1133" s="79"/>
      <c r="M1133" s="79"/>
      <c r="N1133" s="74"/>
      <c r="O1133" s="81" t="s">
        <v>1534</v>
      </c>
      <c r="P1133" s="83">
        <v>44461.383587962962</v>
      </c>
      <c r="Q1133" s="81" t="s">
        <v>1935</v>
      </c>
      <c r="R1133" s="81"/>
      <c r="S1133" s="81"/>
      <c r="T1133" s="81"/>
      <c r="U1133" s="81"/>
      <c r="V1133" s="84" t="str">
        <f>HYPERLINK("https://pbs.twimg.com/profile_images/1441656600104632326/kClaNhkv_normal.jpg")</f>
        <v>https://pbs.twimg.com/profile_images/1441656600104632326/kClaNhkv_normal.jpg</v>
      </c>
      <c r="W1133" s="83">
        <v>44461.383587962962</v>
      </c>
      <c r="X1133" s="89">
        <v>44461</v>
      </c>
      <c r="Y1133" s="86" t="s">
        <v>3538</v>
      </c>
      <c r="Z1133" s="84" t="str">
        <f>HYPERLINK("https://twitter.com/lilhannies/status/1440604876136869893")</f>
        <v>https://twitter.com/lilhannies/status/1440604876136869893</v>
      </c>
      <c r="AA1133" s="81"/>
      <c r="AB1133" s="81"/>
      <c r="AC1133" s="86" t="s">
        <v>5003</v>
      </c>
      <c r="AD1133" s="86" t="s">
        <v>6111</v>
      </c>
      <c r="AE1133" s="81" t="b">
        <v>0</v>
      </c>
      <c r="AF1133" s="81">
        <v>0</v>
      </c>
      <c r="AG1133" s="86" t="s">
        <v>6369</v>
      </c>
      <c r="AH1133" s="81" t="b">
        <v>0</v>
      </c>
      <c r="AI1133" s="81" t="s">
        <v>6478</v>
      </c>
      <c r="AJ1133" s="81"/>
      <c r="AK1133" s="86" t="s">
        <v>6240</v>
      </c>
      <c r="AL1133" s="81" t="b">
        <v>0</v>
      </c>
      <c r="AM1133" s="81">
        <v>0</v>
      </c>
      <c r="AN1133" s="86" t="s">
        <v>6240</v>
      </c>
      <c r="AO1133" s="86" t="s">
        <v>6505</v>
      </c>
      <c r="AP1133" s="81" t="b">
        <v>0</v>
      </c>
      <c r="AQ1133" s="86" t="s">
        <v>6111</v>
      </c>
      <c r="AR1133" s="81" t="s">
        <v>179</v>
      </c>
      <c r="AS1133" s="81">
        <v>0</v>
      </c>
      <c r="AT1133" s="81">
        <v>0</v>
      </c>
      <c r="AU1133" s="81"/>
      <c r="AV1133" s="81"/>
      <c r="AW1133" s="81"/>
      <c r="AX1133" s="81"/>
      <c r="AY1133" s="81"/>
      <c r="AZ1133" s="81"/>
      <c r="BA1133" s="81"/>
      <c r="BB1133" s="81"/>
    </row>
    <row r="1134" spans="1:54" x14ac:dyDescent="0.35">
      <c r="A1134" s="66" t="s">
        <v>900</v>
      </c>
      <c r="B1134" s="66" t="s">
        <v>1410</v>
      </c>
      <c r="C1134" s="67"/>
      <c r="D1134" s="68"/>
      <c r="E1134" s="69"/>
      <c r="F1134" s="70"/>
      <c r="G1134" s="67"/>
      <c r="H1134" s="71"/>
      <c r="I1134" s="72"/>
      <c r="J1134" s="72"/>
      <c r="K1134" s="36"/>
      <c r="L1134" s="79"/>
      <c r="M1134" s="79"/>
      <c r="N1134" s="74"/>
      <c r="O1134" s="81" t="s">
        <v>1533</v>
      </c>
      <c r="P1134" s="83">
        <v>44464.262499999997</v>
      </c>
      <c r="Q1134" s="81" t="s">
        <v>1909</v>
      </c>
      <c r="R1134" s="81"/>
      <c r="S1134" s="81"/>
      <c r="T1134" s="86" t="s">
        <v>1413</v>
      </c>
      <c r="U1134" s="84" t="str">
        <f>HYPERLINK("https://pbs.twimg.com/media/FAEa7dXVkAcjbKg.jpg")</f>
        <v>https://pbs.twimg.com/media/FAEa7dXVkAcjbKg.jpg</v>
      </c>
      <c r="V1134" s="84" t="str">
        <f>HYPERLINK("https://pbs.twimg.com/media/FAEa7dXVkAcjbKg.jpg")</f>
        <v>https://pbs.twimg.com/media/FAEa7dXVkAcjbKg.jpg</v>
      </c>
      <c r="W1134" s="83">
        <v>44464.262499999997</v>
      </c>
      <c r="X1134" s="89">
        <v>44464</v>
      </c>
      <c r="Y1134" s="86" t="s">
        <v>3539</v>
      </c>
      <c r="Z1134" s="84" t="str">
        <f>HYPERLINK("https://twitter.com/lilhannies/status/1441648159638228997")</f>
        <v>https://twitter.com/lilhannies/status/1441648159638228997</v>
      </c>
      <c r="AA1134" s="81"/>
      <c r="AB1134" s="81"/>
      <c r="AC1134" s="86" t="s">
        <v>5004</v>
      </c>
      <c r="AD1134" s="81"/>
      <c r="AE1134" s="81" t="b">
        <v>0</v>
      </c>
      <c r="AF1134" s="81">
        <v>0</v>
      </c>
      <c r="AG1134" s="86" t="s">
        <v>6240</v>
      </c>
      <c r="AH1134" s="81" t="b">
        <v>0</v>
      </c>
      <c r="AI1134" s="81" t="s">
        <v>6479</v>
      </c>
      <c r="AJ1134" s="81"/>
      <c r="AK1134" s="86" t="s">
        <v>6240</v>
      </c>
      <c r="AL1134" s="81" t="b">
        <v>0</v>
      </c>
      <c r="AM1134" s="81">
        <v>20</v>
      </c>
      <c r="AN1134" s="86" t="s">
        <v>5110</v>
      </c>
      <c r="AO1134" s="86" t="s">
        <v>6505</v>
      </c>
      <c r="AP1134" s="81" t="b">
        <v>0</v>
      </c>
      <c r="AQ1134" s="86" t="s">
        <v>5110</v>
      </c>
      <c r="AR1134" s="81" t="s">
        <v>179</v>
      </c>
      <c r="AS1134" s="81">
        <v>0</v>
      </c>
      <c r="AT1134" s="81">
        <v>0</v>
      </c>
      <c r="AU1134" s="81"/>
      <c r="AV1134" s="81"/>
      <c r="AW1134" s="81"/>
      <c r="AX1134" s="81"/>
      <c r="AY1134" s="81"/>
      <c r="AZ1134" s="81"/>
      <c r="BA1134" s="81"/>
      <c r="BB1134" s="81"/>
    </row>
    <row r="1135" spans="1:54" x14ac:dyDescent="0.35">
      <c r="A1135" s="66" t="s">
        <v>900</v>
      </c>
      <c r="B1135" s="66" t="s">
        <v>1411</v>
      </c>
      <c r="C1135" s="67"/>
      <c r="D1135" s="68"/>
      <c r="E1135" s="69"/>
      <c r="F1135" s="70"/>
      <c r="G1135" s="67"/>
      <c r="H1135" s="71"/>
      <c r="I1135" s="72"/>
      <c r="J1135" s="72"/>
      <c r="K1135" s="36"/>
      <c r="L1135" s="79"/>
      <c r="M1135" s="79"/>
      <c r="N1135" s="74"/>
      <c r="O1135" s="81" t="s">
        <v>1533</v>
      </c>
      <c r="P1135" s="83">
        <v>44464.262499999997</v>
      </c>
      <c r="Q1135" s="81" t="s">
        <v>1909</v>
      </c>
      <c r="R1135" s="81"/>
      <c r="S1135" s="81"/>
      <c r="T1135" s="86" t="s">
        <v>1413</v>
      </c>
      <c r="U1135" s="84" t="str">
        <f>HYPERLINK("https://pbs.twimg.com/media/FAEa7dXVkAcjbKg.jpg")</f>
        <v>https://pbs.twimg.com/media/FAEa7dXVkAcjbKg.jpg</v>
      </c>
      <c r="V1135" s="84" t="str">
        <f>HYPERLINK("https://pbs.twimg.com/media/FAEa7dXVkAcjbKg.jpg")</f>
        <v>https://pbs.twimg.com/media/FAEa7dXVkAcjbKg.jpg</v>
      </c>
      <c r="W1135" s="83">
        <v>44464.262499999997</v>
      </c>
      <c r="X1135" s="89">
        <v>44464</v>
      </c>
      <c r="Y1135" s="86" t="s">
        <v>3539</v>
      </c>
      <c r="Z1135" s="84" t="str">
        <f>HYPERLINK("https://twitter.com/lilhannies/status/1441648159638228997")</f>
        <v>https://twitter.com/lilhannies/status/1441648159638228997</v>
      </c>
      <c r="AA1135" s="81"/>
      <c r="AB1135" s="81"/>
      <c r="AC1135" s="86" t="s">
        <v>5004</v>
      </c>
      <c r="AD1135" s="81"/>
      <c r="AE1135" s="81" t="b">
        <v>0</v>
      </c>
      <c r="AF1135" s="81">
        <v>0</v>
      </c>
      <c r="AG1135" s="86" t="s">
        <v>6240</v>
      </c>
      <c r="AH1135" s="81" t="b">
        <v>0</v>
      </c>
      <c r="AI1135" s="81" t="s">
        <v>6479</v>
      </c>
      <c r="AJ1135" s="81"/>
      <c r="AK1135" s="86" t="s">
        <v>6240</v>
      </c>
      <c r="AL1135" s="81" t="b">
        <v>0</v>
      </c>
      <c r="AM1135" s="81">
        <v>20</v>
      </c>
      <c r="AN1135" s="86" t="s">
        <v>5110</v>
      </c>
      <c r="AO1135" s="86" t="s">
        <v>6505</v>
      </c>
      <c r="AP1135" s="81" t="b">
        <v>0</v>
      </c>
      <c r="AQ1135" s="86" t="s">
        <v>5110</v>
      </c>
      <c r="AR1135" s="81" t="s">
        <v>179</v>
      </c>
      <c r="AS1135" s="81">
        <v>0</v>
      </c>
      <c r="AT1135" s="81">
        <v>0</v>
      </c>
      <c r="AU1135" s="81"/>
      <c r="AV1135" s="81"/>
      <c r="AW1135" s="81"/>
      <c r="AX1135" s="81"/>
      <c r="AY1135" s="81"/>
      <c r="AZ1135" s="81"/>
      <c r="BA1135" s="81"/>
      <c r="BB1135" s="81"/>
    </row>
    <row r="1136" spans="1:54" x14ac:dyDescent="0.35">
      <c r="A1136" s="66" t="s">
        <v>900</v>
      </c>
      <c r="B1136" s="66" t="s">
        <v>1412</v>
      </c>
      <c r="C1136" s="67"/>
      <c r="D1136" s="68"/>
      <c r="E1136" s="69"/>
      <c r="F1136" s="70"/>
      <c r="G1136" s="67"/>
      <c r="H1136" s="71"/>
      <c r="I1136" s="72"/>
      <c r="J1136" s="72"/>
      <c r="K1136" s="36"/>
      <c r="L1136" s="79"/>
      <c r="M1136" s="79"/>
      <c r="N1136" s="74"/>
      <c r="O1136" s="81" t="s">
        <v>1533</v>
      </c>
      <c r="P1136" s="83">
        <v>44464.262499999997</v>
      </c>
      <c r="Q1136" s="81" t="s">
        <v>1909</v>
      </c>
      <c r="R1136" s="81"/>
      <c r="S1136" s="81"/>
      <c r="T1136" s="86" t="s">
        <v>1413</v>
      </c>
      <c r="U1136" s="84" t="str">
        <f>HYPERLINK("https://pbs.twimg.com/media/FAEa7dXVkAcjbKg.jpg")</f>
        <v>https://pbs.twimg.com/media/FAEa7dXVkAcjbKg.jpg</v>
      </c>
      <c r="V1136" s="84" t="str">
        <f>HYPERLINK("https://pbs.twimg.com/media/FAEa7dXVkAcjbKg.jpg")</f>
        <v>https://pbs.twimg.com/media/FAEa7dXVkAcjbKg.jpg</v>
      </c>
      <c r="W1136" s="83">
        <v>44464.262499999997</v>
      </c>
      <c r="X1136" s="89">
        <v>44464</v>
      </c>
      <c r="Y1136" s="86" t="s">
        <v>3539</v>
      </c>
      <c r="Z1136" s="84" t="str">
        <f>HYPERLINK("https://twitter.com/lilhannies/status/1441648159638228997")</f>
        <v>https://twitter.com/lilhannies/status/1441648159638228997</v>
      </c>
      <c r="AA1136" s="81"/>
      <c r="AB1136" s="81"/>
      <c r="AC1136" s="86" t="s">
        <v>5004</v>
      </c>
      <c r="AD1136" s="81"/>
      <c r="AE1136" s="81" t="b">
        <v>0</v>
      </c>
      <c r="AF1136" s="81">
        <v>0</v>
      </c>
      <c r="AG1136" s="86" t="s">
        <v>6240</v>
      </c>
      <c r="AH1136" s="81" t="b">
        <v>0</v>
      </c>
      <c r="AI1136" s="81" t="s">
        <v>6479</v>
      </c>
      <c r="AJ1136" s="81"/>
      <c r="AK1136" s="86" t="s">
        <v>6240</v>
      </c>
      <c r="AL1136" s="81" t="b">
        <v>0</v>
      </c>
      <c r="AM1136" s="81">
        <v>20</v>
      </c>
      <c r="AN1136" s="86" t="s">
        <v>5110</v>
      </c>
      <c r="AO1136" s="86" t="s">
        <v>6505</v>
      </c>
      <c r="AP1136" s="81" t="b">
        <v>0</v>
      </c>
      <c r="AQ1136" s="86" t="s">
        <v>5110</v>
      </c>
      <c r="AR1136" s="81" t="s">
        <v>179</v>
      </c>
      <c r="AS1136" s="81">
        <v>0</v>
      </c>
      <c r="AT1136" s="81">
        <v>0</v>
      </c>
      <c r="AU1136" s="81"/>
      <c r="AV1136" s="81"/>
      <c r="AW1136" s="81"/>
      <c r="AX1136" s="81"/>
      <c r="AY1136" s="81"/>
      <c r="AZ1136" s="81"/>
      <c r="BA1136" s="81"/>
      <c r="BB1136" s="81"/>
    </row>
    <row r="1137" spans="1:54" x14ac:dyDescent="0.35">
      <c r="A1137" s="66" t="s">
        <v>900</v>
      </c>
      <c r="B1137" s="66" t="s">
        <v>1413</v>
      </c>
      <c r="C1137" s="67"/>
      <c r="D1137" s="68"/>
      <c r="E1137" s="69"/>
      <c r="F1137" s="70"/>
      <c r="G1137" s="67"/>
      <c r="H1137" s="71"/>
      <c r="I1137" s="72"/>
      <c r="J1137" s="72"/>
      <c r="K1137" s="36"/>
      <c r="L1137" s="79"/>
      <c r="M1137" s="79"/>
      <c r="N1137" s="74"/>
      <c r="O1137" s="81" t="s">
        <v>1533</v>
      </c>
      <c r="P1137" s="83">
        <v>44464.262499999997</v>
      </c>
      <c r="Q1137" s="81" t="s">
        <v>1909</v>
      </c>
      <c r="R1137" s="81"/>
      <c r="S1137" s="81"/>
      <c r="T1137" s="86" t="s">
        <v>1413</v>
      </c>
      <c r="U1137" s="84" t="str">
        <f>HYPERLINK("https://pbs.twimg.com/media/FAEa7dXVkAcjbKg.jpg")</f>
        <v>https://pbs.twimg.com/media/FAEa7dXVkAcjbKg.jpg</v>
      </c>
      <c r="V1137" s="84" t="str">
        <f>HYPERLINK("https://pbs.twimg.com/media/FAEa7dXVkAcjbKg.jpg")</f>
        <v>https://pbs.twimg.com/media/FAEa7dXVkAcjbKg.jpg</v>
      </c>
      <c r="W1137" s="83">
        <v>44464.262499999997</v>
      </c>
      <c r="X1137" s="89">
        <v>44464</v>
      </c>
      <c r="Y1137" s="86" t="s">
        <v>3539</v>
      </c>
      <c r="Z1137" s="84" t="str">
        <f>HYPERLINK("https://twitter.com/lilhannies/status/1441648159638228997")</f>
        <v>https://twitter.com/lilhannies/status/1441648159638228997</v>
      </c>
      <c r="AA1137" s="81"/>
      <c r="AB1137" s="81"/>
      <c r="AC1137" s="86" t="s">
        <v>5004</v>
      </c>
      <c r="AD1137" s="81"/>
      <c r="AE1137" s="81" t="b">
        <v>0</v>
      </c>
      <c r="AF1137" s="81">
        <v>0</v>
      </c>
      <c r="AG1137" s="86" t="s">
        <v>6240</v>
      </c>
      <c r="AH1137" s="81" t="b">
        <v>0</v>
      </c>
      <c r="AI1137" s="81" t="s">
        <v>6479</v>
      </c>
      <c r="AJ1137" s="81"/>
      <c r="AK1137" s="86" t="s">
        <v>6240</v>
      </c>
      <c r="AL1137" s="81" t="b">
        <v>0</v>
      </c>
      <c r="AM1137" s="81">
        <v>20</v>
      </c>
      <c r="AN1137" s="86" t="s">
        <v>5110</v>
      </c>
      <c r="AO1137" s="86" t="s">
        <v>6505</v>
      </c>
      <c r="AP1137" s="81" t="b">
        <v>0</v>
      </c>
      <c r="AQ1137" s="86" t="s">
        <v>5110</v>
      </c>
      <c r="AR1137" s="81" t="s">
        <v>179</v>
      </c>
      <c r="AS1137" s="81">
        <v>0</v>
      </c>
      <c r="AT1137" s="81">
        <v>0</v>
      </c>
      <c r="AU1137" s="81"/>
      <c r="AV1137" s="81"/>
      <c r="AW1137" s="81"/>
      <c r="AX1137" s="81"/>
      <c r="AY1137" s="81"/>
      <c r="AZ1137" s="81"/>
      <c r="BA1137" s="81"/>
      <c r="BB1137" s="81"/>
    </row>
    <row r="1138" spans="1:54" x14ac:dyDescent="0.35">
      <c r="A1138" s="66" t="s">
        <v>900</v>
      </c>
      <c r="B1138" s="66" t="s">
        <v>990</v>
      </c>
      <c r="C1138" s="67"/>
      <c r="D1138" s="68"/>
      <c r="E1138" s="69"/>
      <c r="F1138" s="70"/>
      <c r="G1138" s="67"/>
      <c r="H1138" s="71"/>
      <c r="I1138" s="72"/>
      <c r="J1138" s="72"/>
      <c r="K1138" s="36"/>
      <c r="L1138" s="79"/>
      <c r="M1138" s="79"/>
      <c r="N1138" s="74"/>
      <c r="O1138" s="81" t="s">
        <v>1532</v>
      </c>
      <c r="P1138" s="83">
        <v>44464.262499999997</v>
      </c>
      <c r="Q1138" s="81" t="s">
        <v>1909</v>
      </c>
      <c r="R1138" s="81"/>
      <c r="S1138" s="81"/>
      <c r="T1138" s="86" t="s">
        <v>1413</v>
      </c>
      <c r="U1138" s="84" t="str">
        <f>HYPERLINK("https://pbs.twimg.com/media/FAEa7dXVkAcjbKg.jpg")</f>
        <v>https://pbs.twimg.com/media/FAEa7dXVkAcjbKg.jpg</v>
      </c>
      <c r="V1138" s="84" t="str">
        <f>HYPERLINK("https://pbs.twimg.com/media/FAEa7dXVkAcjbKg.jpg")</f>
        <v>https://pbs.twimg.com/media/FAEa7dXVkAcjbKg.jpg</v>
      </c>
      <c r="W1138" s="83">
        <v>44464.262499999997</v>
      </c>
      <c r="X1138" s="89">
        <v>44464</v>
      </c>
      <c r="Y1138" s="86" t="s">
        <v>3539</v>
      </c>
      <c r="Z1138" s="84" t="str">
        <f>HYPERLINK("https://twitter.com/lilhannies/status/1441648159638228997")</f>
        <v>https://twitter.com/lilhannies/status/1441648159638228997</v>
      </c>
      <c r="AA1138" s="81"/>
      <c r="AB1138" s="81"/>
      <c r="AC1138" s="86" t="s">
        <v>5004</v>
      </c>
      <c r="AD1138" s="81"/>
      <c r="AE1138" s="81" t="b">
        <v>0</v>
      </c>
      <c r="AF1138" s="81">
        <v>0</v>
      </c>
      <c r="AG1138" s="86" t="s">
        <v>6240</v>
      </c>
      <c r="AH1138" s="81" t="b">
        <v>0</v>
      </c>
      <c r="AI1138" s="81" t="s">
        <v>6479</v>
      </c>
      <c r="AJ1138" s="81"/>
      <c r="AK1138" s="86" t="s">
        <v>6240</v>
      </c>
      <c r="AL1138" s="81" t="b">
        <v>0</v>
      </c>
      <c r="AM1138" s="81">
        <v>20</v>
      </c>
      <c r="AN1138" s="86" t="s">
        <v>5110</v>
      </c>
      <c r="AO1138" s="86" t="s">
        <v>6505</v>
      </c>
      <c r="AP1138" s="81" t="b">
        <v>0</v>
      </c>
      <c r="AQ1138" s="86" t="s">
        <v>5110</v>
      </c>
      <c r="AR1138" s="81" t="s">
        <v>179</v>
      </c>
      <c r="AS1138" s="81">
        <v>0</v>
      </c>
      <c r="AT1138" s="81">
        <v>0</v>
      </c>
      <c r="AU1138" s="81"/>
      <c r="AV1138" s="81"/>
      <c r="AW1138" s="81"/>
      <c r="AX1138" s="81"/>
      <c r="AY1138" s="81"/>
      <c r="AZ1138" s="81"/>
      <c r="BA1138" s="81"/>
      <c r="BB1138" s="81"/>
    </row>
    <row r="1139" spans="1:54" x14ac:dyDescent="0.35">
      <c r="A1139" s="66" t="s">
        <v>900</v>
      </c>
      <c r="B1139" s="66" t="s">
        <v>1410</v>
      </c>
      <c r="C1139" s="67"/>
      <c r="D1139" s="68"/>
      <c r="E1139" s="69"/>
      <c r="F1139" s="70"/>
      <c r="G1139" s="67"/>
      <c r="H1139" s="71"/>
      <c r="I1139" s="72"/>
      <c r="J1139" s="72"/>
      <c r="K1139" s="36"/>
      <c r="L1139" s="79"/>
      <c r="M1139" s="79"/>
      <c r="N1139" s="74"/>
      <c r="O1139" s="81" t="s">
        <v>1533</v>
      </c>
      <c r="P1139" s="83">
        <v>44464.26290509259</v>
      </c>
      <c r="Q1139" s="81" t="s">
        <v>1906</v>
      </c>
      <c r="R1139" s="81"/>
      <c r="S1139" s="81"/>
      <c r="T1139" s="86" t="s">
        <v>1413</v>
      </c>
      <c r="U1139" s="84" t="str">
        <f>HYPERLINK("https://pbs.twimg.com/media/FAEbG8nUcA0oIOp.jpg")</f>
        <v>https://pbs.twimg.com/media/FAEbG8nUcA0oIOp.jpg</v>
      </c>
      <c r="V1139" s="84" t="str">
        <f>HYPERLINK("https://pbs.twimg.com/media/FAEbG8nUcA0oIOp.jpg")</f>
        <v>https://pbs.twimg.com/media/FAEbG8nUcA0oIOp.jpg</v>
      </c>
      <c r="W1139" s="83">
        <v>44464.26290509259</v>
      </c>
      <c r="X1139" s="89">
        <v>44464</v>
      </c>
      <c r="Y1139" s="86" t="s">
        <v>3540</v>
      </c>
      <c r="Z1139" s="84" t="str">
        <f>HYPERLINK("https://twitter.com/lilhannies/status/1441648306526949377")</f>
        <v>https://twitter.com/lilhannies/status/1441648306526949377</v>
      </c>
      <c r="AA1139" s="81"/>
      <c r="AB1139" s="81"/>
      <c r="AC1139" s="86" t="s">
        <v>5005</v>
      </c>
      <c r="AD1139" s="81"/>
      <c r="AE1139" s="81" t="b">
        <v>0</v>
      </c>
      <c r="AF1139" s="81">
        <v>0</v>
      </c>
      <c r="AG1139" s="86" t="s">
        <v>6240</v>
      </c>
      <c r="AH1139" s="81" t="b">
        <v>0</v>
      </c>
      <c r="AI1139" s="81" t="s">
        <v>6479</v>
      </c>
      <c r="AJ1139" s="81"/>
      <c r="AK1139" s="86" t="s">
        <v>6240</v>
      </c>
      <c r="AL1139" s="81" t="b">
        <v>0</v>
      </c>
      <c r="AM1139" s="81">
        <v>5</v>
      </c>
      <c r="AN1139" s="86" t="s">
        <v>5113</v>
      </c>
      <c r="AO1139" s="86" t="s">
        <v>6505</v>
      </c>
      <c r="AP1139" s="81" t="b">
        <v>0</v>
      </c>
      <c r="AQ1139" s="86" t="s">
        <v>5113</v>
      </c>
      <c r="AR1139" s="81" t="s">
        <v>179</v>
      </c>
      <c r="AS1139" s="81">
        <v>0</v>
      </c>
      <c r="AT1139" s="81">
        <v>0</v>
      </c>
      <c r="AU1139" s="81"/>
      <c r="AV1139" s="81"/>
      <c r="AW1139" s="81"/>
      <c r="AX1139" s="81"/>
      <c r="AY1139" s="81"/>
      <c r="AZ1139" s="81"/>
      <c r="BA1139" s="81"/>
      <c r="BB1139" s="81"/>
    </row>
    <row r="1140" spans="1:54" x14ac:dyDescent="0.35">
      <c r="A1140" s="66" t="s">
        <v>900</v>
      </c>
      <c r="B1140" s="66" t="s">
        <v>1411</v>
      </c>
      <c r="C1140" s="67"/>
      <c r="D1140" s="68"/>
      <c r="E1140" s="69"/>
      <c r="F1140" s="70"/>
      <c r="G1140" s="67"/>
      <c r="H1140" s="71"/>
      <c r="I1140" s="72"/>
      <c r="J1140" s="72"/>
      <c r="K1140" s="36"/>
      <c r="L1140" s="79"/>
      <c r="M1140" s="79"/>
      <c r="N1140" s="74"/>
      <c r="O1140" s="81" t="s">
        <v>1533</v>
      </c>
      <c r="P1140" s="83">
        <v>44464.26290509259</v>
      </c>
      <c r="Q1140" s="81" t="s">
        <v>1906</v>
      </c>
      <c r="R1140" s="81"/>
      <c r="S1140" s="81"/>
      <c r="T1140" s="86" t="s">
        <v>1413</v>
      </c>
      <c r="U1140" s="84" t="str">
        <f>HYPERLINK("https://pbs.twimg.com/media/FAEbG8nUcA0oIOp.jpg")</f>
        <v>https://pbs.twimg.com/media/FAEbG8nUcA0oIOp.jpg</v>
      </c>
      <c r="V1140" s="84" t="str">
        <f>HYPERLINK("https://pbs.twimg.com/media/FAEbG8nUcA0oIOp.jpg")</f>
        <v>https://pbs.twimg.com/media/FAEbG8nUcA0oIOp.jpg</v>
      </c>
      <c r="W1140" s="83">
        <v>44464.26290509259</v>
      </c>
      <c r="X1140" s="89">
        <v>44464</v>
      </c>
      <c r="Y1140" s="86" t="s">
        <v>3540</v>
      </c>
      <c r="Z1140" s="84" t="str">
        <f>HYPERLINK("https://twitter.com/lilhannies/status/1441648306526949377")</f>
        <v>https://twitter.com/lilhannies/status/1441648306526949377</v>
      </c>
      <c r="AA1140" s="81"/>
      <c r="AB1140" s="81"/>
      <c r="AC1140" s="86" t="s">
        <v>5005</v>
      </c>
      <c r="AD1140" s="81"/>
      <c r="AE1140" s="81" t="b">
        <v>0</v>
      </c>
      <c r="AF1140" s="81">
        <v>0</v>
      </c>
      <c r="AG1140" s="86" t="s">
        <v>6240</v>
      </c>
      <c r="AH1140" s="81" t="b">
        <v>0</v>
      </c>
      <c r="AI1140" s="81" t="s">
        <v>6479</v>
      </c>
      <c r="AJ1140" s="81"/>
      <c r="AK1140" s="86" t="s">
        <v>6240</v>
      </c>
      <c r="AL1140" s="81" t="b">
        <v>0</v>
      </c>
      <c r="AM1140" s="81">
        <v>5</v>
      </c>
      <c r="AN1140" s="86" t="s">
        <v>5113</v>
      </c>
      <c r="AO1140" s="86" t="s">
        <v>6505</v>
      </c>
      <c r="AP1140" s="81" t="b">
        <v>0</v>
      </c>
      <c r="AQ1140" s="86" t="s">
        <v>5113</v>
      </c>
      <c r="AR1140" s="81" t="s">
        <v>179</v>
      </c>
      <c r="AS1140" s="81">
        <v>0</v>
      </c>
      <c r="AT1140" s="81">
        <v>0</v>
      </c>
      <c r="AU1140" s="81"/>
      <c r="AV1140" s="81"/>
      <c r="AW1140" s="81"/>
      <c r="AX1140" s="81"/>
      <c r="AY1140" s="81"/>
      <c r="AZ1140" s="81"/>
      <c r="BA1140" s="81"/>
      <c r="BB1140" s="81"/>
    </row>
    <row r="1141" spans="1:54" x14ac:dyDescent="0.35">
      <c r="A1141" s="66" t="s">
        <v>900</v>
      </c>
      <c r="B1141" s="66" t="s">
        <v>1412</v>
      </c>
      <c r="C1141" s="67"/>
      <c r="D1141" s="68"/>
      <c r="E1141" s="69"/>
      <c r="F1141" s="70"/>
      <c r="G1141" s="67"/>
      <c r="H1141" s="71"/>
      <c r="I1141" s="72"/>
      <c r="J1141" s="72"/>
      <c r="K1141" s="36"/>
      <c r="L1141" s="79"/>
      <c r="M1141" s="79"/>
      <c r="N1141" s="74"/>
      <c r="O1141" s="81" t="s">
        <v>1533</v>
      </c>
      <c r="P1141" s="83">
        <v>44464.26290509259</v>
      </c>
      <c r="Q1141" s="81" t="s">
        <v>1906</v>
      </c>
      <c r="R1141" s="81"/>
      <c r="S1141" s="81"/>
      <c r="T1141" s="86" t="s">
        <v>1413</v>
      </c>
      <c r="U1141" s="84" t="str">
        <f>HYPERLINK("https://pbs.twimg.com/media/FAEbG8nUcA0oIOp.jpg")</f>
        <v>https://pbs.twimg.com/media/FAEbG8nUcA0oIOp.jpg</v>
      </c>
      <c r="V1141" s="84" t="str">
        <f>HYPERLINK("https://pbs.twimg.com/media/FAEbG8nUcA0oIOp.jpg")</f>
        <v>https://pbs.twimg.com/media/FAEbG8nUcA0oIOp.jpg</v>
      </c>
      <c r="W1141" s="83">
        <v>44464.26290509259</v>
      </c>
      <c r="X1141" s="89">
        <v>44464</v>
      </c>
      <c r="Y1141" s="86" t="s">
        <v>3540</v>
      </c>
      <c r="Z1141" s="84" t="str">
        <f>HYPERLINK("https://twitter.com/lilhannies/status/1441648306526949377")</f>
        <v>https://twitter.com/lilhannies/status/1441648306526949377</v>
      </c>
      <c r="AA1141" s="81"/>
      <c r="AB1141" s="81"/>
      <c r="AC1141" s="86" t="s">
        <v>5005</v>
      </c>
      <c r="AD1141" s="81"/>
      <c r="AE1141" s="81" t="b">
        <v>0</v>
      </c>
      <c r="AF1141" s="81">
        <v>0</v>
      </c>
      <c r="AG1141" s="86" t="s">
        <v>6240</v>
      </c>
      <c r="AH1141" s="81" t="b">
        <v>0</v>
      </c>
      <c r="AI1141" s="81" t="s">
        <v>6479</v>
      </c>
      <c r="AJ1141" s="81"/>
      <c r="AK1141" s="86" t="s">
        <v>6240</v>
      </c>
      <c r="AL1141" s="81" t="b">
        <v>0</v>
      </c>
      <c r="AM1141" s="81">
        <v>5</v>
      </c>
      <c r="AN1141" s="86" t="s">
        <v>5113</v>
      </c>
      <c r="AO1141" s="86" t="s">
        <v>6505</v>
      </c>
      <c r="AP1141" s="81" t="b">
        <v>0</v>
      </c>
      <c r="AQ1141" s="86" t="s">
        <v>5113</v>
      </c>
      <c r="AR1141" s="81" t="s">
        <v>179</v>
      </c>
      <c r="AS1141" s="81">
        <v>0</v>
      </c>
      <c r="AT1141" s="81">
        <v>0</v>
      </c>
      <c r="AU1141" s="81"/>
      <c r="AV1141" s="81"/>
      <c r="AW1141" s="81"/>
      <c r="AX1141" s="81"/>
      <c r="AY1141" s="81"/>
      <c r="AZ1141" s="81"/>
      <c r="BA1141" s="81"/>
      <c r="BB1141" s="81"/>
    </row>
    <row r="1142" spans="1:54" x14ac:dyDescent="0.35">
      <c r="A1142" s="66" t="s">
        <v>900</v>
      </c>
      <c r="B1142" s="66" t="s">
        <v>1413</v>
      </c>
      <c r="C1142" s="67"/>
      <c r="D1142" s="68"/>
      <c r="E1142" s="69"/>
      <c r="F1142" s="70"/>
      <c r="G1142" s="67"/>
      <c r="H1142" s="71"/>
      <c r="I1142" s="72"/>
      <c r="J1142" s="72"/>
      <c r="K1142" s="36"/>
      <c r="L1142" s="79"/>
      <c r="M1142" s="79"/>
      <c r="N1142" s="74"/>
      <c r="O1142" s="81" t="s">
        <v>1533</v>
      </c>
      <c r="P1142" s="83">
        <v>44464.26290509259</v>
      </c>
      <c r="Q1142" s="81" t="s">
        <v>1906</v>
      </c>
      <c r="R1142" s="81"/>
      <c r="S1142" s="81"/>
      <c r="T1142" s="86" t="s">
        <v>1413</v>
      </c>
      <c r="U1142" s="84" t="str">
        <f>HYPERLINK("https://pbs.twimg.com/media/FAEbG8nUcA0oIOp.jpg")</f>
        <v>https://pbs.twimg.com/media/FAEbG8nUcA0oIOp.jpg</v>
      </c>
      <c r="V1142" s="84" t="str">
        <f>HYPERLINK("https://pbs.twimg.com/media/FAEbG8nUcA0oIOp.jpg")</f>
        <v>https://pbs.twimg.com/media/FAEbG8nUcA0oIOp.jpg</v>
      </c>
      <c r="W1142" s="83">
        <v>44464.26290509259</v>
      </c>
      <c r="X1142" s="89">
        <v>44464</v>
      </c>
      <c r="Y1142" s="86" t="s">
        <v>3540</v>
      </c>
      <c r="Z1142" s="84" t="str">
        <f>HYPERLINK("https://twitter.com/lilhannies/status/1441648306526949377")</f>
        <v>https://twitter.com/lilhannies/status/1441648306526949377</v>
      </c>
      <c r="AA1142" s="81"/>
      <c r="AB1142" s="81"/>
      <c r="AC1142" s="86" t="s">
        <v>5005</v>
      </c>
      <c r="AD1142" s="81"/>
      <c r="AE1142" s="81" t="b">
        <v>0</v>
      </c>
      <c r="AF1142" s="81">
        <v>0</v>
      </c>
      <c r="AG1142" s="86" t="s">
        <v>6240</v>
      </c>
      <c r="AH1142" s="81" t="b">
        <v>0</v>
      </c>
      <c r="AI1142" s="81" t="s">
        <v>6479</v>
      </c>
      <c r="AJ1142" s="81"/>
      <c r="AK1142" s="86" t="s">
        <v>6240</v>
      </c>
      <c r="AL1142" s="81" t="b">
        <v>0</v>
      </c>
      <c r="AM1142" s="81">
        <v>5</v>
      </c>
      <c r="AN1142" s="86" t="s">
        <v>5113</v>
      </c>
      <c r="AO1142" s="86" t="s">
        <v>6505</v>
      </c>
      <c r="AP1142" s="81" t="b">
        <v>0</v>
      </c>
      <c r="AQ1142" s="86" t="s">
        <v>5113</v>
      </c>
      <c r="AR1142" s="81" t="s">
        <v>179</v>
      </c>
      <c r="AS1142" s="81">
        <v>0</v>
      </c>
      <c r="AT1142" s="81">
        <v>0</v>
      </c>
      <c r="AU1142" s="81"/>
      <c r="AV1142" s="81"/>
      <c r="AW1142" s="81"/>
      <c r="AX1142" s="81"/>
      <c r="AY1142" s="81"/>
      <c r="AZ1142" s="81"/>
      <c r="BA1142" s="81"/>
      <c r="BB1142" s="81"/>
    </row>
    <row r="1143" spans="1:54" x14ac:dyDescent="0.35">
      <c r="A1143" s="66" t="s">
        <v>900</v>
      </c>
      <c r="B1143" s="66" t="s">
        <v>990</v>
      </c>
      <c r="C1143" s="67"/>
      <c r="D1143" s="68"/>
      <c r="E1143" s="69"/>
      <c r="F1143" s="70"/>
      <c r="G1143" s="67"/>
      <c r="H1143" s="71"/>
      <c r="I1143" s="72"/>
      <c r="J1143" s="72"/>
      <c r="K1143" s="36"/>
      <c r="L1143" s="79"/>
      <c r="M1143" s="79"/>
      <c r="N1143" s="74"/>
      <c r="O1143" s="81" t="s">
        <v>1532</v>
      </c>
      <c r="P1143" s="83">
        <v>44464.26290509259</v>
      </c>
      <c r="Q1143" s="81" t="s">
        <v>1906</v>
      </c>
      <c r="R1143" s="81"/>
      <c r="S1143" s="81"/>
      <c r="T1143" s="86" t="s">
        <v>1413</v>
      </c>
      <c r="U1143" s="84" t="str">
        <f>HYPERLINK("https://pbs.twimg.com/media/FAEbG8nUcA0oIOp.jpg")</f>
        <v>https://pbs.twimg.com/media/FAEbG8nUcA0oIOp.jpg</v>
      </c>
      <c r="V1143" s="84" t="str">
        <f>HYPERLINK("https://pbs.twimg.com/media/FAEbG8nUcA0oIOp.jpg")</f>
        <v>https://pbs.twimg.com/media/FAEbG8nUcA0oIOp.jpg</v>
      </c>
      <c r="W1143" s="83">
        <v>44464.26290509259</v>
      </c>
      <c r="X1143" s="89">
        <v>44464</v>
      </c>
      <c r="Y1143" s="86" t="s">
        <v>3540</v>
      </c>
      <c r="Z1143" s="84" t="str">
        <f>HYPERLINK("https://twitter.com/lilhannies/status/1441648306526949377")</f>
        <v>https://twitter.com/lilhannies/status/1441648306526949377</v>
      </c>
      <c r="AA1143" s="81"/>
      <c r="AB1143" s="81"/>
      <c r="AC1143" s="86" t="s">
        <v>5005</v>
      </c>
      <c r="AD1143" s="81"/>
      <c r="AE1143" s="81" t="b">
        <v>0</v>
      </c>
      <c r="AF1143" s="81">
        <v>0</v>
      </c>
      <c r="AG1143" s="86" t="s">
        <v>6240</v>
      </c>
      <c r="AH1143" s="81" t="b">
        <v>0</v>
      </c>
      <c r="AI1143" s="81" t="s">
        <v>6479</v>
      </c>
      <c r="AJ1143" s="81"/>
      <c r="AK1143" s="86" t="s">
        <v>6240</v>
      </c>
      <c r="AL1143" s="81" t="b">
        <v>0</v>
      </c>
      <c r="AM1143" s="81">
        <v>5</v>
      </c>
      <c r="AN1143" s="86" t="s">
        <v>5113</v>
      </c>
      <c r="AO1143" s="86" t="s">
        <v>6505</v>
      </c>
      <c r="AP1143" s="81" t="b">
        <v>0</v>
      </c>
      <c r="AQ1143" s="86" t="s">
        <v>5113</v>
      </c>
      <c r="AR1143" s="81" t="s">
        <v>179</v>
      </c>
      <c r="AS1143" s="81">
        <v>0</v>
      </c>
      <c r="AT1143" s="81">
        <v>0</v>
      </c>
      <c r="AU1143" s="81"/>
      <c r="AV1143" s="81"/>
      <c r="AW1143" s="81"/>
      <c r="AX1143" s="81"/>
      <c r="AY1143" s="81"/>
      <c r="AZ1143" s="81"/>
      <c r="BA1143" s="81"/>
      <c r="BB1143" s="81"/>
    </row>
    <row r="1144" spans="1:54" x14ac:dyDescent="0.35">
      <c r="A1144" s="66" t="s">
        <v>901</v>
      </c>
      <c r="B1144" s="66" t="s">
        <v>1410</v>
      </c>
      <c r="C1144" s="67"/>
      <c r="D1144" s="68"/>
      <c r="E1144" s="69"/>
      <c r="F1144" s="70"/>
      <c r="G1144" s="67"/>
      <c r="H1144" s="71"/>
      <c r="I1144" s="72"/>
      <c r="J1144" s="72"/>
      <c r="K1144" s="36"/>
      <c r="L1144" s="79"/>
      <c r="M1144" s="79"/>
      <c r="N1144" s="74"/>
      <c r="O1144" s="81" t="s">
        <v>1533</v>
      </c>
      <c r="P1144" s="83">
        <v>44464.26326388889</v>
      </c>
      <c r="Q1144" s="81" t="s">
        <v>1908</v>
      </c>
      <c r="R1144" s="81"/>
      <c r="S1144" s="81"/>
      <c r="T1144" s="86" t="s">
        <v>1413</v>
      </c>
      <c r="U1144" s="84" t="str">
        <f>HYPERLINK("https://pbs.twimg.com/media/FAEa_mFUYAcoKUu.jpg")</f>
        <v>https://pbs.twimg.com/media/FAEa_mFUYAcoKUu.jpg</v>
      </c>
      <c r="V1144" s="84" t="str">
        <f>HYPERLINK("https://pbs.twimg.com/media/FAEa_mFUYAcoKUu.jpg")</f>
        <v>https://pbs.twimg.com/media/FAEa_mFUYAcoKUu.jpg</v>
      </c>
      <c r="W1144" s="83">
        <v>44464.26326388889</v>
      </c>
      <c r="X1144" s="89">
        <v>44464</v>
      </c>
      <c r="Y1144" s="86" t="s">
        <v>3541</v>
      </c>
      <c r="Z1144" s="84" t="str">
        <f>HYPERLINK("https://twitter.com/cheriekoo_/status/1441648434839101440")</f>
        <v>https://twitter.com/cheriekoo_/status/1441648434839101440</v>
      </c>
      <c r="AA1144" s="81"/>
      <c r="AB1144" s="81"/>
      <c r="AC1144" s="86" t="s">
        <v>5006</v>
      </c>
      <c r="AD1144" s="81"/>
      <c r="AE1144" s="81" t="b">
        <v>0</v>
      </c>
      <c r="AF1144" s="81">
        <v>0</v>
      </c>
      <c r="AG1144" s="86" t="s">
        <v>6240</v>
      </c>
      <c r="AH1144" s="81" t="b">
        <v>0</v>
      </c>
      <c r="AI1144" s="81" t="s">
        <v>6479</v>
      </c>
      <c r="AJ1144" s="81"/>
      <c r="AK1144" s="86" t="s">
        <v>6240</v>
      </c>
      <c r="AL1144" s="81" t="b">
        <v>0</v>
      </c>
      <c r="AM1144" s="81">
        <v>23</v>
      </c>
      <c r="AN1144" s="86" t="s">
        <v>5111</v>
      </c>
      <c r="AO1144" s="86" t="s">
        <v>6505</v>
      </c>
      <c r="AP1144" s="81" t="b">
        <v>0</v>
      </c>
      <c r="AQ1144" s="86" t="s">
        <v>5111</v>
      </c>
      <c r="AR1144" s="81" t="s">
        <v>179</v>
      </c>
      <c r="AS1144" s="81">
        <v>0</v>
      </c>
      <c r="AT1144" s="81">
        <v>0</v>
      </c>
      <c r="AU1144" s="81"/>
      <c r="AV1144" s="81"/>
      <c r="AW1144" s="81"/>
      <c r="AX1144" s="81"/>
      <c r="AY1144" s="81"/>
      <c r="AZ1144" s="81"/>
      <c r="BA1144" s="81"/>
      <c r="BB1144" s="81"/>
    </row>
    <row r="1145" spans="1:54" x14ac:dyDescent="0.35">
      <c r="A1145" s="66" t="s">
        <v>901</v>
      </c>
      <c r="B1145" s="66" t="s">
        <v>1411</v>
      </c>
      <c r="C1145" s="67"/>
      <c r="D1145" s="68"/>
      <c r="E1145" s="69"/>
      <c r="F1145" s="70"/>
      <c r="G1145" s="67"/>
      <c r="H1145" s="71"/>
      <c r="I1145" s="72"/>
      <c r="J1145" s="72"/>
      <c r="K1145" s="36"/>
      <c r="L1145" s="79"/>
      <c r="M1145" s="79"/>
      <c r="N1145" s="74"/>
      <c r="O1145" s="81" t="s">
        <v>1533</v>
      </c>
      <c r="P1145" s="83">
        <v>44464.26326388889</v>
      </c>
      <c r="Q1145" s="81" t="s">
        <v>1908</v>
      </c>
      <c r="R1145" s="81"/>
      <c r="S1145" s="81"/>
      <c r="T1145" s="86" t="s">
        <v>1413</v>
      </c>
      <c r="U1145" s="84" t="str">
        <f>HYPERLINK("https://pbs.twimg.com/media/FAEa_mFUYAcoKUu.jpg")</f>
        <v>https://pbs.twimg.com/media/FAEa_mFUYAcoKUu.jpg</v>
      </c>
      <c r="V1145" s="84" t="str">
        <f>HYPERLINK("https://pbs.twimg.com/media/FAEa_mFUYAcoKUu.jpg")</f>
        <v>https://pbs.twimg.com/media/FAEa_mFUYAcoKUu.jpg</v>
      </c>
      <c r="W1145" s="83">
        <v>44464.26326388889</v>
      </c>
      <c r="X1145" s="89">
        <v>44464</v>
      </c>
      <c r="Y1145" s="86" t="s">
        <v>3541</v>
      </c>
      <c r="Z1145" s="84" t="str">
        <f>HYPERLINK("https://twitter.com/cheriekoo_/status/1441648434839101440")</f>
        <v>https://twitter.com/cheriekoo_/status/1441648434839101440</v>
      </c>
      <c r="AA1145" s="81"/>
      <c r="AB1145" s="81"/>
      <c r="AC1145" s="86" t="s">
        <v>5006</v>
      </c>
      <c r="AD1145" s="81"/>
      <c r="AE1145" s="81" t="b">
        <v>0</v>
      </c>
      <c r="AF1145" s="81">
        <v>0</v>
      </c>
      <c r="AG1145" s="86" t="s">
        <v>6240</v>
      </c>
      <c r="AH1145" s="81" t="b">
        <v>0</v>
      </c>
      <c r="AI1145" s="81" t="s">
        <v>6479</v>
      </c>
      <c r="AJ1145" s="81"/>
      <c r="AK1145" s="86" t="s">
        <v>6240</v>
      </c>
      <c r="AL1145" s="81" t="b">
        <v>0</v>
      </c>
      <c r="AM1145" s="81">
        <v>23</v>
      </c>
      <c r="AN1145" s="86" t="s">
        <v>5111</v>
      </c>
      <c r="AO1145" s="86" t="s">
        <v>6505</v>
      </c>
      <c r="AP1145" s="81" t="b">
        <v>0</v>
      </c>
      <c r="AQ1145" s="86" t="s">
        <v>5111</v>
      </c>
      <c r="AR1145" s="81" t="s">
        <v>179</v>
      </c>
      <c r="AS1145" s="81">
        <v>0</v>
      </c>
      <c r="AT1145" s="81">
        <v>0</v>
      </c>
      <c r="AU1145" s="81"/>
      <c r="AV1145" s="81"/>
      <c r="AW1145" s="81"/>
      <c r="AX1145" s="81"/>
      <c r="AY1145" s="81"/>
      <c r="AZ1145" s="81"/>
      <c r="BA1145" s="81"/>
      <c r="BB1145" s="81"/>
    </row>
    <row r="1146" spans="1:54" x14ac:dyDescent="0.35">
      <c r="A1146" s="66" t="s">
        <v>901</v>
      </c>
      <c r="B1146" s="66" t="s">
        <v>1412</v>
      </c>
      <c r="C1146" s="67"/>
      <c r="D1146" s="68"/>
      <c r="E1146" s="69"/>
      <c r="F1146" s="70"/>
      <c r="G1146" s="67"/>
      <c r="H1146" s="71"/>
      <c r="I1146" s="72"/>
      <c r="J1146" s="72"/>
      <c r="K1146" s="36"/>
      <c r="L1146" s="79"/>
      <c r="M1146" s="79"/>
      <c r="N1146" s="74"/>
      <c r="O1146" s="81" t="s">
        <v>1533</v>
      </c>
      <c r="P1146" s="83">
        <v>44464.26326388889</v>
      </c>
      <c r="Q1146" s="81" t="s">
        <v>1908</v>
      </c>
      <c r="R1146" s="81"/>
      <c r="S1146" s="81"/>
      <c r="T1146" s="86" t="s">
        <v>1413</v>
      </c>
      <c r="U1146" s="84" t="str">
        <f>HYPERLINK("https://pbs.twimg.com/media/FAEa_mFUYAcoKUu.jpg")</f>
        <v>https://pbs.twimg.com/media/FAEa_mFUYAcoKUu.jpg</v>
      </c>
      <c r="V1146" s="84" t="str">
        <f>HYPERLINK("https://pbs.twimg.com/media/FAEa_mFUYAcoKUu.jpg")</f>
        <v>https://pbs.twimg.com/media/FAEa_mFUYAcoKUu.jpg</v>
      </c>
      <c r="W1146" s="83">
        <v>44464.26326388889</v>
      </c>
      <c r="X1146" s="89">
        <v>44464</v>
      </c>
      <c r="Y1146" s="86" t="s">
        <v>3541</v>
      </c>
      <c r="Z1146" s="84" t="str">
        <f>HYPERLINK("https://twitter.com/cheriekoo_/status/1441648434839101440")</f>
        <v>https://twitter.com/cheriekoo_/status/1441648434839101440</v>
      </c>
      <c r="AA1146" s="81"/>
      <c r="AB1146" s="81"/>
      <c r="AC1146" s="86" t="s">
        <v>5006</v>
      </c>
      <c r="AD1146" s="81"/>
      <c r="AE1146" s="81" t="b">
        <v>0</v>
      </c>
      <c r="AF1146" s="81">
        <v>0</v>
      </c>
      <c r="AG1146" s="86" t="s">
        <v>6240</v>
      </c>
      <c r="AH1146" s="81" t="b">
        <v>0</v>
      </c>
      <c r="AI1146" s="81" t="s">
        <v>6479</v>
      </c>
      <c r="AJ1146" s="81"/>
      <c r="AK1146" s="86" t="s">
        <v>6240</v>
      </c>
      <c r="AL1146" s="81" t="b">
        <v>0</v>
      </c>
      <c r="AM1146" s="81">
        <v>23</v>
      </c>
      <c r="AN1146" s="86" t="s">
        <v>5111</v>
      </c>
      <c r="AO1146" s="86" t="s">
        <v>6505</v>
      </c>
      <c r="AP1146" s="81" t="b">
        <v>0</v>
      </c>
      <c r="AQ1146" s="86" t="s">
        <v>5111</v>
      </c>
      <c r="AR1146" s="81" t="s">
        <v>179</v>
      </c>
      <c r="AS1146" s="81">
        <v>0</v>
      </c>
      <c r="AT1146" s="81">
        <v>0</v>
      </c>
      <c r="AU1146" s="81"/>
      <c r="AV1146" s="81"/>
      <c r="AW1146" s="81"/>
      <c r="AX1146" s="81"/>
      <c r="AY1146" s="81"/>
      <c r="AZ1146" s="81"/>
      <c r="BA1146" s="81"/>
      <c r="BB1146" s="81"/>
    </row>
    <row r="1147" spans="1:54" x14ac:dyDescent="0.35">
      <c r="A1147" s="66" t="s">
        <v>901</v>
      </c>
      <c r="B1147" s="66" t="s">
        <v>1413</v>
      </c>
      <c r="C1147" s="67"/>
      <c r="D1147" s="68"/>
      <c r="E1147" s="69"/>
      <c r="F1147" s="70"/>
      <c r="G1147" s="67"/>
      <c r="H1147" s="71"/>
      <c r="I1147" s="72"/>
      <c r="J1147" s="72"/>
      <c r="K1147" s="36"/>
      <c r="L1147" s="79"/>
      <c r="M1147" s="79"/>
      <c r="N1147" s="74"/>
      <c r="O1147" s="81" t="s">
        <v>1533</v>
      </c>
      <c r="P1147" s="83">
        <v>44464.26326388889</v>
      </c>
      <c r="Q1147" s="81" t="s">
        <v>1908</v>
      </c>
      <c r="R1147" s="81"/>
      <c r="S1147" s="81"/>
      <c r="T1147" s="86" t="s">
        <v>1413</v>
      </c>
      <c r="U1147" s="84" t="str">
        <f>HYPERLINK("https://pbs.twimg.com/media/FAEa_mFUYAcoKUu.jpg")</f>
        <v>https://pbs.twimg.com/media/FAEa_mFUYAcoKUu.jpg</v>
      </c>
      <c r="V1147" s="84" t="str">
        <f>HYPERLINK("https://pbs.twimg.com/media/FAEa_mFUYAcoKUu.jpg")</f>
        <v>https://pbs.twimg.com/media/FAEa_mFUYAcoKUu.jpg</v>
      </c>
      <c r="W1147" s="83">
        <v>44464.26326388889</v>
      </c>
      <c r="X1147" s="89">
        <v>44464</v>
      </c>
      <c r="Y1147" s="86" t="s">
        <v>3541</v>
      </c>
      <c r="Z1147" s="84" t="str">
        <f>HYPERLINK("https://twitter.com/cheriekoo_/status/1441648434839101440")</f>
        <v>https://twitter.com/cheriekoo_/status/1441648434839101440</v>
      </c>
      <c r="AA1147" s="81"/>
      <c r="AB1147" s="81"/>
      <c r="AC1147" s="86" t="s">
        <v>5006</v>
      </c>
      <c r="AD1147" s="81"/>
      <c r="AE1147" s="81" t="b">
        <v>0</v>
      </c>
      <c r="AF1147" s="81">
        <v>0</v>
      </c>
      <c r="AG1147" s="86" t="s">
        <v>6240</v>
      </c>
      <c r="AH1147" s="81" t="b">
        <v>0</v>
      </c>
      <c r="AI1147" s="81" t="s">
        <v>6479</v>
      </c>
      <c r="AJ1147" s="81"/>
      <c r="AK1147" s="86" t="s">
        <v>6240</v>
      </c>
      <c r="AL1147" s="81" t="b">
        <v>0</v>
      </c>
      <c r="AM1147" s="81">
        <v>23</v>
      </c>
      <c r="AN1147" s="86" t="s">
        <v>5111</v>
      </c>
      <c r="AO1147" s="86" t="s">
        <v>6505</v>
      </c>
      <c r="AP1147" s="81" t="b">
        <v>0</v>
      </c>
      <c r="AQ1147" s="86" t="s">
        <v>5111</v>
      </c>
      <c r="AR1147" s="81" t="s">
        <v>179</v>
      </c>
      <c r="AS1147" s="81">
        <v>0</v>
      </c>
      <c r="AT1147" s="81">
        <v>0</v>
      </c>
      <c r="AU1147" s="81"/>
      <c r="AV1147" s="81"/>
      <c r="AW1147" s="81"/>
      <c r="AX1147" s="81"/>
      <c r="AY1147" s="81"/>
      <c r="AZ1147" s="81"/>
      <c r="BA1147" s="81"/>
      <c r="BB1147" s="81"/>
    </row>
    <row r="1148" spans="1:54" x14ac:dyDescent="0.35">
      <c r="A1148" s="66" t="s">
        <v>901</v>
      </c>
      <c r="B1148" s="66" t="s">
        <v>990</v>
      </c>
      <c r="C1148" s="67"/>
      <c r="D1148" s="68"/>
      <c r="E1148" s="69"/>
      <c r="F1148" s="70"/>
      <c r="G1148" s="67"/>
      <c r="H1148" s="71"/>
      <c r="I1148" s="72"/>
      <c r="J1148" s="72"/>
      <c r="K1148" s="36"/>
      <c r="L1148" s="79"/>
      <c r="M1148" s="79"/>
      <c r="N1148" s="74"/>
      <c r="O1148" s="81" t="s">
        <v>1532</v>
      </c>
      <c r="P1148" s="83">
        <v>44464.26326388889</v>
      </c>
      <c r="Q1148" s="81" t="s">
        <v>1908</v>
      </c>
      <c r="R1148" s="81"/>
      <c r="S1148" s="81"/>
      <c r="T1148" s="86" t="s">
        <v>1413</v>
      </c>
      <c r="U1148" s="84" t="str">
        <f>HYPERLINK("https://pbs.twimg.com/media/FAEa_mFUYAcoKUu.jpg")</f>
        <v>https://pbs.twimg.com/media/FAEa_mFUYAcoKUu.jpg</v>
      </c>
      <c r="V1148" s="84" t="str">
        <f>HYPERLINK("https://pbs.twimg.com/media/FAEa_mFUYAcoKUu.jpg")</f>
        <v>https://pbs.twimg.com/media/FAEa_mFUYAcoKUu.jpg</v>
      </c>
      <c r="W1148" s="83">
        <v>44464.26326388889</v>
      </c>
      <c r="X1148" s="89">
        <v>44464</v>
      </c>
      <c r="Y1148" s="86" t="s">
        <v>3541</v>
      </c>
      <c r="Z1148" s="84" t="str">
        <f>HYPERLINK("https://twitter.com/cheriekoo_/status/1441648434839101440")</f>
        <v>https://twitter.com/cheriekoo_/status/1441648434839101440</v>
      </c>
      <c r="AA1148" s="81"/>
      <c r="AB1148" s="81"/>
      <c r="AC1148" s="86" t="s">
        <v>5006</v>
      </c>
      <c r="AD1148" s="81"/>
      <c r="AE1148" s="81" t="b">
        <v>0</v>
      </c>
      <c r="AF1148" s="81">
        <v>0</v>
      </c>
      <c r="AG1148" s="86" t="s">
        <v>6240</v>
      </c>
      <c r="AH1148" s="81" t="b">
        <v>0</v>
      </c>
      <c r="AI1148" s="81" t="s">
        <v>6479</v>
      </c>
      <c r="AJ1148" s="81"/>
      <c r="AK1148" s="86" t="s">
        <v>6240</v>
      </c>
      <c r="AL1148" s="81" t="b">
        <v>0</v>
      </c>
      <c r="AM1148" s="81">
        <v>23</v>
      </c>
      <c r="AN1148" s="86" t="s">
        <v>5111</v>
      </c>
      <c r="AO1148" s="86" t="s">
        <v>6505</v>
      </c>
      <c r="AP1148" s="81" t="b">
        <v>0</v>
      </c>
      <c r="AQ1148" s="86" t="s">
        <v>5111</v>
      </c>
      <c r="AR1148" s="81" t="s">
        <v>179</v>
      </c>
      <c r="AS1148" s="81">
        <v>0</v>
      </c>
      <c r="AT1148" s="81">
        <v>0</v>
      </c>
      <c r="AU1148" s="81"/>
      <c r="AV1148" s="81"/>
      <c r="AW1148" s="81"/>
      <c r="AX1148" s="81"/>
      <c r="AY1148" s="81"/>
      <c r="AZ1148" s="81"/>
      <c r="BA1148" s="81"/>
      <c r="BB1148" s="81"/>
    </row>
    <row r="1149" spans="1:54" x14ac:dyDescent="0.35">
      <c r="A1149" s="66" t="s">
        <v>902</v>
      </c>
      <c r="B1149" s="66" t="s">
        <v>1410</v>
      </c>
      <c r="C1149" s="67"/>
      <c r="D1149" s="68"/>
      <c r="E1149" s="69"/>
      <c r="F1149" s="70"/>
      <c r="G1149" s="67"/>
      <c r="H1149" s="71"/>
      <c r="I1149" s="72"/>
      <c r="J1149" s="72"/>
      <c r="K1149" s="36"/>
      <c r="L1149" s="79"/>
      <c r="M1149" s="79"/>
      <c r="N1149" s="74"/>
      <c r="O1149" s="81" t="s">
        <v>1533</v>
      </c>
      <c r="P1149" s="83">
        <v>44464.267002314817</v>
      </c>
      <c r="Q1149" s="81" t="s">
        <v>1908</v>
      </c>
      <c r="R1149" s="81"/>
      <c r="S1149" s="81"/>
      <c r="T1149" s="86" t="s">
        <v>1413</v>
      </c>
      <c r="U1149" s="84" t="str">
        <f>HYPERLINK("https://pbs.twimg.com/media/FAEa_mFUYAcoKUu.jpg")</f>
        <v>https://pbs.twimg.com/media/FAEa_mFUYAcoKUu.jpg</v>
      </c>
      <c r="V1149" s="84" t="str">
        <f>HYPERLINK("https://pbs.twimg.com/media/FAEa_mFUYAcoKUu.jpg")</f>
        <v>https://pbs.twimg.com/media/FAEa_mFUYAcoKUu.jpg</v>
      </c>
      <c r="W1149" s="83">
        <v>44464.267002314817</v>
      </c>
      <c r="X1149" s="89">
        <v>44464</v>
      </c>
      <c r="Y1149" s="86" t="s">
        <v>3542</v>
      </c>
      <c r="Z1149" s="84" t="str">
        <f>HYPERLINK("https://twitter.com/thenexteleanor/status/1441649790689820672")</f>
        <v>https://twitter.com/thenexteleanor/status/1441649790689820672</v>
      </c>
      <c r="AA1149" s="81"/>
      <c r="AB1149" s="81"/>
      <c r="AC1149" s="86" t="s">
        <v>5007</v>
      </c>
      <c r="AD1149" s="81"/>
      <c r="AE1149" s="81" t="b">
        <v>0</v>
      </c>
      <c r="AF1149" s="81">
        <v>0</v>
      </c>
      <c r="AG1149" s="86" t="s">
        <v>6240</v>
      </c>
      <c r="AH1149" s="81" t="b">
        <v>0</v>
      </c>
      <c r="AI1149" s="81" t="s">
        <v>6479</v>
      </c>
      <c r="AJ1149" s="81"/>
      <c r="AK1149" s="86" t="s">
        <v>6240</v>
      </c>
      <c r="AL1149" s="81" t="b">
        <v>0</v>
      </c>
      <c r="AM1149" s="81">
        <v>23</v>
      </c>
      <c r="AN1149" s="86" t="s">
        <v>5111</v>
      </c>
      <c r="AO1149" s="86" t="s">
        <v>6503</v>
      </c>
      <c r="AP1149" s="81" t="b">
        <v>0</v>
      </c>
      <c r="AQ1149" s="86" t="s">
        <v>5111</v>
      </c>
      <c r="AR1149" s="81" t="s">
        <v>179</v>
      </c>
      <c r="AS1149" s="81">
        <v>0</v>
      </c>
      <c r="AT1149" s="81">
        <v>0</v>
      </c>
      <c r="AU1149" s="81"/>
      <c r="AV1149" s="81"/>
      <c r="AW1149" s="81"/>
      <c r="AX1149" s="81"/>
      <c r="AY1149" s="81"/>
      <c r="AZ1149" s="81"/>
      <c r="BA1149" s="81"/>
      <c r="BB1149" s="81"/>
    </row>
    <row r="1150" spans="1:54" x14ac:dyDescent="0.35">
      <c r="A1150" s="66" t="s">
        <v>902</v>
      </c>
      <c r="B1150" s="66" t="s">
        <v>1411</v>
      </c>
      <c r="C1150" s="67"/>
      <c r="D1150" s="68"/>
      <c r="E1150" s="69"/>
      <c r="F1150" s="70"/>
      <c r="G1150" s="67"/>
      <c r="H1150" s="71"/>
      <c r="I1150" s="72"/>
      <c r="J1150" s="72"/>
      <c r="K1150" s="36"/>
      <c r="L1150" s="79"/>
      <c r="M1150" s="79"/>
      <c r="N1150" s="74"/>
      <c r="O1150" s="81" t="s">
        <v>1533</v>
      </c>
      <c r="P1150" s="83">
        <v>44464.267002314817</v>
      </c>
      <c r="Q1150" s="81" t="s">
        <v>1908</v>
      </c>
      <c r="R1150" s="81"/>
      <c r="S1150" s="81"/>
      <c r="T1150" s="86" t="s">
        <v>1413</v>
      </c>
      <c r="U1150" s="84" t="str">
        <f>HYPERLINK("https://pbs.twimg.com/media/FAEa_mFUYAcoKUu.jpg")</f>
        <v>https://pbs.twimg.com/media/FAEa_mFUYAcoKUu.jpg</v>
      </c>
      <c r="V1150" s="84" t="str">
        <f>HYPERLINK("https://pbs.twimg.com/media/FAEa_mFUYAcoKUu.jpg")</f>
        <v>https://pbs.twimg.com/media/FAEa_mFUYAcoKUu.jpg</v>
      </c>
      <c r="W1150" s="83">
        <v>44464.267002314817</v>
      </c>
      <c r="X1150" s="89">
        <v>44464</v>
      </c>
      <c r="Y1150" s="86" t="s">
        <v>3542</v>
      </c>
      <c r="Z1150" s="84" t="str">
        <f>HYPERLINK("https://twitter.com/thenexteleanor/status/1441649790689820672")</f>
        <v>https://twitter.com/thenexteleanor/status/1441649790689820672</v>
      </c>
      <c r="AA1150" s="81"/>
      <c r="AB1150" s="81"/>
      <c r="AC1150" s="86" t="s">
        <v>5007</v>
      </c>
      <c r="AD1150" s="81"/>
      <c r="AE1150" s="81" t="b">
        <v>0</v>
      </c>
      <c r="AF1150" s="81">
        <v>0</v>
      </c>
      <c r="AG1150" s="86" t="s">
        <v>6240</v>
      </c>
      <c r="AH1150" s="81" t="b">
        <v>0</v>
      </c>
      <c r="AI1150" s="81" t="s">
        <v>6479</v>
      </c>
      <c r="AJ1150" s="81"/>
      <c r="AK1150" s="86" t="s">
        <v>6240</v>
      </c>
      <c r="AL1150" s="81" t="b">
        <v>0</v>
      </c>
      <c r="AM1150" s="81">
        <v>23</v>
      </c>
      <c r="AN1150" s="86" t="s">
        <v>5111</v>
      </c>
      <c r="AO1150" s="86" t="s">
        <v>6503</v>
      </c>
      <c r="AP1150" s="81" t="b">
        <v>0</v>
      </c>
      <c r="AQ1150" s="86" t="s">
        <v>5111</v>
      </c>
      <c r="AR1150" s="81" t="s">
        <v>179</v>
      </c>
      <c r="AS1150" s="81">
        <v>0</v>
      </c>
      <c r="AT1150" s="81">
        <v>0</v>
      </c>
      <c r="AU1150" s="81"/>
      <c r="AV1150" s="81"/>
      <c r="AW1150" s="81"/>
      <c r="AX1150" s="81"/>
      <c r="AY1150" s="81"/>
      <c r="AZ1150" s="81"/>
      <c r="BA1150" s="81"/>
      <c r="BB1150" s="81"/>
    </row>
    <row r="1151" spans="1:54" x14ac:dyDescent="0.35">
      <c r="A1151" s="66" t="s">
        <v>902</v>
      </c>
      <c r="B1151" s="66" t="s">
        <v>1412</v>
      </c>
      <c r="C1151" s="67"/>
      <c r="D1151" s="68"/>
      <c r="E1151" s="69"/>
      <c r="F1151" s="70"/>
      <c r="G1151" s="67"/>
      <c r="H1151" s="71"/>
      <c r="I1151" s="72"/>
      <c r="J1151" s="72"/>
      <c r="K1151" s="36"/>
      <c r="L1151" s="79"/>
      <c r="M1151" s="79"/>
      <c r="N1151" s="74"/>
      <c r="O1151" s="81" t="s">
        <v>1533</v>
      </c>
      <c r="P1151" s="83">
        <v>44464.267002314817</v>
      </c>
      <c r="Q1151" s="81" t="s">
        <v>1908</v>
      </c>
      <c r="R1151" s="81"/>
      <c r="S1151" s="81"/>
      <c r="T1151" s="86" t="s">
        <v>1413</v>
      </c>
      <c r="U1151" s="84" t="str">
        <f>HYPERLINK("https://pbs.twimg.com/media/FAEa_mFUYAcoKUu.jpg")</f>
        <v>https://pbs.twimg.com/media/FAEa_mFUYAcoKUu.jpg</v>
      </c>
      <c r="V1151" s="84" t="str">
        <f>HYPERLINK("https://pbs.twimg.com/media/FAEa_mFUYAcoKUu.jpg")</f>
        <v>https://pbs.twimg.com/media/FAEa_mFUYAcoKUu.jpg</v>
      </c>
      <c r="W1151" s="83">
        <v>44464.267002314817</v>
      </c>
      <c r="X1151" s="89">
        <v>44464</v>
      </c>
      <c r="Y1151" s="86" t="s">
        <v>3542</v>
      </c>
      <c r="Z1151" s="84" t="str">
        <f>HYPERLINK("https://twitter.com/thenexteleanor/status/1441649790689820672")</f>
        <v>https://twitter.com/thenexteleanor/status/1441649790689820672</v>
      </c>
      <c r="AA1151" s="81"/>
      <c r="AB1151" s="81"/>
      <c r="AC1151" s="86" t="s">
        <v>5007</v>
      </c>
      <c r="AD1151" s="81"/>
      <c r="AE1151" s="81" t="b">
        <v>0</v>
      </c>
      <c r="AF1151" s="81">
        <v>0</v>
      </c>
      <c r="AG1151" s="86" t="s">
        <v>6240</v>
      </c>
      <c r="AH1151" s="81" t="b">
        <v>0</v>
      </c>
      <c r="AI1151" s="81" t="s">
        <v>6479</v>
      </c>
      <c r="AJ1151" s="81"/>
      <c r="AK1151" s="86" t="s">
        <v>6240</v>
      </c>
      <c r="AL1151" s="81" t="b">
        <v>0</v>
      </c>
      <c r="AM1151" s="81">
        <v>23</v>
      </c>
      <c r="AN1151" s="86" t="s">
        <v>5111</v>
      </c>
      <c r="AO1151" s="86" t="s">
        <v>6503</v>
      </c>
      <c r="AP1151" s="81" t="b">
        <v>0</v>
      </c>
      <c r="AQ1151" s="86" t="s">
        <v>5111</v>
      </c>
      <c r="AR1151" s="81" t="s">
        <v>179</v>
      </c>
      <c r="AS1151" s="81">
        <v>0</v>
      </c>
      <c r="AT1151" s="81">
        <v>0</v>
      </c>
      <c r="AU1151" s="81"/>
      <c r="AV1151" s="81"/>
      <c r="AW1151" s="81"/>
      <c r="AX1151" s="81"/>
      <c r="AY1151" s="81"/>
      <c r="AZ1151" s="81"/>
      <c r="BA1151" s="81"/>
      <c r="BB1151" s="81"/>
    </row>
    <row r="1152" spans="1:54" x14ac:dyDescent="0.35">
      <c r="A1152" s="66" t="s">
        <v>902</v>
      </c>
      <c r="B1152" s="66" t="s">
        <v>1413</v>
      </c>
      <c r="C1152" s="67"/>
      <c r="D1152" s="68"/>
      <c r="E1152" s="69"/>
      <c r="F1152" s="70"/>
      <c r="G1152" s="67"/>
      <c r="H1152" s="71"/>
      <c r="I1152" s="72"/>
      <c r="J1152" s="72"/>
      <c r="K1152" s="36"/>
      <c r="L1152" s="79"/>
      <c r="M1152" s="79"/>
      <c r="N1152" s="74"/>
      <c r="O1152" s="81" t="s">
        <v>1533</v>
      </c>
      <c r="P1152" s="83">
        <v>44464.267002314817</v>
      </c>
      <c r="Q1152" s="81" t="s">
        <v>1908</v>
      </c>
      <c r="R1152" s="81"/>
      <c r="S1152" s="81"/>
      <c r="T1152" s="86" t="s">
        <v>1413</v>
      </c>
      <c r="U1152" s="84" t="str">
        <f>HYPERLINK("https://pbs.twimg.com/media/FAEa_mFUYAcoKUu.jpg")</f>
        <v>https://pbs.twimg.com/media/FAEa_mFUYAcoKUu.jpg</v>
      </c>
      <c r="V1152" s="84" t="str">
        <f>HYPERLINK("https://pbs.twimg.com/media/FAEa_mFUYAcoKUu.jpg")</f>
        <v>https://pbs.twimg.com/media/FAEa_mFUYAcoKUu.jpg</v>
      </c>
      <c r="W1152" s="83">
        <v>44464.267002314817</v>
      </c>
      <c r="X1152" s="89">
        <v>44464</v>
      </c>
      <c r="Y1152" s="86" t="s">
        <v>3542</v>
      </c>
      <c r="Z1152" s="84" t="str">
        <f>HYPERLINK("https://twitter.com/thenexteleanor/status/1441649790689820672")</f>
        <v>https://twitter.com/thenexteleanor/status/1441649790689820672</v>
      </c>
      <c r="AA1152" s="81"/>
      <c r="AB1152" s="81"/>
      <c r="AC1152" s="86" t="s">
        <v>5007</v>
      </c>
      <c r="AD1152" s="81"/>
      <c r="AE1152" s="81" t="b">
        <v>0</v>
      </c>
      <c r="AF1152" s="81">
        <v>0</v>
      </c>
      <c r="AG1152" s="86" t="s">
        <v>6240</v>
      </c>
      <c r="AH1152" s="81" t="b">
        <v>0</v>
      </c>
      <c r="AI1152" s="81" t="s">
        <v>6479</v>
      </c>
      <c r="AJ1152" s="81"/>
      <c r="AK1152" s="86" t="s">
        <v>6240</v>
      </c>
      <c r="AL1152" s="81" t="b">
        <v>0</v>
      </c>
      <c r="AM1152" s="81">
        <v>23</v>
      </c>
      <c r="AN1152" s="86" t="s">
        <v>5111</v>
      </c>
      <c r="AO1152" s="86" t="s">
        <v>6503</v>
      </c>
      <c r="AP1152" s="81" t="b">
        <v>0</v>
      </c>
      <c r="AQ1152" s="86" t="s">
        <v>5111</v>
      </c>
      <c r="AR1152" s="81" t="s">
        <v>179</v>
      </c>
      <c r="AS1152" s="81">
        <v>0</v>
      </c>
      <c r="AT1152" s="81">
        <v>0</v>
      </c>
      <c r="AU1152" s="81"/>
      <c r="AV1152" s="81"/>
      <c r="AW1152" s="81"/>
      <c r="AX1152" s="81"/>
      <c r="AY1152" s="81"/>
      <c r="AZ1152" s="81"/>
      <c r="BA1152" s="81"/>
      <c r="BB1152" s="81"/>
    </row>
    <row r="1153" spans="1:54" x14ac:dyDescent="0.35">
      <c r="A1153" s="66" t="s">
        <v>902</v>
      </c>
      <c r="B1153" s="66" t="s">
        <v>990</v>
      </c>
      <c r="C1153" s="67"/>
      <c r="D1153" s="68"/>
      <c r="E1153" s="69"/>
      <c r="F1153" s="70"/>
      <c r="G1153" s="67"/>
      <c r="H1153" s="71"/>
      <c r="I1153" s="72"/>
      <c r="J1153" s="72"/>
      <c r="K1153" s="36"/>
      <c r="L1153" s="79"/>
      <c r="M1153" s="79"/>
      <c r="N1153" s="74"/>
      <c r="O1153" s="81" t="s">
        <v>1532</v>
      </c>
      <c r="P1153" s="83">
        <v>44464.267002314817</v>
      </c>
      <c r="Q1153" s="81" t="s">
        <v>1908</v>
      </c>
      <c r="R1153" s="81"/>
      <c r="S1153" s="81"/>
      <c r="T1153" s="86" t="s">
        <v>1413</v>
      </c>
      <c r="U1153" s="84" t="str">
        <f>HYPERLINK("https://pbs.twimg.com/media/FAEa_mFUYAcoKUu.jpg")</f>
        <v>https://pbs.twimg.com/media/FAEa_mFUYAcoKUu.jpg</v>
      </c>
      <c r="V1153" s="84" t="str">
        <f>HYPERLINK("https://pbs.twimg.com/media/FAEa_mFUYAcoKUu.jpg")</f>
        <v>https://pbs.twimg.com/media/FAEa_mFUYAcoKUu.jpg</v>
      </c>
      <c r="W1153" s="83">
        <v>44464.267002314817</v>
      </c>
      <c r="X1153" s="89">
        <v>44464</v>
      </c>
      <c r="Y1153" s="86" t="s">
        <v>3542</v>
      </c>
      <c r="Z1153" s="84" t="str">
        <f>HYPERLINK("https://twitter.com/thenexteleanor/status/1441649790689820672")</f>
        <v>https://twitter.com/thenexteleanor/status/1441649790689820672</v>
      </c>
      <c r="AA1153" s="81"/>
      <c r="AB1153" s="81"/>
      <c r="AC1153" s="86" t="s">
        <v>5007</v>
      </c>
      <c r="AD1153" s="81"/>
      <c r="AE1153" s="81" t="b">
        <v>0</v>
      </c>
      <c r="AF1153" s="81">
        <v>0</v>
      </c>
      <c r="AG1153" s="86" t="s">
        <v>6240</v>
      </c>
      <c r="AH1153" s="81" t="b">
        <v>0</v>
      </c>
      <c r="AI1153" s="81" t="s">
        <v>6479</v>
      </c>
      <c r="AJ1153" s="81"/>
      <c r="AK1153" s="86" t="s">
        <v>6240</v>
      </c>
      <c r="AL1153" s="81" t="b">
        <v>0</v>
      </c>
      <c r="AM1153" s="81">
        <v>23</v>
      </c>
      <c r="AN1153" s="86" t="s">
        <v>5111</v>
      </c>
      <c r="AO1153" s="86" t="s">
        <v>6503</v>
      </c>
      <c r="AP1153" s="81" t="b">
        <v>0</v>
      </c>
      <c r="AQ1153" s="86" t="s">
        <v>5111</v>
      </c>
      <c r="AR1153" s="81" t="s">
        <v>179</v>
      </c>
      <c r="AS1153" s="81">
        <v>0</v>
      </c>
      <c r="AT1153" s="81">
        <v>0</v>
      </c>
      <c r="AU1153" s="81"/>
      <c r="AV1153" s="81"/>
      <c r="AW1153" s="81"/>
      <c r="AX1153" s="81"/>
      <c r="AY1153" s="81"/>
      <c r="AZ1153" s="81"/>
      <c r="BA1153" s="81"/>
      <c r="BB1153" s="81"/>
    </row>
    <row r="1154" spans="1:54" x14ac:dyDescent="0.35">
      <c r="A1154" s="66" t="s">
        <v>903</v>
      </c>
      <c r="B1154" s="66" t="s">
        <v>1410</v>
      </c>
      <c r="C1154" s="67"/>
      <c r="D1154" s="68"/>
      <c r="E1154" s="69"/>
      <c r="F1154" s="70"/>
      <c r="G1154" s="67"/>
      <c r="H1154" s="71"/>
      <c r="I1154" s="72"/>
      <c r="J1154" s="72"/>
      <c r="K1154" s="36"/>
      <c r="L1154" s="79"/>
      <c r="M1154" s="79"/>
      <c r="N1154" s="74"/>
      <c r="O1154" s="81" t="s">
        <v>1533</v>
      </c>
      <c r="P1154" s="83">
        <v>44464.269375000003</v>
      </c>
      <c r="Q1154" s="81" t="s">
        <v>1910</v>
      </c>
      <c r="R1154" s="81"/>
      <c r="S1154" s="81"/>
      <c r="T1154" s="86" t="s">
        <v>1413</v>
      </c>
      <c r="U1154" s="84" t="str">
        <f>HYPERLINK("https://pbs.twimg.com/media/FAEaAdPVgAgaH2z.jpg")</f>
        <v>https://pbs.twimg.com/media/FAEaAdPVgAgaH2z.jpg</v>
      </c>
      <c r="V1154" s="84" t="str">
        <f>HYPERLINK("https://pbs.twimg.com/media/FAEaAdPVgAgaH2z.jpg")</f>
        <v>https://pbs.twimg.com/media/FAEaAdPVgAgaH2z.jpg</v>
      </c>
      <c r="W1154" s="83">
        <v>44464.269375000003</v>
      </c>
      <c r="X1154" s="89">
        <v>44464</v>
      </c>
      <c r="Y1154" s="86" t="s">
        <v>3543</v>
      </c>
      <c r="Z1154" s="84" t="str">
        <f>HYPERLINK("https://twitter.com/clwdygguk/status/1441650651784613904")</f>
        <v>https://twitter.com/clwdygguk/status/1441650651784613904</v>
      </c>
      <c r="AA1154" s="81"/>
      <c r="AB1154" s="81"/>
      <c r="AC1154" s="86" t="s">
        <v>5008</v>
      </c>
      <c r="AD1154" s="81"/>
      <c r="AE1154" s="81" t="b">
        <v>0</v>
      </c>
      <c r="AF1154" s="81">
        <v>0</v>
      </c>
      <c r="AG1154" s="86" t="s">
        <v>6240</v>
      </c>
      <c r="AH1154" s="81" t="b">
        <v>0</v>
      </c>
      <c r="AI1154" s="81" t="s">
        <v>6479</v>
      </c>
      <c r="AJ1154" s="81"/>
      <c r="AK1154" s="86" t="s">
        <v>6240</v>
      </c>
      <c r="AL1154" s="81" t="b">
        <v>0</v>
      </c>
      <c r="AM1154" s="81">
        <v>21</v>
      </c>
      <c r="AN1154" s="86" t="s">
        <v>5109</v>
      </c>
      <c r="AO1154" s="86" t="s">
        <v>6505</v>
      </c>
      <c r="AP1154" s="81" t="b">
        <v>0</v>
      </c>
      <c r="AQ1154" s="86" t="s">
        <v>5109</v>
      </c>
      <c r="AR1154" s="81" t="s">
        <v>179</v>
      </c>
      <c r="AS1154" s="81">
        <v>0</v>
      </c>
      <c r="AT1154" s="81">
        <v>0</v>
      </c>
      <c r="AU1154" s="81"/>
      <c r="AV1154" s="81"/>
      <c r="AW1154" s="81"/>
      <c r="AX1154" s="81"/>
      <c r="AY1154" s="81"/>
      <c r="AZ1154" s="81"/>
      <c r="BA1154" s="81"/>
      <c r="BB1154" s="81"/>
    </row>
    <row r="1155" spans="1:54" x14ac:dyDescent="0.35">
      <c r="A1155" s="66" t="s">
        <v>903</v>
      </c>
      <c r="B1155" s="66" t="s">
        <v>1411</v>
      </c>
      <c r="C1155" s="67"/>
      <c r="D1155" s="68"/>
      <c r="E1155" s="69"/>
      <c r="F1155" s="70"/>
      <c r="G1155" s="67"/>
      <c r="H1155" s="71"/>
      <c r="I1155" s="72"/>
      <c r="J1155" s="72"/>
      <c r="K1155" s="36"/>
      <c r="L1155" s="79"/>
      <c r="M1155" s="79"/>
      <c r="N1155" s="74"/>
      <c r="O1155" s="81" t="s">
        <v>1533</v>
      </c>
      <c r="P1155" s="83">
        <v>44464.269375000003</v>
      </c>
      <c r="Q1155" s="81" t="s">
        <v>1910</v>
      </c>
      <c r="R1155" s="81"/>
      <c r="S1155" s="81"/>
      <c r="T1155" s="86" t="s">
        <v>1413</v>
      </c>
      <c r="U1155" s="84" t="str">
        <f>HYPERLINK("https://pbs.twimg.com/media/FAEaAdPVgAgaH2z.jpg")</f>
        <v>https://pbs.twimg.com/media/FAEaAdPVgAgaH2z.jpg</v>
      </c>
      <c r="V1155" s="84" t="str">
        <f>HYPERLINK("https://pbs.twimg.com/media/FAEaAdPVgAgaH2z.jpg")</f>
        <v>https://pbs.twimg.com/media/FAEaAdPVgAgaH2z.jpg</v>
      </c>
      <c r="W1155" s="83">
        <v>44464.269375000003</v>
      </c>
      <c r="X1155" s="89">
        <v>44464</v>
      </c>
      <c r="Y1155" s="86" t="s">
        <v>3543</v>
      </c>
      <c r="Z1155" s="84" t="str">
        <f>HYPERLINK("https://twitter.com/clwdygguk/status/1441650651784613904")</f>
        <v>https://twitter.com/clwdygguk/status/1441650651784613904</v>
      </c>
      <c r="AA1155" s="81"/>
      <c r="AB1155" s="81"/>
      <c r="AC1155" s="86" t="s">
        <v>5008</v>
      </c>
      <c r="AD1155" s="81"/>
      <c r="AE1155" s="81" t="b">
        <v>0</v>
      </c>
      <c r="AF1155" s="81">
        <v>0</v>
      </c>
      <c r="AG1155" s="86" t="s">
        <v>6240</v>
      </c>
      <c r="AH1155" s="81" t="b">
        <v>0</v>
      </c>
      <c r="AI1155" s="81" t="s">
        <v>6479</v>
      </c>
      <c r="AJ1155" s="81"/>
      <c r="AK1155" s="86" t="s">
        <v>6240</v>
      </c>
      <c r="AL1155" s="81" t="b">
        <v>0</v>
      </c>
      <c r="AM1155" s="81">
        <v>21</v>
      </c>
      <c r="AN1155" s="86" t="s">
        <v>5109</v>
      </c>
      <c r="AO1155" s="86" t="s">
        <v>6505</v>
      </c>
      <c r="AP1155" s="81" t="b">
        <v>0</v>
      </c>
      <c r="AQ1155" s="86" t="s">
        <v>5109</v>
      </c>
      <c r="AR1155" s="81" t="s">
        <v>179</v>
      </c>
      <c r="AS1155" s="81">
        <v>0</v>
      </c>
      <c r="AT1155" s="81">
        <v>0</v>
      </c>
      <c r="AU1155" s="81"/>
      <c r="AV1155" s="81"/>
      <c r="AW1155" s="81"/>
      <c r="AX1155" s="81"/>
      <c r="AY1155" s="81"/>
      <c r="AZ1155" s="81"/>
      <c r="BA1155" s="81"/>
      <c r="BB1155" s="81"/>
    </row>
    <row r="1156" spans="1:54" x14ac:dyDescent="0.35">
      <c r="A1156" s="66" t="s">
        <v>903</v>
      </c>
      <c r="B1156" s="66" t="s">
        <v>1412</v>
      </c>
      <c r="C1156" s="67"/>
      <c r="D1156" s="68"/>
      <c r="E1156" s="69"/>
      <c r="F1156" s="70"/>
      <c r="G1156" s="67"/>
      <c r="H1156" s="71"/>
      <c r="I1156" s="72"/>
      <c r="J1156" s="72"/>
      <c r="K1156" s="36"/>
      <c r="L1156" s="79"/>
      <c r="M1156" s="79"/>
      <c r="N1156" s="74"/>
      <c r="O1156" s="81" t="s">
        <v>1533</v>
      </c>
      <c r="P1156" s="83">
        <v>44464.269375000003</v>
      </c>
      <c r="Q1156" s="81" t="s">
        <v>1910</v>
      </c>
      <c r="R1156" s="81"/>
      <c r="S1156" s="81"/>
      <c r="T1156" s="86" t="s">
        <v>1413</v>
      </c>
      <c r="U1156" s="84" t="str">
        <f>HYPERLINK("https://pbs.twimg.com/media/FAEaAdPVgAgaH2z.jpg")</f>
        <v>https://pbs.twimg.com/media/FAEaAdPVgAgaH2z.jpg</v>
      </c>
      <c r="V1156" s="84" t="str">
        <f>HYPERLINK("https://pbs.twimg.com/media/FAEaAdPVgAgaH2z.jpg")</f>
        <v>https://pbs.twimg.com/media/FAEaAdPVgAgaH2z.jpg</v>
      </c>
      <c r="W1156" s="83">
        <v>44464.269375000003</v>
      </c>
      <c r="X1156" s="89">
        <v>44464</v>
      </c>
      <c r="Y1156" s="86" t="s">
        <v>3543</v>
      </c>
      <c r="Z1156" s="84" t="str">
        <f>HYPERLINK("https://twitter.com/clwdygguk/status/1441650651784613904")</f>
        <v>https://twitter.com/clwdygguk/status/1441650651784613904</v>
      </c>
      <c r="AA1156" s="81"/>
      <c r="AB1156" s="81"/>
      <c r="AC1156" s="86" t="s">
        <v>5008</v>
      </c>
      <c r="AD1156" s="81"/>
      <c r="AE1156" s="81" t="b">
        <v>0</v>
      </c>
      <c r="AF1156" s="81">
        <v>0</v>
      </c>
      <c r="AG1156" s="86" t="s">
        <v>6240</v>
      </c>
      <c r="AH1156" s="81" t="b">
        <v>0</v>
      </c>
      <c r="AI1156" s="81" t="s">
        <v>6479</v>
      </c>
      <c r="AJ1156" s="81"/>
      <c r="AK1156" s="86" t="s">
        <v>6240</v>
      </c>
      <c r="AL1156" s="81" t="b">
        <v>0</v>
      </c>
      <c r="AM1156" s="81">
        <v>21</v>
      </c>
      <c r="AN1156" s="86" t="s">
        <v>5109</v>
      </c>
      <c r="AO1156" s="86" t="s">
        <v>6505</v>
      </c>
      <c r="AP1156" s="81" t="b">
        <v>0</v>
      </c>
      <c r="AQ1156" s="86" t="s">
        <v>5109</v>
      </c>
      <c r="AR1156" s="81" t="s">
        <v>179</v>
      </c>
      <c r="AS1156" s="81">
        <v>0</v>
      </c>
      <c r="AT1156" s="81">
        <v>0</v>
      </c>
      <c r="AU1156" s="81"/>
      <c r="AV1156" s="81"/>
      <c r="AW1156" s="81"/>
      <c r="AX1156" s="81"/>
      <c r="AY1156" s="81"/>
      <c r="AZ1156" s="81"/>
      <c r="BA1156" s="81"/>
      <c r="BB1156" s="81"/>
    </row>
    <row r="1157" spans="1:54" x14ac:dyDescent="0.35">
      <c r="A1157" s="66" t="s">
        <v>903</v>
      </c>
      <c r="B1157" s="66" t="s">
        <v>1413</v>
      </c>
      <c r="C1157" s="67"/>
      <c r="D1157" s="68"/>
      <c r="E1157" s="69"/>
      <c r="F1157" s="70"/>
      <c r="G1157" s="67"/>
      <c r="H1157" s="71"/>
      <c r="I1157" s="72"/>
      <c r="J1157" s="72"/>
      <c r="K1157" s="36"/>
      <c r="L1157" s="79"/>
      <c r="M1157" s="79"/>
      <c r="N1157" s="74"/>
      <c r="O1157" s="81" t="s">
        <v>1533</v>
      </c>
      <c r="P1157" s="83">
        <v>44464.269375000003</v>
      </c>
      <c r="Q1157" s="81" t="s">
        <v>1910</v>
      </c>
      <c r="R1157" s="81"/>
      <c r="S1157" s="81"/>
      <c r="T1157" s="86" t="s">
        <v>1413</v>
      </c>
      <c r="U1157" s="84" t="str">
        <f>HYPERLINK("https://pbs.twimg.com/media/FAEaAdPVgAgaH2z.jpg")</f>
        <v>https://pbs.twimg.com/media/FAEaAdPVgAgaH2z.jpg</v>
      </c>
      <c r="V1157" s="84" t="str">
        <f>HYPERLINK("https://pbs.twimg.com/media/FAEaAdPVgAgaH2z.jpg")</f>
        <v>https://pbs.twimg.com/media/FAEaAdPVgAgaH2z.jpg</v>
      </c>
      <c r="W1157" s="83">
        <v>44464.269375000003</v>
      </c>
      <c r="X1157" s="89">
        <v>44464</v>
      </c>
      <c r="Y1157" s="86" t="s">
        <v>3543</v>
      </c>
      <c r="Z1157" s="84" t="str">
        <f>HYPERLINK("https://twitter.com/clwdygguk/status/1441650651784613904")</f>
        <v>https://twitter.com/clwdygguk/status/1441650651784613904</v>
      </c>
      <c r="AA1157" s="81"/>
      <c r="AB1157" s="81"/>
      <c r="AC1157" s="86" t="s">
        <v>5008</v>
      </c>
      <c r="AD1157" s="81"/>
      <c r="AE1157" s="81" t="b">
        <v>0</v>
      </c>
      <c r="AF1157" s="81">
        <v>0</v>
      </c>
      <c r="AG1157" s="86" t="s">
        <v>6240</v>
      </c>
      <c r="AH1157" s="81" t="b">
        <v>0</v>
      </c>
      <c r="AI1157" s="81" t="s">
        <v>6479</v>
      </c>
      <c r="AJ1157" s="81"/>
      <c r="AK1157" s="86" t="s">
        <v>6240</v>
      </c>
      <c r="AL1157" s="81" t="b">
        <v>0</v>
      </c>
      <c r="AM1157" s="81">
        <v>21</v>
      </c>
      <c r="AN1157" s="86" t="s">
        <v>5109</v>
      </c>
      <c r="AO1157" s="86" t="s">
        <v>6505</v>
      </c>
      <c r="AP1157" s="81" t="b">
        <v>0</v>
      </c>
      <c r="AQ1157" s="86" t="s">
        <v>5109</v>
      </c>
      <c r="AR1157" s="81" t="s">
        <v>179</v>
      </c>
      <c r="AS1157" s="81">
        <v>0</v>
      </c>
      <c r="AT1157" s="81">
        <v>0</v>
      </c>
      <c r="AU1157" s="81"/>
      <c r="AV1157" s="81"/>
      <c r="AW1157" s="81"/>
      <c r="AX1157" s="81"/>
      <c r="AY1157" s="81"/>
      <c r="AZ1157" s="81"/>
      <c r="BA1157" s="81"/>
      <c r="BB1157" s="81"/>
    </row>
    <row r="1158" spans="1:54" x14ac:dyDescent="0.35">
      <c r="A1158" s="66" t="s">
        <v>903</v>
      </c>
      <c r="B1158" s="66" t="s">
        <v>990</v>
      </c>
      <c r="C1158" s="67"/>
      <c r="D1158" s="68"/>
      <c r="E1158" s="69"/>
      <c r="F1158" s="70"/>
      <c r="G1158" s="67"/>
      <c r="H1158" s="71"/>
      <c r="I1158" s="72"/>
      <c r="J1158" s="72"/>
      <c r="K1158" s="36"/>
      <c r="L1158" s="79"/>
      <c r="M1158" s="79"/>
      <c r="N1158" s="74"/>
      <c r="O1158" s="81" t="s">
        <v>1532</v>
      </c>
      <c r="P1158" s="83">
        <v>44464.269375000003</v>
      </c>
      <c r="Q1158" s="81" t="s">
        <v>1910</v>
      </c>
      <c r="R1158" s="81"/>
      <c r="S1158" s="81"/>
      <c r="T1158" s="86" t="s">
        <v>1413</v>
      </c>
      <c r="U1158" s="84" t="str">
        <f>HYPERLINK("https://pbs.twimg.com/media/FAEaAdPVgAgaH2z.jpg")</f>
        <v>https://pbs.twimg.com/media/FAEaAdPVgAgaH2z.jpg</v>
      </c>
      <c r="V1158" s="84" t="str">
        <f>HYPERLINK("https://pbs.twimg.com/media/FAEaAdPVgAgaH2z.jpg")</f>
        <v>https://pbs.twimg.com/media/FAEaAdPVgAgaH2z.jpg</v>
      </c>
      <c r="W1158" s="83">
        <v>44464.269375000003</v>
      </c>
      <c r="X1158" s="89">
        <v>44464</v>
      </c>
      <c r="Y1158" s="86" t="s">
        <v>3543</v>
      </c>
      <c r="Z1158" s="84" t="str">
        <f>HYPERLINK("https://twitter.com/clwdygguk/status/1441650651784613904")</f>
        <v>https://twitter.com/clwdygguk/status/1441650651784613904</v>
      </c>
      <c r="AA1158" s="81"/>
      <c r="AB1158" s="81"/>
      <c r="AC1158" s="86" t="s">
        <v>5008</v>
      </c>
      <c r="AD1158" s="81"/>
      <c r="AE1158" s="81" t="b">
        <v>0</v>
      </c>
      <c r="AF1158" s="81">
        <v>0</v>
      </c>
      <c r="AG1158" s="86" t="s">
        <v>6240</v>
      </c>
      <c r="AH1158" s="81" t="b">
        <v>0</v>
      </c>
      <c r="AI1158" s="81" t="s">
        <v>6479</v>
      </c>
      <c r="AJ1158" s="81"/>
      <c r="AK1158" s="86" t="s">
        <v>6240</v>
      </c>
      <c r="AL1158" s="81" t="b">
        <v>0</v>
      </c>
      <c r="AM1158" s="81">
        <v>21</v>
      </c>
      <c r="AN1158" s="86" t="s">
        <v>5109</v>
      </c>
      <c r="AO1158" s="86" t="s">
        <v>6505</v>
      </c>
      <c r="AP1158" s="81" t="b">
        <v>0</v>
      </c>
      <c r="AQ1158" s="86" t="s">
        <v>5109</v>
      </c>
      <c r="AR1158" s="81" t="s">
        <v>179</v>
      </c>
      <c r="AS1158" s="81">
        <v>0</v>
      </c>
      <c r="AT1158" s="81">
        <v>0</v>
      </c>
      <c r="AU1158" s="81"/>
      <c r="AV1158" s="81"/>
      <c r="AW1158" s="81"/>
      <c r="AX1158" s="81"/>
      <c r="AY1158" s="81"/>
      <c r="AZ1158" s="81"/>
      <c r="BA1158" s="81"/>
      <c r="BB1158" s="81"/>
    </row>
    <row r="1159" spans="1:54" x14ac:dyDescent="0.35">
      <c r="A1159" s="66" t="s">
        <v>904</v>
      </c>
      <c r="B1159" s="66" t="s">
        <v>904</v>
      </c>
      <c r="C1159" s="67"/>
      <c r="D1159" s="68"/>
      <c r="E1159" s="69"/>
      <c r="F1159" s="70"/>
      <c r="G1159" s="67"/>
      <c r="H1159" s="71"/>
      <c r="I1159" s="72"/>
      <c r="J1159" s="72"/>
      <c r="K1159" s="36"/>
      <c r="L1159" s="79"/>
      <c r="M1159" s="79"/>
      <c r="N1159" s="74"/>
      <c r="O1159" s="81" t="s">
        <v>179</v>
      </c>
      <c r="P1159" s="83">
        <v>44464.276574074072</v>
      </c>
      <c r="Q1159" s="81" t="s">
        <v>1936</v>
      </c>
      <c r="R1159" s="84" t="str">
        <f>HYPERLINK("https://twitter.com/Shahirahzai/status/1441393093085777922")</f>
        <v>https://twitter.com/Shahirahzai/status/1441393093085777922</v>
      </c>
      <c r="S1159" s="81" t="s">
        <v>2588</v>
      </c>
      <c r="T1159" s="81"/>
      <c r="U1159" s="81"/>
      <c r="V1159" s="84" t="str">
        <f>HYPERLINK("https://pbs.twimg.com/profile_images/1423142938981199883/Bad33EOa_normal.jpg")</f>
        <v>https://pbs.twimg.com/profile_images/1423142938981199883/Bad33EOa_normal.jpg</v>
      </c>
      <c r="W1159" s="83">
        <v>44464.276574074072</v>
      </c>
      <c r="X1159" s="89">
        <v>44464</v>
      </c>
      <c r="Y1159" s="86" t="s">
        <v>3544</v>
      </c>
      <c r="Z1159" s="84" t="str">
        <f>HYPERLINK("https://twitter.com/yuuusshi/status/1441653258955595780")</f>
        <v>https://twitter.com/yuuusshi/status/1441653258955595780</v>
      </c>
      <c r="AA1159" s="81"/>
      <c r="AB1159" s="81"/>
      <c r="AC1159" s="86" t="s">
        <v>5009</v>
      </c>
      <c r="AD1159" s="81"/>
      <c r="AE1159" s="81" t="b">
        <v>0</v>
      </c>
      <c r="AF1159" s="81">
        <v>0</v>
      </c>
      <c r="AG1159" s="86" t="s">
        <v>6240</v>
      </c>
      <c r="AH1159" s="81" t="b">
        <v>1</v>
      </c>
      <c r="AI1159" s="81" t="s">
        <v>6478</v>
      </c>
      <c r="AJ1159" s="81"/>
      <c r="AK1159" s="86" t="s">
        <v>6500</v>
      </c>
      <c r="AL1159" s="81" t="b">
        <v>0</v>
      </c>
      <c r="AM1159" s="81">
        <v>0</v>
      </c>
      <c r="AN1159" s="86" t="s">
        <v>6240</v>
      </c>
      <c r="AO1159" s="86" t="s">
        <v>6503</v>
      </c>
      <c r="AP1159" s="81" t="b">
        <v>0</v>
      </c>
      <c r="AQ1159" s="86" t="s">
        <v>5009</v>
      </c>
      <c r="AR1159" s="81" t="s">
        <v>179</v>
      </c>
      <c r="AS1159" s="81">
        <v>0</v>
      </c>
      <c r="AT1159" s="81">
        <v>0</v>
      </c>
      <c r="AU1159" s="81"/>
      <c r="AV1159" s="81"/>
      <c r="AW1159" s="81"/>
      <c r="AX1159" s="81"/>
      <c r="AY1159" s="81"/>
      <c r="AZ1159" s="81"/>
      <c r="BA1159" s="81"/>
      <c r="BB1159" s="81"/>
    </row>
    <row r="1160" spans="1:54" x14ac:dyDescent="0.35">
      <c r="A1160" s="66" t="s">
        <v>905</v>
      </c>
      <c r="B1160" s="66" t="s">
        <v>1410</v>
      </c>
      <c r="C1160" s="67"/>
      <c r="D1160" s="68"/>
      <c r="E1160" s="69"/>
      <c r="F1160" s="70"/>
      <c r="G1160" s="67"/>
      <c r="H1160" s="71"/>
      <c r="I1160" s="72"/>
      <c r="J1160" s="72"/>
      <c r="K1160" s="36"/>
      <c r="L1160" s="79"/>
      <c r="M1160" s="79"/>
      <c r="N1160" s="74"/>
      <c r="O1160" s="81" t="s">
        <v>1533</v>
      </c>
      <c r="P1160" s="83">
        <v>44463.764317129629</v>
      </c>
      <c r="Q1160" s="81" t="s">
        <v>1910</v>
      </c>
      <c r="R1160" s="81"/>
      <c r="S1160" s="81"/>
      <c r="T1160" s="86" t="s">
        <v>1413</v>
      </c>
      <c r="U1160" s="84" t="str">
        <f>HYPERLINK("https://pbs.twimg.com/media/FAEaAdPVgAgaH2z.jpg")</f>
        <v>https://pbs.twimg.com/media/FAEaAdPVgAgaH2z.jpg</v>
      </c>
      <c r="V1160" s="84" t="str">
        <f>HYPERLINK("https://pbs.twimg.com/media/FAEaAdPVgAgaH2z.jpg")</f>
        <v>https://pbs.twimg.com/media/FAEaAdPVgAgaH2z.jpg</v>
      </c>
      <c r="W1160" s="83">
        <v>44463.764317129629</v>
      </c>
      <c r="X1160" s="89">
        <v>44463</v>
      </c>
      <c r="Y1160" s="86" t="s">
        <v>3545</v>
      </c>
      <c r="Z1160" s="84" t="str">
        <f>HYPERLINK("https://twitter.com/dinaacooky/status/1441467624718618627")</f>
        <v>https://twitter.com/dinaacooky/status/1441467624718618627</v>
      </c>
      <c r="AA1160" s="81"/>
      <c r="AB1160" s="81"/>
      <c r="AC1160" s="86" t="s">
        <v>5010</v>
      </c>
      <c r="AD1160" s="81"/>
      <c r="AE1160" s="81" t="b">
        <v>0</v>
      </c>
      <c r="AF1160" s="81">
        <v>0</v>
      </c>
      <c r="AG1160" s="86" t="s">
        <v>6240</v>
      </c>
      <c r="AH1160" s="81" t="b">
        <v>0</v>
      </c>
      <c r="AI1160" s="81" t="s">
        <v>6479</v>
      </c>
      <c r="AJ1160" s="81"/>
      <c r="AK1160" s="86" t="s">
        <v>6240</v>
      </c>
      <c r="AL1160" s="81" t="b">
        <v>0</v>
      </c>
      <c r="AM1160" s="81">
        <v>21</v>
      </c>
      <c r="AN1160" s="86" t="s">
        <v>5109</v>
      </c>
      <c r="AO1160" s="86" t="s">
        <v>6505</v>
      </c>
      <c r="AP1160" s="81" t="b">
        <v>0</v>
      </c>
      <c r="AQ1160" s="86" t="s">
        <v>5109</v>
      </c>
      <c r="AR1160" s="81" t="s">
        <v>179</v>
      </c>
      <c r="AS1160" s="81">
        <v>0</v>
      </c>
      <c r="AT1160" s="81">
        <v>0</v>
      </c>
      <c r="AU1160" s="81"/>
      <c r="AV1160" s="81"/>
      <c r="AW1160" s="81"/>
      <c r="AX1160" s="81"/>
      <c r="AY1160" s="81"/>
      <c r="AZ1160" s="81"/>
      <c r="BA1160" s="81"/>
      <c r="BB1160" s="81"/>
    </row>
    <row r="1161" spans="1:54" x14ac:dyDescent="0.35">
      <c r="A1161" s="66" t="s">
        <v>905</v>
      </c>
      <c r="B1161" s="66" t="s">
        <v>1411</v>
      </c>
      <c r="C1161" s="67"/>
      <c r="D1161" s="68"/>
      <c r="E1161" s="69"/>
      <c r="F1161" s="70"/>
      <c r="G1161" s="67"/>
      <c r="H1161" s="71"/>
      <c r="I1161" s="72"/>
      <c r="J1161" s="72"/>
      <c r="K1161" s="36"/>
      <c r="L1161" s="79"/>
      <c r="M1161" s="79"/>
      <c r="N1161" s="74"/>
      <c r="O1161" s="81" t="s">
        <v>1533</v>
      </c>
      <c r="P1161" s="83">
        <v>44463.764317129629</v>
      </c>
      <c r="Q1161" s="81" t="s">
        <v>1910</v>
      </c>
      <c r="R1161" s="81"/>
      <c r="S1161" s="81"/>
      <c r="T1161" s="86" t="s">
        <v>1413</v>
      </c>
      <c r="U1161" s="84" t="str">
        <f>HYPERLINK("https://pbs.twimg.com/media/FAEaAdPVgAgaH2z.jpg")</f>
        <v>https://pbs.twimg.com/media/FAEaAdPVgAgaH2z.jpg</v>
      </c>
      <c r="V1161" s="84" t="str">
        <f>HYPERLINK("https://pbs.twimg.com/media/FAEaAdPVgAgaH2z.jpg")</f>
        <v>https://pbs.twimg.com/media/FAEaAdPVgAgaH2z.jpg</v>
      </c>
      <c r="W1161" s="83">
        <v>44463.764317129629</v>
      </c>
      <c r="X1161" s="89">
        <v>44463</v>
      </c>
      <c r="Y1161" s="86" t="s">
        <v>3545</v>
      </c>
      <c r="Z1161" s="84" t="str">
        <f>HYPERLINK("https://twitter.com/dinaacooky/status/1441467624718618627")</f>
        <v>https://twitter.com/dinaacooky/status/1441467624718618627</v>
      </c>
      <c r="AA1161" s="81"/>
      <c r="AB1161" s="81"/>
      <c r="AC1161" s="86" t="s">
        <v>5010</v>
      </c>
      <c r="AD1161" s="81"/>
      <c r="AE1161" s="81" t="b">
        <v>0</v>
      </c>
      <c r="AF1161" s="81">
        <v>0</v>
      </c>
      <c r="AG1161" s="86" t="s">
        <v>6240</v>
      </c>
      <c r="AH1161" s="81" t="b">
        <v>0</v>
      </c>
      <c r="AI1161" s="81" t="s">
        <v>6479</v>
      </c>
      <c r="AJ1161" s="81"/>
      <c r="AK1161" s="86" t="s">
        <v>6240</v>
      </c>
      <c r="AL1161" s="81" t="b">
        <v>0</v>
      </c>
      <c r="AM1161" s="81">
        <v>21</v>
      </c>
      <c r="AN1161" s="86" t="s">
        <v>5109</v>
      </c>
      <c r="AO1161" s="86" t="s">
        <v>6505</v>
      </c>
      <c r="AP1161" s="81" t="b">
        <v>0</v>
      </c>
      <c r="AQ1161" s="86" t="s">
        <v>5109</v>
      </c>
      <c r="AR1161" s="81" t="s">
        <v>179</v>
      </c>
      <c r="AS1161" s="81">
        <v>0</v>
      </c>
      <c r="AT1161" s="81">
        <v>0</v>
      </c>
      <c r="AU1161" s="81"/>
      <c r="AV1161" s="81"/>
      <c r="AW1161" s="81"/>
      <c r="AX1161" s="81"/>
      <c r="AY1161" s="81"/>
      <c r="AZ1161" s="81"/>
      <c r="BA1161" s="81"/>
      <c r="BB1161" s="81"/>
    </row>
    <row r="1162" spans="1:54" x14ac:dyDescent="0.35">
      <c r="A1162" s="66" t="s">
        <v>905</v>
      </c>
      <c r="B1162" s="66" t="s">
        <v>1412</v>
      </c>
      <c r="C1162" s="67"/>
      <c r="D1162" s="68"/>
      <c r="E1162" s="69"/>
      <c r="F1162" s="70"/>
      <c r="G1162" s="67"/>
      <c r="H1162" s="71"/>
      <c r="I1162" s="72"/>
      <c r="J1162" s="72"/>
      <c r="K1162" s="36"/>
      <c r="L1162" s="79"/>
      <c r="M1162" s="79"/>
      <c r="N1162" s="74"/>
      <c r="O1162" s="81" t="s">
        <v>1533</v>
      </c>
      <c r="P1162" s="83">
        <v>44463.764317129629</v>
      </c>
      <c r="Q1162" s="81" t="s">
        <v>1910</v>
      </c>
      <c r="R1162" s="81"/>
      <c r="S1162" s="81"/>
      <c r="T1162" s="86" t="s">
        <v>1413</v>
      </c>
      <c r="U1162" s="84" t="str">
        <f>HYPERLINK("https://pbs.twimg.com/media/FAEaAdPVgAgaH2z.jpg")</f>
        <v>https://pbs.twimg.com/media/FAEaAdPVgAgaH2z.jpg</v>
      </c>
      <c r="V1162" s="84" t="str">
        <f>HYPERLINK("https://pbs.twimg.com/media/FAEaAdPVgAgaH2z.jpg")</f>
        <v>https://pbs.twimg.com/media/FAEaAdPVgAgaH2z.jpg</v>
      </c>
      <c r="W1162" s="83">
        <v>44463.764317129629</v>
      </c>
      <c r="X1162" s="89">
        <v>44463</v>
      </c>
      <c r="Y1162" s="86" t="s">
        <v>3545</v>
      </c>
      <c r="Z1162" s="84" t="str">
        <f>HYPERLINK("https://twitter.com/dinaacooky/status/1441467624718618627")</f>
        <v>https://twitter.com/dinaacooky/status/1441467624718618627</v>
      </c>
      <c r="AA1162" s="81"/>
      <c r="AB1162" s="81"/>
      <c r="AC1162" s="86" t="s">
        <v>5010</v>
      </c>
      <c r="AD1162" s="81"/>
      <c r="AE1162" s="81" t="b">
        <v>0</v>
      </c>
      <c r="AF1162" s="81">
        <v>0</v>
      </c>
      <c r="AG1162" s="86" t="s">
        <v>6240</v>
      </c>
      <c r="AH1162" s="81" t="b">
        <v>0</v>
      </c>
      <c r="AI1162" s="81" t="s">
        <v>6479</v>
      </c>
      <c r="AJ1162" s="81"/>
      <c r="AK1162" s="86" t="s">
        <v>6240</v>
      </c>
      <c r="AL1162" s="81" t="b">
        <v>0</v>
      </c>
      <c r="AM1162" s="81">
        <v>21</v>
      </c>
      <c r="AN1162" s="86" t="s">
        <v>5109</v>
      </c>
      <c r="AO1162" s="86" t="s">
        <v>6505</v>
      </c>
      <c r="AP1162" s="81" t="b">
        <v>0</v>
      </c>
      <c r="AQ1162" s="86" t="s">
        <v>5109</v>
      </c>
      <c r="AR1162" s="81" t="s">
        <v>179</v>
      </c>
      <c r="AS1162" s="81">
        <v>0</v>
      </c>
      <c r="AT1162" s="81">
        <v>0</v>
      </c>
      <c r="AU1162" s="81"/>
      <c r="AV1162" s="81"/>
      <c r="AW1162" s="81"/>
      <c r="AX1162" s="81"/>
      <c r="AY1162" s="81"/>
      <c r="AZ1162" s="81"/>
      <c r="BA1162" s="81"/>
      <c r="BB1162" s="81"/>
    </row>
    <row r="1163" spans="1:54" x14ac:dyDescent="0.35">
      <c r="A1163" s="66" t="s">
        <v>905</v>
      </c>
      <c r="B1163" s="66" t="s">
        <v>1413</v>
      </c>
      <c r="C1163" s="67"/>
      <c r="D1163" s="68"/>
      <c r="E1163" s="69"/>
      <c r="F1163" s="70"/>
      <c r="G1163" s="67"/>
      <c r="H1163" s="71"/>
      <c r="I1163" s="72"/>
      <c r="J1163" s="72"/>
      <c r="K1163" s="36"/>
      <c r="L1163" s="79"/>
      <c r="M1163" s="79"/>
      <c r="N1163" s="74"/>
      <c r="O1163" s="81" t="s">
        <v>1533</v>
      </c>
      <c r="P1163" s="83">
        <v>44463.764317129629</v>
      </c>
      <c r="Q1163" s="81" t="s">
        <v>1910</v>
      </c>
      <c r="R1163" s="81"/>
      <c r="S1163" s="81"/>
      <c r="T1163" s="86" t="s">
        <v>1413</v>
      </c>
      <c r="U1163" s="84" t="str">
        <f>HYPERLINK("https://pbs.twimg.com/media/FAEaAdPVgAgaH2z.jpg")</f>
        <v>https://pbs.twimg.com/media/FAEaAdPVgAgaH2z.jpg</v>
      </c>
      <c r="V1163" s="84" t="str">
        <f>HYPERLINK("https://pbs.twimg.com/media/FAEaAdPVgAgaH2z.jpg")</f>
        <v>https://pbs.twimg.com/media/FAEaAdPVgAgaH2z.jpg</v>
      </c>
      <c r="W1163" s="83">
        <v>44463.764317129629</v>
      </c>
      <c r="X1163" s="89">
        <v>44463</v>
      </c>
      <c r="Y1163" s="86" t="s">
        <v>3545</v>
      </c>
      <c r="Z1163" s="84" t="str">
        <f>HYPERLINK("https://twitter.com/dinaacooky/status/1441467624718618627")</f>
        <v>https://twitter.com/dinaacooky/status/1441467624718618627</v>
      </c>
      <c r="AA1163" s="81"/>
      <c r="AB1163" s="81"/>
      <c r="AC1163" s="86" t="s">
        <v>5010</v>
      </c>
      <c r="AD1163" s="81"/>
      <c r="AE1163" s="81" t="b">
        <v>0</v>
      </c>
      <c r="AF1163" s="81">
        <v>0</v>
      </c>
      <c r="AG1163" s="86" t="s">
        <v>6240</v>
      </c>
      <c r="AH1163" s="81" t="b">
        <v>0</v>
      </c>
      <c r="AI1163" s="81" t="s">
        <v>6479</v>
      </c>
      <c r="AJ1163" s="81"/>
      <c r="AK1163" s="86" t="s">
        <v>6240</v>
      </c>
      <c r="AL1163" s="81" t="b">
        <v>0</v>
      </c>
      <c r="AM1163" s="81">
        <v>21</v>
      </c>
      <c r="AN1163" s="86" t="s">
        <v>5109</v>
      </c>
      <c r="AO1163" s="86" t="s">
        <v>6505</v>
      </c>
      <c r="AP1163" s="81" t="b">
        <v>0</v>
      </c>
      <c r="AQ1163" s="86" t="s">
        <v>5109</v>
      </c>
      <c r="AR1163" s="81" t="s">
        <v>179</v>
      </c>
      <c r="AS1163" s="81">
        <v>0</v>
      </c>
      <c r="AT1163" s="81">
        <v>0</v>
      </c>
      <c r="AU1163" s="81"/>
      <c r="AV1163" s="81"/>
      <c r="AW1163" s="81"/>
      <c r="AX1163" s="81"/>
      <c r="AY1163" s="81"/>
      <c r="AZ1163" s="81"/>
      <c r="BA1163" s="81"/>
      <c r="BB1163" s="81"/>
    </row>
    <row r="1164" spans="1:54" x14ac:dyDescent="0.35">
      <c r="A1164" s="66" t="s">
        <v>905</v>
      </c>
      <c r="B1164" s="66" t="s">
        <v>990</v>
      </c>
      <c r="C1164" s="67"/>
      <c r="D1164" s="68"/>
      <c r="E1164" s="69"/>
      <c r="F1164" s="70"/>
      <c r="G1164" s="67"/>
      <c r="H1164" s="71"/>
      <c r="I1164" s="72"/>
      <c r="J1164" s="72"/>
      <c r="K1164" s="36"/>
      <c r="L1164" s="79"/>
      <c r="M1164" s="79"/>
      <c r="N1164" s="74"/>
      <c r="O1164" s="81" t="s">
        <v>1532</v>
      </c>
      <c r="P1164" s="83">
        <v>44463.764317129629</v>
      </c>
      <c r="Q1164" s="81" t="s">
        <v>1910</v>
      </c>
      <c r="R1164" s="81"/>
      <c r="S1164" s="81"/>
      <c r="T1164" s="86" t="s">
        <v>1413</v>
      </c>
      <c r="U1164" s="84" t="str">
        <f>HYPERLINK("https://pbs.twimg.com/media/FAEaAdPVgAgaH2z.jpg")</f>
        <v>https://pbs.twimg.com/media/FAEaAdPVgAgaH2z.jpg</v>
      </c>
      <c r="V1164" s="84" t="str">
        <f>HYPERLINK("https://pbs.twimg.com/media/FAEaAdPVgAgaH2z.jpg")</f>
        <v>https://pbs.twimg.com/media/FAEaAdPVgAgaH2z.jpg</v>
      </c>
      <c r="W1164" s="83">
        <v>44463.764317129629</v>
      </c>
      <c r="X1164" s="89">
        <v>44463</v>
      </c>
      <c r="Y1164" s="86" t="s">
        <v>3545</v>
      </c>
      <c r="Z1164" s="84" t="str">
        <f>HYPERLINK("https://twitter.com/dinaacooky/status/1441467624718618627")</f>
        <v>https://twitter.com/dinaacooky/status/1441467624718618627</v>
      </c>
      <c r="AA1164" s="81"/>
      <c r="AB1164" s="81"/>
      <c r="AC1164" s="86" t="s">
        <v>5010</v>
      </c>
      <c r="AD1164" s="81"/>
      <c r="AE1164" s="81" t="b">
        <v>0</v>
      </c>
      <c r="AF1164" s="81">
        <v>0</v>
      </c>
      <c r="AG1164" s="86" t="s">
        <v>6240</v>
      </c>
      <c r="AH1164" s="81" t="b">
        <v>0</v>
      </c>
      <c r="AI1164" s="81" t="s">
        <v>6479</v>
      </c>
      <c r="AJ1164" s="81"/>
      <c r="AK1164" s="86" t="s">
        <v>6240</v>
      </c>
      <c r="AL1164" s="81" t="b">
        <v>0</v>
      </c>
      <c r="AM1164" s="81">
        <v>21</v>
      </c>
      <c r="AN1164" s="86" t="s">
        <v>5109</v>
      </c>
      <c r="AO1164" s="86" t="s">
        <v>6505</v>
      </c>
      <c r="AP1164" s="81" t="b">
        <v>0</v>
      </c>
      <c r="AQ1164" s="86" t="s">
        <v>5109</v>
      </c>
      <c r="AR1164" s="81" t="s">
        <v>179</v>
      </c>
      <c r="AS1164" s="81">
        <v>0</v>
      </c>
      <c r="AT1164" s="81">
        <v>0</v>
      </c>
      <c r="AU1164" s="81"/>
      <c r="AV1164" s="81"/>
      <c r="AW1164" s="81"/>
      <c r="AX1164" s="81"/>
      <c r="AY1164" s="81"/>
      <c r="AZ1164" s="81"/>
      <c r="BA1164" s="81"/>
      <c r="BB1164" s="81"/>
    </row>
    <row r="1165" spans="1:54" x14ac:dyDescent="0.35">
      <c r="A1165" s="66" t="s">
        <v>905</v>
      </c>
      <c r="B1165" s="66" t="s">
        <v>1410</v>
      </c>
      <c r="C1165" s="67"/>
      <c r="D1165" s="68"/>
      <c r="E1165" s="69"/>
      <c r="F1165" s="70"/>
      <c r="G1165" s="67"/>
      <c r="H1165" s="71"/>
      <c r="I1165" s="72"/>
      <c r="J1165" s="72"/>
      <c r="K1165" s="36"/>
      <c r="L1165" s="79"/>
      <c r="M1165" s="79"/>
      <c r="N1165" s="74"/>
      <c r="O1165" s="81" t="s">
        <v>1533</v>
      </c>
      <c r="P1165" s="83">
        <v>44463.820821759262</v>
      </c>
      <c r="Q1165" s="81" t="s">
        <v>1909</v>
      </c>
      <c r="R1165" s="81"/>
      <c r="S1165" s="81"/>
      <c r="T1165" s="86" t="s">
        <v>1413</v>
      </c>
      <c r="U1165" s="84" t="str">
        <f>HYPERLINK("https://pbs.twimg.com/media/FAEa7dXVkAcjbKg.jpg")</f>
        <v>https://pbs.twimg.com/media/FAEa7dXVkAcjbKg.jpg</v>
      </c>
      <c r="V1165" s="84" t="str">
        <f>HYPERLINK("https://pbs.twimg.com/media/FAEa7dXVkAcjbKg.jpg")</f>
        <v>https://pbs.twimg.com/media/FAEa7dXVkAcjbKg.jpg</v>
      </c>
      <c r="W1165" s="83">
        <v>44463.820821759262</v>
      </c>
      <c r="X1165" s="89">
        <v>44463</v>
      </c>
      <c r="Y1165" s="86" t="s">
        <v>3546</v>
      </c>
      <c r="Z1165" s="84" t="str">
        <f>HYPERLINK("https://twitter.com/dinaacooky/status/1441488102518784003")</f>
        <v>https://twitter.com/dinaacooky/status/1441488102518784003</v>
      </c>
      <c r="AA1165" s="81"/>
      <c r="AB1165" s="81"/>
      <c r="AC1165" s="86" t="s">
        <v>5011</v>
      </c>
      <c r="AD1165" s="81"/>
      <c r="AE1165" s="81" t="b">
        <v>0</v>
      </c>
      <c r="AF1165" s="81">
        <v>0</v>
      </c>
      <c r="AG1165" s="86" t="s">
        <v>6240</v>
      </c>
      <c r="AH1165" s="81" t="b">
        <v>0</v>
      </c>
      <c r="AI1165" s="81" t="s">
        <v>6479</v>
      </c>
      <c r="AJ1165" s="81"/>
      <c r="AK1165" s="86" t="s">
        <v>6240</v>
      </c>
      <c r="AL1165" s="81" t="b">
        <v>0</v>
      </c>
      <c r="AM1165" s="81">
        <v>20</v>
      </c>
      <c r="AN1165" s="86" t="s">
        <v>5110</v>
      </c>
      <c r="AO1165" s="86" t="s">
        <v>6507</v>
      </c>
      <c r="AP1165" s="81" t="b">
        <v>0</v>
      </c>
      <c r="AQ1165" s="86" t="s">
        <v>5110</v>
      </c>
      <c r="AR1165" s="81" t="s">
        <v>179</v>
      </c>
      <c r="AS1165" s="81">
        <v>0</v>
      </c>
      <c r="AT1165" s="81">
        <v>0</v>
      </c>
      <c r="AU1165" s="81"/>
      <c r="AV1165" s="81"/>
      <c r="AW1165" s="81"/>
      <c r="AX1165" s="81"/>
      <c r="AY1165" s="81"/>
      <c r="AZ1165" s="81"/>
      <c r="BA1165" s="81"/>
      <c r="BB1165" s="81"/>
    </row>
    <row r="1166" spans="1:54" x14ac:dyDescent="0.35">
      <c r="A1166" s="66" t="s">
        <v>905</v>
      </c>
      <c r="B1166" s="66" t="s">
        <v>1411</v>
      </c>
      <c r="C1166" s="67"/>
      <c r="D1166" s="68"/>
      <c r="E1166" s="69"/>
      <c r="F1166" s="70"/>
      <c r="G1166" s="67"/>
      <c r="H1166" s="71"/>
      <c r="I1166" s="72"/>
      <c r="J1166" s="72"/>
      <c r="K1166" s="36"/>
      <c r="L1166" s="79"/>
      <c r="M1166" s="79"/>
      <c r="N1166" s="74"/>
      <c r="O1166" s="81" t="s">
        <v>1533</v>
      </c>
      <c r="P1166" s="83">
        <v>44463.820821759262</v>
      </c>
      <c r="Q1166" s="81" t="s">
        <v>1909</v>
      </c>
      <c r="R1166" s="81"/>
      <c r="S1166" s="81"/>
      <c r="T1166" s="86" t="s">
        <v>1413</v>
      </c>
      <c r="U1166" s="84" t="str">
        <f>HYPERLINK("https://pbs.twimg.com/media/FAEa7dXVkAcjbKg.jpg")</f>
        <v>https://pbs.twimg.com/media/FAEa7dXVkAcjbKg.jpg</v>
      </c>
      <c r="V1166" s="84" t="str">
        <f>HYPERLINK("https://pbs.twimg.com/media/FAEa7dXVkAcjbKg.jpg")</f>
        <v>https://pbs.twimg.com/media/FAEa7dXVkAcjbKg.jpg</v>
      </c>
      <c r="W1166" s="83">
        <v>44463.820821759262</v>
      </c>
      <c r="X1166" s="89">
        <v>44463</v>
      </c>
      <c r="Y1166" s="86" t="s">
        <v>3546</v>
      </c>
      <c r="Z1166" s="84" t="str">
        <f>HYPERLINK("https://twitter.com/dinaacooky/status/1441488102518784003")</f>
        <v>https://twitter.com/dinaacooky/status/1441488102518784003</v>
      </c>
      <c r="AA1166" s="81"/>
      <c r="AB1166" s="81"/>
      <c r="AC1166" s="86" t="s">
        <v>5011</v>
      </c>
      <c r="AD1166" s="81"/>
      <c r="AE1166" s="81" t="b">
        <v>0</v>
      </c>
      <c r="AF1166" s="81">
        <v>0</v>
      </c>
      <c r="AG1166" s="86" t="s">
        <v>6240</v>
      </c>
      <c r="AH1166" s="81" t="b">
        <v>0</v>
      </c>
      <c r="AI1166" s="81" t="s">
        <v>6479</v>
      </c>
      <c r="AJ1166" s="81"/>
      <c r="AK1166" s="86" t="s">
        <v>6240</v>
      </c>
      <c r="AL1166" s="81" t="b">
        <v>0</v>
      </c>
      <c r="AM1166" s="81">
        <v>20</v>
      </c>
      <c r="AN1166" s="86" t="s">
        <v>5110</v>
      </c>
      <c r="AO1166" s="86" t="s">
        <v>6507</v>
      </c>
      <c r="AP1166" s="81" t="b">
        <v>0</v>
      </c>
      <c r="AQ1166" s="86" t="s">
        <v>5110</v>
      </c>
      <c r="AR1166" s="81" t="s">
        <v>179</v>
      </c>
      <c r="AS1166" s="81">
        <v>0</v>
      </c>
      <c r="AT1166" s="81">
        <v>0</v>
      </c>
      <c r="AU1166" s="81"/>
      <c r="AV1166" s="81"/>
      <c r="AW1166" s="81"/>
      <c r="AX1166" s="81"/>
      <c r="AY1166" s="81"/>
      <c r="AZ1166" s="81"/>
      <c r="BA1166" s="81"/>
      <c r="BB1166" s="81"/>
    </row>
    <row r="1167" spans="1:54" x14ac:dyDescent="0.35">
      <c r="A1167" s="66" t="s">
        <v>905</v>
      </c>
      <c r="B1167" s="66" t="s">
        <v>1412</v>
      </c>
      <c r="C1167" s="67"/>
      <c r="D1167" s="68"/>
      <c r="E1167" s="69"/>
      <c r="F1167" s="70"/>
      <c r="G1167" s="67"/>
      <c r="H1167" s="71"/>
      <c r="I1167" s="72"/>
      <c r="J1167" s="72"/>
      <c r="K1167" s="36"/>
      <c r="L1167" s="79"/>
      <c r="M1167" s="79"/>
      <c r="N1167" s="74"/>
      <c r="O1167" s="81" t="s">
        <v>1533</v>
      </c>
      <c r="P1167" s="83">
        <v>44463.820821759262</v>
      </c>
      <c r="Q1167" s="81" t="s">
        <v>1909</v>
      </c>
      <c r="R1167" s="81"/>
      <c r="S1167" s="81"/>
      <c r="T1167" s="86" t="s">
        <v>1413</v>
      </c>
      <c r="U1167" s="84" t="str">
        <f>HYPERLINK("https://pbs.twimg.com/media/FAEa7dXVkAcjbKg.jpg")</f>
        <v>https://pbs.twimg.com/media/FAEa7dXVkAcjbKg.jpg</v>
      </c>
      <c r="V1167" s="84" t="str">
        <f>HYPERLINK("https://pbs.twimg.com/media/FAEa7dXVkAcjbKg.jpg")</f>
        <v>https://pbs.twimg.com/media/FAEa7dXVkAcjbKg.jpg</v>
      </c>
      <c r="W1167" s="83">
        <v>44463.820821759262</v>
      </c>
      <c r="X1167" s="89">
        <v>44463</v>
      </c>
      <c r="Y1167" s="86" t="s">
        <v>3546</v>
      </c>
      <c r="Z1167" s="84" t="str">
        <f>HYPERLINK("https://twitter.com/dinaacooky/status/1441488102518784003")</f>
        <v>https://twitter.com/dinaacooky/status/1441488102518784003</v>
      </c>
      <c r="AA1167" s="81"/>
      <c r="AB1167" s="81"/>
      <c r="AC1167" s="86" t="s">
        <v>5011</v>
      </c>
      <c r="AD1167" s="81"/>
      <c r="AE1167" s="81" t="b">
        <v>0</v>
      </c>
      <c r="AF1167" s="81">
        <v>0</v>
      </c>
      <c r="AG1167" s="86" t="s">
        <v>6240</v>
      </c>
      <c r="AH1167" s="81" t="b">
        <v>0</v>
      </c>
      <c r="AI1167" s="81" t="s">
        <v>6479</v>
      </c>
      <c r="AJ1167" s="81"/>
      <c r="AK1167" s="86" t="s">
        <v>6240</v>
      </c>
      <c r="AL1167" s="81" t="b">
        <v>0</v>
      </c>
      <c r="AM1167" s="81">
        <v>20</v>
      </c>
      <c r="AN1167" s="86" t="s">
        <v>5110</v>
      </c>
      <c r="AO1167" s="86" t="s">
        <v>6507</v>
      </c>
      <c r="AP1167" s="81" t="b">
        <v>0</v>
      </c>
      <c r="AQ1167" s="86" t="s">
        <v>5110</v>
      </c>
      <c r="AR1167" s="81" t="s">
        <v>179</v>
      </c>
      <c r="AS1167" s="81">
        <v>0</v>
      </c>
      <c r="AT1167" s="81">
        <v>0</v>
      </c>
      <c r="AU1167" s="81"/>
      <c r="AV1167" s="81"/>
      <c r="AW1167" s="81"/>
      <c r="AX1167" s="81"/>
      <c r="AY1167" s="81"/>
      <c r="AZ1167" s="81"/>
      <c r="BA1167" s="81"/>
      <c r="BB1167" s="81"/>
    </row>
    <row r="1168" spans="1:54" x14ac:dyDescent="0.35">
      <c r="A1168" s="66" t="s">
        <v>905</v>
      </c>
      <c r="B1168" s="66" t="s">
        <v>1413</v>
      </c>
      <c r="C1168" s="67"/>
      <c r="D1168" s="68"/>
      <c r="E1168" s="69"/>
      <c r="F1168" s="70"/>
      <c r="G1168" s="67"/>
      <c r="H1168" s="71"/>
      <c r="I1168" s="72"/>
      <c r="J1168" s="72"/>
      <c r="K1168" s="36"/>
      <c r="L1168" s="79"/>
      <c r="M1168" s="79"/>
      <c r="N1168" s="74"/>
      <c r="O1168" s="81" t="s">
        <v>1533</v>
      </c>
      <c r="P1168" s="83">
        <v>44463.820821759262</v>
      </c>
      <c r="Q1168" s="81" t="s">
        <v>1909</v>
      </c>
      <c r="R1168" s="81"/>
      <c r="S1168" s="81"/>
      <c r="T1168" s="86" t="s">
        <v>1413</v>
      </c>
      <c r="U1168" s="84" t="str">
        <f>HYPERLINK("https://pbs.twimg.com/media/FAEa7dXVkAcjbKg.jpg")</f>
        <v>https://pbs.twimg.com/media/FAEa7dXVkAcjbKg.jpg</v>
      </c>
      <c r="V1168" s="84" t="str">
        <f>HYPERLINK("https://pbs.twimg.com/media/FAEa7dXVkAcjbKg.jpg")</f>
        <v>https://pbs.twimg.com/media/FAEa7dXVkAcjbKg.jpg</v>
      </c>
      <c r="W1168" s="83">
        <v>44463.820821759262</v>
      </c>
      <c r="X1168" s="89">
        <v>44463</v>
      </c>
      <c r="Y1168" s="86" t="s">
        <v>3546</v>
      </c>
      <c r="Z1168" s="84" t="str">
        <f>HYPERLINK("https://twitter.com/dinaacooky/status/1441488102518784003")</f>
        <v>https://twitter.com/dinaacooky/status/1441488102518784003</v>
      </c>
      <c r="AA1168" s="81"/>
      <c r="AB1168" s="81"/>
      <c r="AC1168" s="86" t="s">
        <v>5011</v>
      </c>
      <c r="AD1168" s="81"/>
      <c r="AE1168" s="81" t="b">
        <v>0</v>
      </c>
      <c r="AF1168" s="81">
        <v>0</v>
      </c>
      <c r="AG1168" s="86" t="s">
        <v>6240</v>
      </c>
      <c r="AH1168" s="81" t="b">
        <v>0</v>
      </c>
      <c r="AI1168" s="81" t="s">
        <v>6479</v>
      </c>
      <c r="AJ1168" s="81"/>
      <c r="AK1168" s="86" t="s">
        <v>6240</v>
      </c>
      <c r="AL1168" s="81" t="b">
        <v>0</v>
      </c>
      <c r="AM1168" s="81">
        <v>20</v>
      </c>
      <c r="AN1168" s="86" t="s">
        <v>5110</v>
      </c>
      <c r="AO1168" s="86" t="s">
        <v>6507</v>
      </c>
      <c r="AP1168" s="81" t="b">
        <v>0</v>
      </c>
      <c r="AQ1168" s="86" t="s">
        <v>5110</v>
      </c>
      <c r="AR1168" s="81" t="s">
        <v>179</v>
      </c>
      <c r="AS1168" s="81">
        <v>0</v>
      </c>
      <c r="AT1168" s="81">
        <v>0</v>
      </c>
      <c r="AU1168" s="81"/>
      <c r="AV1168" s="81"/>
      <c r="AW1168" s="81"/>
      <c r="AX1168" s="81"/>
      <c r="AY1168" s="81"/>
      <c r="AZ1168" s="81"/>
      <c r="BA1168" s="81"/>
      <c r="BB1168" s="81"/>
    </row>
    <row r="1169" spans="1:54" x14ac:dyDescent="0.35">
      <c r="A1169" s="66" t="s">
        <v>905</v>
      </c>
      <c r="B1169" s="66" t="s">
        <v>990</v>
      </c>
      <c r="C1169" s="67"/>
      <c r="D1169" s="68"/>
      <c r="E1169" s="69"/>
      <c r="F1169" s="70"/>
      <c r="G1169" s="67"/>
      <c r="H1169" s="71"/>
      <c r="I1169" s="72"/>
      <c r="J1169" s="72"/>
      <c r="K1169" s="36"/>
      <c r="L1169" s="79"/>
      <c r="M1169" s="79"/>
      <c r="N1169" s="74"/>
      <c r="O1169" s="81" t="s">
        <v>1532</v>
      </c>
      <c r="P1169" s="83">
        <v>44463.820821759262</v>
      </c>
      <c r="Q1169" s="81" t="s">
        <v>1909</v>
      </c>
      <c r="R1169" s="81"/>
      <c r="S1169" s="81"/>
      <c r="T1169" s="86" t="s">
        <v>1413</v>
      </c>
      <c r="U1169" s="84" t="str">
        <f>HYPERLINK("https://pbs.twimg.com/media/FAEa7dXVkAcjbKg.jpg")</f>
        <v>https://pbs.twimg.com/media/FAEa7dXVkAcjbKg.jpg</v>
      </c>
      <c r="V1169" s="84" t="str">
        <f>HYPERLINK("https://pbs.twimg.com/media/FAEa7dXVkAcjbKg.jpg")</f>
        <v>https://pbs.twimg.com/media/FAEa7dXVkAcjbKg.jpg</v>
      </c>
      <c r="W1169" s="83">
        <v>44463.820821759262</v>
      </c>
      <c r="X1169" s="89">
        <v>44463</v>
      </c>
      <c r="Y1169" s="86" t="s">
        <v>3546</v>
      </c>
      <c r="Z1169" s="84" t="str">
        <f>HYPERLINK("https://twitter.com/dinaacooky/status/1441488102518784003")</f>
        <v>https://twitter.com/dinaacooky/status/1441488102518784003</v>
      </c>
      <c r="AA1169" s="81"/>
      <c r="AB1169" s="81"/>
      <c r="AC1169" s="86" t="s">
        <v>5011</v>
      </c>
      <c r="AD1169" s="81"/>
      <c r="AE1169" s="81" t="b">
        <v>0</v>
      </c>
      <c r="AF1169" s="81">
        <v>0</v>
      </c>
      <c r="AG1169" s="86" t="s">
        <v>6240</v>
      </c>
      <c r="AH1169" s="81" t="b">
        <v>0</v>
      </c>
      <c r="AI1169" s="81" t="s">
        <v>6479</v>
      </c>
      <c r="AJ1169" s="81"/>
      <c r="AK1169" s="86" t="s">
        <v>6240</v>
      </c>
      <c r="AL1169" s="81" t="b">
        <v>0</v>
      </c>
      <c r="AM1169" s="81">
        <v>20</v>
      </c>
      <c r="AN1169" s="86" t="s">
        <v>5110</v>
      </c>
      <c r="AO1169" s="86" t="s">
        <v>6507</v>
      </c>
      <c r="AP1169" s="81" t="b">
        <v>0</v>
      </c>
      <c r="AQ1169" s="86" t="s">
        <v>5110</v>
      </c>
      <c r="AR1169" s="81" t="s">
        <v>179</v>
      </c>
      <c r="AS1169" s="81">
        <v>0</v>
      </c>
      <c r="AT1169" s="81">
        <v>0</v>
      </c>
      <c r="AU1169" s="81"/>
      <c r="AV1169" s="81"/>
      <c r="AW1169" s="81"/>
      <c r="AX1169" s="81"/>
      <c r="AY1169" s="81"/>
      <c r="AZ1169" s="81"/>
      <c r="BA1169" s="81"/>
      <c r="BB1169" s="81"/>
    </row>
    <row r="1170" spans="1:54" x14ac:dyDescent="0.35">
      <c r="A1170" s="66" t="s">
        <v>905</v>
      </c>
      <c r="B1170" s="66" t="s">
        <v>1410</v>
      </c>
      <c r="C1170" s="67"/>
      <c r="D1170" s="68"/>
      <c r="E1170" s="69"/>
      <c r="F1170" s="70"/>
      <c r="G1170" s="67"/>
      <c r="H1170" s="71"/>
      <c r="I1170" s="72"/>
      <c r="J1170" s="72"/>
      <c r="K1170" s="36"/>
      <c r="L1170" s="79"/>
      <c r="M1170" s="79"/>
      <c r="N1170" s="74"/>
      <c r="O1170" s="81" t="s">
        <v>1533</v>
      </c>
      <c r="P1170" s="83">
        <v>44464.281018518515</v>
      </c>
      <c r="Q1170" s="81" t="s">
        <v>1908</v>
      </c>
      <c r="R1170" s="81"/>
      <c r="S1170" s="81"/>
      <c r="T1170" s="86" t="s">
        <v>1413</v>
      </c>
      <c r="U1170" s="84" t="str">
        <f>HYPERLINK("https://pbs.twimg.com/media/FAEa_mFUYAcoKUu.jpg")</f>
        <v>https://pbs.twimg.com/media/FAEa_mFUYAcoKUu.jpg</v>
      </c>
      <c r="V1170" s="84" t="str">
        <f>HYPERLINK("https://pbs.twimg.com/media/FAEa_mFUYAcoKUu.jpg")</f>
        <v>https://pbs.twimg.com/media/FAEa_mFUYAcoKUu.jpg</v>
      </c>
      <c r="W1170" s="83">
        <v>44464.281018518515</v>
      </c>
      <c r="X1170" s="89">
        <v>44464</v>
      </c>
      <c r="Y1170" s="86" t="s">
        <v>3547</v>
      </c>
      <c r="Z1170" s="84" t="str">
        <f>HYPERLINK("https://twitter.com/dinaacooky/status/1441654871183147012")</f>
        <v>https://twitter.com/dinaacooky/status/1441654871183147012</v>
      </c>
      <c r="AA1170" s="81"/>
      <c r="AB1170" s="81"/>
      <c r="AC1170" s="86" t="s">
        <v>5012</v>
      </c>
      <c r="AD1170" s="81"/>
      <c r="AE1170" s="81" t="b">
        <v>0</v>
      </c>
      <c r="AF1170" s="81">
        <v>0</v>
      </c>
      <c r="AG1170" s="86" t="s">
        <v>6240</v>
      </c>
      <c r="AH1170" s="81" t="b">
        <v>0</v>
      </c>
      <c r="AI1170" s="81" t="s">
        <v>6479</v>
      </c>
      <c r="AJ1170" s="81"/>
      <c r="AK1170" s="86" t="s">
        <v>6240</v>
      </c>
      <c r="AL1170" s="81" t="b">
        <v>0</v>
      </c>
      <c r="AM1170" s="81">
        <v>23</v>
      </c>
      <c r="AN1170" s="86" t="s">
        <v>5111</v>
      </c>
      <c r="AO1170" s="86" t="s">
        <v>6505</v>
      </c>
      <c r="AP1170" s="81" t="b">
        <v>0</v>
      </c>
      <c r="AQ1170" s="86" t="s">
        <v>5111</v>
      </c>
      <c r="AR1170" s="81" t="s">
        <v>179</v>
      </c>
      <c r="AS1170" s="81">
        <v>0</v>
      </c>
      <c r="AT1170" s="81">
        <v>0</v>
      </c>
      <c r="AU1170" s="81"/>
      <c r="AV1170" s="81"/>
      <c r="AW1170" s="81"/>
      <c r="AX1170" s="81"/>
      <c r="AY1170" s="81"/>
      <c r="AZ1170" s="81"/>
      <c r="BA1170" s="81"/>
      <c r="BB1170" s="81"/>
    </row>
    <row r="1171" spans="1:54" x14ac:dyDescent="0.35">
      <c r="A1171" s="66" t="s">
        <v>905</v>
      </c>
      <c r="B1171" s="66" t="s">
        <v>1411</v>
      </c>
      <c r="C1171" s="67"/>
      <c r="D1171" s="68"/>
      <c r="E1171" s="69"/>
      <c r="F1171" s="70"/>
      <c r="G1171" s="67"/>
      <c r="H1171" s="71"/>
      <c r="I1171" s="72"/>
      <c r="J1171" s="72"/>
      <c r="K1171" s="36"/>
      <c r="L1171" s="79"/>
      <c r="M1171" s="79"/>
      <c r="N1171" s="74"/>
      <c r="O1171" s="81" t="s">
        <v>1533</v>
      </c>
      <c r="P1171" s="83">
        <v>44464.281018518515</v>
      </c>
      <c r="Q1171" s="81" t="s">
        <v>1908</v>
      </c>
      <c r="R1171" s="81"/>
      <c r="S1171" s="81"/>
      <c r="T1171" s="86" t="s">
        <v>1413</v>
      </c>
      <c r="U1171" s="84" t="str">
        <f>HYPERLINK("https://pbs.twimg.com/media/FAEa_mFUYAcoKUu.jpg")</f>
        <v>https://pbs.twimg.com/media/FAEa_mFUYAcoKUu.jpg</v>
      </c>
      <c r="V1171" s="84" t="str">
        <f>HYPERLINK("https://pbs.twimg.com/media/FAEa_mFUYAcoKUu.jpg")</f>
        <v>https://pbs.twimg.com/media/FAEa_mFUYAcoKUu.jpg</v>
      </c>
      <c r="W1171" s="83">
        <v>44464.281018518515</v>
      </c>
      <c r="X1171" s="89">
        <v>44464</v>
      </c>
      <c r="Y1171" s="86" t="s">
        <v>3547</v>
      </c>
      <c r="Z1171" s="84" t="str">
        <f>HYPERLINK("https://twitter.com/dinaacooky/status/1441654871183147012")</f>
        <v>https://twitter.com/dinaacooky/status/1441654871183147012</v>
      </c>
      <c r="AA1171" s="81"/>
      <c r="AB1171" s="81"/>
      <c r="AC1171" s="86" t="s">
        <v>5012</v>
      </c>
      <c r="AD1171" s="81"/>
      <c r="AE1171" s="81" t="b">
        <v>0</v>
      </c>
      <c r="AF1171" s="81">
        <v>0</v>
      </c>
      <c r="AG1171" s="86" t="s">
        <v>6240</v>
      </c>
      <c r="AH1171" s="81" t="b">
        <v>0</v>
      </c>
      <c r="AI1171" s="81" t="s">
        <v>6479</v>
      </c>
      <c r="AJ1171" s="81"/>
      <c r="AK1171" s="86" t="s">
        <v>6240</v>
      </c>
      <c r="AL1171" s="81" t="b">
        <v>0</v>
      </c>
      <c r="AM1171" s="81">
        <v>23</v>
      </c>
      <c r="AN1171" s="86" t="s">
        <v>5111</v>
      </c>
      <c r="AO1171" s="86" t="s">
        <v>6505</v>
      </c>
      <c r="AP1171" s="81" t="b">
        <v>0</v>
      </c>
      <c r="AQ1171" s="86" t="s">
        <v>5111</v>
      </c>
      <c r="AR1171" s="81" t="s">
        <v>179</v>
      </c>
      <c r="AS1171" s="81">
        <v>0</v>
      </c>
      <c r="AT1171" s="81">
        <v>0</v>
      </c>
      <c r="AU1171" s="81"/>
      <c r="AV1171" s="81"/>
      <c r="AW1171" s="81"/>
      <c r="AX1171" s="81"/>
      <c r="AY1171" s="81"/>
      <c r="AZ1171" s="81"/>
      <c r="BA1171" s="81"/>
      <c r="BB1171" s="81"/>
    </row>
    <row r="1172" spans="1:54" x14ac:dyDescent="0.35">
      <c r="A1172" s="66" t="s">
        <v>905</v>
      </c>
      <c r="B1172" s="66" t="s">
        <v>1412</v>
      </c>
      <c r="C1172" s="67"/>
      <c r="D1172" s="68"/>
      <c r="E1172" s="69"/>
      <c r="F1172" s="70"/>
      <c r="G1172" s="67"/>
      <c r="H1172" s="71"/>
      <c r="I1172" s="72"/>
      <c r="J1172" s="72"/>
      <c r="K1172" s="36"/>
      <c r="L1172" s="79"/>
      <c r="M1172" s="79"/>
      <c r="N1172" s="74"/>
      <c r="O1172" s="81" t="s">
        <v>1533</v>
      </c>
      <c r="P1172" s="83">
        <v>44464.281018518515</v>
      </c>
      <c r="Q1172" s="81" t="s">
        <v>1908</v>
      </c>
      <c r="R1172" s="81"/>
      <c r="S1172" s="81"/>
      <c r="T1172" s="86" t="s">
        <v>1413</v>
      </c>
      <c r="U1172" s="84" t="str">
        <f>HYPERLINK("https://pbs.twimg.com/media/FAEa_mFUYAcoKUu.jpg")</f>
        <v>https://pbs.twimg.com/media/FAEa_mFUYAcoKUu.jpg</v>
      </c>
      <c r="V1172" s="84" t="str">
        <f>HYPERLINK("https://pbs.twimg.com/media/FAEa_mFUYAcoKUu.jpg")</f>
        <v>https://pbs.twimg.com/media/FAEa_mFUYAcoKUu.jpg</v>
      </c>
      <c r="W1172" s="83">
        <v>44464.281018518515</v>
      </c>
      <c r="X1172" s="89">
        <v>44464</v>
      </c>
      <c r="Y1172" s="86" t="s">
        <v>3547</v>
      </c>
      <c r="Z1172" s="84" t="str">
        <f>HYPERLINK("https://twitter.com/dinaacooky/status/1441654871183147012")</f>
        <v>https://twitter.com/dinaacooky/status/1441654871183147012</v>
      </c>
      <c r="AA1172" s="81"/>
      <c r="AB1172" s="81"/>
      <c r="AC1172" s="86" t="s">
        <v>5012</v>
      </c>
      <c r="AD1172" s="81"/>
      <c r="AE1172" s="81" t="b">
        <v>0</v>
      </c>
      <c r="AF1172" s="81">
        <v>0</v>
      </c>
      <c r="AG1172" s="86" t="s">
        <v>6240</v>
      </c>
      <c r="AH1172" s="81" t="b">
        <v>0</v>
      </c>
      <c r="AI1172" s="81" t="s">
        <v>6479</v>
      </c>
      <c r="AJ1172" s="81"/>
      <c r="AK1172" s="86" t="s">
        <v>6240</v>
      </c>
      <c r="AL1172" s="81" t="b">
        <v>0</v>
      </c>
      <c r="AM1172" s="81">
        <v>23</v>
      </c>
      <c r="AN1172" s="86" t="s">
        <v>5111</v>
      </c>
      <c r="AO1172" s="86" t="s">
        <v>6505</v>
      </c>
      <c r="AP1172" s="81" t="b">
        <v>0</v>
      </c>
      <c r="AQ1172" s="86" t="s">
        <v>5111</v>
      </c>
      <c r="AR1172" s="81" t="s">
        <v>179</v>
      </c>
      <c r="AS1172" s="81">
        <v>0</v>
      </c>
      <c r="AT1172" s="81">
        <v>0</v>
      </c>
      <c r="AU1172" s="81"/>
      <c r="AV1172" s="81"/>
      <c r="AW1172" s="81"/>
      <c r="AX1172" s="81"/>
      <c r="AY1172" s="81"/>
      <c r="AZ1172" s="81"/>
      <c r="BA1172" s="81"/>
      <c r="BB1172" s="81"/>
    </row>
    <row r="1173" spans="1:54" x14ac:dyDescent="0.35">
      <c r="A1173" s="66" t="s">
        <v>905</v>
      </c>
      <c r="B1173" s="66" t="s">
        <v>1413</v>
      </c>
      <c r="C1173" s="67"/>
      <c r="D1173" s="68"/>
      <c r="E1173" s="69"/>
      <c r="F1173" s="70"/>
      <c r="G1173" s="67"/>
      <c r="H1173" s="71"/>
      <c r="I1173" s="72"/>
      <c r="J1173" s="72"/>
      <c r="K1173" s="36"/>
      <c r="L1173" s="79"/>
      <c r="M1173" s="79"/>
      <c r="N1173" s="74"/>
      <c r="O1173" s="81" t="s">
        <v>1533</v>
      </c>
      <c r="P1173" s="83">
        <v>44464.281018518515</v>
      </c>
      <c r="Q1173" s="81" t="s">
        <v>1908</v>
      </c>
      <c r="R1173" s="81"/>
      <c r="S1173" s="81"/>
      <c r="T1173" s="86" t="s">
        <v>1413</v>
      </c>
      <c r="U1173" s="84" t="str">
        <f>HYPERLINK("https://pbs.twimg.com/media/FAEa_mFUYAcoKUu.jpg")</f>
        <v>https://pbs.twimg.com/media/FAEa_mFUYAcoKUu.jpg</v>
      </c>
      <c r="V1173" s="84" t="str">
        <f>HYPERLINK("https://pbs.twimg.com/media/FAEa_mFUYAcoKUu.jpg")</f>
        <v>https://pbs.twimg.com/media/FAEa_mFUYAcoKUu.jpg</v>
      </c>
      <c r="W1173" s="83">
        <v>44464.281018518515</v>
      </c>
      <c r="X1173" s="89">
        <v>44464</v>
      </c>
      <c r="Y1173" s="86" t="s">
        <v>3547</v>
      </c>
      <c r="Z1173" s="84" t="str">
        <f>HYPERLINK("https://twitter.com/dinaacooky/status/1441654871183147012")</f>
        <v>https://twitter.com/dinaacooky/status/1441654871183147012</v>
      </c>
      <c r="AA1173" s="81"/>
      <c r="AB1173" s="81"/>
      <c r="AC1173" s="86" t="s">
        <v>5012</v>
      </c>
      <c r="AD1173" s="81"/>
      <c r="AE1173" s="81" t="b">
        <v>0</v>
      </c>
      <c r="AF1173" s="81">
        <v>0</v>
      </c>
      <c r="AG1173" s="86" t="s">
        <v>6240</v>
      </c>
      <c r="AH1173" s="81" t="b">
        <v>0</v>
      </c>
      <c r="AI1173" s="81" t="s">
        <v>6479</v>
      </c>
      <c r="AJ1173" s="81"/>
      <c r="AK1173" s="86" t="s">
        <v>6240</v>
      </c>
      <c r="AL1173" s="81" t="b">
        <v>0</v>
      </c>
      <c r="AM1173" s="81">
        <v>23</v>
      </c>
      <c r="AN1173" s="86" t="s">
        <v>5111</v>
      </c>
      <c r="AO1173" s="86" t="s">
        <v>6505</v>
      </c>
      <c r="AP1173" s="81" t="b">
        <v>0</v>
      </c>
      <c r="AQ1173" s="86" t="s">
        <v>5111</v>
      </c>
      <c r="AR1173" s="81" t="s">
        <v>179</v>
      </c>
      <c r="AS1173" s="81">
        <v>0</v>
      </c>
      <c r="AT1173" s="81">
        <v>0</v>
      </c>
      <c r="AU1173" s="81"/>
      <c r="AV1173" s="81"/>
      <c r="AW1173" s="81"/>
      <c r="AX1173" s="81"/>
      <c r="AY1173" s="81"/>
      <c r="AZ1173" s="81"/>
      <c r="BA1173" s="81"/>
      <c r="BB1173" s="81"/>
    </row>
    <row r="1174" spans="1:54" x14ac:dyDescent="0.35">
      <c r="A1174" s="66" t="s">
        <v>905</v>
      </c>
      <c r="B1174" s="66" t="s">
        <v>990</v>
      </c>
      <c r="C1174" s="67"/>
      <c r="D1174" s="68"/>
      <c r="E1174" s="69"/>
      <c r="F1174" s="70"/>
      <c r="G1174" s="67"/>
      <c r="H1174" s="71"/>
      <c r="I1174" s="72"/>
      <c r="J1174" s="72"/>
      <c r="K1174" s="36"/>
      <c r="L1174" s="79"/>
      <c r="M1174" s="79"/>
      <c r="N1174" s="74"/>
      <c r="O1174" s="81" t="s">
        <v>1532</v>
      </c>
      <c r="P1174" s="83">
        <v>44464.281018518515</v>
      </c>
      <c r="Q1174" s="81" t="s">
        <v>1908</v>
      </c>
      <c r="R1174" s="81"/>
      <c r="S1174" s="81"/>
      <c r="T1174" s="86" t="s">
        <v>1413</v>
      </c>
      <c r="U1174" s="84" t="str">
        <f>HYPERLINK("https://pbs.twimg.com/media/FAEa_mFUYAcoKUu.jpg")</f>
        <v>https://pbs.twimg.com/media/FAEa_mFUYAcoKUu.jpg</v>
      </c>
      <c r="V1174" s="84" t="str">
        <f>HYPERLINK("https://pbs.twimg.com/media/FAEa_mFUYAcoKUu.jpg")</f>
        <v>https://pbs.twimg.com/media/FAEa_mFUYAcoKUu.jpg</v>
      </c>
      <c r="W1174" s="83">
        <v>44464.281018518515</v>
      </c>
      <c r="X1174" s="89">
        <v>44464</v>
      </c>
      <c r="Y1174" s="86" t="s">
        <v>3547</v>
      </c>
      <c r="Z1174" s="84" t="str">
        <f>HYPERLINK("https://twitter.com/dinaacooky/status/1441654871183147012")</f>
        <v>https://twitter.com/dinaacooky/status/1441654871183147012</v>
      </c>
      <c r="AA1174" s="81"/>
      <c r="AB1174" s="81"/>
      <c r="AC1174" s="86" t="s">
        <v>5012</v>
      </c>
      <c r="AD1174" s="81"/>
      <c r="AE1174" s="81" t="b">
        <v>0</v>
      </c>
      <c r="AF1174" s="81">
        <v>0</v>
      </c>
      <c r="AG1174" s="86" t="s">
        <v>6240</v>
      </c>
      <c r="AH1174" s="81" t="b">
        <v>0</v>
      </c>
      <c r="AI1174" s="81" t="s">
        <v>6479</v>
      </c>
      <c r="AJ1174" s="81"/>
      <c r="AK1174" s="86" t="s">
        <v>6240</v>
      </c>
      <c r="AL1174" s="81" t="b">
        <v>0</v>
      </c>
      <c r="AM1174" s="81">
        <v>23</v>
      </c>
      <c r="AN1174" s="86" t="s">
        <v>5111</v>
      </c>
      <c r="AO1174" s="86" t="s">
        <v>6505</v>
      </c>
      <c r="AP1174" s="81" t="b">
        <v>0</v>
      </c>
      <c r="AQ1174" s="86" t="s">
        <v>5111</v>
      </c>
      <c r="AR1174" s="81" t="s">
        <v>179</v>
      </c>
      <c r="AS1174" s="81">
        <v>0</v>
      </c>
      <c r="AT1174" s="81">
        <v>0</v>
      </c>
      <c r="AU1174" s="81"/>
      <c r="AV1174" s="81"/>
      <c r="AW1174" s="81"/>
      <c r="AX1174" s="81"/>
      <c r="AY1174" s="81"/>
      <c r="AZ1174" s="81"/>
      <c r="BA1174" s="81"/>
      <c r="BB1174" s="81"/>
    </row>
    <row r="1175" spans="1:54" x14ac:dyDescent="0.35">
      <c r="A1175" s="66" t="s">
        <v>906</v>
      </c>
      <c r="B1175" s="66" t="s">
        <v>1410</v>
      </c>
      <c r="C1175" s="67"/>
      <c r="D1175" s="68"/>
      <c r="E1175" s="69"/>
      <c r="F1175" s="70"/>
      <c r="G1175" s="67"/>
      <c r="H1175" s="71"/>
      <c r="I1175" s="72"/>
      <c r="J1175" s="72"/>
      <c r="K1175" s="36"/>
      <c r="L1175" s="79"/>
      <c r="M1175" s="79"/>
      <c r="N1175" s="74"/>
      <c r="O1175" s="81" t="s">
        <v>1533</v>
      </c>
      <c r="P1175" s="83">
        <v>44464.284317129626</v>
      </c>
      <c r="Q1175" s="81" t="s">
        <v>1908</v>
      </c>
      <c r="R1175" s="81"/>
      <c r="S1175" s="81"/>
      <c r="T1175" s="86" t="s">
        <v>1413</v>
      </c>
      <c r="U1175" s="84" t="str">
        <f>HYPERLINK("https://pbs.twimg.com/media/FAEa_mFUYAcoKUu.jpg")</f>
        <v>https://pbs.twimg.com/media/FAEa_mFUYAcoKUu.jpg</v>
      </c>
      <c r="V1175" s="84" t="str">
        <f>HYPERLINK("https://pbs.twimg.com/media/FAEa_mFUYAcoKUu.jpg")</f>
        <v>https://pbs.twimg.com/media/FAEa_mFUYAcoKUu.jpg</v>
      </c>
      <c r="W1175" s="83">
        <v>44464.284317129626</v>
      </c>
      <c r="X1175" s="89">
        <v>44464</v>
      </c>
      <c r="Y1175" s="86" t="s">
        <v>3548</v>
      </c>
      <c r="Z1175" s="84" t="str">
        <f>HYPERLINK("https://twitter.com/piwpiwjoon/status/1441656068090646535")</f>
        <v>https://twitter.com/piwpiwjoon/status/1441656068090646535</v>
      </c>
      <c r="AA1175" s="81"/>
      <c r="AB1175" s="81"/>
      <c r="AC1175" s="86" t="s">
        <v>5013</v>
      </c>
      <c r="AD1175" s="81"/>
      <c r="AE1175" s="81" t="b">
        <v>0</v>
      </c>
      <c r="AF1175" s="81">
        <v>0</v>
      </c>
      <c r="AG1175" s="86" t="s">
        <v>6240</v>
      </c>
      <c r="AH1175" s="81" t="b">
        <v>0</v>
      </c>
      <c r="AI1175" s="81" t="s">
        <v>6479</v>
      </c>
      <c r="AJ1175" s="81"/>
      <c r="AK1175" s="86" t="s">
        <v>6240</v>
      </c>
      <c r="AL1175" s="81" t="b">
        <v>0</v>
      </c>
      <c r="AM1175" s="81">
        <v>23</v>
      </c>
      <c r="AN1175" s="86" t="s">
        <v>5111</v>
      </c>
      <c r="AO1175" s="86" t="s">
        <v>6503</v>
      </c>
      <c r="AP1175" s="81" t="b">
        <v>0</v>
      </c>
      <c r="AQ1175" s="86" t="s">
        <v>5111</v>
      </c>
      <c r="AR1175" s="81" t="s">
        <v>179</v>
      </c>
      <c r="AS1175" s="81">
        <v>0</v>
      </c>
      <c r="AT1175" s="81">
        <v>0</v>
      </c>
      <c r="AU1175" s="81"/>
      <c r="AV1175" s="81"/>
      <c r="AW1175" s="81"/>
      <c r="AX1175" s="81"/>
      <c r="AY1175" s="81"/>
      <c r="AZ1175" s="81"/>
      <c r="BA1175" s="81"/>
      <c r="BB1175" s="81"/>
    </row>
    <row r="1176" spans="1:54" x14ac:dyDescent="0.35">
      <c r="A1176" s="66" t="s">
        <v>906</v>
      </c>
      <c r="B1176" s="66" t="s">
        <v>1411</v>
      </c>
      <c r="C1176" s="67"/>
      <c r="D1176" s="68"/>
      <c r="E1176" s="69"/>
      <c r="F1176" s="70"/>
      <c r="G1176" s="67"/>
      <c r="H1176" s="71"/>
      <c r="I1176" s="72"/>
      <c r="J1176" s="72"/>
      <c r="K1176" s="36"/>
      <c r="L1176" s="79"/>
      <c r="M1176" s="79"/>
      <c r="N1176" s="74"/>
      <c r="O1176" s="81" t="s">
        <v>1533</v>
      </c>
      <c r="P1176" s="83">
        <v>44464.284317129626</v>
      </c>
      <c r="Q1176" s="81" t="s">
        <v>1908</v>
      </c>
      <c r="R1176" s="81"/>
      <c r="S1176" s="81"/>
      <c r="T1176" s="86" t="s">
        <v>1413</v>
      </c>
      <c r="U1176" s="84" t="str">
        <f>HYPERLINK("https://pbs.twimg.com/media/FAEa_mFUYAcoKUu.jpg")</f>
        <v>https://pbs.twimg.com/media/FAEa_mFUYAcoKUu.jpg</v>
      </c>
      <c r="V1176" s="84" t="str">
        <f>HYPERLINK("https://pbs.twimg.com/media/FAEa_mFUYAcoKUu.jpg")</f>
        <v>https://pbs.twimg.com/media/FAEa_mFUYAcoKUu.jpg</v>
      </c>
      <c r="W1176" s="83">
        <v>44464.284317129626</v>
      </c>
      <c r="X1176" s="89">
        <v>44464</v>
      </c>
      <c r="Y1176" s="86" t="s">
        <v>3548</v>
      </c>
      <c r="Z1176" s="84" t="str">
        <f>HYPERLINK("https://twitter.com/piwpiwjoon/status/1441656068090646535")</f>
        <v>https://twitter.com/piwpiwjoon/status/1441656068090646535</v>
      </c>
      <c r="AA1176" s="81"/>
      <c r="AB1176" s="81"/>
      <c r="AC1176" s="86" t="s">
        <v>5013</v>
      </c>
      <c r="AD1176" s="81"/>
      <c r="AE1176" s="81" t="b">
        <v>0</v>
      </c>
      <c r="AF1176" s="81">
        <v>0</v>
      </c>
      <c r="AG1176" s="86" t="s">
        <v>6240</v>
      </c>
      <c r="AH1176" s="81" t="b">
        <v>0</v>
      </c>
      <c r="AI1176" s="81" t="s">
        <v>6479</v>
      </c>
      <c r="AJ1176" s="81"/>
      <c r="AK1176" s="86" t="s">
        <v>6240</v>
      </c>
      <c r="AL1176" s="81" t="b">
        <v>0</v>
      </c>
      <c r="AM1176" s="81">
        <v>23</v>
      </c>
      <c r="AN1176" s="86" t="s">
        <v>5111</v>
      </c>
      <c r="AO1176" s="86" t="s">
        <v>6503</v>
      </c>
      <c r="AP1176" s="81" t="b">
        <v>0</v>
      </c>
      <c r="AQ1176" s="86" t="s">
        <v>5111</v>
      </c>
      <c r="AR1176" s="81" t="s">
        <v>179</v>
      </c>
      <c r="AS1176" s="81">
        <v>0</v>
      </c>
      <c r="AT1176" s="81">
        <v>0</v>
      </c>
      <c r="AU1176" s="81"/>
      <c r="AV1176" s="81"/>
      <c r="AW1176" s="81"/>
      <c r="AX1176" s="81"/>
      <c r="AY1176" s="81"/>
      <c r="AZ1176" s="81"/>
      <c r="BA1176" s="81"/>
      <c r="BB1176" s="81"/>
    </row>
    <row r="1177" spans="1:54" x14ac:dyDescent="0.35">
      <c r="A1177" s="66" t="s">
        <v>906</v>
      </c>
      <c r="B1177" s="66" t="s">
        <v>1412</v>
      </c>
      <c r="C1177" s="67"/>
      <c r="D1177" s="68"/>
      <c r="E1177" s="69"/>
      <c r="F1177" s="70"/>
      <c r="G1177" s="67"/>
      <c r="H1177" s="71"/>
      <c r="I1177" s="72"/>
      <c r="J1177" s="72"/>
      <c r="K1177" s="36"/>
      <c r="L1177" s="79"/>
      <c r="M1177" s="79"/>
      <c r="N1177" s="74"/>
      <c r="O1177" s="81" t="s">
        <v>1533</v>
      </c>
      <c r="P1177" s="83">
        <v>44464.284317129626</v>
      </c>
      <c r="Q1177" s="81" t="s">
        <v>1908</v>
      </c>
      <c r="R1177" s="81"/>
      <c r="S1177" s="81"/>
      <c r="T1177" s="86" t="s">
        <v>1413</v>
      </c>
      <c r="U1177" s="84" t="str">
        <f>HYPERLINK("https://pbs.twimg.com/media/FAEa_mFUYAcoKUu.jpg")</f>
        <v>https://pbs.twimg.com/media/FAEa_mFUYAcoKUu.jpg</v>
      </c>
      <c r="V1177" s="84" t="str">
        <f>HYPERLINK("https://pbs.twimg.com/media/FAEa_mFUYAcoKUu.jpg")</f>
        <v>https://pbs.twimg.com/media/FAEa_mFUYAcoKUu.jpg</v>
      </c>
      <c r="W1177" s="83">
        <v>44464.284317129626</v>
      </c>
      <c r="X1177" s="89">
        <v>44464</v>
      </c>
      <c r="Y1177" s="86" t="s">
        <v>3548</v>
      </c>
      <c r="Z1177" s="84" t="str">
        <f>HYPERLINK("https://twitter.com/piwpiwjoon/status/1441656068090646535")</f>
        <v>https://twitter.com/piwpiwjoon/status/1441656068090646535</v>
      </c>
      <c r="AA1177" s="81"/>
      <c r="AB1177" s="81"/>
      <c r="AC1177" s="86" t="s">
        <v>5013</v>
      </c>
      <c r="AD1177" s="81"/>
      <c r="AE1177" s="81" t="b">
        <v>0</v>
      </c>
      <c r="AF1177" s="81">
        <v>0</v>
      </c>
      <c r="AG1177" s="86" t="s">
        <v>6240</v>
      </c>
      <c r="AH1177" s="81" t="b">
        <v>0</v>
      </c>
      <c r="AI1177" s="81" t="s">
        <v>6479</v>
      </c>
      <c r="AJ1177" s="81"/>
      <c r="AK1177" s="86" t="s">
        <v>6240</v>
      </c>
      <c r="AL1177" s="81" t="b">
        <v>0</v>
      </c>
      <c r="AM1177" s="81">
        <v>23</v>
      </c>
      <c r="AN1177" s="86" t="s">
        <v>5111</v>
      </c>
      <c r="AO1177" s="86" t="s">
        <v>6503</v>
      </c>
      <c r="AP1177" s="81" t="b">
        <v>0</v>
      </c>
      <c r="AQ1177" s="86" t="s">
        <v>5111</v>
      </c>
      <c r="AR1177" s="81" t="s">
        <v>179</v>
      </c>
      <c r="AS1177" s="81">
        <v>0</v>
      </c>
      <c r="AT1177" s="81">
        <v>0</v>
      </c>
      <c r="AU1177" s="81"/>
      <c r="AV1177" s="81"/>
      <c r="AW1177" s="81"/>
      <c r="AX1177" s="81"/>
      <c r="AY1177" s="81"/>
      <c r="AZ1177" s="81"/>
      <c r="BA1177" s="81"/>
      <c r="BB1177" s="81"/>
    </row>
    <row r="1178" spans="1:54" x14ac:dyDescent="0.35">
      <c r="A1178" s="66" t="s">
        <v>906</v>
      </c>
      <c r="B1178" s="66" t="s">
        <v>1413</v>
      </c>
      <c r="C1178" s="67"/>
      <c r="D1178" s="68"/>
      <c r="E1178" s="69"/>
      <c r="F1178" s="70"/>
      <c r="G1178" s="67"/>
      <c r="H1178" s="71"/>
      <c r="I1178" s="72"/>
      <c r="J1178" s="72"/>
      <c r="K1178" s="36"/>
      <c r="L1178" s="79"/>
      <c r="M1178" s="79"/>
      <c r="N1178" s="74"/>
      <c r="O1178" s="81" t="s">
        <v>1533</v>
      </c>
      <c r="P1178" s="83">
        <v>44464.284317129626</v>
      </c>
      <c r="Q1178" s="81" t="s">
        <v>1908</v>
      </c>
      <c r="R1178" s="81"/>
      <c r="S1178" s="81"/>
      <c r="T1178" s="86" t="s">
        <v>1413</v>
      </c>
      <c r="U1178" s="84" t="str">
        <f>HYPERLINK("https://pbs.twimg.com/media/FAEa_mFUYAcoKUu.jpg")</f>
        <v>https://pbs.twimg.com/media/FAEa_mFUYAcoKUu.jpg</v>
      </c>
      <c r="V1178" s="84" t="str">
        <f>HYPERLINK("https://pbs.twimg.com/media/FAEa_mFUYAcoKUu.jpg")</f>
        <v>https://pbs.twimg.com/media/FAEa_mFUYAcoKUu.jpg</v>
      </c>
      <c r="W1178" s="83">
        <v>44464.284317129626</v>
      </c>
      <c r="X1178" s="89">
        <v>44464</v>
      </c>
      <c r="Y1178" s="86" t="s">
        <v>3548</v>
      </c>
      <c r="Z1178" s="84" t="str">
        <f>HYPERLINK("https://twitter.com/piwpiwjoon/status/1441656068090646535")</f>
        <v>https://twitter.com/piwpiwjoon/status/1441656068090646535</v>
      </c>
      <c r="AA1178" s="81"/>
      <c r="AB1178" s="81"/>
      <c r="AC1178" s="86" t="s">
        <v>5013</v>
      </c>
      <c r="AD1178" s="81"/>
      <c r="AE1178" s="81" t="b">
        <v>0</v>
      </c>
      <c r="AF1178" s="81">
        <v>0</v>
      </c>
      <c r="AG1178" s="86" t="s">
        <v>6240</v>
      </c>
      <c r="AH1178" s="81" t="b">
        <v>0</v>
      </c>
      <c r="AI1178" s="81" t="s">
        <v>6479</v>
      </c>
      <c r="AJ1178" s="81"/>
      <c r="AK1178" s="86" t="s">
        <v>6240</v>
      </c>
      <c r="AL1178" s="81" t="b">
        <v>0</v>
      </c>
      <c r="AM1178" s="81">
        <v>23</v>
      </c>
      <c r="AN1178" s="86" t="s">
        <v>5111</v>
      </c>
      <c r="AO1178" s="86" t="s">
        <v>6503</v>
      </c>
      <c r="AP1178" s="81" t="b">
        <v>0</v>
      </c>
      <c r="AQ1178" s="86" t="s">
        <v>5111</v>
      </c>
      <c r="AR1178" s="81" t="s">
        <v>179</v>
      </c>
      <c r="AS1178" s="81">
        <v>0</v>
      </c>
      <c r="AT1178" s="81">
        <v>0</v>
      </c>
      <c r="AU1178" s="81"/>
      <c r="AV1178" s="81"/>
      <c r="AW1178" s="81"/>
      <c r="AX1178" s="81"/>
      <c r="AY1178" s="81"/>
      <c r="AZ1178" s="81"/>
      <c r="BA1178" s="81"/>
      <c r="BB1178" s="81"/>
    </row>
    <row r="1179" spans="1:54" x14ac:dyDescent="0.35">
      <c r="A1179" s="66" t="s">
        <v>906</v>
      </c>
      <c r="B1179" s="66" t="s">
        <v>990</v>
      </c>
      <c r="C1179" s="67"/>
      <c r="D1179" s="68"/>
      <c r="E1179" s="69"/>
      <c r="F1179" s="70"/>
      <c r="G1179" s="67"/>
      <c r="H1179" s="71"/>
      <c r="I1179" s="72"/>
      <c r="J1179" s="72"/>
      <c r="K1179" s="36"/>
      <c r="L1179" s="79"/>
      <c r="M1179" s="79"/>
      <c r="N1179" s="74"/>
      <c r="O1179" s="81" t="s">
        <v>1532</v>
      </c>
      <c r="P1179" s="83">
        <v>44464.284317129626</v>
      </c>
      <c r="Q1179" s="81" t="s">
        <v>1908</v>
      </c>
      <c r="R1179" s="81"/>
      <c r="S1179" s="81"/>
      <c r="T1179" s="86" t="s">
        <v>1413</v>
      </c>
      <c r="U1179" s="84" t="str">
        <f>HYPERLINK("https://pbs.twimg.com/media/FAEa_mFUYAcoKUu.jpg")</f>
        <v>https://pbs.twimg.com/media/FAEa_mFUYAcoKUu.jpg</v>
      </c>
      <c r="V1179" s="84" t="str">
        <f>HYPERLINK("https://pbs.twimg.com/media/FAEa_mFUYAcoKUu.jpg")</f>
        <v>https://pbs.twimg.com/media/FAEa_mFUYAcoKUu.jpg</v>
      </c>
      <c r="W1179" s="83">
        <v>44464.284317129626</v>
      </c>
      <c r="X1179" s="89">
        <v>44464</v>
      </c>
      <c r="Y1179" s="86" t="s">
        <v>3548</v>
      </c>
      <c r="Z1179" s="84" t="str">
        <f>HYPERLINK("https://twitter.com/piwpiwjoon/status/1441656068090646535")</f>
        <v>https://twitter.com/piwpiwjoon/status/1441656068090646535</v>
      </c>
      <c r="AA1179" s="81"/>
      <c r="AB1179" s="81"/>
      <c r="AC1179" s="86" t="s">
        <v>5013</v>
      </c>
      <c r="AD1179" s="81"/>
      <c r="AE1179" s="81" t="b">
        <v>0</v>
      </c>
      <c r="AF1179" s="81">
        <v>0</v>
      </c>
      <c r="AG1179" s="86" t="s">
        <v>6240</v>
      </c>
      <c r="AH1179" s="81" t="b">
        <v>0</v>
      </c>
      <c r="AI1179" s="81" t="s">
        <v>6479</v>
      </c>
      <c r="AJ1179" s="81"/>
      <c r="AK1179" s="86" t="s">
        <v>6240</v>
      </c>
      <c r="AL1179" s="81" t="b">
        <v>0</v>
      </c>
      <c r="AM1179" s="81">
        <v>23</v>
      </c>
      <c r="AN1179" s="86" t="s">
        <v>5111</v>
      </c>
      <c r="AO1179" s="86" t="s">
        <v>6503</v>
      </c>
      <c r="AP1179" s="81" t="b">
        <v>0</v>
      </c>
      <c r="AQ1179" s="86" t="s">
        <v>5111</v>
      </c>
      <c r="AR1179" s="81" t="s">
        <v>179</v>
      </c>
      <c r="AS1179" s="81">
        <v>0</v>
      </c>
      <c r="AT1179" s="81">
        <v>0</v>
      </c>
      <c r="AU1179" s="81"/>
      <c r="AV1179" s="81"/>
      <c r="AW1179" s="81"/>
      <c r="AX1179" s="81"/>
      <c r="AY1179" s="81"/>
      <c r="AZ1179" s="81"/>
      <c r="BA1179" s="81"/>
      <c r="BB1179" s="81"/>
    </row>
    <row r="1180" spans="1:54" x14ac:dyDescent="0.35">
      <c r="A1180" s="66" t="s">
        <v>907</v>
      </c>
      <c r="B1180" s="66" t="s">
        <v>907</v>
      </c>
      <c r="C1180" s="67"/>
      <c r="D1180" s="68"/>
      <c r="E1180" s="69"/>
      <c r="F1180" s="70"/>
      <c r="G1180" s="67"/>
      <c r="H1180" s="71"/>
      <c r="I1180" s="72"/>
      <c r="J1180" s="72"/>
      <c r="K1180" s="36"/>
      <c r="L1180" s="79"/>
      <c r="M1180" s="79"/>
      <c r="N1180" s="74"/>
      <c r="O1180" s="81" t="s">
        <v>179</v>
      </c>
      <c r="P1180" s="83">
        <v>44463.512071759258</v>
      </c>
      <c r="Q1180" s="81" t="s">
        <v>1893</v>
      </c>
      <c r="R1180" s="81"/>
      <c r="S1180" s="81"/>
      <c r="T1180" s="86" t="s">
        <v>2667</v>
      </c>
      <c r="U1180" s="84" t="str">
        <f>HYPERLINK("https://pbs.twimg.com/media/FADMBqAUUAAn8ca.jpg")</f>
        <v>https://pbs.twimg.com/media/FADMBqAUUAAn8ca.jpg</v>
      </c>
      <c r="V1180" s="84" t="str">
        <f>HYPERLINK("https://pbs.twimg.com/media/FADMBqAUUAAn8ca.jpg")</f>
        <v>https://pbs.twimg.com/media/FADMBqAUUAAn8ca.jpg</v>
      </c>
      <c r="W1180" s="83">
        <v>44463.512071759258</v>
      </c>
      <c r="X1180" s="89">
        <v>44463</v>
      </c>
      <c r="Y1180" s="86" t="s">
        <v>3549</v>
      </c>
      <c r="Z1180" s="84" t="str">
        <f>HYPERLINK("https://twitter.com/seungvocado22/status/1441376213688205315")</f>
        <v>https://twitter.com/seungvocado22/status/1441376213688205315</v>
      </c>
      <c r="AA1180" s="81"/>
      <c r="AB1180" s="81"/>
      <c r="AC1180" s="86" t="s">
        <v>5014</v>
      </c>
      <c r="AD1180" s="81"/>
      <c r="AE1180" s="81" t="b">
        <v>0</v>
      </c>
      <c r="AF1180" s="81">
        <v>8</v>
      </c>
      <c r="AG1180" s="86" t="s">
        <v>6240</v>
      </c>
      <c r="AH1180" s="81" t="b">
        <v>0</v>
      </c>
      <c r="AI1180" s="81" t="s">
        <v>6479</v>
      </c>
      <c r="AJ1180" s="81"/>
      <c r="AK1180" s="86" t="s">
        <v>6240</v>
      </c>
      <c r="AL1180" s="81" t="b">
        <v>0</v>
      </c>
      <c r="AM1180" s="81">
        <v>9</v>
      </c>
      <c r="AN1180" s="86" t="s">
        <v>6240</v>
      </c>
      <c r="AO1180" s="86" t="s">
        <v>6503</v>
      </c>
      <c r="AP1180" s="81" t="b">
        <v>0</v>
      </c>
      <c r="AQ1180" s="86" t="s">
        <v>5014</v>
      </c>
      <c r="AR1180" s="81" t="s">
        <v>179</v>
      </c>
      <c r="AS1180" s="81">
        <v>0</v>
      </c>
      <c r="AT1180" s="81">
        <v>0</v>
      </c>
      <c r="AU1180" s="81"/>
      <c r="AV1180" s="81"/>
      <c r="AW1180" s="81"/>
      <c r="AX1180" s="81"/>
      <c r="AY1180" s="81"/>
      <c r="AZ1180" s="81"/>
      <c r="BA1180" s="81"/>
      <c r="BB1180" s="81"/>
    </row>
    <row r="1181" spans="1:54" x14ac:dyDescent="0.35">
      <c r="A1181" s="66" t="s">
        <v>908</v>
      </c>
      <c r="B1181" s="66" t="s">
        <v>907</v>
      </c>
      <c r="C1181" s="67"/>
      <c r="D1181" s="68"/>
      <c r="E1181" s="69"/>
      <c r="F1181" s="70"/>
      <c r="G1181" s="67"/>
      <c r="H1181" s="71"/>
      <c r="I1181" s="72"/>
      <c r="J1181" s="72"/>
      <c r="K1181" s="36"/>
      <c r="L1181" s="79"/>
      <c r="M1181" s="79"/>
      <c r="N1181" s="74"/>
      <c r="O1181" s="81" t="s">
        <v>1532</v>
      </c>
      <c r="P1181" s="83">
        <v>44464.124456018515</v>
      </c>
      <c r="Q1181" s="81" t="s">
        <v>1893</v>
      </c>
      <c r="R1181" s="81"/>
      <c r="S1181" s="81"/>
      <c r="T1181" s="86" t="s">
        <v>2667</v>
      </c>
      <c r="U1181" s="84" t="str">
        <f>HYPERLINK("https://pbs.twimg.com/media/FADMBqAUUAAn8ca.jpg")</f>
        <v>https://pbs.twimg.com/media/FADMBqAUUAAn8ca.jpg</v>
      </c>
      <c r="V1181" s="84" t="str">
        <f>HYPERLINK("https://pbs.twimg.com/media/FADMBqAUUAAn8ca.jpg")</f>
        <v>https://pbs.twimg.com/media/FADMBqAUUAAn8ca.jpg</v>
      </c>
      <c r="W1181" s="83">
        <v>44464.124456018515</v>
      </c>
      <c r="X1181" s="89">
        <v>44464</v>
      </c>
      <c r="Y1181" s="86" t="s">
        <v>3550</v>
      </c>
      <c r="Z1181" s="84" t="str">
        <f>HYPERLINK("https://twitter.com/ffairykoo/status/1441598132769341445")</f>
        <v>https://twitter.com/ffairykoo/status/1441598132769341445</v>
      </c>
      <c r="AA1181" s="81"/>
      <c r="AB1181" s="81"/>
      <c r="AC1181" s="86" t="s">
        <v>5015</v>
      </c>
      <c r="AD1181" s="81"/>
      <c r="AE1181" s="81" t="b">
        <v>0</v>
      </c>
      <c r="AF1181" s="81">
        <v>0</v>
      </c>
      <c r="AG1181" s="86" t="s">
        <v>6240</v>
      </c>
      <c r="AH1181" s="81" t="b">
        <v>0</v>
      </c>
      <c r="AI1181" s="81" t="s">
        <v>6479</v>
      </c>
      <c r="AJ1181" s="81"/>
      <c r="AK1181" s="86" t="s">
        <v>6240</v>
      </c>
      <c r="AL1181" s="81" t="b">
        <v>0</v>
      </c>
      <c r="AM1181" s="81">
        <v>9</v>
      </c>
      <c r="AN1181" s="86" t="s">
        <v>5014</v>
      </c>
      <c r="AO1181" s="86" t="s">
        <v>6503</v>
      </c>
      <c r="AP1181" s="81" t="b">
        <v>0</v>
      </c>
      <c r="AQ1181" s="86" t="s">
        <v>5014</v>
      </c>
      <c r="AR1181" s="81" t="s">
        <v>179</v>
      </c>
      <c r="AS1181" s="81">
        <v>0</v>
      </c>
      <c r="AT1181" s="81">
        <v>0</v>
      </c>
      <c r="AU1181" s="81"/>
      <c r="AV1181" s="81"/>
      <c r="AW1181" s="81"/>
      <c r="AX1181" s="81"/>
      <c r="AY1181" s="81"/>
      <c r="AZ1181" s="81"/>
      <c r="BA1181" s="81"/>
      <c r="BB1181" s="81"/>
    </row>
    <row r="1182" spans="1:54" x14ac:dyDescent="0.35">
      <c r="A1182" s="66" t="s">
        <v>908</v>
      </c>
      <c r="B1182" s="66" t="s">
        <v>1410</v>
      </c>
      <c r="C1182" s="67"/>
      <c r="D1182" s="68"/>
      <c r="E1182" s="69"/>
      <c r="F1182" s="70"/>
      <c r="G1182" s="67"/>
      <c r="H1182" s="71"/>
      <c r="I1182" s="72"/>
      <c r="J1182" s="72"/>
      <c r="K1182" s="36"/>
      <c r="L1182" s="79"/>
      <c r="M1182" s="79"/>
      <c r="N1182" s="74"/>
      <c r="O1182" s="81" t="s">
        <v>1533</v>
      </c>
      <c r="P1182" s="83">
        <v>44464.284409722219</v>
      </c>
      <c r="Q1182" s="81" t="s">
        <v>1908</v>
      </c>
      <c r="R1182" s="81"/>
      <c r="S1182" s="81"/>
      <c r="T1182" s="86" t="s">
        <v>1413</v>
      </c>
      <c r="U1182" s="84" t="str">
        <f>HYPERLINK("https://pbs.twimg.com/media/FAEa_mFUYAcoKUu.jpg")</f>
        <v>https://pbs.twimg.com/media/FAEa_mFUYAcoKUu.jpg</v>
      </c>
      <c r="V1182" s="84" t="str">
        <f>HYPERLINK("https://pbs.twimg.com/media/FAEa_mFUYAcoKUu.jpg")</f>
        <v>https://pbs.twimg.com/media/FAEa_mFUYAcoKUu.jpg</v>
      </c>
      <c r="W1182" s="83">
        <v>44464.284409722219</v>
      </c>
      <c r="X1182" s="89">
        <v>44464</v>
      </c>
      <c r="Y1182" s="86" t="s">
        <v>3551</v>
      </c>
      <c r="Z1182" s="84" t="str">
        <f>HYPERLINK("https://twitter.com/ffairykoo/status/1441656098386182156")</f>
        <v>https://twitter.com/ffairykoo/status/1441656098386182156</v>
      </c>
      <c r="AA1182" s="81"/>
      <c r="AB1182" s="81"/>
      <c r="AC1182" s="86" t="s">
        <v>5016</v>
      </c>
      <c r="AD1182" s="81"/>
      <c r="AE1182" s="81" t="b">
        <v>0</v>
      </c>
      <c r="AF1182" s="81">
        <v>0</v>
      </c>
      <c r="AG1182" s="86" t="s">
        <v>6240</v>
      </c>
      <c r="AH1182" s="81" t="b">
        <v>0</v>
      </c>
      <c r="AI1182" s="81" t="s">
        <v>6479</v>
      </c>
      <c r="AJ1182" s="81"/>
      <c r="AK1182" s="86" t="s">
        <v>6240</v>
      </c>
      <c r="AL1182" s="81" t="b">
        <v>0</v>
      </c>
      <c r="AM1182" s="81">
        <v>23</v>
      </c>
      <c r="AN1182" s="86" t="s">
        <v>5111</v>
      </c>
      <c r="AO1182" s="86" t="s">
        <v>6503</v>
      </c>
      <c r="AP1182" s="81" t="b">
        <v>0</v>
      </c>
      <c r="AQ1182" s="86" t="s">
        <v>5111</v>
      </c>
      <c r="AR1182" s="81" t="s">
        <v>179</v>
      </c>
      <c r="AS1182" s="81">
        <v>0</v>
      </c>
      <c r="AT1182" s="81">
        <v>0</v>
      </c>
      <c r="AU1182" s="81"/>
      <c r="AV1182" s="81"/>
      <c r="AW1182" s="81"/>
      <c r="AX1182" s="81"/>
      <c r="AY1182" s="81"/>
      <c r="AZ1182" s="81"/>
      <c r="BA1182" s="81"/>
      <c r="BB1182" s="81"/>
    </row>
    <row r="1183" spans="1:54" x14ac:dyDescent="0.35">
      <c r="A1183" s="66" t="s">
        <v>908</v>
      </c>
      <c r="B1183" s="66" t="s">
        <v>1411</v>
      </c>
      <c r="C1183" s="67"/>
      <c r="D1183" s="68"/>
      <c r="E1183" s="69"/>
      <c r="F1183" s="70"/>
      <c r="G1183" s="67"/>
      <c r="H1183" s="71"/>
      <c r="I1183" s="72"/>
      <c r="J1183" s="72"/>
      <c r="K1183" s="36"/>
      <c r="L1183" s="79"/>
      <c r="M1183" s="79"/>
      <c r="N1183" s="74"/>
      <c r="O1183" s="81" t="s">
        <v>1533</v>
      </c>
      <c r="P1183" s="83">
        <v>44464.284409722219</v>
      </c>
      <c r="Q1183" s="81" t="s">
        <v>1908</v>
      </c>
      <c r="R1183" s="81"/>
      <c r="S1183" s="81"/>
      <c r="T1183" s="86" t="s">
        <v>1413</v>
      </c>
      <c r="U1183" s="84" t="str">
        <f>HYPERLINK("https://pbs.twimg.com/media/FAEa_mFUYAcoKUu.jpg")</f>
        <v>https://pbs.twimg.com/media/FAEa_mFUYAcoKUu.jpg</v>
      </c>
      <c r="V1183" s="84" t="str">
        <f>HYPERLINK("https://pbs.twimg.com/media/FAEa_mFUYAcoKUu.jpg")</f>
        <v>https://pbs.twimg.com/media/FAEa_mFUYAcoKUu.jpg</v>
      </c>
      <c r="W1183" s="83">
        <v>44464.284409722219</v>
      </c>
      <c r="X1183" s="89">
        <v>44464</v>
      </c>
      <c r="Y1183" s="86" t="s">
        <v>3551</v>
      </c>
      <c r="Z1183" s="84" t="str">
        <f>HYPERLINK("https://twitter.com/ffairykoo/status/1441656098386182156")</f>
        <v>https://twitter.com/ffairykoo/status/1441656098386182156</v>
      </c>
      <c r="AA1183" s="81"/>
      <c r="AB1183" s="81"/>
      <c r="AC1183" s="86" t="s">
        <v>5016</v>
      </c>
      <c r="AD1183" s="81"/>
      <c r="AE1183" s="81" t="b">
        <v>0</v>
      </c>
      <c r="AF1183" s="81">
        <v>0</v>
      </c>
      <c r="AG1183" s="86" t="s">
        <v>6240</v>
      </c>
      <c r="AH1183" s="81" t="b">
        <v>0</v>
      </c>
      <c r="AI1183" s="81" t="s">
        <v>6479</v>
      </c>
      <c r="AJ1183" s="81"/>
      <c r="AK1183" s="86" t="s">
        <v>6240</v>
      </c>
      <c r="AL1183" s="81" t="b">
        <v>0</v>
      </c>
      <c r="AM1183" s="81">
        <v>23</v>
      </c>
      <c r="AN1183" s="86" t="s">
        <v>5111</v>
      </c>
      <c r="AO1183" s="86" t="s">
        <v>6503</v>
      </c>
      <c r="AP1183" s="81" t="b">
        <v>0</v>
      </c>
      <c r="AQ1183" s="86" t="s">
        <v>5111</v>
      </c>
      <c r="AR1183" s="81" t="s">
        <v>179</v>
      </c>
      <c r="AS1183" s="81">
        <v>0</v>
      </c>
      <c r="AT1183" s="81">
        <v>0</v>
      </c>
      <c r="AU1183" s="81"/>
      <c r="AV1183" s="81"/>
      <c r="AW1183" s="81"/>
      <c r="AX1183" s="81"/>
      <c r="AY1183" s="81"/>
      <c r="AZ1183" s="81"/>
      <c r="BA1183" s="81"/>
      <c r="BB1183" s="81"/>
    </row>
    <row r="1184" spans="1:54" x14ac:dyDescent="0.35">
      <c r="A1184" s="66" t="s">
        <v>908</v>
      </c>
      <c r="B1184" s="66" t="s">
        <v>1412</v>
      </c>
      <c r="C1184" s="67"/>
      <c r="D1184" s="68"/>
      <c r="E1184" s="69"/>
      <c r="F1184" s="70"/>
      <c r="G1184" s="67"/>
      <c r="H1184" s="71"/>
      <c r="I1184" s="72"/>
      <c r="J1184" s="72"/>
      <c r="K1184" s="36"/>
      <c r="L1184" s="79"/>
      <c r="M1184" s="79"/>
      <c r="N1184" s="74"/>
      <c r="O1184" s="81" t="s">
        <v>1533</v>
      </c>
      <c r="P1184" s="83">
        <v>44464.284409722219</v>
      </c>
      <c r="Q1184" s="81" t="s">
        <v>1908</v>
      </c>
      <c r="R1184" s="81"/>
      <c r="S1184" s="81"/>
      <c r="T1184" s="86" t="s">
        <v>1413</v>
      </c>
      <c r="U1184" s="84" t="str">
        <f>HYPERLINK("https://pbs.twimg.com/media/FAEa_mFUYAcoKUu.jpg")</f>
        <v>https://pbs.twimg.com/media/FAEa_mFUYAcoKUu.jpg</v>
      </c>
      <c r="V1184" s="84" t="str">
        <f>HYPERLINK("https://pbs.twimg.com/media/FAEa_mFUYAcoKUu.jpg")</f>
        <v>https://pbs.twimg.com/media/FAEa_mFUYAcoKUu.jpg</v>
      </c>
      <c r="W1184" s="83">
        <v>44464.284409722219</v>
      </c>
      <c r="X1184" s="89">
        <v>44464</v>
      </c>
      <c r="Y1184" s="86" t="s">
        <v>3551</v>
      </c>
      <c r="Z1184" s="84" t="str">
        <f>HYPERLINK("https://twitter.com/ffairykoo/status/1441656098386182156")</f>
        <v>https://twitter.com/ffairykoo/status/1441656098386182156</v>
      </c>
      <c r="AA1184" s="81"/>
      <c r="AB1184" s="81"/>
      <c r="AC1184" s="86" t="s">
        <v>5016</v>
      </c>
      <c r="AD1184" s="81"/>
      <c r="AE1184" s="81" t="b">
        <v>0</v>
      </c>
      <c r="AF1184" s="81">
        <v>0</v>
      </c>
      <c r="AG1184" s="86" t="s">
        <v>6240</v>
      </c>
      <c r="AH1184" s="81" t="b">
        <v>0</v>
      </c>
      <c r="AI1184" s="81" t="s">
        <v>6479</v>
      </c>
      <c r="AJ1184" s="81"/>
      <c r="AK1184" s="86" t="s">
        <v>6240</v>
      </c>
      <c r="AL1184" s="81" t="b">
        <v>0</v>
      </c>
      <c r="AM1184" s="81">
        <v>23</v>
      </c>
      <c r="AN1184" s="86" t="s">
        <v>5111</v>
      </c>
      <c r="AO1184" s="86" t="s">
        <v>6503</v>
      </c>
      <c r="AP1184" s="81" t="b">
        <v>0</v>
      </c>
      <c r="AQ1184" s="86" t="s">
        <v>5111</v>
      </c>
      <c r="AR1184" s="81" t="s">
        <v>179</v>
      </c>
      <c r="AS1184" s="81">
        <v>0</v>
      </c>
      <c r="AT1184" s="81">
        <v>0</v>
      </c>
      <c r="AU1184" s="81"/>
      <c r="AV1184" s="81"/>
      <c r="AW1184" s="81"/>
      <c r="AX1184" s="81"/>
      <c r="AY1184" s="81"/>
      <c r="AZ1184" s="81"/>
      <c r="BA1184" s="81"/>
      <c r="BB1184" s="81"/>
    </row>
    <row r="1185" spans="1:54" x14ac:dyDescent="0.35">
      <c r="A1185" s="66" t="s">
        <v>908</v>
      </c>
      <c r="B1185" s="66" t="s">
        <v>1413</v>
      </c>
      <c r="C1185" s="67"/>
      <c r="D1185" s="68"/>
      <c r="E1185" s="69"/>
      <c r="F1185" s="70"/>
      <c r="G1185" s="67"/>
      <c r="H1185" s="71"/>
      <c r="I1185" s="72"/>
      <c r="J1185" s="72"/>
      <c r="K1185" s="36"/>
      <c r="L1185" s="79"/>
      <c r="M1185" s="79"/>
      <c r="N1185" s="74"/>
      <c r="O1185" s="81" t="s">
        <v>1533</v>
      </c>
      <c r="P1185" s="83">
        <v>44464.284409722219</v>
      </c>
      <c r="Q1185" s="81" t="s">
        <v>1908</v>
      </c>
      <c r="R1185" s="81"/>
      <c r="S1185" s="81"/>
      <c r="T1185" s="86" t="s">
        <v>1413</v>
      </c>
      <c r="U1185" s="84" t="str">
        <f>HYPERLINK("https://pbs.twimg.com/media/FAEa_mFUYAcoKUu.jpg")</f>
        <v>https://pbs.twimg.com/media/FAEa_mFUYAcoKUu.jpg</v>
      </c>
      <c r="V1185" s="84" t="str">
        <f>HYPERLINK("https://pbs.twimg.com/media/FAEa_mFUYAcoKUu.jpg")</f>
        <v>https://pbs.twimg.com/media/FAEa_mFUYAcoKUu.jpg</v>
      </c>
      <c r="W1185" s="83">
        <v>44464.284409722219</v>
      </c>
      <c r="X1185" s="89">
        <v>44464</v>
      </c>
      <c r="Y1185" s="86" t="s">
        <v>3551</v>
      </c>
      <c r="Z1185" s="84" t="str">
        <f>HYPERLINK("https://twitter.com/ffairykoo/status/1441656098386182156")</f>
        <v>https://twitter.com/ffairykoo/status/1441656098386182156</v>
      </c>
      <c r="AA1185" s="81"/>
      <c r="AB1185" s="81"/>
      <c r="AC1185" s="86" t="s">
        <v>5016</v>
      </c>
      <c r="AD1185" s="81"/>
      <c r="AE1185" s="81" t="b">
        <v>0</v>
      </c>
      <c r="AF1185" s="81">
        <v>0</v>
      </c>
      <c r="AG1185" s="86" t="s">
        <v>6240</v>
      </c>
      <c r="AH1185" s="81" t="b">
        <v>0</v>
      </c>
      <c r="AI1185" s="81" t="s">
        <v>6479</v>
      </c>
      <c r="AJ1185" s="81"/>
      <c r="AK1185" s="86" t="s">
        <v>6240</v>
      </c>
      <c r="AL1185" s="81" t="b">
        <v>0</v>
      </c>
      <c r="AM1185" s="81">
        <v>23</v>
      </c>
      <c r="AN1185" s="86" t="s">
        <v>5111</v>
      </c>
      <c r="AO1185" s="86" t="s">
        <v>6503</v>
      </c>
      <c r="AP1185" s="81" t="b">
        <v>0</v>
      </c>
      <c r="AQ1185" s="86" t="s">
        <v>5111</v>
      </c>
      <c r="AR1185" s="81" t="s">
        <v>179</v>
      </c>
      <c r="AS1185" s="81">
        <v>0</v>
      </c>
      <c r="AT1185" s="81">
        <v>0</v>
      </c>
      <c r="AU1185" s="81"/>
      <c r="AV1185" s="81"/>
      <c r="AW1185" s="81"/>
      <c r="AX1185" s="81"/>
      <c r="AY1185" s="81"/>
      <c r="AZ1185" s="81"/>
      <c r="BA1185" s="81"/>
      <c r="BB1185" s="81"/>
    </row>
    <row r="1186" spans="1:54" x14ac:dyDescent="0.35">
      <c r="A1186" s="66" t="s">
        <v>908</v>
      </c>
      <c r="B1186" s="66" t="s">
        <v>990</v>
      </c>
      <c r="C1186" s="67"/>
      <c r="D1186" s="68"/>
      <c r="E1186" s="69"/>
      <c r="F1186" s="70"/>
      <c r="G1186" s="67"/>
      <c r="H1186" s="71"/>
      <c r="I1186" s="72"/>
      <c r="J1186" s="72"/>
      <c r="K1186" s="36"/>
      <c r="L1186" s="79"/>
      <c r="M1186" s="79"/>
      <c r="N1186" s="74"/>
      <c r="O1186" s="81" t="s">
        <v>1532</v>
      </c>
      <c r="P1186" s="83">
        <v>44464.284409722219</v>
      </c>
      <c r="Q1186" s="81" t="s">
        <v>1908</v>
      </c>
      <c r="R1186" s="81"/>
      <c r="S1186" s="81"/>
      <c r="T1186" s="86" t="s">
        <v>1413</v>
      </c>
      <c r="U1186" s="84" t="str">
        <f>HYPERLINK("https://pbs.twimg.com/media/FAEa_mFUYAcoKUu.jpg")</f>
        <v>https://pbs.twimg.com/media/FAEa_mFUYAcoKUu.jpg</v>
      </c>
      <c r="V1186" s="84" t="str">
        <f>HYPERLINK("https://pbs.twimg.com/media/FAEa_mFUYAcoKUu.jpg")</f>
        <v>https://pbs.twimg.com/media/FAEa_mFUYAcoKUu.jpg</v>
      </c>
      <c r="W1186" s="83">
        <v>44464.284409722219</v>
      </c>
      <c r="X1186" s="89">
        <v>44464</v>
      </c>
      <c r="Y1186" s="86" t="s">
        <v>3551</v>
      </c>
      <c r="Z1186" s="84" t="str">
        <f>HYPERLINK("https://twitter.com/ffairykoo/status/1441656098386182156")</f>
        <v>https://twitter.com/ffairykoo/status/1441656098386182156</v>
      </c>
      <c r="AA1186" s="81"/>
      <c r="AB1186" s="81"/>
      <c r="AC1186" s="86" t="s">
        <v>5016</v>
      </c>
      <c r="AD1186" s="81"/>
      <c r="AE1186" s="81" t="b">
        <v>0</v>
      </c>
      <c r="AF1186" s="81">
        <v>0</v>
      </c>
      <c r="AG1186" s="86" t="s">
        <v>6240</v>
      </c>
      <c r="AH1186" s="81" t="b">
        <v>0</v>
      </c>
      <c r="AI1186" s="81" t="s">
        <v>6479</v>
      </c>
      <c r="AJ1186" s="81"/>
      <c r="AK1186" s="86" t="s">
        <v>6240</v>
      </c>
      <c r="AL1186" s="81" t="b">
        <v>0</v>
      </c>
      <c r="AM1186" s="81">
        <v>23</v>
      </c>
      <c r="AN1186" s="86" t="s">
        <v>5111</v>
      </c>
      <c r="AO1186" s="86" t="s">
        <v>6503</v>
      </c>
      <c r="AP1186" s="81" t="b">
        <v>0</v>
      </c>
      <c r="AQ1186" s="86" t="s">
        <v>5111</v>
      </c>
      <c r="AR1186" s="81" t="s">
        <v>179</v>
      </c>
      <c r="AS1186" s="81">
        <v>0</v>
      </c>
      <c r="AT1186" s="81">
        <v>0</v>
      </c>
      <c r="AU1186" s="81"/>
      <c r="AV1186" s="81"/>
      <c r="AW1186" s="81"/>
      <c r="AX1186" s="81"/>
      <c r="AY1186" s="81"/>
      <c r="AZ1186" s="81"/>
      <c r="BA1186" s="81"/>
      <c r="BB1186" s="81"/>
    </row>
    <row r="1187" spans="1:54" x14ac:dyDescent="0.35">
      <c r="A1187" s="66" t="s">
        <v>909</v>
      </c>
      <c r="B1187" s="66" t="s">
        <v>1410</v>
      </c>
      <c r="C1187" s="67"/>
      <c r="D1187" s="68"/>
      <c r="E1187" s="69"/>
      <c r="F1187" s="70"/>
      <c r="G1187" s="67"/>
      <c r="H1187" s="71"/>
      <c r="I1187" s="72"/>
      <c r="J1187" s="72"/>
      <c r="K1187" s="36"/>
      <c r="L1187" s="79"/>
      <c r="M1187" s="79"/>
      <c r="N1187" s="74"/>
      <c r="O1187" s="81" t="s">
        <v>1533</v>
      </c>
      <c r="P1187" s="83">
        <v>44464.284479166665</v>
      </c>
      <c r="Q1187" s="81" t="s">
        <v>1908</v>
      </c>
      <c r="R1187" s="81"/>
      <c r="S1187" s="81"/>
      <c r="T1187" s="86" t="s">
        <v>1413</v>
      </c>
      <c r="U1187" s="84" t="str">
        <f>HYPERLINK("https://pbs.twimg.com/media/FAEa_mFUYAcoKUu.jpg")</f>
        <v>https://pbs.twimg.com/media/FAEa_mFUYAcoKUu.jpg</v>
      </c>
      <c r="V1187" s="84" t="str">
        <f>HYPERLINK("https://pbs.twimg.com/media/FAEa_mFUYAcoKUu.jpg")</f>
        <v>https://pbs.twimg.com/media/FAEa_mFUYAcoKUu.jpg</v>
      </c>
      <c r="W1187" s="83">
        <v>44464.284479166665</v>
      </c>
      <c r="X1187" s="89">
        <v>44464</v>
      </c>
      <c r="Y1187" s="86" t="s">
        <v>3552</v>
      </c>
      <c r="Z1187" s="84" t="str">
        <f>HYPERLINK("https://twitter.com/bangtansbaby13/status/1441656123333828612")</f>
        <v>https://twitter.com/bangtansbaby13/status/1441656123333828612</v>
      </c>
      <c r="AA1187" s="81"/>
      <c r="AB1187" s="81"/>
      <c r="AC1187" s="86" t="s">
        <v>5017</v>
      </c>
      <c r="AD1187" s="81"/>
      <c r="AE1187" s="81" t="b">
        <v>0</v>
      </c>
      <c r="AF1187" s="81">
        <v>0</v>
      </c>
      <c r="AG1187" s="86" t="s">
        <v>6240</v>
      </c>
      <c r="AH1187" s="81" t="b">
        <v>0</v>
      </c>
      <c r="AI1187" s="81" t="s">
        <v>6479</v>
      </c>
      <c r="AJ1187" s="81"/>
      <c r="AK1187" s="86" t="s">
        <v>6240</v>
      </c>
      <c r="AL1187" s="81" t="b">
        <v>0</v>
      </c>
      <c r="AM1187" s="81">
        <v>23</v>
      </c>
      <c r="AN1187" s="86" t="s">
        <v>5111</v>
      </c>
      <c r="AO1187" s="86" t="s">
        <v>6503</v>
      </c>
      <c r="AP1187" s="81" t="b">
        <v>0</v>
      </c>
      <c r="AQ1187" s="86" t="s">
        <v>5111</v>
      </c>
      <c r="AR1187" s="81" t="s">
        <v>179</v>
      </c>
      <c r="AS1187" s="81">
        <v>0</v>
      </c>
      <c r="AT1187" s="81">
        <v>0</v>
      </c>
      <c r="AU1187" s="81"/>
      <c r="AV1187" s="81"/>
      <c r="AW1187" s="81"/>
      <c r="AX1187" s="81"/>
      <c r="AY1187" s="81"/>
      <c r="AZ1187" s="81"/>
      <c r="BA1187" s="81"/>
      <c r="BB1187" s="81"/>
    </row>
    <row r="1188" spans="1:54" x14ac:dyDescent="0.35">
      <c r="A1188" s="66" t="s">
        <v>909</v>
      </c>
      <c r="B1188" s="66" t="s">
        <v>1411</v>
      </c>
      <c r="C1188" s="67"/>
      <c r="D1188" s="68"/>
      <c r="E1188" s="69"/>
      <c r="F1188" s="70"/>
      <c r="G1188" s="67"/>
      <c r="H1188" s="71"/>
      <c r="I1188" s="72"/>
      <c r="J1188" s="72"/>
      <c r="K1188" s="36"/>
      <c r="L1188" s="79"/>
      <c r="M1188" s="79"/>
      <c r="N1188" s="74"/>
      <c r="O1188" s="81" t="s">
        <v>1533</v>
      </c>
      <c r="P1188" s="83">
        <v>44464.284479166665</v>
      </c>
      <c r="Q1188" s="81" t="s">
        <v>1908</v>
      </c>
      <c r="R1188" s="81"/>
      <c r="S1188" s="81"/>
      <c r="T1188" s="86" t="s">
        <v>1413</v>
      </c>
      <c r="U1188" s="84" t="str">
        <f>HYPERLINK("https://pbs.twimg.com/media/FAEa_mFUYAcoKUu.jpg")</f>
        <v>https://pbs.twimg.com/media/FAEa_mFUYAcoKUu.jpg</v>
      </c>
      <c r="V1188" s="84" t="str">
        <f>HYPERLINK("https://pbs.twimg.com/media/FAEa_mFUYAcoKUu.jpg")</f>
        <v>https://pbs.twimg.com/media/FAEa_mFUYAcoKUu.jpg</v>
      </c>
      <c r="W1188" s="83">
        <v>44464.284479166665</v>
      </c>
      <c r="X1188" s="89">
        <v>44464</v>
      </c>
      <c r="Y1188" s="86" t="s">
        <v>3552</v>
      </c>
      <c r="Z1188" s="84" t="str">
        <f>HYPERLINK("https://twitter.com/bangtansbaby13/status/1441656123333828612")</f>
        <v>https://twitter.com/bangtansbaby13/status/1441656123333828612</v>
      </c>
      <c r="AA1188" s="81"/>
      <c r="AB1188" s="81"/>
      <c r="AC1188" s="86" t="s">
        <v>5017</v>
      </c>
      <c r="AD1188" s="81"/>
      <c r="AE1188" s="81" t="b">
        <v>0</v>
      </c>
      <c r="AF1188" s="81">
        <v>0</v>
      </c>
      <c r="AG1188" s="86" t="s">
        <v>6240</v>
      </c>
      <c r="AH1188" s="81" t="b">
        <v>0</v>
      </c>
      <c r="AI1188" s="81" t="s">
        <v>6479</v>
      </c>
      <c r="AJ1188" s="81"/>
      <c r="AK1188" s="86" t="s">
        <v>6240</v>
      </c>
      <c r="AL1188" s="81" t="b">
        <v>0</v>
      </c>
      <c r="AM1188" s="81">
        <v>23</v>
      </c>
      <c r="AN1188" s="86" t="s">
        <v>5111</v>
      </c>
      <c r="AO1188" s="86" t="s">
        <v>6503</v>
      </c>
      <c r="AP1188" s="81" t="b">
        <v>0</v>
      </c>
      <c r="AQ1188" s="86" t="s">
        <v>5111</v>
      </c>
      <c r="AR1188" s="81" t="s">
        <v>179</v>
      </c>
      <c r="AS1188" s="81">
        <v>0</v>
      </c>
      <c r="AT1188" s="81">
        <v>0</v>
      </c>
      <c r="AU1188" s="81"/>
      <c r="AV1188" s="81"/>
      <c r="AW1188" s="81"/>
      <c r="AX1188" s="81"/>
      <c r="AY1188" s="81"/>
      <c r="AZ1188" s="81"/>
      <c r="BA1188" s="81"/>
      <c r="BB1188" s="81"/>
    </row>
    <row r="1189" spans="1:54" x14ac:dyDescent="0.35">
      <c r="A1189" s="66" t="s">
        <v>909</v>
      </c>
      <c r="B1189" s="66" t="s">
        <v>1412</v>
      </c>
      <c r="C1189" s="67"/>
      <c r="D1189" s="68"/>
      <c r="E1189" s="69"/>
      <c r="F1189" s="70"/>
      <c r="G1189" s="67"/>
      <c r="H1189" s="71"/>
      <c r="I1189" s="72"/>
      <c r="J1189" s="72"/>
      <c r="K1189" s="36"/>
      <c r="L1189" s="79"/>
      <c r="M1189" s="79"/>
      <c r="N1189" s="74"/>
      <c r="O1189" s="81" t="s">
        <v>1533</v>
      </c>
      <c r="P1189" s="83">
        <v>44464.284479166665</v>
      </c>
      <c r="Q1189" s="81" t="s">
        <v>1908</v>
      </c>
      <c r="R1189" s="81"/>
      <c r="S1189" s="81"/>
      <c r="T1189" s="86" t="s">
        <v>1413</v>
      </c>
      <c r="U1189" s="84" t="str">
        <f>HYPERLINK("https://pbs.twimg.com/media/FAEa_mFUYAcoKUu.jpg")</f>
        <v>https://pbs.twimg.com/media/FAEa_mFUYAcoKUu.jpg</v>
      </c>
      <c r="V1189" s="84" t="str">
        <f>HYPERLINK("https://pbs.twimg.com/media/FAEa_mFUYAcoKUu.jpg")</f>
        <v>https://pbs.twimg.com/media/FAEa_mFUYAcoKUu.jpg</v>
      </c>
      <c r="W1189" s="83">
        <v>44464.284479166665</v>
      </c>
      <c r="X1189" s="89">
        <v>44464</v>
      </c>
      <c r="Y1189" s="86" t="s">
        <v>3552</v>
      </c>
      <c r="Z1189" s="84" t="str">
        <f>HYPERLINK("https://twitter.com/bangtansbaby13/status/1441656123333828612")</f>
        <v>https://twitter.com/bangtansbaby13/status/1441656123333828612</v>
      </c>
      <c r="AA1189" s="81"/>
      <c r="AB1189" s="81"/>
      <c r="AC1189" s="86" t="s">
        <v>5017</v>
      </c>
      <c r="AD1189" s="81"/>
      <c r="AE1189" s="81" t="b">
        <v>0</v>
      </c>
      <c r="AF1189" s="81">
        <v>0</v>
      </c>
      <c r="AG1189" s="86" t="s">
        <v>6240</v>
      </c>
      <c r="AH1189" s="81" t="b">
        <v>0</v>
      </c>
      <c r="AI1189" s="81" t="s">
        <v>6479</v>
      </c>
      <c r="AJ1189" s="81"/>
      <c r="AK1189" s="86" t="s">
        <v>6240</v>
      </c>
      <c r="AL1189" s="81" t="b">
        <v>0</v>
      </c>
      <c r="AM1189" s="81">
        <v>23</v>
      </c>
      <c r="AN1189" s="86" t="s">
        <v>5111</v>
      </c>
      <c r="AO1189" s="86" t="s">
        <v>6503</v>
      </c>
      <c r="AP1189" s="81" t="b">
        <v>0</v>
      </c>
      <c r="AQ1189" s="86" t="s">
        <v>5111</v>
      </c>
      <c r="AR1189" s="81" t="s">
        <v>179</v>
      </c>
      <c r="AS1189" s="81">
        <v>0</v>
      </c>
      <c r="AT1189" s="81">
        <v>0</v>
      </c>
      <c r="AU1189" s="81"/>
      <c r="AV1189" s="81"/>
      <c r="AW1189" s="81"/>
      <c r="AX1189" s="81"/>
      <c r="AY1189" s="81"/>
      <c r="AZ1189" s="81"/>
      <c r="BA1189" s="81"/>
      <c r="BB1189" s="81"/>
    </row>
    <row r="1190" spans="1:54" x14ac:dyDescent="0.35">
      <c r="A1190" s="66" t="s">
        <v>909</v>
      </c>
      <c r="B1190" s="66" t="s">
        <v>1413</v>
      </c>
      <c r="C1190" s="67"/>
      <c r="D1190" s="68"/>
      <c r="E1190" s="69"/>
      <c r="F1190" s="70"/>
      <c r="G1190" s="67"/>
      <c r="H1190" s="71"/>
      <c r="I1190" s="72"/>
      <c r="J1190" s="72"/>
      <c r="K1190" s="36"/>
      <c r="L1190" s="79"/>
      <c r="M1190" s="79"/>
      <c r="N1190" s="74"/>
      <c r="O1190" s="81" t="s">
        <v>1533</v>
      </c>
      <c r="P1190" s="83">
        <v>44464.284479166665</v>
      </c>
      <c r="Q1190" s="81" t="s">
        <v>1908</v>
      </c>
      <c r="R1190" s="81"/>
      <c r="S1190" s="81"/>
      <c r="T1190" s="86" t="s">
        <v>1413</v>
      </c>
      <c r="U1190" s="84" t="str">
        <f>HYPERLINK("https://pbs.twimg.com/media/FAEa_mFUYAcoKUu.jpg")</f>
        <v>https://pbs.twimg.com/media/FAEa_mFUYAcoKUu.jpg</v>
      </c>
      <c r="V1190" s="84" t="str">
        <f>HYPERLINK("https://pbs.twimg.com/media/FAEa_mFUYAcoKUu.jpg")</f>
        <v>https://pbs.twimg.com/media/FAEa_mFUYAcoKUu.jpg</v>
      </c>
      <c r="W1190" s="83">
        <v>44464.284479166665</v>
      </c>
      <c r="X1190" s="89">
        <v>44464</v>
      </c>
      <c r="Y1190" s="86" t="s">
        <v>3552</v>
      </c>
      <c r="Z1190" s="84" t="str">
        <f>HYPERLINK("https://twitter.com/bangtansbaby13/status/1441656123333828612")</f>
        <v>https://twitter.com/bangtansbaby13/status/1441656123333828612</v>
      </c>
      <c r="AA1190" s="81"/>
      <c r="AB1190" s="81"/>
      <c r="AC1190" s="86" t="s">
        <v>5017</v>
      </c>
      <c r="AD1190" s="81"/>
      <c r="AE1190" s="81" t="b">
        <v>0</v>
      </c>
      <c r="AF1190" s="81">
        <v>0</v>
      </c>
      <c r="AG1190" s="86" t="s">
        <v>6240</v>
      </c>
      <c r="AH1190" s="81" t="b">
        <v>0</v>
      </c>
      <c r="AI1190" s="81" t="s">
        <v>6479</v>
      </c>
      <c r="AJ1190" s="81"/>
      <c r="AK1190" s="86" t="s">
        <v>6240</v>
      </c>
      <c r="AL1190" s="81" t="b">
        <v>0</v>
      </c>
      <c r="AM1190" s="81">
        <v>23</v>
      </c>
      <c r="AN1190" s="86" t="s">
        <v>5111</v>
      </c>
      <c r="AO1190" s="86" t="s">
        <v>6503</v>
      </c>
      <c r="AP1190" s="81" t="b">
        <v>0</v>
      </c>
      <c r="AQ1190" s="86" t="s">
        <v>5111</v>
      </c>
      <c r="AR1190" s="81" t="s">
        <v>179</v>
      </c>
      <c r="AS1190" s="81">
        <v>0</v>
      </c>
      <c r="AT1190" s="81">
        <v>0</v>
      </c>
      <c r="AU1190" s="81"/>
      <c r="AV1190" s="81"/>
      <c r="AW1190" s="81"/>
      <c r="AX1190" s="81"/>
      <c r="AY1190" s="81"/>
      <c r="AZ1190" s="81"/>
      <c r="BA1190" s="81"/>
      <c r="BB1190" s="81"/>
    </row>
    <row r="1191" spans="1:54" x14ac:dyDescent="0.35">
      <c r="A1191" s="66" t="s">
        <v>909</v>
      </c>
      <c r="B1191" s="66" t="s">
        <v>990</v>
      </c>
      <c r="C1191" s="67"/>
      <c r="D1191" s="68"/>
      <c r="E1191" s="69"/>
      <c r="F1191" s="70"/>
      <c r="G1191" s="67"/>
      <c r="H1191" s="71"/>
      <c r="I1191" s="72"/>
      <c r="J1191" s="72"/>
      <c r="K1191" s="36"/>
      <c r="L1191" s="79"/>
      <c r="M1191" s="79"/>
      <c r="N1191" s="74"/>
      <c r="O1191" s="81" t="s">
        <v>1532</v>
      </c>
      <c r="P1191" s="83">
        <v>44464.284479166665</v>
      </c>
      <c r="Q1191" s="81" t="s">
        <v>1908</v>
      </c>
      <c r="R1191" s="81"/>
      <c r="S1191" s="81"/>
      <c r="T1191" s="86" t="s">
        <v>1413</v>
      </c>
      <c r="U1191" s="84" t="str">
        <f>HYPERLINK("https://pbs.twimg.com/media/FAEa_mFUYAcoKUu.jpg")</f>
        <v>https://pbs.twimg.com/media/FAEa_mFUYAcoKUu.jpg</v>
      </c>
      <c r="V1191" s="84" t="str">
        <f>HYPERLINK("https://pbs.twimg.com/media/FAEa_mFUYAcoKUu.jpg")</f>
        <v>https://pbs.twimg.com/media/FAEa_mFUYAcoKUu.jpg</v>
      </c>
      <c r="W1191" s="83">
        <v>44464.284479166665</v>
      </c>
      <c r="X1191" s="89">
        <v>44464</v>
      </c>
      <c r="Y1191" s="86" t="s">
        <v>3552</v>
      </c>
      <c r="Z1191" s="84" t="str">
        <f>HYPERLINK("https://twitter.com/bangtansbaby13/status/1441656123333828612")</f>
        <v>https://twitter.com/bangtansbaby13/status/1441656123333828612</v>
      </c>
      <c r="AA1191" s="81"/>
      <c r="AB1191" s="81"/>
      <c r="AC1191" s="86" t="s">
        <v>5017</v>
      </c>
      <c r="AD1191" s="81"/>
      <c r="AE1191" s="81" t="b">
        <v>0</v>
      </c>
      <c r="AF1191" s="81">
        <v>0</v>
      </c>
      <c r="AG1191" s="86" t="s">
        <v>6240</v>
      </c>
      <c r="AH1191" s="81" t="b">
        <v>0</v>
      </c>
      <c r="AI1191" s="81" t="s">
        <v>6479</v>
      </c>
      <c r="AJ1191" s="81"/>
      <c r="AK1191" s="86" t="s">
        <v>6240</v>
      </c>
      <c r="AL1191" s="81" t="b">
        <v>0</v>
      </c>
      <c r="AM1191" s="81">
        <v>23</v>
      </c>
      <c r="AN1191" s="86" t="s">
        <v>5111</v>
      </c>
      <c r="AO1191" s="86" t="s">
        <v>6503</v>
      </c>
      <c r="AP1191" s="81" t="b">
        <v>0</v>
      </c>
      <c r="AQ1191" s="86" t="s">
        <v>5111</v>
      </c>
      <c r="AR1191" s="81" t="s">
        <v>179</v>
      </c>
      <c r="AS1191" s="81">
        <v>0</v>
      </c>
      <c r="AT1191" s="81">
        <v>0</v>
      </c>
      <c r="AU1191" s="81"/>
      <c r="AV1191" s="81"/>
      <c r="AW1191" s="81"/>
      <c r="AX1191" s="81"/>
      <c r="AY1191" s="81"/>
      <c r="AZ1191" s="81"/>
      <c r="BA1191" s="81"/>
      <c r="BB1191" s="81"/>
    </row>
    <row r="1192" spans="1:54" x14ac:dyDescent="0.35">
      <c r="A1192" s="66" t="s">
        <v>910</v>
      </c>
      <c r="B1192" s="66" t="s">
        <v>1410</v>
      </c>
      <c r="C1192" s="67"/>
      <c r="D1192" s="68"/>
      <c r="E1192" s="69"/>
      <c r="F1192" s="70"/>
      <c r="G1192" s="67"/>
      <c r="H1192" s="71"/>
      <c r="I1192" s="72"/>
      <c r="J1192" s="72"/>
      <c r="K1192" s="36"/>
      <c r="L1192" s="79"/>
      <c r="M1192" s="79"/>
      <c r="N1192" s="74"/>
      <c r="O1192" s="81" t="s">
        <v>1533</v>
      </c>
      <c r="P1192" s="83">
        <v>44464.288078703707</v>
      </c>
      <c r="Q1192" s="81" t="s">
        <v>1908</v>
      </c>
      <c r="R1192" s="81"/>
      <c r="S1192" s="81"/>
      <c r="T1192" s="86" t="s">
        <v>1413</v>
      </c>
      <c r="U1192" s="84" t="str">
        <f>HYPERLINK("https://pbs.twimg.com/media/FAEa_mFUYAcoKUu.jpg")</f>
        <v>https://pbs.twimg.com/media/FAEa_mFUYAcoKUu.jpg</v>
      </c>
      <c r="V1192" s="84" t="str">
        <f>HYPERLINK("https://pbs.twimg.com/media/FAEa_mFUYAcoKUu.jpg")</f>
        <v>https://pbs.twimg.com/media/FAEa_mFUYAcoKUu.jpg</v>
      </c>
      <c r="W1192" s="83">
        <v>44464.288078703707</v>
      </c>
      <c r="X1192" s="89">
        <v>44464</v>
      </c>
      <c r="Y1192" s="86" t="s">
        <v>3553</v>
      </c>
      <c r="Z1192" s="84" t="str">
        <f>HYPERLINK("https://twitter.com/bangpdwife/status/1441657429305950211")</f>
        <v>https://twitter.com/bangpdwife/status/1441657429305950211</v>
      </c>
      <c r="AA1192" s="81"/>
      <c r="AB1192" s="81"/>
      <c r="AC1192" s="86" t="s">
        <v>5018</v>
      </c>
      <c r="AD1192" s="81"/>
      <c r="AE1192" s="81" t="b">
        <v>0</v>
      </c>
      <c r="AF1192" s="81">
        <v>0</v>
      </c>
      <c r="AG1192" s="86" t="s">
        <v>6240</v>
      </c>
      <c r="AH1192" s="81" t="b">
        <v>0</v>
      </c>
      <c r="AI1192" s="81" t="s">
        <v>6479</v>
      </c>
      <c r="AJ1192" s="81"/>
      <c r="AK1192" s="86" t="s">
        <v>6240</v>
      </c>
      <c r="AL1192" s="81" t="b">
        <v>0</v>
      </c>
      <c r="AM1192" s="81">
        <v>23</v>
      </c>
      <c r="AN1192" s="86" t="s">
        <v>5111</v>
      </c>
      <c r="AO1192" s="86" t="s">
        <v>6503</v>
      </c>
      <c r="AP1192" s="81" t="b">
        <v>0</v>
      </c>
      <c r="AQ1192" s="86" t="s">
        <v>5111</v>
      </c>
      <c r="AR1192" s="81" t="s">
        <v>179</v>
      </c>
      <c r="AS1192" s="81">
        <v>0</v>
      </c>
      <c r="AT1192" s="81">
        <v>0</v>
      </c>
      <c r="AU1192" s="81"/>
      <c r="AV1192" s="81"/>
      <c r="AW1192" s="81"/>
      <c r="AX1192" s="81"/>
      <c r="AY1192" s="81"/>
      <c r="AZ1192" s="81"/>
      <c r="BA1192" s="81"/>
      <c r="BB1192" s="81"/>
    </row>
    <row r="1193" spans="1:54" x14ac:dyDescent="0.35">
      <c r="A1193" s="66" t="s">
        <v>910</v>
      </c>
      <c r="B1193" s="66" t="s">
        <v>1411</v>
      </c>
      <c r="C1193" s="67"/>
      <c r="D1193" s="68"/>
      <c r="E1193" s="69"/>
      <c r="F1193" s="70"/>
      <c r="G1193" s="67"/>
      <c r="H1193" s="71"/>
      <c r="I1193" s="72"/>
      <c r="J1193" s="72"/>
      <c r="K1193" s="36"/>
      <c r="L1193" s="79"/>
      <c r="M1193" s="79"/>
      <c r="N1193" s="74"/>
      <c r="O1193" s="81" t="s">
        <v>1533</v>
      </c>
      <c r="P1193" s="83">
        <v>44464.288078703707</v>
      </c>
      <c r="Q1193" s="81" t="s">
        <v>1908</v>
      </c>
      <c r="R1193" s="81"/>
      <c r="S1193" s="81"/>
      <c r="T1193" s="86" t="s">
        <v>1413</v>
      </c>
      <c r="U1193" s="84" t="str">
        <f>HYPERLINK("https://pbs.twimg.com/media/FAEa_mFUYAcoKUu.jpg")</f>
        <v>https://pbs.twimg.com/media/FAEa_mFUYAcoKUu.jpg</v>
      </c>
      <c r="V1193" s="84" t="str">
        <f>HYPERLINK("https://pbs.twimg.com/media/FAEa_mFUYAcoKUu.jpg")</f>
        <v>https://pbs.twimg.com/media/FAEa_mFUYAcoKUu.jpg</v>
      </c>
      <c r="W1193" s="83">
        <v>44464.288078703707</v>
      </c>
      <c r="X1193" s="89">
        <v>44464</v>
      </c>
      <c r="Y1193" s="86" t="s">
        <v>3553</v>
      </c>
      <c r="Z1193" s="84" t="str">
        <f>HYPERLINK("https://twitter.com/bangpdwife/status/1441657429305950211")</f>
        <v>https://twitter.com/bangpdwife/status/1441657429305950211</v>
      </c>
      <c r="AA1193" s="81"/>
      <c r="AB1193" s="81"/>
      <c r="AC1193" s="86" t="s">
        <v>5018</v>
      </c>
      <c r="AD1193" s="81"/>
      <c r="AE1193" s="81" t="b">
        <v>0</v>
      </c>
      <c r="AF1193" s="81">
        <v>0</v>
      </c>
      <c r="AG1193" s="86" t="s">
        <v>6240</v>
      </c>
      <c r="AH1193" s="81" t="b">
        <v>0</v>
      </c>
      <c r="AI1193" s="81" t="s">
        <v>6479</v>
      </c>
      <c r="AJ1193" s="81"/>
      <c r="AK1193" s="86" t="s">
        <v>6240</v>
      </c>
      <c r="AL1193" s="81" t="b">
        <v>0</v>
      </c>
      <c r="AM1193" s="81">
        <v>23</v>
      </c>
      <c r="AN1193" s="86" t="s">
        <v>5111</v>
      </c>
      <c r="AO1193" s="86" t="s">
        <v>6503</v>
      </c>
      <c r="AP1193" s="81" t="b">
        <v>0</v>
      </c>
      <c r="AQ1193" s="86" t="s">
        <v>5111</v>
      </c>
      <c r="AR1193" s="81" t="s">
        <v>179</v>
      </c>
      <c r="AS1193" s="81">
        <v>0</v>
      </c>
      <c r="AT1193" s="81">
        <v>0</v>
      </c>
      <c r="AU1193" s="81"/>
      <c r="AV1193" s="81"/>
      <c r="AW1193" s="81"/>
      <c r="AX1193" s="81"/>
      <c r="AY1193" s="81"/>
      <c r="AZ1193" s="81"/>
      <c r="BA1193" s="81"/>
      <c r="BB1193" s="81"/>
    </row>
    <row r="1194" spans="1:54" x14ac:dyDescent="0.35">
      <c r="A1194" s="66" t="s">
        <v>910</v>
      </c>
      <c r="B1194" s="66" t="s">
        <v>1412</v>
      </c>
      <c r="C1194" s="67"/>
      <c r="D1194" s="68"/>
      <c r="E1194" s="69"/>
      <c r="F1194" s="70"/>
      <c r="G1194" s="67"/>
      <c r="H1194" s="71"/>
      <c r="I1194" s="72"/>
      <c r="J1194" s="72"/>
      <c r="K1194" s="36"/>
      <c r="L1194" s="79"/>
      <c r="M1194" s="79"/>
      <c r="N1194" s="74"/>
      <c r="O1194" s="81" t="s">
        <v>1533</v>
      </c>
      <c r="P1194" s="83">
        <v>44464.288078703707</v>
      </c>
      <c r="Q1194" s="81" t="s">
        <v>1908</v>
      </c>
      <c r="R1194" s="81"/>
      <c r="S1194" s="81"/>
      <c r="T1194" s="86" t="s">
        <v>1413</v>
      </c>
      <c r="U1194" s="84" t="str">
        <f>HYPERLINK("https://pbs.twimg.com/media/FAEa_mFUYAcoKUu.jpg")</f>
        <v>https://pbs.twimg.com/media/FAEa_mFUYAcoKUu.jpg</v>
      </c>
      <c r="V1194" s="84" t="str">
        <f>HYPERLINK("https://pbs.twimg.com/media/FAEa_mFUYAcoKUu.jpg")</f>
        <v>https://pbs.twimg.com/media/FAEa_mFUYAcoKUu.jpg</v>
      </c>
      <c r="W1194" s="83">
        <v>44464.288078703707</v>
      </c>
      <c r="X1194" s="89">
        <v>44464</v>
      </c>
      <c r="Y1194" s="86" t="s">
        <v>3553</v>
      </c>
      <c r="Z1194" s="84" t="str">
        <f>HYPERLINK("https://twitter.com/bangpdwife/status/1441657429305950211")</f>
        <v>https://twitter.com/bangpdwife/status/1441657429305950211</v>
      </c>
      <c r="AA1194" s="81"/>
      <c r="AB1194" s="81"/>
      <c r="AC1194" s="86" t="s">
        <v>5018</v>
      </c>
      <c r="AD1194" s="81"/>
      <c r="AE1194" s="81" t="b">
        <v>0</v>
      </c>
      <c r="AF1194" s="81">
        <v>0</v>
      </c>
      <c r="AG1194" s="86" t="s">
        <v>6240</v>
      </c>
      <c r="AH1194" s="81" t="b">
        <v>0</v>
      </c>
      <c r="AI1194" s="81" t="s">
        <v>6479</v>
      </c>
      <c r="AJ1194" s="81"/>
      <c r="AK1194" s="86" t="s">
        <v>6240</v>
      </c>
      <c r="AL1194" s="81" t="b">
        <v>0</v>
      </c>
      <c r="AM1194" s="81">
        <v>23</v>
      </c>
      <c r="AN1194" s="86" t="s">
        <v>5111</v>
      </c>
      <c r="AO1194" s="86" t="s">
        <v>6503</v>
      </c>
      <c r="AP1194" s="81" t="b">
        <v>0</v>
      </c>
      <c r="AQ1194" s="86" t="s">
        <v>5111</v>
      </c>
      <c r="AR1194" s="81" t="s">
        <v>179</v>
      </c>
      <c r="AS1194" s="81">
        <v>0</v>
      </c>
      <c r="AT1194" s="81">
        <v>0</v>
      </c>
      <c r="AU1194" s="81"/>
      <c r="AV1194" s="81"/>
      <c r="AW1194" s="81"/>
      <c r="AX1194" s="81"/>
      <c r="AY1194" s="81"/>
      <c r="AZ1194" s="81"/>
      <c r="BA1194" s="81"/>
      <c r="BB1194" s="81"/>
    </row>
    <row r="1195" spans="1:54" x14ac:dyDescent="0.35">
      <c r="A1195" s="66" t="s">
        <v>910</v>
      </c>
      <c r="B1195" s="66" t="s">
        <v>1413</v>
      </c>
      <c r="C1195" s="67"/>
      <c r="D1195" s="68"/>
      <c r="E1195" s="69"/>
      <c r="F1195" s="70"/>
      <c r="G1195" s="67"/>
      <c r="H1195" s="71"/>
      <c r="I1195" s="72"/>
      <c r="J1195" s="72"/>
      <c r="K1195" s="36"/>
      <c r="L1195" s="79"/>
      <c r="M1195" s="79"/>
      <c r="N1195" s="74"/>
      <c r="O1195" s="81" t="s">
        <v>1533</v>
      </c>
      <c r="P1195" s="83">
        <v>44464.288078703707</v>
      </c>
      <c r="Q1195" s="81" t="s">
        <v>1908</v>
      </c>
      <c r="R1195" s="81"/>
      <c r="S1195" s="81"/>
      <c r="T1195" s="86" t="s">
        <v>1413</v>
      </c>
      <c r="U1195" s="84" t="str">
        <f>HYPERLINK("https://pbs.twimg.com/media/FAEa_mFUYAcoKUu.jpg")</f>
        <v>https://pbs.twimg.com/media/FAEa_mFUYAcoKUu.jpg</v>
      </c>
      <c r="V1195" s="84" t="str">
        <f>HYPERLINK("https://pbs.twimg.com/media/FAEa_mFUYAcoKUu.jpg")</f>
        <v>https://pbs.twimg.com/media/FAEa_mFUYAcoKUu.jpg</v>
      </c>
      <c r="W1195" s="83">
        <v>44464.288078703707</v>
      </c>
      <c r="X1195" s="89">
        <v>44464</v>
      </c>
      <c r="Y1195" s="86" t="s">
        <v>3553</v>
      </c>
      <c r="Z1195" s="84" t="str">
        <f>HYPERLINK("https://twitter.com/bangpdwife/status/1441657429305950211")</f>
        <v>https://twitter.com/bangpdwife/status/1441657429305950211</v>
      </c>
      <c r="AA1195" s="81"/>
      <c r="AB1195" s="81"/>
      <c r="AC1195" s="86" t="s">
        <v>5018</v>
      </c>
      <c r="AD1195" s="81"/>
      <c r="AE1195" s="81" t="b">
        <v>0</v>
      </c>
      <c r="AF1195" s="81">
        <v>0</v>
      </c>
      <c r="AG1195" s="86" t="s">
        <v>6240</v>
      </c>
      <c r="AH1195" s="81" t="b">
        <v>0</v>
      </c>
      <c r="AI1195" s="81" t="s">
        <v>6479</v>
      </c>
      <c r="AJ1195" s="81"/>
      <c r="AK1195" s="86" t="s">
        <v>6240</v>
      </c>
      <c r="AL1195" s="81" t="b">
        <v>0</v>
      </c>
      <c r="AM1195" s="81">
        <v>23</v>
      </c>
      <c r="AN1195" s="86" t="s">
        <v>5111</v>
      </c>
      <c r="AO1195" s="86" t="s">
        <v>6503</v>
      </c>
      <c r="AP1195" s="81" t="b">
        <v>0</v>
      </c>
      <c r="AQ1195" s="86" t="s">
        <v>5111</v>
      </c>
      <c r="AR1195" s="81" t="s">
        <v>179</v>
      </c>
      <c r="AS1195" s="81">
        <v>0</v>
      </c>
      <c r="AT1195" s="81">
        <v>0</v>
      </c>
      <c r="AU1195" s="81"/>
      <c r="AV1195" s="81"/>
      <c r="AW1195" s="81"/>
      <c r="AX1195" s="81"/>
      <c r="AY1195" s="81"/>
      <c r="AZ1195" s="81"/>
      <c r="BA1195" s="81"/>
      <c r="BB1195" s="81"/>
    </row>
    <row r="1196" spans="1:54" x14ac:dyDescent="0.35">
      <c r="A1196" s="66" t="s">
        <v>910</v>
      </c>
      <c r="B1196" s="66" t="s">
        <v>990</v>
      </c>
      <c r="C1196" s="67"/>
      <c r="D1196" s="68"/>
      <c r="E1196" s="69"/>
      <c r="F1196" s="70"/>
      <c r="G1196" s="67"/>
      <c r="H1196" s="71"/>
      <c r="I1196" s="72"/>
      <c r="J1196" s="72"/>
      <c r="K1196" s="36"/>
      <c r="L1196" s="79"/>
      <c r="M1196" s="79"/>
      <c r="N1196" s="74"/>
      <c r="O1196" s="81" t="s">
        <v>1532</v>
      </c>
      <c r="P1196" s="83">
        <v>44464.288078703707</v>
      </c>
      <c r="Q1196" s="81" t="s">
        <v>1908</v>
      </c>
      <c r="R1196" s="81"/>
      <c r="S1196" s="81"/>
      <c r="T1196" s="86" t="s">
        <v>1413</v>
      </c>
      <c r="U1196" s="84" t="str">
        <f>HYPERLINK("https://pbs.twimg.com/media/FAEa_mFUYAcoKUu.jpg")</f>
        <v>https://pbs.twimg.com/media/FAEa_mFUYAcoKUu.jpg</v>
      </c>
      <c r="V1196" s="84" t="str">
        <f>HYPERLINK("https://pbs.twimg.com/media/FAEa_mFUYAcoKUu.jpg")</f>
        <v>https://pbs.twimg.com/media/FAEa_mFUYAcoKUu.jpg</v>
      </c>
      <c r="W1196" s="83">
        <v>44464.288078703707</v>
      </c>
      <c r="X1196" s="89">
        <v>44464</v>
      </c>
      <c r="Y1196" s="86" t="s">
        <v>3553</v>
      </c>
      <c r="Z1196" s="84" t="str">
        <f>HYPERLINK("https://twitter.com/bangpdwife/status/1441657429305950211")</f>
        <v>https://twitter.com/bangpdwife/status/1441657429305950211</v>
      </c>
      <c r="AA1196" s="81"/>
      <c r="AB1196" s="81"/>
      <c r="AC1196" s="86" t="s">
        <v>5018</v>
      </c>
      <c r="AD1196" s="81"/>
      <c r="AE1196" s="81" t="b">
        <v>0</v>
      </c>
      <c r="AF1196" s="81">
        <v>0</v>
      </c>
      <c r="AG1196" s="86" t="s">
        <v>6240</v>
      </c>
      <c r="AH1196" s="81" t="b">
        <v>0</v>
      </c>
      <c r="AI1196" s="81" t="s">
        <v>6479</v>
      </c>
      <c r="AJ1196" s="81"/>
      <c r="AK1196" s="86" t="s">
        <v>6240</v>
      </c>
      <c r="AL1196" s="81" t="b">
        <v>0</v>
      </c>
      <c r="AM1196" s="81">
        <v>23</v>
      </c>
      <c r="AN1196" s="86" t="s">
        <v>5111</v>
      </c>
      <c r="AO1196" s="86" t="s">
        <v>6503</v>
      </c>
      <c r="AP1196" s="81" t="b">
        <v>0</v>
      </c>
      <c r="AQ1196" s="86" t="s">
        <v>5111</v>
      </c>
      <c r="AR1196" s="81" t="s">
        <v>179</v>
      </c>
      <c r="AS1196" s="81">
        <v>0</v>
      </c>
      <c r="AT1196" s="81">
        <v>0</v>
      </c>
      <c r="AU1196" s="81"/>
      <c r="AV1196" s="81"/>
      <c r="AW1196" s="81"/>
      <c r="AX1196" s="81"/>
      <c r="AY1196" s="81"/>
      <c r="AZ1196" s="81"/>
      <c r="BA1196" s="81"/>
      <c r="BB1196" s="81"/>
    </row>
    <row r="1197" spans="1:54" x14ac:dyDescent="0.35">
      <c r="A1197" s="66" t="s">
        <v>911</v>
      </c>
      <c r="B1197" s="66" t="s">
        <v>1410</v>
      </c>
      <c r="C1197" s="67"/>
      <c r="D1197" s="68"/>
      <c r="E1197" s="69"/>
      <c r="F1197" s="70"/>
      <c r="G1197" s="67"/>
      <c r="H1197" s="71"/>
      <c r="I1197" s="72"/>
      <c r="J1197" s="72"/>
      <c r="K1197" s="36"/>
      <c r="L1197" s="79"/>
      <c r="M1197" s="79"/>
      <c r="N1197" s="74"/>
      <c r="O1197" s="81" t="s">
        <v>1533</v>
      </c>
      <c r="P1197" s="83">
        <v>44464.236157407409</v>
      </c>
      <c r="Q1197" s="81" t="s">
        <v>1910</v>
      </c>
      <c r="R1197" s="81"/>
      <c r="S1197" s="81"/>
      <c r="T1197" s="86" t="s">
        <v>1413</v>
      </c>
      <c r="U1197" s="84" t="str">
        <f>HYPERLINK("https://pbs.twimg.com/media/FAEaAdPVgAgaH2z.jpg")</f>
        <v>https://pbs.twimg.com/media/FAEaAdPVgAgaH2z.jpg</v>
      </c>
      <c r="V1197" s="84" t="str">
        <f>HYPERLINK("https://pbs.twimg.com/media/FAEaAdPVgAgaH2z.jpg")</f>
        <v>https://pbs.twimg.com/media/FAEaAdPVgAgaH2z.jpg</v>
      </c>
      <c r="W1197" s="83">
        <v>44464.236157407409</v>
      </c>
      <c r="X1197" s="89">
        <v>44464</v>
      </c>
      <c r="Y1197" s="86" t="s">
        <v>3554</v>
      </c>
      <c r="Z1197" s="84" t="str">
        <f>HYPERLINK("https://twitter.com/pjmnjjkk/status/1441638614023114752")</f>
        <v>https://twitter.com/pjmnjjkk/status/1441638614023114752</v>
      </c>
      <c r="AA1197" s="81"/>
      <c r="AB1197" s="81"/>
      <c r="AC1197" s="86" t="s">
        <v>5019</v>
      </c>
      <c r="AD1197" s="81"/>
      <c r="AE1197" s="81" t="b">
        <v>0</v>
      </c>
      <c r="AF1197" s="81">
        <v>0</v>
      </c>
      <c r="AG1197" s="86" t="s">
        <v>6240</v>
      </c>
      <c r="AH1197" s="81" t="b">
        <v>0</v>
      </c>
      <c r="AI1197" s="81" t="s">
        <v>6479</v>
      </c>
      <c r="AJ1197" s="81"/>
      <c r="AK1197" s="86" t="s">
        <v>6240</v>
      </c>
      <c r="AL1197" s="81" t="b">
        <v>0</v>
      </c>
      <c r="AM1197" s="81">
        <v>21</v>
      </c>
      <c r="AN1197" s="86" t="s">
        <v>5109</v>
      </c>
      <c r="AO1197" s="86" t="s">
        <v>6507</v>
      </c>
      <c r="AP1197" s="81" t="b">
        <v>0</v>
      </c>
      <c r="AQ1197" s="86" t="s">
        <v>5109</v>
      </c>
      <c r="AR1197" s="81" t="s">
        <v>179</v>
      </c>
      <c r="AS1197" s="81">
        <v>0</v>
      </c>
      <c r="AT1197" s="81">
        <v>0</v>
      </c>
      <c r="AU1197" s="81"/>
      <c r="AV1197" s="81"/>
      <c r="AW1197" s="81"/>
      <c r="AX1197" s="81"/>
      <c r="AY1197" s="81"/>
      <c r="AZ1197" s="81"/>
      <c r="BA1197" s="81"/>
      <c r="BB1197" s="81"/>
    </row>
    <row r="1198" spans="1:54" x14ac:dyDescent="0.35">
      <c r="A1198" s="66" t="s">
        <v>911</v>
      </c>
      <c r="B1198" s="66" t="s">
        <v>1411</v>
      </c>
      <c r="C1198" s="67"/>
      <c r="D1198" s="68"/>
      <c r="E1198" s="69"/>
      <c r="F1198" s="70"/>
      <c r="G1198" s="67"/>
      <c r="H1198" s="71"/>
      <c r="I1198" s="72"/>
      <c r="J1198" s="72"/>
      <c r="K1198" s="36"/>
      <c r="L1198" s="79"/>
      <c r="M1198" s="79"/>
      <c r="N1198" s="74"/>
      <c r="O1198" s="81" t="s">
        <v>1533</v>
      </c>
      <c r="P1198" s="83">
        <v>44464.236157407409</v>
      </c>
      <c r="Q1198" s="81" t="s">
        <v>1910</v>
      </c>
      <c r="R1198" s="81"/>
      <c r="S1198" s="81"/>
      <c r="T1198" s="86" t="s">
        <v>1413</v>
      </c>
      <c r="U1198" s="84" t="str">
        <f>HYPERLINK("https://pbs.twimg.com/media/FAEaAdPVgAgaH2z.jpg")</f>
        <v>https://pbs.twimg.com/media/FAEaAdPVgAgaH2z.jpg</v>
      </c>
      <c r="V1198" s="84" t="str">
        <f>HYPERLINK("https://pbs.twimg.com/media/FAEaAdPVgAgaH2z.jpg")</f>
        <v>https://pbs.twimg.com/media/FAEaAdPVgAgaH2z.jpg</v>
      </c>
      <c r="W1198" s="83">
        <v>44464.236157407409</v>
      </c>
      <c r="X1198" s="89">
        <v>44464</v>
      </c>
      <c r="Y1198" s="86" t="s">
        <v>3554</v>
      </c>
      <c r="Z1198" s="84" t="str">
        <f>HYPERLINK("https://twitter.com/pjmnjjkk/status/1441638614023114752")</f>
        <v>https://twitter.com/pjmnjjkk/status/1441638614023114752</v>
      </c>
      <c r="AA1198" s="81"/>
      <c r="AB1198" s="81"/>
      <c r="AC1198" s="86" t="s">
        <v>5019</v>
      </c>
      <c r="AD1198" s="81"/>
      <c r="AE1198" s="81" t="b">
        <v>0</v>
      </c>
      <c r="AF1198" s="81">
        <v>0</v>
      </c>
      <c r="AG1198" s="86" t="s">
        <v>6240</v>
      </c>
      <c r="AH1198" s="81" t="b">
        <v>0</v>
      </c>
      <c r="AI1198" s="81" t="s">
        <v>6479</v>
      </c>
      <c r="AJ1198" s="81"/>
      <c r="AK1198" s="86" t="s">
        <v>6240</v>
      </c>
      <c r="AL1198" s="81" t="b">
        <v>0</v>
      </c>
      <c r="AM1198" s="81">
        <v>21</v>
      </c>
      <c r="AN1198" s="86" t="s">
        <v>5109</v>
      </c>
      <c r="AO1198" s="86" t="s">
        <v>6507</v>
      </c>
      <c r="AP1198" s="81" t="b">
        <v>0</v>
      </c>
      <c r="AQ1198" s="86" t="s">
        <v>5109</v>
      </c>
      <c r="AR1198" s="81" t="s">
        <v>179</v>
      </c>
      <c r="AS1198" s="81">
        <v>0</v>
      </c>
      <c r="AT1198" s="81">
        <v>0</v>
      </c>
      <c r="AU1198" s="81"/>
      <c r="AV1198" s="81"/>
      <c r="AW1198" s="81"/>
      <c r="AX1198" s="81"/>
      <c r="AY1198" s="81"/>
      <c r="AZ1198" s="81"/>
      <c r="BA1198" s="81"/>
      <c r="BB1198" s="81"/>
    </row>
    <row r="1199" spans="1:54" x14ac:dyDescent="0.35">
      <c r="A1199" s="66" t="s">
        <v>911</v>
      </c>
      <c r="B1199" s="66" t="s">
        <v>1412</v>
      </c>
      <c r="C1199" s="67"/>
      <c r="D1199" s="68"/>
      <c r="E1199" s="69"/>
      <c r="F1199" s="70"/>
      <c r="G1199" s="67"/>
      <c r="H1199" s="71"/>
      <c r="I1199" s="72"/>
      <c r="J1199" s="72"/>
      <c r="K1199" s="36"/>
      <c r="L1199" s="79"/>
      <c r="M1199" s="79"/>
      <c r="N1199" s="74"/>
      <c r="O1199" s="81" t="s">
        <v>1533</v>
      </c>
      <c r="P1199" s="83">
        <v>44464.236157407409</v>
      </c>
      <c r="Q1199" s="81" t="s">
        <v>1910</v>
      </c>
      <c r="R1199" s="81"/>
      <c r="S1199" s="81"/>
      <c r="T1199" s="86" t="s">
        <v>1413</v>
      </c>
      <c r="U1199" s="84" t="str">
        <f>HYPERLINK("https://pbs.twimg.com/media/FAEaAdPVgAgaH2z.jpg")</f>
        <v>https://pbs.twimg.com/media/FAEaAdPVgAgaH2z.jpg</v>
      </c>
      <c r="V1199" s="84" t="str">
        <f>HYPERLINK("https://pbs.twimg.com/media/FAEaAdPVgAgaH2z.jpg")</f>
        <v>https://pbs.twimg.com/media/FAEaAdPVgAgaH2z.jpg</v>
      </c>
      <c r="W1199" s="83">
        <v>44464.236157407409</v>
      </c>
      <c r="X1199" s="89">
        <v>44464</v>
      </c>
      <c r="Y1199" s="86" t="s">
        <v>3554</v>
      </c>
      <c r="Z1199" s="84" t="str">
        <f>HYPERLINK("https://twitter.com/pjmnjjkk/status/1441638614023114752")</f>
        <v>https://twitter.com/pjmnjjkk/status/1441638614023114752</v>
      </c>
      <c r="AA1199" s="81"/>
      <c r="AB1199" s="81"/>
      <c r="AC1199" s="86" t="s">
        <v>5019</v>
      </c>
      <c r="AD1199" s="81"/>
      <c r="AE1199" s="81" t="b">
        <v>0</v>
      </c>
      <c r="AF1199" s="81">
        <v>0</v>
      </c>
      <c r="AG1199" s="86" t="s">
        <v>6240</v>
      </c>
      <c r="AH1199" s="81" t="b">
        <v>0</v>
      </c>
      <c r="AI1199" s="81" t="s">
        <v>6479</v>
      </c>
      <c r="AJ1199" s="81"/>
      <c r="AK1199" s="86" t="s">
        <v>6240</v>
      </c>
      <c r="AL1199" s="81" t="b">
        <v>0</v>
      </c>
      <c r="AM1199" s="81">
        <v>21</v>
      </c>
      <c r="AN1199" s="86" t="s">
        <v>5109</v>
      </c>
      <c r="AO1199" s="86" t="s">
        <v>6507</v>
      </c>
      <c r="AP1199" s="81" t="b">
        <v>0</v>
      </c>
      <c r="AQ1199" s="86" t="s">
        <v>5109</v>
      </c>
      <c r="AR1199" s="81" t="s">
        <v>179</v>
      </c>
      <c r="AS1199" s="81">
        <v>0</v>
      </c>
      <c r="AT1199" s="81">
        <v>0</v>
      </c>
      <c r="AU1199" s="81"/>
      <c r="AV1199" s="81"/>
      <c r="AW1199" s="81"/>
      <c r="AX1199" s="81"/>
      <c r="AY1199" s="81"/>
      <c r="AZ1199" s="81"/>
      <c r="BA1199" s="81"/>
      <c r="BB1199" s="81"/>
    </row>
    <row r="1200" spans="1:54" x14ac:dyDescent="0.35">
      <c r="A1200" s="66" t="s">
        <v>911</v>
      </c>
      <c r="B1200" s="66" t="s">
        <v>1413</v>
      </c>
      <c r="C1200" s="67"/>
      <c r="D1200" s="68"/>
      <c r="E1200" s="69"/>
      <c r="F1200" s="70"/>
      <c r="G1200" s="67"/>
      <c r="H1200" s="71"/>
      <c r="I1200" s="72"/>
      <c r="J1200" s="72"/>
      <c r="K1200" s="36"/>
      <c r="L1200" s="79"/>
      <c r="M1200" s="79"/>
      <c r="N1200" s="74"/>
      <c r="O1200" s="81" t="s">
        <v>1533</v>
      </c>
      <c r="P1200" s="83">
        <v>44464.236157407409</v>
      </c>
      <c r="Q1200" s="81" t="s">
        <v>1910</v>
      </c>
      <c r="R1200" s="81"/>
      <c r="S1200" s="81"/>
      <c r="T1200" s="86" t="s">
        <v>1413</v>
      </c>
      <c r="U1200" s="84" t="str">
        <f>HYPERLINK("https://pbs.twimg.com/media/FAEaAdPVgAgaH2z.jpg")</f>
        <v>https://pbs.twimg.com/media/FAEaAdPVgAgaH2z.jpg</v>
      </c>
      <c r="V1200" s="84" t="str">
        <f>HYPERLINK("https://pbs.twimg.com/media/FAEaAdPVgAgaH2z.jpg")</f>
        <v>https://pbs.twimg.com/media/FAEaAdPVgAgaH2z.jpg</v>
      </c>
      <c r="W1200" s="83">
        <v>44464.236157407409</v>
      </c>
      <c r="X1200" s="89">
        <v>44464</v>
      </c>
      <c r="Y1200" s="86" t="s">
        <v>3554</v>
      </c>
      <c r="Z1200" s="84" t="str">
        <f>HYPERLINK("https://twitter.com/pjmnjjkk/status/1441638614023114752")</f>
        <v>https://twitter.com/pjmnjjkk/status/1441638614023114752</v>
      </c>
      <c r="AA1200" s="81"/>
      <c r="AB1200" s="81"/>
      <c r="AC1200" s="86" t="s">
        <v>5019</v>
      </c>
      <c r="AD1200" s="81"/>
      <c r="AE1200" s="81" t="b">
        <v>0</v>
      </c>
      <c r="AF1200" s="81">
        <v>0</v>
      </c>
      <c r="AG1200" s="86" t="s">
        <v>6240</v>
      </c>
      <c r="AH1200" s="81" t="b">
        <v>0</v>
      </c>
      <c r="AI1200" s="81" t="s">
        <v>6479</v>
      </c>
      <c r="AJ1200" s="81"/>
      <c r="AK1200" s="86" t="s">
        <v>6240</v>
      </c>
      <c r="AL1200" s="81" t="b">
        <v>0</v>
      </c>
      <c r="AM1200" s="81">
        <v>21</v>
      </c>
      <c r="AN1200" s="86" t="s">
        <v>5109</v>
      </c>
      <c r="AO1200" s="86" t="s">
        <v>6507</v>
      </c>
      <c r="AP1200" s="81" t="b">
        <v>0</v>
      </c>
      <c r="AQ1200" s="86" t="s">
        <v>5109</v>
      </c>
      <c r="AR1200" s="81" t="s">
        <v>179</v>
      </c>
      <c r="AS1200" s="81">
        <v>0</v>
      </c>
      <c r="AT1200" s="81">
        <v>0</v>
      </c>
      <c r="AU1200" s="81"/>
      <c r="AV1200" s="81"/>
      <c r="AW1200" s="81"/>
      <c r="AX1200" s="81"/>
      <c r="AY1200" s="81"/>
      <c r="AZ1200" s="81"/>
      <c r="BA1200" s="81"/>
      <c r="BB1200" s="81"/>
    </row>
    <row r="1201" spans="1:54" x14ac:dyDescent="0.35">
      <c r="A1201" s="66" t="s">
        <v>911</v>
      </c>
      <c r="B1201" s="66" t="s">
        <v>990</v>
      </c>
      <c r="C1201" s="67"/>
      <c r="D1201" s="68"/>
      <c r="E1201" s="69"/>
      <c r="F1201" s="70"/>
      <c r="G1201" s="67"/>
      <c r="H1201" s="71"/>
      <c r="I1201" s="72"/>
      <c r="J1201" s="72"/>
      <c r="K1201" s="36"/>
      <c r="L1201" s="79"/>
      <c r="M1201" s="79"/>
      <c r="N1201" s="74"/>
      <c r="O1201" s="81" t="s">
        <v>1532</v>
      </c>
      <c r="P1201" s="83">
        <v>44464.236157407409</v>
      </c>
      <c r="Q1201" s="81" t="s">
        <v>1910</v>
      </c>
      <c r="R1201" s="81"/>
      <c r="S1201" s="81"/>
      <c r="T1201" s="86" t="s">
        <v>1413</v>
      </c>
      <c r="U1201" s="84" t="str">
        <f>HYPERLINK("https://pbs.twimg.com/media/FAEaAdPVgAgaH2z.jpg")</f>
        <v>https://pbs.twimg.com/media/FAEaAdPVgAgaH2z.jpg</v>
      </c>
      <c r="V1201" s="84" t="str">
        <f>HYPERLINK("https://pbs.twimg.com/media/FAEaAdPVgAgaH2z.jpg")</f>
        <v>https://pbs.twimg.com/media/FAEaAdPVgAgaH2z.jpg</v>
      </c>
      <c r="W1201" s="83">
        <v>44464.236157407409</v>
      </c>
      <c r="X1201" s="89">
        <v>44464</v>
      </c>
      <c r="Y1201" s="86" t="s">
        <v>3554</v>
      </c>
      <c r="Z1201" s="84" t="str">
        <f>HYPERLINK("https://twitter.com/pjmnjjkk/status/1441638614023114752")</f>
        <v>https://twitter.com/pjmnjjkk/status/1441638614023114752</v>
      </c>
      <c r="AA1201" s="81"/>
      <c r="AB1201" s="81"/>
      <c r="AC1201" s="86" t="s">
        <v>5019</v>
      </c>
      <c r="AD1201" s="81"/>
      <c r="AE1201" s="81" t="b">
        <v>0</v>
      </c>
      <c r="AF1201" s="81">
        <v>0</v>
      </c>
      <c r="AG1201" s="86" t="s">
        <v>6240</v>
      </c>
      <c r="AH1201" s="81" t="b">
        <v>0</v>
      </c>
      <c r="AI1201" s="81" t="s">
        <v>6479</v>
      </c>
      <c r="AJ1201" s="81"/>
      <c r="AK1201" s="86" t="s">
        <v>6240</v>
      </c>
      <c r="AL1201" s="81" t="b">
        <v>0</v>
      </c>
      <c r="AM1201" s="81">
        <v>21</v>
      </c>
      <c r="AN1201" s="86" t="s">
        <v>5109</v>
      </c>
      <c r="AO1201" s="86" t="s">
        <v>6507</v>
      </c>
      <c r="AP1201" s="81" t="b">
        <v>0</v>
      </c>
      <c r="AQ1201" s="86" t="s">
        <v>5109</v>
      </c>
      <c r="AR1201" s="81" t="s">
        <v>179</v>
      </c>
      <c r="AS1201" s="81">
        <v>0</v>
      </c>
      <c r="AT1201" s="81">
        <v>0</v>
      </c>
      <c r="AU1201" s="81"/>
      <c r="AV1201" s="81"/>
      <c r="AW1201" s="81"/>
      <c r="AX1201" s="81"/>
      <c r="AY1201" s="81"/>
      <c r="AZ1201" s="81"/>
      <c r="BA1201" s="81"/>
      <c r="BB1201" s="81"/>
    </row>
    <row r="1202" spans="1:54" x14ac:dyDescent="0.35">
      <c r="A1202" s="66" t="s">
        <v>911</v>
      </c>
      <c r="B1202" s="66" t="s">
        <v>1410</v>
      </c>
      <c r="C1202" s="67"/>
      <c r="D1202" s="68"/>
      <c r="E1202" s="69"/>
      <c r="F1202" s="70"/>
      <c r="G1202" s="67"/>
      <c r="H1202" s="71"/>
      <c r="I1202" s="72"/>
      <c r="J1202" s="72"/>
      <c r="K1202" s="36"/>
      <c r="L1202" s="79"/>
      <c r="M1202" s="79"/>
      <c r="N1202" s="74"/>
      <c r="O1202" s="81" t="s">
        <v>1533</v>
      </c>
      <c r="P1202" s="83">
        <v>44464.289097222223</v>
      </c>
      <c r="Q1202" s="81" t="s">
        <v>1908</v>
      </c>
      <c r="R1202" s="81"/>
      <c r="S1202" s="81"/>
      <c r="T1202" s="86" t="s">
        <v>1413</v>
      </c>
      <c r="U1202" s="84" t="str">
        <f>HYPERLINK("https://pbs.twimg.com/media/FAEa_mFUYAcoKUu.jpg")</f>
        <v>https://pbs.twimg.com/media/FAEa_mFUYAcoKUu.jpg</v>
      </c>
      <c r="V1202" s="84" t="str">
        <f>HYPERLINK("https://pbs.twimg.com/media/FAEa_mFUYAcoKUu.jpg")</f>
        <v>https://pbs.twimg.com/media/FAEa_mFUYAcoKUu.jpg</v>
      </c>
      <c r="W1202" s="83">
        <v>44464.289097222223</v>
      </c>
      <c r="X1202" s="89">
        <v>44464</v>
      </c>
      <c r="Y1202" s="86" t="s">
        <v>3555</v>
      </c>
      <c r="Z1202" s="84" t="str">
        <f>HYPERLINK("https://twitter.com/pjmnjjkk/status/1441657797288992771")</f>
        <v>https://twitter.com/pjmnjjkk/status/1441657797288992771</v>
      </c>
      <c r="AA1202" s="81"/>
      <c r="AB1202" s="81"/>
      <c r="AC1202" s="86" t="s">
        <v>5020</v>
      </c>
      <c r="AD1202" s="81"/>
      <c r="AE1202" s="81" t="b">
        <v>0</v>
      </c>
      <c r="AF1202" s="81">
        <v>0</v>
      </c>
      <c r="AG1202" s="86" t="s">
        <v>6240</v>
      </c>
      <c r="AH1202" s="81" t="b">
        <v>0</v>
      </c>
      <c r="AI1202" s="81" t="s">
        <v>6479</v>
      </c>
      <c r="AJ1202" s="81"/>
      <c r="AK1202" s="86" t="s">
        <v>6240</v>
      </c>
      <c r="AL1202" s="81" t="b">
        <v>0</v>
      </c>
      <c r="AM1202" s="81">
        <v>23</v>
      </c>
      <c r="AN1202" s="86" t="s">
        <v>5111</v>
      </c>
      <c r="AO1202" s="86" t="s">
        <v>6507</v>
      </c>
      <c r="AP1202" s="81" t="b">
        <v>0</v>
      </c>
      <c r="AQ1202" s="86" t="s">
        <v>5111</v>
      </c>
      <c r="AR1202" s="81" t="s">
        <v>179</v>
      </c>
      <c r="AS1202" s="81">
        <v>0</v>
      </c>
      <c r="AT1202" s="81">
        <v>0</v>
      </c>
      <c r="AU1202" s="81"/>
      <c r="AV1202" s="81"/>
      <c r="AW1202" s="81"/>
      <c r="AX1202" s="81"/>
      <c r="AY1202" s="81"/>
      <c r="AZ1202" s="81"/>
      <c r="BA1202" s="81"/>
      <c r="BB1202" s="81"/>
    </row>
    <row r="1203" spans="1:54" x14ac:dyDescent="0.35">
      <c r="A1203" s="66" t="s">
        <v>911</v>
      </c>
      <c r="B1203" s="66" t="s">
        <v>1411</v>
      </c>
      <c r="C1203" s="67"/>
      <c r="D1203" s="68"/>
      <c r="E1203" s="69"/>
      <c r="F1203" s="70"/>
      <c r="G1203" s="67"/>
      <c r="H1203" s="71"/>
      <c r="I1203" s="72"/>
      <c r="J1203" s="72"/>
      <c r="K1203" s="36"/>
      <c r="L1203" s="79"/>
      <c r="M1203" s="79"/>
      <c r="N1203" s="74"/>
      <c r="O1203" s="81" t="s">
        <v>1533</v>
      </c>
      <c r="P1203" s="83">
        <v>44464.289097222223</v>
      </c>
      <c r="Q1203" s="81" t="s">
        <v>1908</v>
      </c>
      <c r="R1203" s="81"/>
      <c r="S1203" s="81"/>
      <c r="T1203" s="86" t="s">
        <v>1413</v>
      </c>
      <c r="U1203" s="84" t="str">
        <f>HYPERLINK("https://pbs.twimg.com/media/FAEa_mFUYAcoKUu.jpg")</f>
        <v>https://pbs.twimg.com/media/FAEa_mFUYAcoKUu.jpg</v>
      </c>
      <c r="V1203" s="84" t="str">
        <f>HYPERLINK("https://pbs.twimg.com/media/FAEa_mFUYAcoKUu.jpg")</f>
        <v>https://pbs.twimg.com/media/FAEa_mFUYAcoKUu.jpg</v>
      </c>
      <c r="W1203" s="83">
        <v>44464.289097222223</v>
      </c>
      <c r="X1203" s="89">
        <v>44464</v>
      </c>
      <c r="Y1203" s="86" t="s">
        <v>3555</v>
      </c>
      <c r="Z1203" s="84" t="str">
        <f>HYPERLINK("https://twitter.com/pjmnjjkk/status/1441657797288992771")</f>
        <v>https://twitter.com/pjmnjjkk/status/1441657797288992771</v>
      </c>
      <c r="AA1203" s="81"/>
      <c r="AB1203" s="81"/>
      <c r="AC1203" s="86" t="s">
        <v>5020</v>
      </c>
      <c r="AD1203" s="81"/>
      <c r="AE1203" s="81" t="b">
        <v>0</v>
      </c>
      <c r="AF1203" s="81">
        <v>0</v>
      </c>
      <c r="AG1203" s="86" t="s">
        <v>6240</v>
      </c>
      <c r="AH1203" s="81" t="b">
        <v>0</v>
      </c>
      <c r="AI1203" s="81" t="s">
        <v>6479</v>
      </c>
      <c r="AJ1203" s="81"/>
      <c r="AK1203" s="86" t="s">
        <v>6240</v>
      </c>
      <c r="AL1203" s="81" t="b">
        <v>0</v>
      </c>
      <c r="AM1203" s="81">
        <v>23</v>
      </c>
      <c r="AN1203" s="86" t="s">
        <v>5111</v>
      </c>
      <c r="AO1203" s="86" t="s">
        <v>6507</v>
      </c>
      <c r="AP1203" s="81" t="b">
        <v>0</v>
      </c>
      <c r="AQ1203" s="86" t="s">
        <v>5111</v>
      </c>
      <c r="AR1203" s="81" t="s">
        <v>179</v>
      </c>
      <c r="AS1203" s="81">
        <v>0</v>
      </c>
      <c r="AT1203" s="81">
        <v>0</v>
      </c>
      <c r="AU1203" s="81"/>
      <c r="AV1203" s="81"/>
      <c r="AW1203" s="81"/>
      <c r="AX1203" s="81"/>
      <c r="AY1203" s="81"/>
      <c r="AZ1203" s="81"/>
      <c r="BA1203" s="81"/>
      <c r="BB1203" s="81"/>
    </row>
    <row r="1204" spans="1:54" x14ac:dyDescent="0.35">
      <c r="A1204" s="66" t="s">
        <v>911</v>
      </c>
      <c r="B1204" s="66" t="s">
        <v>1412</v>
      </c>
      <c r="C1204" s="67"/>
      <c r="D1204" s="68"/>
      <c r="E1204" s="69"/>
      <c r="F1204" s="70"/>
      <c r="G1204" s="67"/>
      <c r="H1204" s="71"/>
      <c r="I1204" s="72"/>
      <c r="J1204" s="72"/>
      <c r="K1204" s="36"/>
      <c r="L1204" s="79"/>
      <c r="M1204" s="79"/>
      <c r="N1204" s="74"/>
      <c r="O1204" s="81" t="s">
        <v>1533</v>
      </c>
      <c r="P1204" s="83">
        <v>44464.289097222223</v>
      </c>
      <c r="Q1204" s="81" t="s">
        <v>1908</v>
      </c>
      <c r="R1204" s="81"/>
      <c r="S1204" s="81"/>
      <c r="T1204" s="86" t="s">
        <v>1413</v>
      </c>
      <c r="U1204" s="84" t="str">
        <f>HYPERLINK("https://pbs.twimg.com/media/FAEa_mFUYAcoKUu.jpg")</f>
        <v>https://pbs.twimg.com/media/FAEa_mFUYAcoKUu.jpg</v>
      </c>
      <c r="V1204" s="84" t="str">
        <f>HYPERLINK("https://pbs.twimg.com/media/FAEa_mFUYAcoKUu.jpg")</f>
        <v>https://pbs.twimg.com/media/FAEa_mFUYAcoKUu.jpg</v>
      </c>
      <c r="W1204" s="83">
        <v>44464.289097222223</v>
      </c>
      <c r="X1204" s="89">
        <v>44464</v>
      </c>
      <c r="Y1204" s="86" t="s">
        <v>3555</v>
      </c>
      <c r="Z1204" s="84" t="str">
        <f>HYPERLINK("https://twitter.com/pjmnjjkk/status/1441657797288992771")</f>
        <v>https://twitter.com/pjmnjjkk/status/1441657797288992771</v>
      </c>
      <c r="AA1204" s="81"/>
      <c r="AB1204" s="81"/>
      <c r="AC1204" s="86" t="s">
        <v>5020</v>
      </c>
      <c r="AD1204" s="81"/>
      <c r="AE1204" s="81" t="b">
        <v>0</v>
      </c>
      <c r="AF1204" s="81">
        <v>0</v>
      </c>
      <c r="AG1204" s="86" t="s">
        <v>6240</v>
      </c>
      <c r="AH1204" s="81" t="b">
        <v>0</v>
      </c>
      <c r="AI1204" s="81" t="s">
        <v>6479</v>
      </c>
      <c r="AJ1204" s="81"/>
      <c r="AK1204" s="86" t="s">
        <v>6240</v>
      </c>
      <c r="AL1204" s="81" t="b">
        <v>0</v>
      </c>
      <c r="AM1204" s="81">
        <v>23</v>
      </c>
      <c r="AN1204" s="86" t="s">
        <v>5111</v>
      </c>
      <c r="AO1204" s="86" t="s">
        <v>6507</v>
      </c>
      <c r="AP1204" s="81" t="b">
        <v>0</v>
      </c>
      <c r="AQ1204" s="86" t="s">
        <v>5111</v>
      </c>
      <c r="AR1204" s="81" t="s">
        <v>179</v>
      </c>
      <c r="AS1204" s="81">
        <v>0</v>
      </c>
      <c r="AT1204" s="81">
        <v>0</v>
      </c>
      <c r="AU1204" s="81"/>
      <c r="AV1204" s="81"/>
      <c r="AW1204" s="81"/>
      <c r="AX1204" s="81"/>
      <c r="AY1204" s="81"/>
      <c r="AZ1204" s="81"/>
      <c r="BA1204" s="81"/>
      <c r="BB1204" s="81"/>
    </row>
    <row r="1205" spans="1:54" x14ac:dyDescent="0.35">
      <c r="A1205" s="66" t="s">
        <v>911</v>
      </c>
      <c r="B1205" s="66" t="s">
        <v>1413</v>
      </c>
      <c r="C1205" s="67"/>
      <c r="D1205" s="68"/>
      <c r="E1205" s="69"/>
      <c r="F1205" s="70"/>
      <c r="G1205" s="67"/>
      <c r="H1205" s="71"/>
      <c r="I1205" s="72"/>
      <c r="J1205" s="72"/>
      <c r="K1205" s="36"/>
      <c r="L1205" s="79"/>
      <c r="M1205" s="79"/>
      <c r="N1205" s="74"/>
      <c r="O1205" s="81" t="s">
        <v>1533</v>
      </c>
      <c r="P1205" s="83">
        <v>44464.289097222223</v>
      </c>
      <c r="Q1205" s="81" t="s">
        <v>1908</v>
      </c>
      <c r="R1205" s="81"/>
      <c r="S1205" s="81"/>
      <c r="T1205" s="86" t="s">
        <v>1413</v>
      </c>
      <c r="U1205" s="84" t="str">
        <f>HYPERLINK("https://pbs.twimg.com/media/FAEa_mFUYAcoKUu.jpg")</f>
        <v>https://pbs.twimg.com/media/FAEa_mFUYAcoKUu.jpg</v>
      </c>
      <c r="V1205" s="84" t="str">
        <f>HYPERLINK("https://pbs.twimg.com/media/FAEa_mFUYAcoKUu.jpg")</f>
        <v>https://pbs.twimg.com/media/FAEa_mFUYAcoKUu.jpg</v>
      </c>
      <c r="W1205" s="83">
        <v>44464.289097222223</v>
      </c>
      <c r="X1205" s="89">
        <v>44464</v>
      </c>
      <c r="Y1205" s="86" t="s">
        <v>3555</v>
      </c>
      <c r="Z1205" s="84" t="str">
        <f>HYPERLINK("https://twitter.com/pjmnjjkk/status/1441657797288992771")</f>
        <v>https://twitter.com/pjmnjjkk/status/1441657797288992771</v>
      </c>
      <c r="AA1205" s="81"/>
      <c r="AB1205" s="81"/>
      <c r="AC1205" s="86" t="s">
        <v>5020</v>
      </c>
      <c r="AD1205" s="81"/>
      <c r="AE1205" s="81" t="b">
        <v>0</v>
      </c>
      <c r="AF1205" s="81">
        <v>0</v>
      </c>
      <c r="AG1205" s="86" t="s">
        <v>6240</v>
      </c>
      <c r="AH1205" s="81" t="b">
        <v>0</v>
      </c>
      <c r="AI1205" s="81" t="s">
        <v>6479</v>
      </c>
      <c r="AJ1205" s="81"/>
      <c r="AK1205" s="86" t="s">
        <v>6240</v>
      </c>
      <c r="AL1205" s="81" t="b">
        <v>0</v>
      </c>
      <c r="AM1205" s="81">
        <v>23</v>
      </c>
      <c r="AN1205" s="86" t="s">
        <v>5111</v>
      </c>
      <c r="AO1205" s="86" t="s">
        <v>6507</v>
      </c>
      <c r="AP1205" s="81" t="b">
        <v>0</v>
      </c>
      <c r="AQ1205" s="86" t="s">
        <v>5111</v>
      </c>
      <c r="AR1205" s="81" t="s">
        <v>179</v>
      </c>
      <c r="AS1205" s="81">
        <v>0</v>
      </c>
      <c r="AT1205" s="81">
        <v>0</v>
      </c>
      <c r="AU1205" s="81"/>
      <c r="AV1205" s="81"/>
      <c r="AW1205" s="81"/>
      <c r="AX1205" s="81"/>
      <c r="AY1205" s="81"/>
      <c r="AZ1205" s="81"/>
      <c r="BA1205" s="81"/>
      <c r="BB1205" s="81"/>
    </row>
    <row r="1206" spans="1:54" x14ac:dyDescent="0.35">
      <c r="A1206" s="66" t="s">
        <v>911</v>
      </c>
      <c r="B1206" s="66" t="s">
        <v>990</v>
      </c>
      <c r="C1206" s="67"/>
      <c r="D1206" s="68"/>
      <c r="E1206" s="69"/>
      <c r="F1206" s="70"/>
      <c r="G1206" s="67"/>
      <c r="H1206" s="71"/>
      <c r="I1206" s="72"/>
      <c r="J1206" s="72"/>
      <c r="K1206" s="36"/>
      <c r="L1206" s="79"/>
      <c r="M1206" s="79"/>
      <c r="N1206" s="74"/>
      <c r="O1206" s="81" t="s">
        <v>1532</v>
      </c>
      <c r="P1206" s="83">
        <v>44464.289097222223</v>
      </c>
      <c r="Q1206" s="81" t="s">
        <v>1908</v>
      </c>
      <c r="R1206" s="81"/>
      <c r="S1206" s="81"/>
      <c r="T1206" s="86" t="s">
        <v>1413</v>
      </c>
      <c r="U1206" s="84" t="str">
        <f>HYPERLINK("https://pbs.twimg.com/media/FAEa_mFUYAcoKUu.jpg")</f>
        <v>https://pbs.twimg.com/media/FAEa_mFUYAcoKUu.jpg</v>
      </c>
      <c r="V1206" s="84" t="str">
        <f>HYPERLINK("https://pbs.twimg.com/media/FAEa_mFUYAcoKUu.jpg")</f>
        <v>https://pbs.twimg.com/media/FAEa_mFUYAcoKUu.jpg</v>
      </c>
      <c r="W1206" s="83">
        <v>44464.289097222223</v>
      </c>
      <c r="X1206" s="89">
        <v>44464</v>
      </c>
      <c r="Y1206" s="86" t="s">
        <v>3555</v>
      </c>
      <c r="Z1206" s="84" t="str">
        <f>HYPERLINK("https://twitter.com/pjmnjjkk/status/1441657797288992771")</f>
        <v>https://twitter.com/pjmnjjkk/status/1441657797288992771</v>
      </c>
      <c r="AA1206" s="81"/>
      <c r="AB1206" s="81"/>
      <c r="AC1206" s="86" t="s">
        <v>5020</v>
      </c>
      <c r="AD1206" s="81"/>
      <c r="AE1206" s="81" t="b">
        <v>0</v>
      </c>
      <c r="AF1206" s="81">
        <v>0</v>
      </c>
      <c r="AG1206" s="86" t="s">
        <v>6240</v>
      </c>
      <c r="AH1206" s="81" t="b">
        <v>0</v>
      </c>
      <c r="AI1206" s="81" t="s">
        <v>6479</v>
      </c>
      <c r="AJ1206" s="81"/>
      <c r="AK1206" s="86" t="s">
        <v>6240</v>
      </c>
      <c r="AL1206" s="81" t="b">
        <v>0</v>
      </c>
      <c r="AM1206" s="81">
        <v>23</v>
      </c>
      <c r="AN1206" s="86" t="s">
        <v>5111</v>
      </c>
      <c r="AO1206" s="86" t="s">
        <v>6507</v>
      </c>
      <c r="AP1206" s="81" t="b">
        <v>0</v>
      </c>
      <c r="AQ1206" s="86" t="s">
        <v>5111</v>
      </c>
      <c r="AR1206" s="81" t="s">
        <v>179</v>
      </c>
      <c r="AS1206" s="81">
        <v>0</v>
      </c>
      <c r="AT1206" s="81">
        <v>0</v>
      </c>
      <c r="AU1206" s="81"/>
      <c r="AV1206" s="81"/>
      <c r="AW1206" s="81"/>
      <c r="AX1206" s="81"/>
      <c r="AY1206" s="81"/>
      <c r="AZ1206" s="81"/>
      <c r="BA1206" s="81"/>
      <c r="BB1206" s="81"/>
    </row>
    <row r="1207" spans="1:54" x14ac:dyDescent="0.35">
      <c r="A1207" s="66" t="s">
        <v>912</v>
      </c>
      <c r="B1207" s="66" t="s">
        <v>1410</v>
      </c>
      <c r="C1207" s="67"/>
      <c r="D1207" s="68"/>
      <c r="E1207" s="69"/>
      <c r="F1207" s="70"/>
      <c r="G1207" s="67"/>
      <c r="H1207" s="71"/>
      <c r="I1207" s="72"/>
      <c r="J1207" s="72"/>
      <c r="K1207" s="36"/>
      <c r="L1207" s="79"/>
      <c r="M1207" s="79"/>
      <c r="N1207" s="74"/>
      <c r="O1207" s="81" t="s">
        <v>1533</v>
      </c>
      <c r="P1207" s="83">
        <v>44464.289687500001</v>
      </c>
      <c r="Q1207" s="81" t="s">
        <v>1908</v>
      </c>
      <c r="R1207" s="81"/>
      <c r="S1207" s="81"/>
      <c r="T1207" s="86" t="s">
        <v>1413</v>
      </c>
      <c r="U1207" s="84" t="str">
        <f>HYPERLINK("https://pbs.twimg.com/media/FAEa_mFUYAcoKUu.jpg")</f>
        <v>https://pbs.twimg.com/media/FAEa_mFUYAcoKUu.jpg</v>
      </c>
      <c r="V1207" s="84" t="str">
        <f>HYPERLINK("https://pbs.twimg.com/media/FAEa_mFUYAcoKUu.jpg")</f>
        <v>https://pbs.twimg.com/media/FAEa_mFUYAcoKUu.jpg</v>
      </c>
      <c r="W1207" s="83">
        <v>44464.289687500001</v>
      </c>
      <c r="X1207" s="89">
        <v>44464</v>
      </c>
      <c r="Y1207" s="86" t="s">
        <v>3556</v>
      </c>
      <c r="Z1207" s="84" t="str">
        <f>HYPERLINK("https://twitter.com/jiminiekiyowoo/status/1441658013945786368")</f>
        <v>https://twitter.com/jiminiekiyowoo/status/1441658013945786368</v>
      </c>
      <c r="AA1207" s="81"/>
      <c r="AB1207" s="81"/>
      <c r="AC1207" s="86" t="s">
        <v>5021</v>
      </c>
      <c r="AD1207" s="81"/>
      <c r="AE1207" s="81" t="b">
        <v>0</v>
      </c>
      <c r="AF1207" s="81">
        <v>0</v>
      </c>
      <c r="AG1207" s="86" t="s">
        <v>6240</v>
      </c>
      <c r="AH1207" s="81" t="b">
        <v>0</v>
      </c>
      <c r="AI1207" s="81" t="s">
        <v>6479</v>
      </c>
      <c r="AJ1207" s="81"/>
      <c r="AK1207" s="86" t="s">
        <v>6240</v>
      </c>
      <c r="AL1207" s="81" t="b">
        <v>0</v>
      </c>
      <c r="AM1207" s="81">
        <v>23</v>
      </c>
      <c r="AN1207" s="86" t="s">
        <v>5111</v>
      </c>
      <c r="AO1207" s="86" t="s">
        <v>6503</v>
      </c>
      <c r="AP1207" s="81" t="b">
        <v>0</v>
      </c>
      <c r="AQ1207" s="86" t="s">
        <v>5111</v>
      </c>
      <c r="AR1207" s="81" t="s">
        <v>179</v>
      </c>
      <c r="AS1207" s="81">
        <v>0</v>
      </c>
      <c r="AT1207" s="81">
        <v>0</v>
      </c>
      <c r="AU1207" s="81"/>
      <c r="AV1207" s="81"/>
      <c r="AW1207" s="81"/>
      <c r="AX1207" s="81"/>
      <c r="AY1207" s="81"/>
      <c r="AZ1207" s="81"/>
      <c r="BA1207" s="81"/>
      <c r="BB1207" s="81"/>
    </row>
    <row r="1208" spans="1:54" x14ac:dyDescent="0.35">
      <c r="A1208" s="66" t="s">
        <v>912</v>
      </c>
      <c r="B1208" s="66" t="s">
        <v>1411</v>
      </c>
      <c r="C1208" s="67"/>
      <c r="D1208" s="68"/>
      <c r="E1208" s="69"/>
      <c r="F1208" s="70"/>
      <c r="G1208" s="67"/>
      <c r="H1208" s="71"/>
      <c r="I1208" s="72"/>
      <c r="J1208" s="72"/>
      <c r="K1208" s="36"/>
      <c r="L1208" s="79"/>
      <c r="M1208" s="79"/>
      <c r="N1208" s="74"/>
      <c r="O1208" s="81" t="s">
        <v>1533</v>
      </c>
      <c r="P1208" s="83">
        <v>44464.289687500001</v>
      </c>
      <c r="Q1208" s="81" t="s">
        <v>1908</v>
      </c>
      <c r="R1208" s="81"/>
      <c r="S1208" s="81"/>
      <c r="T1208" s="86" t="s">
        <v>1413</v>
      </c>
      <c r="U1208" s="84" t="str">
        <f>HYPERLINK("https://pbs.twimg.com/media/FAEa_mFUYAcoKUu.jpg")</f>
        <v>https://pbs.twimg.com/media/FAEa_mFUYAcoKUu.jpg</v>
      </c>
      <c r="V1208" s="84" t="str">
        <f>HYPERLINK("https://pbs.twimg.com/media/FAEa_mFUYAcoKUu.jpg")</f>
        <v>https://pbs.twimg.com/media/FAEa_mFUYAcoKUu.jpg</v>
      </c>
      <c r="W1208" s="83">
        <v>44464.289687500001</v>
      </c>
      <c r="X1208" s="89">
        <v>44464</v>
      </c>
      <c r="Y1208" s="86" t="s">
        <v>3556</v>
      </c>
      <c r="Z1208" s="84" t="str">
        <f>HYPERLINK("https://twitter.com/jiminiekiyowoo/status/1441658013945786368")</f>
        <v>https://twitter.com/jiminiekiyowoo/status/1441658013945786368</v>
      </c>
      <c r="AA1208" s="81"/>
      <c r="AB1208" s="81"/>
      <c r="AC1208" s="86" t="s">
        <v>5021</v>
      </c>
      <c r="AD1208" s="81"/>
      <c r="AE1208" s="81" t="b">
        <v>0</v>
      </c>
      <c r="AF1208" s="81">
        <v>0</v>
      </c>
      <c r="AG1208" s="86" t="s">
        <v>6240</v>
      </c>
      <c r="AH1208" s="81" t="b">
        <v>0</v>
      </c>
      <c r="AI1208" s="81" t="s">
        <v>6479</v>
      </c>
      <c r="AJ1208" s="81"/>
      <c r="AK1208" s="86" t="s">
        <v>6240</v>
      </c>
      <c r="AL1208" s="81" t="b">
        <v>0</v>
      </c>
      <c r="AM1208" s="81">
        <v>23</v>
      </c>
      <c r="AN1208" s="86" t="s">
        <v>5111</v>
      </c>
      <c r="AO1208" s="86" t="s">
        <v>6503</v>
      </c>
      <c r="AP1208" s="81" t="b">
        <v>0</v>
      </c>
      <c r="AQ1208" s="86" t="s">
        <v>5111</v>
      </c>
      <c r="AR1208" s="81" t="s">
        <v>179</v>
      </c>
      <c r="AS1208" s="81">
        <v>0</v>
      </c>
      <c r="AT1208" s="81">
        <v>0</v>
      </c>
      <c r="AU1208" s="81"/>
      <c r="AV1208" s="81"/>
      <c r="AW1208" s="81"/>
      <c r="AX1208" s="81"/>
      <c r="AY1208" s="81"/>
      <c r="AZ1208" s="81"/>
      <c r="BA1208" s="81"/>
      <c r="BB1208" s="81"/>
    </row>
    <row r="1209" spans="1:54" x14ac:dyDescent="0.35">
      <c r="A1209" s="66" t="s">
        <v>912</v>
      </c>
      <c r="B1209" s="66" t="s">
        <v>1412</v>
      </c>
      <c r="C1209" s="67"/>
      <c r="D1209" s="68"/>
      <c r="E1209" s="69"/>
      <c r="F1209" s="70"/>
      <c r="G1209" s="67"/>
      <c r="H1209" s="71"/>
      <c r="I1209" s="72"/>
      <c r="J1209" s="72"/>
      <c r="K1209" s="36"/>
      <c r="L1209" s="79"/>
      <c r="M1209" s="79"/>
      <c r="N1209" s="74"/>
      <c r="O1209" s="81" t="s">
        <v>1533</v>
      </c>
      <c r="P1209" s="83">
        <v>44464.289687500001</v>
      </c>
      <c r="Q1209" s="81" t="s">
        <v>1908</v>
      </c>
      <c r="R1209" s="81"/>
      <c r="S1209" s="81"/>
      <c r="T1209" s="86" t="s">
        <v>1413</v>
      </c>
      <c r="U1209" s="84" t="str">
        <f>HYPERLINK("https://pbs.twimg.com/media/FAEa_mFUYAcoKUu.jpg")</f>
        <v>https://pbs.twimg.com/media/FAEa_mFUYAcoKUu.jpg</v>
      </c>
      <c r="V1209" s="84" t="str">
        <f>HYPERLINK("https://pbs.twimg.com/media/FAEa_mFUYAcoKUu.jpg")</f>
        <v>https://pbs.twimg.com/media/FAEa_mFUYAcoKUu.jpg</v>
      </c>
      <c r="W1209" s="83">
        <v>44464.289687500001</v>
      </c>
      <c r="X1209" s="89">
        <v>44464</v>
      </c>
      <c r="Y1209" s="86" t="s">
        <v>3556</v>
      </c>
      <c r="Z1209" s="84" t="str">
        <f>HYPERLINK("https://twitter.com/jiminiekiyowoo/status/1441658013945786368")</f>
        <v>https://twitter.com/jiminiekiyowoo/status/1441658013945786368</v>
      </c>
      <c r="AA1209" s="81"/>
      <c r="AB1209" s="81"/>
      <c r="AC1209" s="86" t="s">
        <v>5021</v>
      </c>
      <c r="AD1209" s="81"/>
      <c r="AE1209" s="81" t="b">
        <v>0</v>
      </c>
      <c r="AF1209" s="81">
        <v>0</v>
      </c>
      <c r="AG1209" s="86" t="s">
        <v>6240</v>
      </c>
      <c r="AH1209" s="81" t="b">
        <v>0</v>
      </c>
      <c r="AI1209" s="81" t="s">
        <v>6479</v>
      </c>
      <c r="AJ1209" s="81"/>
      <c r="AK1209" s="86" t="s">
        <v>6240</v>
      </c>
      <c r="AL1209" s="81" t="b">
        <v>0</v>
      </c>
      <c r="AM1209" s="81">
        <v>23</v>
      </c>
      <c r="AN1209" s="86" t="s">
        <v>5111</v>
      </c>
      <c r="AO1209" s="86" t="s">
        <v>6503</v>
      </c>
      <c r="AP1209" s="81" t="b">
        <v>0</v>
      </c>
      <c r="AQ1209" s="86" t="s">
        <v>5111</v>
      </c>
      <c r="AR1209" s="81" t="s">
        <v>179</v>
      </c>
      <c r="AS1209" s="81">
        <v>0</v>
      </c>
      <c r="AT1209" s="81">
        <v>0</v>
      </c>
      <c r="AU1209" s="81"/>
      <c r="AV1209" s="81"/>
      <c r="AW1209" s="81"/>
      <c r="AX1209" s="81"/>
      <c r="AY1209" s="81"/>
      <c r="AZ1209" s="81"/>
      <c r="BA1209" s="81"/>
      <c r="BB1209" s="81"/>
    </row>
    <row r="1210" spans="1:54" x14ac:dyDescent="0.35">
      <c r="A1210" s="66" t="s">
        <v>912</v>
      </c>
      <c r="B1210" s="66" t="s">
        <v>1413</v>
      </c>
      <c r="C1210" s="67"/>
      <c r="D1210" s="68"/>
      <c r="E1210" s="69"/>
      <c r="F1210" s="70"/>
      <c r="G1210" s="67"/>
      <c r="H1210" s="71"/>
      <c r="I1210" s="72"/>
      <c r="J1210" s="72"/>
      <c r="K1210" s="36"/>
      <c r="L1210" s="79"/>
      <c r="M1210" s="79"/>
      <c r="N1210" s="74"/>
      <c r="O1210" s="81" t="s">
        <v>1533</v>
      </c>
      <c r="P1210" s="83">
        <v>44464.289687500001</v>
      </c>
      <c r="Q1210" s="81" t="s">
        <v>1908</v>
      </c>
      <c r="R1210" s="81"/>
      <c r="S1210" s="81"/>
      <c r="T1210" s="86" t="s">
        <v>1413</v>
      </c>
      <c r="U1210" s="84" t="str">
        <f>HYPERLINK("https://pbs.twimg.com/media/FAEa_mFUYAcoKUu.jpg")</f>
        <v>https://pbs.twimg.com/media/FAEa_mFUYAcoKUu.jpg</v>
      </c>
      <c r="V1210" s="84" t="str">
        <f>HYPERLINK("https://pbs.twimg.com/media/FAEa_mFUYAcoKUu.jpg")</f>
        <v>https://pbs.twimg.com/media/FAEa_mFUYAcoKUu.jpg</v>
      </c>
      <c r="W1210" s="83">
        <v>44464.289687500001</v>
      </c>
      <c r="X1210" s="89">
        <v>44464</v>
      </c>
      <c r="Y1210" s="86" t="s">
        <v>3556</v>
      </c>
      <c r="Z1210" s="84" t="str">
        <f>HYPERLINK("https://twitter.com/jiminiekiyowoo/status/1441658013945786368")</f>
        <v>https://twitter.com/jiminiekiyowoo/status/1441658013945786368</v>
      </c>
      <c r="AA1210" s="81"/>
      <c r="AB1210" s="81"/>
      <c r="AC1210" s="86" t="s">
        <v>5021</v>
      </c>
      <c r="AD1210" s="81"/>
      <c r="AE1210" s="81" t="b">
        <v>0</v>
      </c>
      <c r="AF1210" s="81">
        <v>0</v>
      </c>
      <c r="AG1210" s="86" t="s">
        <v>6240</v>
      </c>
      <c r="AH1210" s="81" t="b">
        <v>0</v>
      </c>
      <c r="AI1210" s="81" t="s">
        <v>6479</v>
      </c>
      <c r="AJ1210" s="81"/>
      <c r="AK1210" s="86" t="s">
        <v>6240</v>
      </c>
      <c r="AL1210" s="81" t="b">
        <v>0</v>
      </c>
      <c r="AM1210" s="81">
        <v>23</v>
      </c>
      <c r="AN1210" s="86" t="s">
        <v>5111</v>
      </c>
      <c r="AO1210" s="86" t="s">
        <v>6503</v>
      </c>
      <c r="AP1210" s="81" t="b">
        <v>0</v>
      </c>
      <c r="AQ1210" s="86" t="s">
        <v>5111</v>
      </c>
      <c r="AR1210" s="81" t="s">
        <v>179</v>
      </c>
      <c r="AS1210" s="81">
        <v>0</v>
      </c>
      <c r="AT1210" s="81">
        <v>0</v>
      </c>
      <c r="AU1210" s="81"/>
      <c r="AV1210" s="81"/>
      <c r="AW1210" s="81"/>
      <c r="AX1210" s="81"/>
      <c r="AY1210" s="81"/>
      <c r="AZ1210" s="81"/>
      <c r="BA1210" s="81"/>
      <c r="BB1210" s="81"/>
    </row>
    <row r="1211" spans="1:54" x14ac:dyDescent="0.35">
      <c r="A1211" s="66" t="s">
        <v>912</v>
      </c>
      <c r="B1211" s="66" t="s">
        <v>990</v>
      </c>
      <c r="C1211" s="67"/>
      <c r="D1211" s="68"/>
      <c r="E1211" s="69"/>
      <c r="F1211" s="70"/>
      <c r="G1211" s="67"/>
      <c r="H1211" s="71"/>
      <c r="I1211" s="72"/>
      <c r="J1211" s="72"/>
      <c r="K1211" s="36"/>
      <c r="L1211" s="79"/>
      <c r="M1211" s="79"/>
      <c r="N1211" s="74"/>
      <c r="O1211" s="81" t="s">
        <v>1532</v>
      </c>
      <c r="P1211" s="83">
        <v>44464.289687500001</v>
      </c>
      <c r="Q1211" s="81" t="s">
        <v>1908</v>
      </c>
      <c r="R1211" s="81"/>
      <c r="S1211" s="81"/>
      <c r="T1211" s="86" t="s">
        <v>1413</v>
      </c>
      <c r="U1211" s="84" t="str">
        <f>HYPERLINK("https://pbs.twimg.com/media/FAEa_mFUYAcoKUu.jpg")</f>
        <v>https://pbs.twimg.com/media/FAEa_mFUYAcoKUu.jpg</v>
      </c>
      <c r="V1211" s="84" t="str">
        <f>HYPERLINK("https://pbs.twimg.com/media/FAEa_mFUYAcoKUu.jpg")</f>
        <v>https://pbs.twimg.com/media/FAEa_mFUYAcoKUu.jpg</v>
      </c>
      <c r="W1211" s="83">
        <v>44464.289687500001</v>
      </c>
      <c r="X1211" s="89">
        <v>44464</v>
      </c>
      <c r="Y1211" s="86" t="s">
        <v>3556</v>
      </c>
      <c r="Z1211" s="84" t="str">
        <f>HYPERLINK("https://twitter.com/jiminiekiyowoo/status/1441658013945786368")</f>
        <v>https://twitter.com/jiminiekiyowoo/status/1441658013945786368</v>
      </c>
      <c r="AA1211" s="81"/>
      <c r="AB1211" s="81"/>
      <c r="AC1211" s="86" t="s">
        <v>5021</v>
      </c>
      <c r="AD1211" s="81"/>
      <c r="AE1211" s="81" t="b">
        <v>0</v>
      </c>
      <c r="AF1211" s="81">
        <v>0</v>
      </c>
      <c r="AG1211" s="86" t="s">
        <v>6240</v>
      </c>
      <c r="AH1211" s="81" t="b">
        <v>0</v>
      </c>
      <c r="AI1211" s="81" t="s">
        <v>6479</v>
      </c>
      <c r="AJ1211" s="81"/>
      <c r="AK1211" s="86" t="s">
        <v>6240</v>
      </c>
      <c r="AL1211" s="81" t="b">
        <v>0</v>
      </c>
      <c r="AM1211" s="81">
        <v>23</v>
      </c>
      <c r="AN1211" s="86" t="s">
        <v>5111</v>
      </c>
      <c r="AO1211" s="86" t="s">
        <v>6503</v>
      </c>
      <c r="AP1211" s="81" t="b">
        <v>0</v>
      </c>
      <c r="AQ1211" s="86" t="s">
        <v>5111</v>
      </c>
      <c r="AR1211" s="81" t="s">
        <v>179</v>
      </c>
      <c r="AS1211" s="81">
        <v>0</v>
      </c>
      <c r="AT1211" s="81">
        <v>0</v>
      </c>
      <c r="AU1211" s="81"/>
      <c r="AV1211" s="81"/>
      <c r="AW1211" s="81"/>
      <c r="AX1211" s="81"/>
      <c r="AY1211" s="81"/>
      <c r="AZ1211" s="81"/>
      <c r="BA1211" s="81"/>
      <c r="BB1211" s="81"/>
    </row>
    <row r="1212" spans="1:54" x14ac:dyDescent="0.35">
      <c r="A1212" s="66" t="s">
        <v>913</v>
      </c>
      <c r="B1212" s="66" t="s">
        <v>1410</v>
      </c>
      <c r="C1212" s="67"/>
      <c r="D1212" s="68"/>
      <c r="E1212" s="69"/>
      <c r="F1212" s="70"/>
      <c r="G1212" s="67"/>
      <c r="H1212" s="71"/>
      <c r="I1212" s="72"/>
      <c r="J1212" s="72"/>
      <c r="K1212" s="36"/>
      <c r="L1212" s="79"/>
      <c r="M1212" s="79"/>
      <c r="N1212" s="74"/>
      <c r="O1212" s="81" t="s">
        <v>1533</v>
      </c>
      <c r="P1212" s="83">
        <v>44464.302210648151</v>
      </c>
      <c r="Q1212" s="81" t="s">
        <v>1908</v>
      </c>
      <c r="R1212" s="81"/>
      <c r="S1212" s="81"/>
      <c r="T1212" s="86" t="s">
        <v>1413</v>
      </c>
      <c r="U1212" s="84" t="str">
        <f>HYPERLINK("https://pbs.twimg.com/media/FAEa_mFUYAcoKUu.jpg")</f>
        <v>https://pbs.twimg.com/media/FAEa_mFUYAcoKUu.jpg</v>
      </c>
      <c r="V1212" s="84" t="str">
        <f>HYPERLINK("https://pbs.twimg.com/media/FAEa_mFUYAcoKUu.jpg")</f>
        <v>https://pbs.twimg.com/media/FAEa_mFUYAcoKUu.jpg</v>
      </c>
      <c r="W1212" s="83">
        <v>44464.302210648151</v>
      </c>
      <c r="X1212" s="89">
        <v>44464</v>
      </c>
      <c r="Y1212" s="86" t="s">
        <v>2916</v>
      </c>
      <c r="Z1212" s="84" t="str">
        <f>HYPERLINK("https://twitter.com/yyoongs93/status/1441662551167627267")</f>
        <v>https://twitter.com/yyoongs93/status/1441662551167627267</v>
      </c>
      <c r="AA1212" s="81"/>
      <c r="AB1212" s="81"/>
      <c r="AC1212" s="86" t="s">
        <v>5022</v>
      </c>
      <c r="AD1212" s="81"/>
      <c r="AE1212" s="81" t="b">
        <v>0</v>
      </c>
      <c r="AF1212" s="81">
        <v>0</v>
      </c>
      <c r="AG1212" s="86" t="s">
        <v>6240</v>
      </c>
      <c r="AH1212" s="81" t="b">
        <v>0</v>
      </c>
      <c r="AI1212" s="81" t="s">
        <v>6479</v>
      </c>
      <c r="AJ1212" s="81"/>
      <c r="AK1212" s="86" t="s">
        <v>6240</v>
      </c>
      <c r="AL1212" s="81" t="b">
        <v>0</v>
      </c>
      <c r="AM1212" s="81">
        <v>23</v>
      </c>
      <c r="AN1212" s="86" t="s">
        <v>5111</v>
      </c>
      <c r="AO1212" s="86" t="s">
        <v>6503</v>
      </c>
      <c r="AP1212" s="81" t="b">
        <v>0</v>
      </c>
      <c r="AQ1212" s="86" t="s">
        <v>5111</v>
      </c>
      <c r="AR1212" s="81" t="s">
        <v>179</v>
      </c>
      <c r="AS1212" s="81">
        <v>0</v>
      </c>
      <c r="AT1212" s="81">
        <v>0</v>
      </c>
      <c r="AU1212" s="81"/>
      <c r="AV1212" s="81"/>
      <c r="AW1212" s="81"/>
      <c r="AX1212" s="81"/>
      <c r="AY1212" s="81"/>
      <c r="AZ1212" s="81"/>
      <c r="BA1212" s="81"/>
      <c r="BB1212" s="81"/>
    </row>
    <row r="1213" spans="1:54" x14ac:dyDescent="0.35">
      <c r="A1213" s="66" t="s">
        <v>913</v>
      </c>
      <c r="B1213" s="66" t="s">
        <v>1411</v>
      </c>
      <c r="C1213" s="67"/>
      <c r="D1213" s="68"/>
      <c r="E1213" s="69"/>
      <c r="F1213" s="70"/>
      <c r="G1213" s="67"/>
      <c r="H1213" s="71"/>
      <c r="I1213" s="72"/>
      <c r="J1213" s="72"/>
      <c r="K1213" s="36"/>
      <c r="L1213" s="79"/>
      <c r="M1213" s="79"/>
      <c r="N1213" s="74"/>
      <c r="O1213" s="81" t="s">
        <v>1533</v>
      </c>
      <c r="P1213" s="83">
        <v>44464.302210648151</v>
      </c>
      <c r="Q1213" s="81" t="s">
        <v>1908</v>
      </c>
      <c r="R1213" s="81"/>
      <c r="S1213" s="81"/>
      <c r="T1213" s="86" t="s">
        <v>1413</v>
      </c>
      <c r="U1213" s="84" t="str">
        <f>HYPERLINK("https://pbs.twimg.com/media/FAEa_mFUYAcoKUu.jpg")</f>
        <v>https://pbs.twimg.com/media/FAEa_mFUYAcoKUu.jpg</v>
      </c>
      <c r="V1213" s="84" t="str">
        <f>HYPERLINK("https://pbs.twimg.com/media/FAEa_mFUYAcoKUu.jpg")</f>
        <v>https://pbs.twimg.com/media/FAEa_mFUYAcoKUu.jpg</v>
      </c>
      <c r="W1213" s="83">
        <v>44464.302210648151</v>
      </c>
      <c r="X1213" s="89">
        <v>44464</v>
      </c>
      <c r="Y1213" s="86" t="s">
        <v>2916</v>
      </c>
      <c r="Z1213" s="84" t="str">
        <f>HYPERLINK("https://twitter.com/yyoongs93/status/1441662551167627267")</f>
        <v>https://twitter.com/yyoongs93/status/1441662551167627267</v>
      </c>
      <c r="AA1213" s="81"/>
      <c r="AB1213" s="81"/>
      <c r="AC1213" s="86" t="s">
        <v>5022</v>
      </c>
      <c r="AD1213" s="81"/>
      <c r="AE1213" s="81" t="b">
        <v>0</v>
      </c>
      <c r="AF1213" s="81">
        <v>0</v>
      </c>
      <c r="AG1213" s="86" t="s">
        <v>6240</v>
      </c>
      <c r="AH1213" s="81" t="b">
        <v>0</v>
      </c>
      <c r="AI1213" s="81" t="s">
        <v>6479</v>
      </c>
      <c r="AJ1213" s="81"/>
      <c r="AK1213" s="86" t="s">
        <v>6240</v>
      </c>
      <c r="AL1213" s="81" t="b">
        <v>0</v>
      </c>
      <c r="AM1213" s="81">
        <v>23</v>
      </c>
      <c r="AN1213" s="86" t="s">
        <v>5111</v>
      </c>
      <c r="AO1213" s="86" t="s">
        <v>6503</v>
      </c>
      <c r="AP1213" s="81" t="b">
        <v>0</v>
      </c>
      <c r="AQ1213" s="86" t="s">
        <v>5111</v>
      </c>
      <c r="AR1213" s="81" t="s">
        <v>179</v>
      </c>
      <c r="AS1213" s="81">
        <v>0</v>
      </c>
      <c r="AT1213" s="81">
        <v>0</v>
      </c>
      <c r="AU1213" s="81"/>
      <c r="AV1213" s="81"/>
      <c r="AW1213" s="81"/>
      <c r="AX1213" s="81"/>
      <c r="AY1213" s="81"/>
      <c r="AZ1213" s="81"/>
      <c r="BA1213" s="81"/>
      <c r="BB1213" s="81"/>
    </row>
    <row r="1214" spans="1:54" x14ac:dyDescent="0.35">
      <c r="A1214" s="66" t="s">
        <v>913</v>
      </c>
      <c r="B1214" s="66" t="s">
        <v>1412</v>
      </c>
      <c r="C1214" s="67"/>
      <c r="D1214" s="68"/>
      <c r="E1214" s="69"/>
      <c r="F1214" s="70"/>
      <c r="G1214" s="67"/>
      <c r="H1214" s="71"/>
      <c r="I1214" s="72"/>
      <c r="J1214" s="72"/>
      <c r="K1214" s="36"/>
      <c r="L1214" s="79"/>
      <c r="M1214" s="79"/>
      <c r="N1214" s="74"/>
      <c r="O1214" s="81" t="s">
        <v>1533</v>
      </c>
      <c r="P1214" s="83">
        <v>44464.302210648151</v>
      </c>
      <c r="Q1214" s="81" t="s">
        <v>1908</v>
      </c>
      <c r="R1214" s="81"/>
      <c r="S1214" s="81"/>
      <c r="T1214" s="86" t="s">
        <v>1413</v>
      </c>
      <c r="U1214" s="84" t="str">
        <f>HYPERLINK("https://pbs.twimg.com/media/FAEa_mFUYAcoKUu.jpg")</f>
        <v>https://pbs.twimg.com/media/FAEa_mFUYAcoKUu.jpg</v>
      </c>
      <c r="V1214" s="84" t="str">
        <f>HYPERLINK("https://pbs.twimg.com/media/FAEa_mFUYAcoKUu.jpg")</f>
        <v>https://pbs.twimg.com/media/FAEa_mFUYAcoKUu.jpg</v>
      </c>
      <c r="W1214" s="83">
        <v>44464.302210648151</v>
      </c>
      <c r="X1214" s="89">
        <v>44464</v>
      </c>
      <c r="Y1214" s="86" t="s">
        <v>2916</v>
      </c>
      <c r="Z1214" s="84" t="str">
        <f>HYPERLINK("https://twitter.com/yyoongs93/status/1441662551167627267")</f>
        <v>https://twitter.com/yyoongs93/status/1441662551167627267</v>
      </c>
      <c r="AA1214" s="81"/>
      <c r="AB1214" s="81"/>
      <c r="AC1214" s="86" t="s">
        <v>5022</v>
      </c>
      <c r="AD1214" s="81"/>
      <c r="AE1214" s="81" t="b">
        <v>0</v>
      </c>
      <c r="AF1214" s="81">
        <v>0</v>
      </c>
      <c r="AG1214" s="86" t="s">
        <v>6240</v>
      </c>
      <c r="AH1214" s="81" t="b">
        <v>0</v>
      </c>
      <c r="AI1214" s="81" t="s">
        <v>6479</v>
      </c>
      <c r="AJ1214" s="81"/>
      <c r="AK1214" s="86" t="s">
        <v>6240</v>
      </c>
      <c r="AL1214" s="81" t="b">
        <v>0</v>
      </c>
      <c r="AM1214" s="81">
        <v>23</v>
      </c>
      <c r="AN1214" s="86" t="s">
        <v>5111</v>
      </c>
      <c r="AO1214" s="86" t="s">
        <v>6503</v>
      </c>
      <c r="AP1214" s="81" t="b">
        <v>0</v>
      </c>
      <c r="AQ1214" s="86" t="s">
        <v>5111</v>
      </c>
      <c r="AR1214" s="81" t="s">
        <v>179</v>
      </c>
      <c r="AS1214" s="81">
        <v>0</v>
      </c>
      <c r="AT1214" s="81">
        <v>0</v>
      </c>
      <c r="AU1214" s="81"/>
      <c r="AV1214" s="81"/>
      <c r="AW1214" s="81"/>
      <c r="AX1214" s="81"/>
      <c r="AY1214" s="81"/>
      <c r="AZ1214" s="81"/>
      <c r="BA1214" s="81"/>
      <c r="BB1214" s="81"/>
    </row>
    <row r="1215" spans="1:54" x14ac:dyDescent="0.35">
      <c r="A1215" s="66" t="s">
        <v>913</v>
      </c>
      <c r="B1215" s="66" t="s">
        <v>1413</v>
      </c>
      <c r="C1215" s="67"/>
      <c r="D1215" s="68"/>
      <c r="E1215" s="69"/>
      <c r="F1215" s="70"/>
      <c r="G1215" s="67"/>
      <c r="H1215" s="71"/>
      <c r="I1215" s="72"/>
      <c r="J1215" s="72"/>
      <c r="K1215" s="36"/>
      <c r="L1215" s="79"/>
      <c r="M1215" s="79"/>
      <c r="N1215" s="74"/>
      <c r="O1215" s="81" t="s">
        <v>1533</v>
      </c>
      <c r="P1215" s="83">
        <v>44464.302210648151</v>
      </c>
      <c r="Q1215" s="81" t="s">
        <v>1908</v>
      </c>
      <c r="R1215" s="81"/>
      <c r="S1215" s="81"/>
      <c r="T1215" s="86" t="s">
        <v>1413</v>
      </c>
      <c r="U1215" s="84" t="str">
        <f>HYPERLINK("https://pbs.twimg.com/media/FAEa_mFUYAcoKUu.jpg")</f>
        <v>https://pbs.twimg.com/media/FAEa_mFUYAcoKUu.jpg</v>
      </c>
      <c r="V1215" s="84" t="str">
        <f>HYPERLINK("https://pbs.twimg.com/media/FAEa_mFUYAcoKUu.jpg")</f>
        <v>https://pbs.twimg.com/media/FAEa_mFUYAcoKUu.jpg</v>
      </c>
      <c r="W1215" s="83">
        <v>44464.302210648151</v>
      </c>
      <c r="X1215" s="89">
        <v>44464</v>
      </c>
      <c r="Y1215" s="86" t="s">
        <v>2916</v>
      </c>
      <c r="Z1215" s="84" t="str">
        <f>HYPERLINK("https://twitter.com/yyoongs93/status/1441662551167627267")</f>
        <v>https://twitter.com/yyoongs93/status/1441662551167627267</v>
      </c>
      <c r="AA1215" s="81"/>
      <c r="AB1215" s="81"/>
      <c r="AC1215" s="86" t="s">
        <v>5022</v>
      </c>
      <c r="AD1215" s="81"/>
      <c r="AE1215" s="81" t="b">
        <v>0</v>
      </c>
      <c r="AF1215" s="81">
        <v>0</v>
      </c>
      <c r="AG1215" s="86" t="s">
        <v>6240</v>
      </c>
      <c r="AH1215" s="81" t="b">
        <v>0</v>
      </c>
      <c r="AI1215" s="81" t="s">
        <v>6479</v>
      </c>
      <c r="AJ1215" s="81"/>
      <c r="AK1215" s="86" t="s">
        <v>6240</v>
      </c>
      <c r="AL1215" s="81" t="b">
        <v>0</v>
      </c>
      <c r="AM1215" s="81">
        <v>23</v>
      </c>
      <c r="AN1215" s="86" t="s">
        <v>5111</v>
      </c>
      <c r="AO1215" s="86" t="s">
        <v>6503</v>
      </c>
      <c r="AP1215" s="81" t="b">
        <v>0</v>
      </c>
      <c r="AQ1215" s="86" t="s">
        <v>5111</v>
      </c>
      <c r="AR1215" s="81" t="s">
        <v>179</v>
      </c>
      <c r="AS1215" s="81">
        <v>0</v>
      </c>
      <c r="AT1215" s="81">
        <v>0</v>
      </c>
      <c r="AU1215" s="81"/>
      <c r="AV1215" s="81"/>
      <c r="AW1215" s="81"/>
      <c r="AX1215" s="81"/>
      <c r="AY1215" s="81"/>
      <c r="AZ1215" s="81"/>
      <c r="BA1215" s="81"/>
      <c r="BB1215" s="81"/>
    </row>
    <row r="1216" spans="1:54" x14ac:dyDescent="0.35">
      <c r="A1216" s="66" t="s">
        <v>913</v>
      </c>
      <c r="B1216" s="66" t="s">
        <v>990</v>
      </c>
      <c r="C1216" s="67"/>
      <c r="D1216" s="68"/>
      <c r="E1216" s="69"/>
      <c r="F1216" s="70"/>
      <c r="G1216" s="67"/>
      <c r="H1216" s="71"/>
      <c r="I1216" s="72"/>
      <c r="J1216" s="72"/>
      <c r="K1216" s="36"/>
      <c r="L1216" s="79"/>
      <c r="M1216" s="79"/>
      <c r="N1216" s="74"/>
      <c r="O1216" s="81" t="s">
        <v>1532</v>
      </c>
      <c r="P1216" s="83">
        <v>44464.302210648151</v>
      </c>
      <c r="Q1216" s="81" t="s">
        <v>1908</v>
      </c>
      <c r="R1216" s="81"/>
      <c r="S1216" s="81"/>
      <c r="T1216" s="86" t="s">
        <v>1413</v>
      </c>
      <c r="U1216" s="84" t="str">
        <f>HYPERLINK("https://pbs.twimg.com/media/FAEa_mFUYAcoKUu.jpg")</f>
        <v>https://pbs.twimg.com/media/FAEa_mFUYAcoKUu.jpg</v>
      </c>
      <c r="V1216" s="84" t="str">
        <f>HYPERLINK("https://pbs.twimg.com/media/FAEa_mFUYAcoKUu.jpg")</f>
        <v>https://pbs.twimg.com/media/FAEa_mFUYAcoKUu.jpg</v>
      </c>
      <c r="W1216" s="83">
        <v>44464.302210648151</v>
      </c>
      <c r="X1216" s="89">
        <v>44464</v>
      </c>
      <c r="Y1216" s="86" t="s">
        <v>2916</v>
      </c>
      <c r="Z1216" s="84" t="str">
        <f>HYPERLINK("https://twitter.com/yyoongs93/status/1441662551167627267")</f>
        <v>https://twitter.com/yyoongs93/status/1441662551167627267</v>
      </c>
      <c r="AA1216" s="81"/>
      <c r="AB1216" s="81"/>
      <c r="AC1216" s="86" t="s">
        <v>5022</v>
      </c>
      <c r="AD1216" s="81"/>
      <c r="AE1216" s="81" t="b">
        <v>0</v>
      </c>
      <c r="AF1216" s="81">
        <v>0</v>
      </c>
      <c r="AG1216" s="86" t="s">
        <v>6240</v>
      </c>
      <c r="AH1216" s="81" t="b">
        <v>0</v>
      </c>
      <c r="AI1216" s="81" t="s">
        <v>6479</v>
      </c>
      <c r="AJ1216" s="81"/>
      <c r="AK1216" s="86" t="s">
        <v>6240</v>
      </c>
      <c r="AL1216" s="81" t="b">
        <v>0</v>
      </c>
      <c r="AM1216" s="81">
        <v>23</v>
      </c>
      <c r="AN1216" s="86" t="s">
        <v>5111</v>
      </c>
      <c r="AO1216" s="86" t="s">
        <v>6503</v>
      </c>
      <c r="AP1216" s="81" t="b">
        <v>0</v>
      </c>
      <c r="AQ1216" s="86" t="s">
        <v>5111</v>
      </c>
      <c r="AR1216" s="81" t="s">
        <v>179</v>
      </c>
      <c r="AS1216" s="81">
        <v>0</v>
      </c>
      <c r="AT1216" s="81">
        <v>0</v>
      </c>
      <c r="AU1216" s="81"/>
      <c r="AV1216" s="81"/>
      <c r="AW1216" s="81"/>
      <c r="AX1216" s="81"/>
      <c r="AY1216" s="81"/>
      <c r="AZ1216" s="81"/>
      <c r="BA1216" s="81"/>
      <c r="BB1216" s="81"/>
    </row>
    <row r="1217" spans="1:54" x14ac:dyDescent="0.35">
      <c r="A1217" s="66" t="s">
        <v>914</v>
      </c>
      <c r="B1217" s="66" t="s">
        <v>1410</v>
      </c>
      <c r="C1217" s="67"/>
      <c r="D1217" s="68"/>
      <c r="E1217" s="69"/>
      <c r="F1217" s="70"/>
      <c r="G1217" s="67"/>
      <c r="H1217" s="71"/>
      <c r="I1217" s="72"/>
      <c r="J1217" s="72"/>
      <c r="K1217" s="36"/>
      <c r="L1217" s="79"/>
      <c r="M1217" s="79"/>
      <c r="N1217" s="74"/>
      <c r="O1217" s="81" t="s">
        <v>1533</v>
      </c>
      <c r="P1217" s="83">
        <v>44464.309004629627</v>
      </c>
      <c r="Q1217" s="81" t="s">
        <v>1908</v>
      </c>
      <c r="R1217" s="81"/>
      <c r="S1217" s="81"/>
      <c r="T1217" s="86" t="s">
        <v>1413</v>
      </c>
      <c r="U1217" s="84" t="str">
        <f>HYPERLINK("https://pbs.twimg.com/media/FAEa_mFUYAcoKUu.jpg")</f>
        <v>https://pbs.twimg.com/media/FAEa_mFUYAcoKUu.jpg</v>
      </c>
      <c r="V1217" s="84" t="str">
        <f>HYPERLINK("https://pbs.twimg.com/media/FAEa_mFUYAcoKUu.jpg")</f>
        <v>https://pbs.twimg.com/media/FAEa_mFUYAcoKUu.jpg</v>
      </c>
      <c r="W1217" s="83">
        <v>44464.309004629627</v>
      </c>
      <c r="X1217" s="89">
        <v>44464</v>
      </c>
      <c r="Y1217" s="86" t="s">
        <v>3557</v>
      </c>
      <c r="Z1217" s="84" t="str">
        <f>HYPERLINK("https://twitter.com/lyayae_/status/1441665012087410693")</f>
        <v>https://twitter.com/lyayae_/status/1441665012087410693</v>
      </c>
      <c r="AA1217" s="81"/>
      <c r="AB1217" s="81"/>
      <c r="AC1217" s="86" t="s">
        <v>5023</v>
      </c>
      <c r="AD1217" s="81"/>
      <c r="AE1217" s="81" t="b">
        <v>0</v>
      </c>
      <c r="AF1217" s="81">
        <v>0</v>
      </c>
      <c r="AG1217" s="86" t="s">
        <v>6240</v>
      </c>
      <c r="AH1217" s="81" t="b">
        <v>0</v>
      </c>
      <c r="AI1217" s="81" t="s">
        <v>6479</v>
      </c>
      <c r="AJ1217" s="81"/>
      <c r="AK1217" s="86" t="s">
        <v>6240</v>
      </c>
      <c r="AL1217" s="81" t="b">
        <v>0</v>
      </c>
      <c r="AM1217" s="81">
        <v>23</v>
      </c>
      <c r="AN1217" s="86" t="s">
        <v>5111</v>
      </c>
      <c r="AO1217" s="86" t="s">
        <v>6505</v>
      </c>
      <c r="AP1217" s="81" t="b">
        <v>0</v>
      </c>
      <c r="AQ1217" s="86" t="s">
        <v>5111</v>
      </c>
      <c r="AR1217" s="81" t="s">
        <v>179</v>
      </c>
      <c r="AS1217" s="81">
        <v>0</v>
      </c>
      <c r="AT1217" s="81">
        <v>0</v>
      </c>
      <c r="AU1217" s="81"/>
      <c r="AV1217" s="81"/>
      <c r="AW1217" s="81"/>
      <c r="AX1217" s="81"/>
      <c r="AY1217" s="81"/>
      <c r="AZ1217" s="81"/>
      <c r="BA1217" s="81"/>
      <c r="BB1217" s="81"/>
    </row>
    <row r="1218" spans="1:54" x14ac:dyDescent="0.35">
      <c r="A1218" s="66" t="s">
        <v>914</v>
      </c>
      <c r="B1218" s="66" t="s">
        <v>1411</v>
      </c>
      <c r="C1218" s="67"/>
      <c r="D1218" s="68"/>
      <c r="E1218" s="69"/>
      <c r="F1218" s="70"/>
      <c r="G1218" s="67"/>
      <c r="H1218" s="71"/>
      <c r="I1218" s="72"/>
      <c r="J1218" s="72"/>
      <c r="K1218" s="36"/>
      <c r="L1218" s="79"/>
      <c r="M1218" s="79"/>
      <c r="N1218" s="74"/>
      <c r="O1218" s="81" t="s">
        <v>1533</v>
      </c>
      <c r="P1218" s="83">
        <v>44464.309004629627</v>
      </c>
      <c r="Q1218" s="81" t="s">
        <v>1908</v>
      </c>
      <c r="R1218" s="81"/>
      <c r="S1218" s="81"/>
      <c r="T1218" s="86" t="s">
        <v>1413</v>
      </c>
      <c r="U1218" s="84" t="str">
        <f>HYPERLINK("https://pbs.twimg.com/media/FAEa_mFUYAcoKUu.jpg")</f>
        <v>https://pbs.twimg.com/media/FAEa_mFUYAcoKUu.jpg</v>
      </c>
      <c r="V1218" s="84" t="str">
        <f>HYPERLINK("https://pbs.twimg.com/media/FAEa_mFUYAcoKUu.jpg")</f>
        <v>https://pbs.twimg.com/media/FAEa_mFUYAcoKUu.jpg</v>
      </c>
      <c r="W1218" s="83">
        <v>44464.309004629627</v>
      </c>
      <c r="X1218" s="89">
        <v>44464</v>
      </c>
      <c r="Y1218" s="86" t="s">
        <v>3557</v>
      </c>
      <c r="Z1218" s="84" t="str">
        <f>HYPERLINK("https://twitter.com/lyayae_/status/1441665012087410693")</f>
        <v>https://twitter.com/lyayae_/status/1441665012087410693</v>
      </c>
      <c r="AA1218" s="81"/>
      <c r="AB1218" s="81"/>
      <c r="AC1218" s="86" t="s">
        <v>5023</v>
      </c>
      <c r="AD1218" s="81"/>
      <c r="AE1218" s="81" t="b">
        <v>0</v>
      </c>
      <c r="AF1218" s="81">
        <v>0</v>
      </c>
      <c r="AG1218" s="86" t="s">
        <v>6240</v>
      </c>
      <c r="AH1218" s="81" t="b">
        <v>0</v>
      </c>
      <c r="AI1218" s="81" t="s">
        <v>6479</v>
      </c>
      <c r="AJ1218" s="81"/>
      <c r="AK1218" s="86" t="s">
        <v>6240</v>
      </c>
      <c r="AL1218" s="81" t="b">
        <v>0</v>
      </c>
      <c r="AM1218" s="81">
        <v>23</v>
      </c>
      <c r="AN1218" s="86" t="s">
        <v>5111</v>
      </c>
      <c r="AO1218" s="86" t="s">
        <v>6505</v>
      </c>
      <c r="AP1218" s="81" t="b">
        <v>0</v>
      </c>
      <c r="AQ1218" s="86" t="s">
        <v>5111</v>
      </c>
      <c r="AR1218" s="81" t="s">
        <v>179</v>
      </c>
      <c r="AS1218" s="81">
        <v>0</v>
      </c>
      <c r="AT1218" s="81">
        <v>0</v>
      </c>
      <c r="AU1218" s="81"/>
      <c r="AV1218" s="81"/>
      <c r="AW1218" s="81"/>
      <c r="AX1218" s="81"/>
      <c r="AY1218" s="81"/>
      <c r="AZ1218" s="81"/>
      <c r="BA1218" s="81"/>
      <c r="BB1218" s="81"/>
    </row>
    <row r="1219" spans="1:54" x14ac:dyDescent="0.35">
      <c r="A1219" s="66" t="s">
        <v>914</v>
      </c>
      <c r="B1219" s="66" t="s">
        <v>1412</v>
      </c>
      <c r="C1219" s="67"/>
      <c r="D1219" s="68"/>
      <c r="E1219" s="69"/>
      <c r="F1219" s="70"/>
      <c r="G1219" s="67"/>
      <c r="H1219" s="71"/>
      <c r="I1219" s="72"/>
      <c r="J1219" s="72"/>
      <c r="K1219" s="36"/>
      <c r="L1219" s="79"/>
      <c r="M1219" s="79"/>
      <c r="N1219" s="74"/>
      <c r="O1219" s="81" t="s">
        <v>1533</v>
      </c>
      <c r="P1219" s="83">
        <v>44464.309004629627</v>
      </c>
      <c r="Q1219" s="81" t="s">
        <v>1908</v>
      </c>
      <c r="R1219" s="81"/>
      <c r="S1219" s="81"/>
      <c r="T1219" s="86" t="s">
        <v>1413</v>
      </c>
      <c r="U1219" s="84" t="str">
        <f>HYPERLINK("https://pbs.twimg.com/media/FAEa_mFUYAcoKUu.jpg")</f>
        <v>https://pbs.twimg.com/media/FAEa_mFUYAcoKUu.jpg</v>
      </c>
      <c r="V1219" s="84" t="str">
        <f>HYPERLINK("https://pbs.twimg.com/media/FAEa_mFUYAcoKUu.jpg")</f>
        <v>https://pbs.twimg.com/media/FAEa_mFUYAcoKUu.jpg</v>
      </c>
      <c r="W1219" s="83">
        <v>44464.309004629627</v>
      </c>
      <c r="X1219" s="89">
        <v>44464</v>
      </c>
      <c r="Y1219" s="86" t="s">
        <v>3557</v>
      </c>
      <c r="Z1219" s="84" t="str">
        <f>HYPERLINK("https://twitter.com/lyayae_/status/1441665012087410693")</f>
        <v>https://twitter.com/lyayae_/status/1441665012087410693</v>
      </c>
      <c r="AA1219" s="81"/>
      <c r="AB1219" s="81"/>
      <c r="AC1219" s="86" t="s">
        <v>5023</v>
      </c>
      <c r="AD1219" s="81"/>
      <c r="AE1219" s="81" t="b">
        <v>0</v>
      </c>
      <c r="AF1219" s="81">
        <v>0</v>
      </c>
      <c r="AG1219" s="86" t="s">
        <v>6240</v>
      </c>
      <c r="AH1219" s="81" t="b">
        <v>0</v>
      </c>
      <c r="AI1219" s="81" t="s">
        <v>6479</v>
      </c>
      <c r="AJ1219" s="81"/>
      <c r="AK1219" s="86" t="s">
        <v>6240</v>
      </c>
      <c r="AL1219" s="81" t="b">
        <v>0</v>
      </c>
      <c r="AM1219" s="81">
        <v>23</v>
      </c>
      <c r="AN1219" s="86" t="s">
        <v>5111</v>
      </c>
      <c r="AO1219" s="86" t="s">
        <v>6505</v>
      </c>
      <c r="AP1219" s="81" t="b">
        <v>0</v>
      </c>
      <c r="AQ1219" s="86" t="s">
        <v>5111</v>
      </c>
      <c r="AR1219" s="81" t="s">
        <v>179</v>
      </c>
      <c r="AS1219" s="81">
        <v>0</v>
      </c>
      <c r="AT1219" s="81">
        <v>0</v>
      </c>
      <c r="AU1219" s="81"/>
      <c r="AV1219" s="81"/>
      <c r="AW1219" s="81"/>
      <c r="AX1219" s="81"/>
      <c r="AY1219" s="81"/>
      <c r="AZ1219" s="81"/>
      <c r="BA1219" s="81"/>
      <c r="BB1219" s="81"/>
    </row>
    <row r="1220" spans="1:54" x14ac:dyDescent="0.35">
      <c r="A1220" s="66" t="s">
        <v>914</v>
      </c>
      <c r="B1220" s="66" t="s">
        <v>1413</v>
      </c>
      <c r="C1220" s="67"/>
      <c r="D1220" s="68"/>
      <c r="E1220" s="69"/>
      <c r="F1220" s="70"/>
      <c r="G1220" s="67"/>
      <c r="H1220" s="71"/>
      <c r="I1220" s="72"/>
      <c r="J1220" s="72"/>
      <c r="K1220" s="36"/>
      <c r="L1220" s="79"/>
      <c r="M1220" s="79"/>
      <c r="N1220" s="74"/>
      <c r="O1220" s="81" t="s">
        <v>1533</v>
      </c>
      <c r="P1220" s="83">
        <v>44464.309004629627</v>
      </c>
      <c r="Q1220" s="81" t="s">
        <v>1908</v>
      </c>
      <c r="R1220" s="81"/>
      <c r="S1220" s="81"/>
      <c r="T1220" s="86" t="s">
        <v>1413</v>
      </c>
      <c r="U1220" s="84" t="str">
        <f>HYPERLINK("https://pbs.twimg.com/media/FAEa_mFUYAcoKUu.jpg")</f>
        <v>https://pbs.twimg.com/media/FAEa_mFUYAcoKUu.jpg</v>
      </c>
      <c r="V1220" s="84" t="str">
        <f>HYPERLINK("https://pbs.twimg.com/media/FAEa_mFUYAcoKUu.jpg")</f>
        <v>https://pbs.twimg.com/media/FAEa_mFUYAcoKUu.jpg</v>
      </c>
      <c r="W1220" s="83">
        <v>44464.309004629627</v>
      </c>
      <c r="X1220" s="89">
        <v>44464</v>
      </c>
      <c r="Y1220" s="86" t="s">
        <v>3557</v>
      </c>
      <c r="Z1220" s="84" t="str">
        <f>HYPERLINK("https://twitter.com/lyayae_/status/1441665012087410693")</f>
        <v>https://twitter.com/lyayae_/status/1441665012087410693</v>
      </c>
      <c r="AA1220" s="81"/>
      <c r="AB1220" s="81"/>
      <c r="AC1220" s="86" t="s">
        <v>5023</v>
      </c>
      <c r="AD1220" s="81"/>
      <c r="AE1220" s="81" t="b">
        <v>0</v>
      </c>
      <c r="AF1220" s="81">
        <v>0</v>
      </c>
      <c r="AG1220" s="86" t="s">
        <v>6240</v>
      </c>
      <c r="AH1220" s="81" t="b">
        <v>0</v>
      </c>
      <c r="AI1220" s="81" t="s">
        <v>6479</v>
      </c>
      <c r="AJ1220" s="81"/>
      <c r="AK1220" s="86" t="s">
        <v>6240</v>
      </c>
      <c r="AL1220" s="81" t="b">
        <v>0</v>
      </c>
      <c r="AM1220" s="81">
        <v>23</v>
      </c>
      <c r="AN1220" s="86" t="s">
        <v>5111</v>
      </c>
      <c r="AO1220" s="86" t="s">
        <v>6505</v>
      </c>
      <c r="AP1220" s="81" t="b">
        <v>0</v>
      </c>
      <c r="AQ1220" s="86" t="s">
        <v>5111</v>
      </c>
      <c r="AR1220" s="81" t="s">
        <v>179</v>
      </c>
      <c r="AS1220" s="81">
        <v>0</v>
      </c>
      <c r="AT1220" s="81">
        <v>0</v>
      </c>
      <c r="AU1220" s="81"/>
      <c r="AV1220" s="81"/>
      <c r="AW1220" s="81"/>
      <c r="AX1220" s="81"/>
      <c r="AY1220" s="81"/>
      <c r="AZ1220" s="81"/>
      <c r="BA1220" s="81"/>
      <c r="BB1220" s="81"/>
    </row>
    <row r="1221" spans="1:54" x14ac:dyDescent="0.35">
      <c r="A1221" s="66" t="s">
        <v>914</v>
      </c>
      <c r="B1221" s="66" t="s">
        <v>990</v>
      </c>
      <c r="C1221" s="67"/>
      <c r="D1221" s="68"/>
      <c r="E1221" s="69"/>
      <c r="F1221" s="70"/>
      <c r="G1221" s="67"/>
      <c r="H1221" s="71"/>
      <c r="I1221" s="72"/>
      <c r="J1221" s="72"/>
      <c r="K1221" s="36"/>
      <c r="L1221" s="79"/>
      <c r="M1221" s="79"/>
      <c r="N1221" s="74"/>
      <c r="O1221" s="81" t="s">
        <v>1532</v>
      </c>
      <c r="P1221" s="83">
        <v>44464.309004629627</v>
      </c>
      <c r="Q1221" s="81" t="s">
        <v>1908</v>
      </c>
      <c r="R1221" s="81"/>
      <c r="S1221" s="81"/>
      <c r="T1221" s="86" t="s">
        <v>1413</v>
      </c>
      <c r="U1221" s="84" t="str">
        <f>HYPERLINK("https://pbs.twimg.com/media/FAEa_mFUYAcoKUu.jpg")</f>
        <v>https://pbs.twimg.com/media/FAEa_mFUYAcoKUu.jpg</v>
      </c>
      <c r="V1221" s="84" t="str">
        <f>HYPERLINK("https://pbs.twimg.com/media/FAEa_mFUYAcoKUu.jpg")</f>
        <v>https://pbs.twimg.com/media/FAEa_mFUYAcoKUu.jpg</v>
      </c>
      <c r="W1221" s="83">
        <v>44464.309004629627</v>
      </c>
      <c r="X1221" s="89">
        <v>44464</v>
      </c>
      <c r="Y1221" s="86" t="s">
        <v>3557</v>
      </c>
      <c r="Z1221" s="84" t="str">
        <f>HYPERLINK("https://twitter.com/lyayae_/status/1441665012087410693")</f>
        <v>https://twitter.com/lyayae_/status/1441665012087410693</v>
      </c>
      <c r="AA1221" s="81"/>
      <c r="AB1221" s="81"/>
      <c r="AC1221" s="86" t="s">
        <v>5023</v>
      </c>
      <c r="AD1221" s="81"/>
      <c r="AE1221" s="81" t="b">
        <v>0</v>
      </c>
      <c r="AF1221" s="81">
        <v>0</v>
      </c>
      <c r="AG1221" s="86" t="s">
        <v>6240</v>
      </c>
      <c r="AH1221" s="81" t="b">
        <v>0</v>
      </c>
      <c r="AI1221" s="81" t="s">
        <v>6479</v>
      </c>
      <c r="AJ1221" s="81"/>
      <c r="AK1221" s="86" t="s">
        <v>6240</v>
      </c>
      <c r="AL1221" s="81" t="b">
        <v>0</v>
      </c>
      <c r="AM1221" s="81">
        <v>23</v>
      </c>
      <c r="AN1221" s="86" t="s">
        <v>5111</v>
      </c>
      <c r="AO1221" s="86" t="s">
        <v>6505</v>
      </c>
      <c r="AP1221" s="81" t="b">
        <v>0</v>
      </c>
      <c r="AQ1221" s="86" t="s">
        <v>5111</v>
      </c>
      <c r="AR1221" s="81" t="s">
        <v>179</v>
      </c>
      <c r="AS1221" s="81">
        <v>0</v>
      </c>
      <c r="AT1221" s="81">
        <v>0</v>
      </c>
      <c r="AU1221" s="81"/>
      <c r="AV1221" s="81"/>
      <c r="AW1221" s="81"/>
      <c r="AX1221" s="81"/>
      <c r="AY1221" s="81"/>
      <c r="AZ1221" s="81"/>
      <c r="BA1221" s="81"/>
      <c r="BB1221" s="81"/>
    </row>
    <row r="1222" spans="1:54" x14ac:dyDescent="0.35">
      <c r="A1222" s="66" t="s">
        <v>915</v>
      </c>
      <c r="B1222" s="66" t="s">
        <v>1437</v>
      </c>
      <c r="C1222" s="67"/>
      <c r="D1222" s="68"/>
      <c r="E1222" s="69"/>
      <c r="F1222" s="70"/>
      <c r="G1222" s="67"/>
      <c r="H1222" s="71"/>
      <c r="I1222" s="72"/>
      <c r="J1222" s="72"/>
      <c r="K1222" s="36"/>
      <c r="L1222" s="79"/>
      <c r="M1222" s="79"/>
      <c r="N1222" s="74"/>
      <c r="O1222" s="81" t="s">
        <v>1534</v>
      </c>
      <c r="P1222" s="83">
        <v>44464.309895833336</v>
      </c>
      <c r="Q1222" s="81" t="s">
        <v>1937</v>
      </c>
      <c r="R1222" s="81"/>
      <c r="S1222" s="81"/>
      <c r="T1222" s="81"/>
      <c r="U1222" s="81"/>
      <c r="V1222" s="84" t="str">
        <f>HYPERLINK("https://pbs.twimg.com/profile_images/1406091383543193607/T-Ts9soq_normal.jpg")</f>
        <v>https://pbs.twimg.com/profile_images/1406091383543193607/T-Ts9soq_normal.jpg</v>
      </c>
      <c r="W1222" s="83">
        <v>44464.309895833336</v>
      </c>
      <c r="X1222" s="89">
        <v>44464</v>
      </c>
      <c r="Y1222" s="86" t="s">
        <v>3558</v>
      </c>
      <c r="Z1222" s="84" t="str">
        <f>HYPERLINK("https://twitter.com/sitirdeenaa/status/1441665334478446594")</f>
        <v>https://twitter.com/sitirdeenaa/status/1441665334478446594</v>
      </c>
      <c r="AA1222" s="81"/>
      <c r="AB1222" s="81"/>
      <c r="AC1222" s="86" t="s">
        <v>5024</v>
      </c>
      <c r="AD1222" s="86" t="s">
        <v>6112</v>
      </c>
      <c r="AE1222" s="81" t="b">
        <v>0</v>
      </c>
      <c r="AF1222" s="81">
        <v>0</v>
      </c>
      <c r="AG1222" s="86" t="s">
        <v>6370</v>
      </c>
      <c r="AH1222" s="81" t="b">
        <v>0</v>
      </c>
      <c r="AI1222" s="81" t="s">
        <v>6478</v>
      </c>
      <c r="AJ1222" s="81"/>
      <c r="AK1222" s="86" t="s">
        <v>6240</v>
      </c>
      <c r="AL1222" s="81" t="b">
        <v>0</v>
      </c>
      <c r="AM1222" s="81">
        <v>0</v>
      </c>
      <c r="AN1222" s="86" t="s">
        <v>6240</v>
      </c>
      <c r="AO1222" s="86" t="s">
        <v>6505</v>
      </c>
      <c r="AP1222" s="81" t="b">
        <v>0</v>
      </c>
      <c r="AQ1222" s="86" t="s">
        <v>6112</v>
      </c>
      <c r="AR1222" s="81" t="s">
        <v>179</v>
      </c>
      <c r="AS1222" s="81">
        <v>0</v>
      </c>
      <c r="AT1222" s="81">
        <v>0</v>
      </c>
      <c r="AU1222" s="81"/>
      <c r="AV1222" s="81"/>
      <c r="AW1222" s="81"/>
      <c r="AX1222" s="81"/>
      <c r="AY1222" s="81"/>
      <c r="AZ1222" s="81"/>
      <c r="BA1222" s="81"/>
      <c r="BB1222" s="81"/>
    </row>
    <row r="1223" spans="1:54" x14ac:dyDescent="0.35">
      <c r="A1223" s="66" t="s">
        <v>916</v>
      </c>
      <c r="B1223" s="66" t="s">
        <v>1438</v>
      </c>
      <c r="C1223" s="67"/>
      <c r="D1223" s="68"/>
      <c r="E1223" s="69"/>
      <c r="F1223" s="70"/>
      <c r="G1223" s="67"/>
      <c r="H1223" s="71"/>
      <c r="I1223" s="72"/>
      <c r="J1223" s="72"/>
      <c r="K1223" s="36"/>
      <c r="L1223" s="79"/>
      <c r="M1223" s="79"/>
      <c r="N1223" s="74"/>
      <c r="O1223" s="81" t="s">
        <v>1535</v>
      </c>
      <c r="P1223" s="83">
        <v>44464.314039351855</v>
      </c>
      <c r="Q1223" s="81" t="s">
        <v>1938</v>
      </c>
      <c r="R1223" s="81"/>
      <c r="S1223" s="81"/>
      <c r="T1223" s="81"/>
      <c r="U1223" s="81"/>
      <c r="V1223" s="84" t="str">
        <f>HYPERLINK("https://pbs.twimg.com/profile_images/1440317737373290504/QYIIiMFR_normal.jpg")</f>
        <v>https://pbs.twimg.com/profile_images/1440317737373290504/QYIIiMFR_normal.jpg</v>
      </c>
      <c r="W1223" s="83">
        <v>44464.314039351855</v>
      </c>
      <c r="X1223" s="89">
        <v>44464</v>
      </c>
      <c r="Y1223" s="86" t="s">
        <v>3559</v>
      </c>
      <c r="Z1223" s="84" t="str">
        <f>HYPERLINK("https://twitter.com/t_mikhwan/status/1441666836416765952")</f>
        <v>https://twitter.com/t_mikhwan/status/1441666836416765952</v>
      </c>
      <c r="AA1223" s="81"/>
      <c r="AB1223" s="81"/>
      <c r="AC1223" s="86" t="s">
        <v>5025</v>
      </c>
      <c r="AD1223" s="81"/>
      <c r="AE1223" s="81" t="b">
        <v>0</v>
      </c>
      <c r="AF1223" s="81">
        <v>0</v>
      </c>
      <c r="AG1223" s="86" t="s">
        <v>6240</v>
      </c>
      <c r="AH1223" s="81" t="b">
        <v>0</v>
      </c>
      <c r="AI1223" s="81" t="s">
        <v>6487</v>
      </c>
      <c r="AJ1223" s="81"/>
      <c r="AK1223" s="86" t="s">
        <v>6240</v>
      </c>
      <c r="AL1223" s="81" t="b">
        <v>0</v>
      </c>
      <c r="AM1223" s="81">
        <v>0</v>
      </c>
      <c r="AN1223" s="86" t="s">
        <v>6240</v>
      </c>
      <c r="AO1223" s="86" t="s">
        <v>6503</v>
      </c>
      <c r="AP1223" s="81" t="b">
        <v>0</v>
      </c>
      <c r="AQ1223" s="86" t="s">
        <v>5025</v>
      </c>
      <c r="AR1223" s="81" t="s">
        <v>179</v>
      </c>
      <c r="AS1223" s="81">
        <v>0</v>
      </c>
      <c r="AT1223" s="81">
        <v>0</v>
      </c>
      <c r="AU1223" s="81"/>
      <c r="AV1223" s="81"/>
      <c r="AW1223" s="81"/>
      <c r="AX1223" s="81"/>
      <c r="AY1223" s="81"/>
      <c r="AZ1223" s="81"/>
      <c r="BA1223" s="81"/>
      <c r="BB1223" s="81"/>
    </row>
    <row r="1224" spans="1:54" x14ac:dyDescent="0.35">
      <c r="A1224" s="66" t="s">
        <v>917</v>
      </c>
      <c r="B1224" s="66" t="s">
        <v>928</v>
      </c>
      <c r="C1224" s="67"/>
      <c r="D1224" s="68"/>
      <c r="E1224" s="69"/>
      <c r="F1224" s="70"/>
      <c r="G1224" s="67"/>
      <c r="H1224" s="71"/>
      <c r="I1224" s="72"/>
      <c r="J1224" s="72"/>
      <c r="K1224" s="36"/>
      <c r="L1224" s="79"/>
      <c r="M1224" s="79"/>
      <c r="N1224" s="74"/>
      <c r="O1224" s="81" t="s">
        <v>1532</v>
      </c>
      <c r="P1224" s="83">
        <v>44464.32236111111</v>
      </c>
      <c r="Q1224" s="81" t="s">
        <v>1781</v>
      </c>
      <c r="R1224" s="81"/>
      <c r="S1224" s="81"/>
      <c r="T1224" s="86" t="s">
        <v>2681</v>
      </c>
      <c r="U1224" s="84" t="str">
        <f>HYPERLINK("https://pbs.twimg.com/media/E_6-KvyVgAA0Zfe.jpg")</f>
        <v>https://pbs.twimg.com/media/E_6-KvyVgAA0Zfe.jpg</v>
      </c>
      <c r="V1224" s="84" t="str">
        <f>HYPERLINK("https://pbs.twimg.com/media/E_6-KvyVgAA0Zfe.jpg")</f>
        <v>https://pbs.twimg.com/media/E_6-KvyVgAA0Zfe.jpg</v>
      </c>
      <c r="W1224" s="83">
        <v>44464.32236111111</v>
      </c>
      <c r="X1224" s="89">
        <v>44464</v>
      </c>
      <c r="Y1224" s="86" t="s">
        <v>3560</v>
      </c>
      <c r="Z1224" s="84" t="str">
        <f>HYPERLINK("https://twitter.com/jci_pekanbaru/status/1441669853174136834")</f>
        <v>https://twitter.com/jci_pekanbaru/status/1441669853174136834</v>
      </c>
      <c r="AA1224" s="81"/>
      <c r="AB1224" s="81"/>
      <c r="AC1224" s="86" t="s">
        <v>5026</v>
      </c>
      <c r="AD1224" s="81"/>
      <c r="AE1224" s="81" t="b">
        <v>0</v>
      </c>
      <c r="AF1224" s="81">
        <v>0</v>
      </c>
      <c r="AG1224" s="86" t="s">
        <v>6240</v>
      </c>
      <c r="AH1224" s="81" t="b">
        <v>0</v>
      </c>
      <c r="AI1224" s="81" t="s">
        <v>6479</v>
      </c>
      <c r="AJ1224" s="81"/>
      <c r="AK1224" s="86" t="s">
        <v>6240</v>
      </c>
      <c r="AL1224" s="81" t="b">
        <v>0</v>
      </c>
      <c r="AM1224" s="81">
        <v>71</v>
      </c>
      <c r="AN1224" s="86" t="s">
        <v>5039</v>
      </c>
      <c r="AO1224" s="86" t="s">
        <v>6505</v>
      </c>
      <c r="AP1224" s="81" t="b">
        <v>0</v>
      </c>
      <c r="AQ1224" s="86" t="s">
        <v>5039</v>
      </c>
      <c r="AR1224" s="81" t="s">
        <v>179</v>
      </c>
      <c r="AS1224" s="81">
        <v>0</v>
      </c>
      <c r="AT1224" s="81">
        <v>0</v>
      </c>
      <c r="AU1224" s="81"/>
      <c r="AV1224" s="81"/>
      <c r="AW1224" s="81"/>
      <c r="AX1224" s="81"/>
      <c r="AY1224" s="81"/>
      <c r="AZ1224" s="81"/>
      <c r="BA1224" s="81"/>
      <c r="BB1224" s="81"/>
    </row>
    <row r="1225" spans="1:54" x14ac:dyDescent="0.35">
      <c r="A1225" s="66" t="s">
        <v>918</v>
      </c>
      <c r="B1225" s="66" t="s">
        <v>1439</v>
      </c>
      <c r="C1225" s="67"/>
      <c r="D1225" s="68"/>
      <c r="E1225" s="69"/>
      <c r="F1225" s="70"/>
      <c r="G1225" s="67"/>
      <c r="H1225" s="71"/>
      <c r="I1225" s="72"/>
      <c r="J1225" s="72"/>
      <c r="K1225" s="36"/>
      <c r="L1225" s="79"/>
      <c r="M1225" s="79"/>
      <c r="N1225" s="74"/>
      <c r="O1225" s="81" t="s">
        <v>1534</v>
      </c>
      <c r="P1225" s="83">
        <v>44464.32240740741</v>
      </c>
      <c r="Q1225" s="81" t="s">
        <v>1939</v>
      </c>
      <c r="R1225" s="81"/>
      <c r="S1225" s="81"/>
      <c r="T1225" s="81"/>
      <c r="U1225" s="81"/>
      <c r="V1225" s="84" t="str">
        <f>HYPERLINK("https://pbs.twimg.com/profile_images/1433094533198200835/ejGKk1WS_normal.jpg")</f>
        <v>https://pbs.twimg.com/profile_images/1433094533198200835/ejGKk1WS_normal.jpg</v>
      </c>
      <c r="W1225" s="83">
        <v>44464.32240740741</v>
      </c>
      <c r="X1225" s="89">
        <v>44464</v>
      </c>
      <c r="Y1225" s="86" t="s">
        <v>3561</v>
      </c>
      <c r="Z1225" s="84" t="str">
        <f>HYPERLINK("https://twitter.com/jaemdoongiessss/status/1441669871259906048")</f>
        <v>https://twitter.com/jaemdoongiessss/status/1441669871259906048</v>
      </c>
      <c r="AA1225" s="81"/>
      <c r="AB1225" s="81"/>
      <c r="AC1225" s="86" t="s">
        <v>5027</v>
      </c>
      <c r="AD1225" s="86" t="s">
        <v>6113</v>
      </c>
      <c r="AE1225" s="81" t="b">
        <v>0</v>
      </c>
      <c r="AF1225" s="81">
        <v>0</v>
      </c>
      <c r="AG1225" s="86" t="s">
        <v>6371</v>
      </c>
      <c r="AH1225" s="81" t="b">
        <v>0</v>
      </c>
      <c r="AI1225" s="81" t="s">
        <v>6478</v>
      </c>
      <c r="AJ1225" s="81"/>
      <c r="AK1225" s="86" t="s">
        <v>6240</v>
      </c>
      <c r="AL1225" s="81" t="b">
        <v>0</v>
      </c>
      <c r="AM1225" s="81">
        <v>0</v>
      </c>
      <c r="AN1225" s="86" t="s">
        <v>6240</v>
      </c>
      <c r="AO1225" s="86" t="s">
        <v>6505</v>
      </c>
      <c r="AP1225" s="81" t="b">
        <v>0</v>
      </c>
      <c r="AQ1225" s="86" t="s">
        <v>6113</v>
      </c>
      <c r="AR1225" s="81" t="s">
        <v>179</v>
      </c>
      <c r="AS1225" s="81">
        <v>0</v>
      </c>
      <c r="AT1225" s="81">
        <v>0</v>
      </c>
      <c r="AU1225" s="81"/>
      <c r="AV1225" s="81"/>
      <c r="AW1225" s="81"/>
      <c r="AX1225" s="81"/>
      <c r="AY1225" s="81"/>
      <c r="AZ1225" s="81"/>
      <c r="BA1225" s="81"/>
      <c r="BB1225" s="81"/>
    </row>
    <row r="1226" spans="1:54" x14ac:dyDescent="0.35">
      <c r="A1226" s="66" t="s">
        <v>919</v>
      </c>
      <c r="B1226" s="66" t="s">
        <v>1410</v>
      </c>
      <c r="C1226" s="67"/>
      <c r="D1226" s="68"/>
      <c r="E1226" s="69"/>
      <c r="F1226" s="70"/>
      <c r="G1226" s="67"/>
      <c r="H1226" s="71"/>
      <c r="I1226" s="72"/>
      <c r="J1226" s="72"/>
      <c r="K1226" s="36"/>
      <c r="L1226" s="79"/>
      <c r="M1226" s="79"/>
      <c r="N1226" s="74"/>
      <c r="O1226" s="81" t="s">
        <v>1533</v>
      </c>
      <c r="P1226" s="83">
        <v>44464.335532407407</v>
      </c>
      <c r="Q1226" s="81" t="s">
        <v>1908</v>
      </c>
      <c r="R1226" s="81"/>
      <c r="S1226" s="81"/>
      <c r="T1226" s="86" t="s">
        <v>1413</v>
      </c>
      <c r="U1226" s="84" t="str">
        <f>HYPERLINK("https://pbs.twimg.com/media/FAEa_mFUYAcoKUu.jpg")</f>
        <v>https://pbs.twimg.com/media/FAEa_mFUYAcoKUu.jpg</v>
      </c>
      <c r="V1226" s="84" t="str">
        <f>HYPERLINK("https://pbs.twimg.com/media/FAEa_mFUYAcoKUu.jpg")</f>
        <v>https://pbs.twimg.com/media/FAEa_mFUYAcoKUu.jpg</v>
      </c>
      <c r="W1226" s="83">
        <v>44464.335532407407</v>
      </c>
      <c r="X1226" s="89">
        <v>44464</v>
      </c>
      <c r="Y1226" s="86" t="s">
        <v>3562</v>
      </c>
      <c r="Z1226" s="84" t="str">
        <f>HYPERLINK("https://twitter.com/ktaehmybae/status/1441674626317238282")</f>
        <v>https://twitter.com/ktaehmybae/status/1441674626317238282</v>
      </c>
      <c r="AA1226" s="81"/>
      <c r="AB1226" s="81"/>
      <c r="AC1226" s="86" t="s">
        <v>5028</v>
      </c>
      <c r="AD1226" s="81"/>
      <c r="AE1226" s="81" t="b">
        <v>0</v>
      </c>
      <c r="AF1226" s="81">
        <v>0</v>
      </c>
      <c r="AG1226" s="86" t="s">
        <v>6240</v>
      </c>
      <c r="AH1226" s="81" t="b">
        <v>0</v>
      </c>
      <c r="AI1226" s="81" t="s">
        <v>6479</v>
      </c>
      <c r="AJ1226" s="81"/>
      <c r="AK1226" s="86" t="s">
        <v>6240</v>
      </c>
      <c r="AL1226" s="81" t="b">
        <v>0</v>
      </c>
      <c r="AM1226" s="81">
        <v>23</v>
      </c>
      <c r="AN1226" s="86" t="s">
        <v>5111</v>
      </c>
      <c r="AO1226" s="86" t="s">
        <v>6503</v>
      </c>
      <c r="AP1226" s="81" t="b">
        <v>0</v>
      </c>
      <c r="AQ1226" s="86" t="s">
        <v>5111</v>
      </c>
      <c r="AR1226" s="81" t="s">
        <v>179</v>
      </c>
      <c r="AS1226" s="81">
        <v>0</v>
      </c>
      <c r="AT1226" s="81">
        <v>0</v>
      </c>
      <c r="AU1226" s="81"/>
      <c r="AV1226" s="81"/>
      <c r="AW1226" s="81"/>
      <c r="AX1226" s="81"/>
      <c r="AY1226" s="81"/>
      <c r="AZ1226" s="81"/>
      <c r="BA1226" s="81"/>
      <c r="BB1226" s="81"/>
    </row>
    <row r="1227" spans="1:54" x14ac:dyDescent="0.35">
      <c r="A1227" s="66" t="s">
        <v>919</v>
      </c>
      <c r="B1227" s="66" t="s">
        <v>1411</v>
      </c>
      <c r="C1227" s="67"/>
      <c r="D1227" s="68"/>
      <c r="E1227" s="69"/>
      <c r="F1227" s="70"/>
      <c r="G1227" s="67"/>
      <c r="H1227" s="71"/>
      <c r="I1227" s="72"/>
      <c r="J1227" s="72"/>
      <c r="K1227" s="36"/>
      <c r="L1227" s="79"/>
      <c r="M1227" s="79"/>
      <c r="N1227" s="74"/>
      <c r="O1227" s="81" t="s">
        <v>1533</v>
      </c>
      <c r="P1227" s="83">
        <v>44464.335532407407</v>
      </c>
      <c r="Q1227" s="81" t="s">
        <v>1908</v>
      </c>
      <c r="R1227" s="81"/>
      <c r="S1227" s="81"/>
      <c r="T1227" s="86" t="s">
        <v>1413</v>
      </c>
      <c r="U1227" s="84" t="str">
        <f>HYPERLINK("https://pbs.twimg.com/media/FAEa_mFUYAcoKUu.jpg")</f>
        <v>https://pbs.twimg.com/media/FAEa_mFUYAcoKUu.jpg</v>
      </c>
      <c r="V1227" s="84" t="str">
        <f>HYPERLINK("https://pbs.twimg.com/media/FAEa_mFUYAcoKUu.jpg")</f>
        <v>https://pbs.twimg.com/media/FAEa_mFUYAcoKUu.jpg</v>
      </c>
      <c r="W1227" s="83">
        <v>44464.335532407407</v>
      </c>
      <c r="X1227" s="89">
        <v>44464</v>
      </c>
      <c r="Y1227" s="86" t="s">
        <v>3562</v>
      </c>
      <c r="Z1227" s="84" t="str">
        <f>HYPERLINK("https://twitter.com/ktaehmybae/status/1441674626317238282")</f>
        <v>https://twitter.com/ktaehmybae/status/1441674626317238282</v>
      </c>
      <c r="AA1227" s="81"/>
      <c r="AB1227" s="81"/>
      <c r="AC1227" s="86" t="s">
        <v>5028</v>
      </c>
      <c r="AD1227" s="81"/>
      <c r="AE1227" s="81" t="b">
        <v>0</v>
      </c>
      <c r="AF1227" s="81">
        <v>0</v>
      </c>
      <c r="AG1227" s="86" t="s">
        <v>6240</v>
      </c>
      <c r="AH1227" s="81" t="b">
        <v>0</v>
      </c>
      <c r="AI1227" s="81" t="s">
        <v>6479</v>
      </c>
      <c r="AJ1227" s="81"/>
      <c r="AK1227" s="86" t="s">
        <v>6240</v>
      </c>
      <c r="AL1227" s="81" t="b">
        <v>0</v>
      </c>
      <c r="AM1227" s="81">
        <v>23</v>
      </c>
      <c r="AN1227" s="86" t="s">
        <v>5111</v>
      </c>
      <c r="AO1227" s="86" t="s">
        <v>6503</v>
      </c>
      <c r="AP1227" s="81" t="b">
        <v>0</v>
      </c>
      <c r="AQ1227" s="86" t="s">
        <v>5111</v>
      </c>
      <c r="AR1227" s="81" t="s">
        <v>179</v>
      </c>
      <c r="AS1227" s="81">
        <v>0</v>
      </c>
      <c r="AT1227" s="81">
        <v>0</v>
      </c>
      <c r="AU1227" s="81"/>
      <c r="AV1227" s="81"/>
      <c r="AW1227" s="81"/>
      <c r="AX1227" s="81"/>
      <c r="AY1227" s="81"/>
      <c r="AZ1227" s="81"/>
      <c r="BA1227" s="81"/>
      <c r="BB1227" s="81"/>
    </row>
    <row r="1228" spans="1:54" x14ac:dyDescent="0.35">
      <c r="A1228" s="66" t="s">
        <v>919</v>
      </c>
      <c r="B1228" s="66" t="s">
        <v>1412</v>
      </c>
      <c r="C1228" s="67"/>
      <c r="D1228" s="68"/>
      <c r="E1228" s="69"/>
      <c r="F1228" s="70"/>
      <c r="G1228" s="67"/>
      <c r="H1228" s="71"/>
      <c r="I1228" s="72"/>
      <c r="J1228" s="72"/>
      <c r="K1228" s="36"/>
      <c r="L1228" s="79"/>
      <c r="M1228" s="79"/>
      <c r="N1228" s="74"/>
      <c r="O1228" s="81" t="s">
        <v>1533</v>
      </c>
      <c r="P1228" s="83">
        <v>44464.335532407407</v>
      </c>
      <c r="Q1228" s="81" t="s">
        <v>1908</v>
      </c>
      <c r="R1228" s="81"/>
      <c r="S1228" s="81"/>
      <c r="T1228" s="86" t="s">
        <v>1413</v>
      </c>
      <c r="U1228" s="84" t="str">
        <f>HYPERLINK("https://pbs.twimg.com/media/FAEa_mFUYAcoKUu.jpg")</f>
        <v>https://pbs.twimg.com/media/FAEa_mFUYAcoKUu.jpg</v>
      </c>
      <c r="V1228" s="84" t="str">
        <f>HYPERLINK("https://pbs.twimg.com/media/FAEa_mFUYAcoKUu.jpg")</f>
        <v>https://pbs.twimg.com/media/FAEa_mFUYAcoKUu.jpg</v>
      </c>
      <c r="W1228" s="83">
        <v>44464.335532407407</v>
      </c>
      <c r="X1228" s="89">
        <v>44464</v>
      </c>
      <c r="Y1228" s="86" t="s">
        <v>3562</v>
      </c>
      <c r="Z1228" s="84" t="str">
        <f>HYPERLINK("https://twitter.com/ktaehmybae/status/1441674626317238282")</f>
        <v>https://twitter.com/ktaehmybae/status/1441674626317238282</v>
      </c>
      <c r="AA1228" s="81"/>
      <c r="AB1228" s="81"/>
      <c r="AC1228" s="86" t="s">
        <v>5028</v>
      </c>
      <c r="AD1228" s="81"/>
      <c r="AE1228" s="81" t="b">
        <v>0</v>
      </c>
      <c r="AF1228" s="81">
        <v>0</v>
      </c>
      <c r="AG1228" s="86" t="s">
        <v>6240</v>
      </c>
      <c r="AH1228" s="81" t="b">
        <v>0</v>
      </c>
      <c r="AI1228" s="81" t="s">
        <v>6479</v>
      </c>
      <c r="AJ1228" s="81"/>
      <c r="AK1228" s="86" t="s">
        <v>6240</v>
      </c>
      <c r="AL1228" s="81" t="b">
        <v>0</v>
      </c>
      <c r="AM1228" s="81">
        <v>23</v>
      </c>
      <c r="AN1228" s="86" t="s">
        <v>5111</v>
      </c>
      <c r="AO1228" s="86" t="s">
        <v>6503</v>
      </c>
      <c r="AP1228" s="81" t="b">
        <v>0</v>
      </c>
      <c r="AQ1228" s="86" t="s">
        <v>5111</v>
      </c>
      <c r="AR1228" s="81" t="s">
        <v>179</v>
      </c>
      <c r="AS1228" s="81">
        <v>0</v>
      </c>
      <c r="AT1228" s="81">
        <v>0</v>
      </c>
      <c r="AU1228" s="81"/>
      <c r="AV1228" s="81"/>
      <c r="AW1228" s="81"/>
      <c r="AX1228" s="81"/>
      <c r="AY1228" s="81"/>
      <c r="AZ1228" s="81"/>
      <c r="BA1228" s="81"/>
      <c r="BB1228" s="81"/>
    </row>
    <row r="1229" spans="1:54" x14ac:dyDescent="0.35">
      <c r="A1229" s="66" t="s">
        <v>919</v>
      </c>
      <c r="B1229" s="66" t="s">
        <v>1413</v>
      </c>
      <c r="C1229" s="67"/>
      <c r="D1229" s="68"/>
      <c r="E1229" s="69"/>
      <c r="F1229" s="70"/>
      <c r="G1229" s="67"/>
      <c r="H1229" s="71"/>
      <c r="I1229" s="72"/>
      <c r="J1229" s="72"/>
      <c r="K1229" s="36"/>
      <c r="L1229" s="79"/>
      <c r="M1229" s="79"/>
      <c r="N1229" s="74"/>
      <c r="O1229" s="81" t="s">
        <v>1533</v>
      </c>
      <c r="P1229" s="83">
        <v>44464.335532407407</v>
      </c>
      <c r="Q1229" s="81" t="s">
        <v>1908</v>
      </c>
      <c r="R1229" s="81"/>
      <c r="S1229" s="81"/>
      <c r="T1229" s="86" t="s">
        <v>1413</v>
      </c>
      <c r="U1229" s="84" t="str">
        <f>HYPERLINK("https://pbs.twimg.com/media/FAEa_mFUYAcoKUu.jpg")</f>
        <v>https://pbs.twimg.com/media/FAEa_mFUYAcoKUu.jpg</v>
      </c>
      <c r="V1229" s="84" t="str">
        <f>HYPERLINK("https://pbs.twimg.com/media/FAEa_mFUYAcoKUu.jpg")</f>
        <v>https://pbs.twimg.com/media/FAEa_mFUYAcoKUu.jpg</v>
      </c>
      <c r="W1229" s="83">
        <v>44464.335532407407</v>
      </c>
      <c r="X1229" s="89">
        <v>44464</v>
      </c>
      <c r="Y1229" s="86" t="s">
        <v>3562</v>
      </c>
      <c r="Z1229" s="84" t="str">
        <f>HYPERLINK("https://twitter.com/ktaehmybae/status/1441674626317238282")</f>
        <v>https://twitter.com/ktaehmybae/status/1441674626317238282</v>
      </c>
      <c r="AA1229" s="81"/>
      <c r="AB1229" s="81"/>
      <c r="AC1229" s="86" t="s">
        <v>5028</v>
      </c>
      <c r="AD1229" s="81"/>
      <c r="AE1229" s="81" t="b">
        <v>0</v>
      </c>
      <c r="AF1229" s="81">
        <v>0</v>
      </c>
      <c r="AG1229" s="86" t="s">
        <v>6240</v>
      </c>
      <c r="AH1229" s="81" t="b">
        <v>0</v>
      </c>
      <c r="AI1229" s="81" t="s">
        <v>6479</v>
      </c>
      <c r="AJ1229" s="81"/>
      <c r="AK1229" s="86" t="s">
        <v>6240</v>
      </c>
      <c r="AL1229" s="81" t="b">
        <v>0</v>
      </c>
      <c r="AM1229" s="81">
        <v>23</v>
      </c>
      <c r="AN1229" s="86" t="s">
        <v>5111</v>
      </c>
      <c r="AO1229" s="86" t="s">
        <v>6503</v>
      </c>
      <c r="AP1229" s="81" t="b">
        <v>0</v>
      </c>
      <c r="AQ1229" s="86" t="s">
        <v>5111</v>
      </c>
      <c r="AR1229" s="81" t="s">
        <v>179</v>
      </c>
      <c r="AS1229" s="81">
        <v>0</v>
      </c>
      <c r="AT1229" s="81">
        <v>0</v>
      </c>
      <c r="AU1229" s="81"/>
      <c r="AV1229" s="81"/>
      <c r="AW1229" s="81"/>
      <c r="AX1229" s="81"/>
      <c r="AY1229" s="81"/>
      <c r="AZ1229" s="81"/>
      <c r="BA1229" s="81"/>
      <c r="BB1229" s="81"/>
    </row>
    <row r="1230" spans="1:54" x14ac:dyDescent="0.35">
      <c r="A1230" s="66" t="s">
        <v>919</v>
      </c>
      <c r="B1230" s="66" t="s">
        <v>990</v>
      </c>
      <c r="C1230" s="67"/>
      <c r="D1230" s="68"/>
      <c r="E1230" s="69"/>
      <c r="F1230" s="70"/>
      <c r="G1230" s="67"/>
      <c r="H1230" s="71"/>
      <c r="I1230" s="72"/>
      <c r="J1230" s="72"/>
      <c r="K1230" s="36"/>
      <c r="L1230" s="79"/>
      <c r="M1230" s="79"/>
      <c r="N1230" s="74"/>
      <c r="O1230" s="81" t="s">
        <v>1532</v>
      </c>
      <c r="P1230" s="83">
        <v>44464.335532407407</v>
      </c>
      <c r="Q1230" s="81" t="s">
        <v>1908</v>
      </c>
      <c r="R1230" s="81"/>
      <c r="S1230" s="81"/>
      <c r="T1230" s="86" t="s">
        <v>1413</v>
      </c>
      <c r="U1230" s="84" t="str">
        <f>HYPERLINK("https://pbs.twimg.com/media/FAEa_mFUYAcoKUu.jpg")</f>
        <v>https://pbs.twimg.com/media/FAEa_mFUYAcoKUu.jpg</v>
      </c>
      <c r="V1230" s="84" t="str">
        <f>HYPERLINK("https://pbs.twimg.com/media/FAEa_mFUYAcoKUu.jpg")</f>
        <v>https://pbs.twimg.com/media/FAEa_mFUYAcoKUu.jpg</v>
      </c>
      <c r="W1230" s="83">
        <v>44464.335532407407</v>
      </c>
      <c r="X1230" s="89">
        <v>44464</v>
      </c>
      <c r="Y1230" s="86" t="s">
        <v>3562</v>
      </c>
      <c r="Z1230" s="84" t="str">
        <f>HYPERLINK("https://twitter.com/ktaehmybae/status/1441674626317238282")</f>
        <v>https://twitter.com/ktaehmybae/status/1441674626317238282</v>
      </c>
      <c r="AA1230" s="81"/>
      <c r="AB1230" s="81"/>
      <c r="AC1230" s="86" t="s">
        <v>5028</v>
      </c>
      <c r="AD1230" s="81"/>
      <c r="AE1230" s="81" t="b">
        <v>0</v>
      </c>
      <c r="AF1230" s="81">
        <v>0</v>
      </c>
      <c r="AG1230" s="86" t="s">
        <v>6240</v>
      </c>
      <c r="AH1230" s="81" t="b">
        <v>0</v>
      </c>
      <c r="AI1230" s="81" t="s">
        <v>6479</v>
      </c>
      <c r="AJ1230" s="81"/>
      <c r="AK1230" s="86" t="s">
        <v>6240</v>
      </c>
      <c r="AL1230" s="81" t="b">
        <v>0</v>
      </c>
      <c r="AM1230" s="81">
        <v>23</v>
      </c>
      <c r="AN1230" s="86" t="s">
        <v>5111</v>
      </c>
      <c r="AO1230" s="86" t="s">
        <v>6503</v>
      </c>
      <c r="AP1230" s="81" t="b">
        <v>0</v>
      </c>
      <c r="AQ1230" s="86" t="s">
        <v>5111</v>
      </c>
      <c r="AR1230" s="81" t="s">
        <v>179</v>
      </c>
      <c r="AS1230" s="81">
        <v>0</v>
      </c>
      <c r="AT1230" s="81">
        <v>0</v>
      </c>
      <c r="AU1230" s="81"/>
      <c r="AV1230" s="81"/>
      <c r="AW1230" s="81"/>
      <c r="AX1230" s="81"/>
      <c r="AY1230" s="81"/>
      <c r="AZ1230" s="81"/>
      <c r="BA1230" s="81"/>
      <c r="BB1230" s="81"/>
    </row>
    <row r="1231" spans="1:54" x14ac:dyDescent="0.35">
      <c r="A1231" s="66" t="s">
        <v>920</v>
      </c>
      <c r="B1231" s="66" t="s">
        <v>1410</v>
      </c>
      <c r="C1231" s="67"/>
      <c r="D1231" s="68"/>
      <c r="E1231" s="69"/>
      <c r="F1231" s="70"/>
      <c r="G1231" s="67"/>
      <c r="H1231" s="71"/>
      <c r="I1231" s="72"/>
      <c r="J1231" s="72"/>
      <c r="K1231" s="36"/>
      <c r="L1231" s="79"/>
      <c r="M1231" s="79"/>
      <c r="N1231" s="74"/>
      <c r="O1231" s="81" t="s">
        <v>1533</v>
      </c>
      <c r="P1231" s="83">
        <v>44464.337395833332</v>
      </c>
      <c r="Q1231" s="81" t="s">
        <v>1908</v>
      </c>
      <c r="R1231" s="81"/>
      <c r="S1231" s="81"/>
      <c r="T1231" s="86" t="s">
        <v>1413</v>
      </c>
      <c r="U1231" s="84" t="str">
        <f>HYPERLINK("https://pbs.twimg.com/media/FAEa_mFUYAcoKUu.jpg")</f>
        <v>https://pbs.twimg.com/media/FAEa_mFUYAcoKUu.jpg</v>
      </c>
      <c r="V1231" s="84" t="str">
        <f>HYPERLINK("https://pbs.twimg.com/media/FAEa_mFUYAcoKUu.jpg")</f>
        <v>https://pbs.twimg.com/media/FAEa_mFUYAcoKUu.jpg</v>
      </c>
      <c r="W1231" s="83">
        <v>44464.337395833332</v>
      </c>
      <c r="X1231" s="89">
        <v>44464</v>
      </c>
      <c r="Y1231" s="86" t="s">
        <v>3563</v>
      </c>
      <c r="Z1231" s="84" t="str">
        <f>HYPERLINK("https://twitter.com/skylova2/status/1441675302405476353")</f>
        <v>https://twitter.com/skylova2/status/1441675302405476353</v>
      </c>
      <c r="AA1231" s="81"/>
      <c r="AB1231" s="81"/>
      <c r="AC1231" s="86" t="s">
        <v>5029</v>
      </c>
      <c r="AD1231" s="81"/>
      <c r="AE1231" s="81" t="b">
        <v>0</v>
      </c>
      <c r="AF1231" s="81">
        <v>0</v>
      </c>
      <c r="AG1231" s="86" t="s">
        <v>6240</v>
      </c>
      <c r="AH1231" s="81" t="b">
        <v>0</v>
      </c>
      <c r="AI1231" s="81" t="s">
        <v>6479</v>
      </c>
      <c r="AJ1231" s="81"/>
      <c r="AK1231" s="86" t="s">
        <v>6240</v>
      </c>
      <c r="AL1231" s="81" t="b">
        <v>0</v>
      </c>
      <c r="AM1231" s="81">
        <v>23</v>
      </c>
      <c r="AN1231" s="86" t="s">
        <v>5111</v>
      </c>
      <c r="AO1231" s="86" t="s">
        <v>6503</v>
      </c>
      <c r="AP1231" s="81" t="b">
        <v>0</v>
      </c>
      <c r="AQ1231" s="86" t="s">
        <v>5111</v>
      </c>
      <c r="AR1231" s="81" t="s">
        <v>179</v>
      </c>
      <c r="AS1231" s="81">
        <v>0</v>
      </c>
      <c r="AT1231" s="81">
        <v>0</v>
      </c>
      <c r="AU1231" s="81"/>
      <c r="AV1231" s="81"/>
      <c r="AW1231" s="81"/>
      <c r="AX1231" s="81"/>
      <c r="AY1231" s="81"/>
      <c r="AZ1231" s="81"/>
      <c r="BA1231" s="81"/>
      <c r="BB1231" s="81"/>
    </row>
    <row r="1232" spans="1:54" x14ac:dyDescent="0.35">
      <c r="A1232" s="66" t="s">
        <v>920</v>
      </c>
      <c r="B1232" s="66" t="s">
        <v>1411</v>
      </c>
      <c r="C1232" s="67"/>
      <c r="D1232" s="68"/>
      <c r="E1232" s="69"/>
      <c r="F1232" s="70"/>
      <c r="G1232" s="67"/>
      <c r="H1232" s="71"/>
      <c r="I1232" s="72"/>
      <c r="J1232" s="72"/>
      <c r="K1232" s="36"/>
      <c r="L1232" s="79"/>
      <c r="M1232" s="79"/>
      <c r="N1232" s="74"/>
      <c r="O1232" s="81" t="s">
        <v>1533</v>
      </c>
      <c r="P1232" s="83">
        <v>44464.337395833332</v>
      </c>
      <c r="Q1232" s="81" t="s">
        <v>1908</v>
      </c>
      <c r="R1232" s="81"/>
      <c r="S1232" s="81"/>
      <c r="T1232" s="86" t="s">
        <v>1413</v>
      </c>
      <c r="U1232" s="84" t="str">
        <f>HYPERLINK("https://pbs.twimg.com/media/FAEa_mFUYAcoKUu.jpg")</f>
        <v>https://pbs.twimg.com/media/FAEa_mFUYAcoKUu.jpg</v>
      </c>
      <c r="V1232" s="84" t="str">
        <f>HYPERLINK("https://pbs.twimg.com/media/FAEa_mFUYAcoKUu.jpg")</f>
        <v>https://pbs.twimg.com/media/FAEa_mFUYAcoKUu.jpg</v>
      </c>
      <c r="W1232" s="83">
        <v>44464.337395833332</v>
      </c>
      <c r="X1232" s="89">
        <v>44464</v>
      </c>
      <c r="Y1232" s="86" t="s">
        <v>3563</v>
      </c>
      <c r="Z1232" s="84" t="str">
        <f>HYPERLINK("https://twitter.com/skylova2/status/1441675302405476353")</f>
        <v>https://twitter.com/skylova2/status/1441675302405476353</v>
      </c>
      <c r="AA1232" s="81"/>
      <c r="AB1232" s="81"/>
      <c r="AC1232" s="86" t="s">
        <v>5029</v>
      </c>
      <c r="AD1232" s="81"/>
      <c r="AE1232" s="81" t="b">
        <v>0</v>
      </c>
      <c r="AF1232" s="81">
        <v>0</v>
      </c>
      <c r="AG1232" s="86" t="s">
        <v>6240</v>
      </c>
      <c r="AH1232" s="81" t="b">
        <v>0</v>
      </c>
      <c r="AI1232" s="81" t="s">
        <v>6479</v>
      </c>
      <c r="AJ1232" s="81"/>
      <c r="AK1232" s="86" t="s">
        <v>6240</v>
      </c>
      <c r="AL1232" s="81" t="b">
        <v>0</v>
      </c>
      <c r="AM1232" s="81">
        <v>23</v>
      </c>
      <c r="AN1232" s="86" t="s">
        <v>5111</v>
      </c>
      <c r="AO1232" s="86" t="s">
        <v>6503</v>
      </c>
      <c r="AP1232" s="81" t="b">
        <v>0</v>
      </c>
      <c r="AQ1232" s="86" t="s">
        <v>5111</v>
      </c>
      <c r="AR1232" s="81" t="s">
        <v>179</v>
      </c>
      <c r="AS1232" s="81">
        <v>0</v>
      </c>
      <c r="AT1232" s="81">
        <v>0</v>
      </c>
      <c r="AU1232" s="81"/>
      <c r="AV1232" s="81"/>
      <c r="AW1232" s="81"/>
      <c r="AX1232" s="81"/>
      <c r="AY1232" s="81"/>
      <c r="AZ1232" s="81"/>
      <c r="BA1232" s="81"/>
      <c r="BB1232" s="81"/>
    </row>
    <row r="1233" spans="1:54" x14ac:dyDescent="0.35">
      <c r="A1233" s="66" t="s">
        <v>920</v>
      </c>
      <c r="B1233" s="66" t="s">
        <v>1412</v>
      </c>
      <c r="C1233" s="67"/>
      <c r="D1233" s="68"/>
      <c r="E1233" s="69"/>
      <c r="F1233" s="70"/>
      <c r="G1233" s="67"/>
      <c r="H1233" s="71"/>
      <c r="I1233" s="72"/>
      <c r="J1233" s="72"/>
      <c r="K1233" s="36"/>
      <c r="L1233" s="79"/>
      <c r="M1233" s="79"/>
      <c r="N1233" s="74"/>
      <c r="O1233" s="81" t="s">
        <v>1533</v>
      </c>
      <c r="P1233" s="83">
        <v>44464.337395833332</v>
      </c>
      <c r="Q1233" s="81" t="s">
        <v>1908</v>
      </c>
      <c r="R1233" s="81"/>
      <c r="S1233" s="81"/>
      <c r="T1233" s="86" t="s">
        <v>1413</v>
      </c>
      <c r="U1233" s="84" t="str">
        <f>HYPERLINK("https://pbs.twimg.com/media/FAEa_mFUYAcoKUu.jpg")</f>
        <v>https://pbs.twimg.com/media/FAEa_mFUYAcoKUu.jpg</v>
      </c>
      <c r="V1233" s="84" t="str">
        <f>HYPERLINK("https://pbs.twimg.com/media/FAEa_mFUYAcoKUu.jpg")</f>
        <v>https://pbs.twimg.com/media/FAEa_mFUYAcoKUu.jpg</v>
      </c>
      <c r="W1233" s="83">
        <v>44464.337395833332</v>
      </c>
      <c r="X1233" s="89">
        <v>44464</v>
      </c>
      <c r="Y1233" s="86" t="s">
        <v>3563</v>
      </c>
      <c r="Z1233" s="84" t="str">
        <f>HYPERLINK("https://twitter.com/skylova2/status/1441675302405476353")</f>
        <v>https://twitter.com/skylova2/status/1441675302405476353</v>
      </c>
      <c r="AA1233" s="81"/>
      <c r="AB1233" s="81"/>
      <c r="AC1233" s="86" t="s">
        <v>5029</v>
      </c>
      <c r="AD1233" s="81"/>
      <c r="AE1233" s="81" t="b">
        <v>0</v>
      </c>
      <c r="AF1233" s="81">
        <v>0</v>
      </c>
      <c r="AG1233" s="86" t="s">
        <v>6240</v>
      </c>
      <c r="AH1233" s="81" t="b">
        <v>0</v>
      </c>
      <c r="AI1233" s="81" t="s">
        <v>6479</v>
      </c>
      <c r="AJ1233" s="81"/>
      <c r="AK1233" s="86" t="s">
        <v>6240</v>
      </c>
      <c r="AL1233" s="81" t="b">
        <v>0</v>
      </c>
      <c r="AM1233" s="81">
        <v>23</v>
      </c>
      <c r="AN1233" s="86" t="s">
        <v>5111</v>
      </c>
      <c r="AO1233" s="86" t="s">
        <v>6503</v>
      </c>
      <c r="AP1233" s="81" t="b">
        <v>0</v>
      </c>
      <c r="AQ1233" s="86" t="s">
        <v>5111</v>
      </c>
      <c r="AR1233" s="81" t="s">
        <v>179</v>
      </c>
      <c r="AS1233" s="81">
        <v>0</v>
      </c>
      <c r="AT1233" s="81">
        <v>0</v>
      </c>
      <c r="AU1233" s="81"/>
      <c r="AV1233" s="81"/>
      <c r="AW1233" s="81"/>
      <c r="AX1233" s="81"/>
      <c r="AY1233" s="81"/>
      <c r="AZ1233" s="81"/>
      <c r="BA1233" s="81"/>
      <c r="BB1233" s="81"/>
    </row>
    <row r="1234" spans="1:54" x14ac:dyDescent="0.35">
      <c r="A1234" s="66" t="s">
        <v>920</v>
      </c>
      <c r="B1234" s="66" t="s">
        <v>1413</v>
      </c>
      <c r="C1234" s="67"/>
      <c r="D1234" s="68"/>
      <c r="E1234" s="69"/>
      <c r="F1234" s="70"/>
      <c r="G1234" s="67"/>
      <c r="H1234" s="71"/>
      <c r="I1234" s="72"/>
      <c r="J1234" s="72"/>
      <c r="K1234" s="36"/>
      <c r="L1234" s="79"/>
      <c r="M1234" s="79"/>
      <c r="N1234" s="74"/>
      <c r="O1234" s="81" t="s">
        <v>1533</v>
      </c>
      <c r="P1234" s="83">
        <v>44464.337395833332</v>
      </c>
      <c r="Q1234" s="81" t="s">
        <v>1908</v>
      </c>
      <c r="R1234" s="81"/>
      <c r="S1234" s="81"/>
      <c r="T1234" s="86" t="s">
        <v>1413</v>
      </c>
      <c r="U1234" s="84" t="str">
        <f>HYPERLINK("https://pbs.twimg.com/media/FAEa_mFUYAcoKUu.jpg")</f>
        <v>https://pbs.twimg.com/media/FAEa_mFUYAcoKUu.jpg</v>
      </c>
      <c r="V1234" s="84" t="str">
        <f>HYPERLINK("https://pbs.twimg.com/media/FAEa_mFUYAcoKUu.jpg")</f>
        <v>https://pbs.twimg.com/media/FAEa_mFUYAcoKUu.jpg</v>
      </c>
      <c r="W1234" s="83">
        <v>44464.337395833332</v>
      </c>
      <c r="X1234" s="89">
        <v>44464</v>
      </c>
      <c r="Y1234" s="86" t="s">
        <v>3563</v>
      </c>
      <c r="Z1234" s="84" t="str">
        <f>HYPERLINK("https://twitter.com/skylova2/status/1441675302405476353")</f>
        <v>https://twitter.com/skylova2/status/1441675302405476353</v>
      </c>
      <c r="AA1234" s="81"/>
      <c r="AB1234" s="81"/>
      <c r="AC1234" s="86" t="s">
        <v>5029</v>
      </c>
      <c r="AD1234" s="81"/>
      <c r="AE1234" s="81" t="b">
        <v>0</v>
      </c>
      <c r="AF1234" s="81">
        <v>0</v>
      </c>
      <c r="AG1234" s="86" t="s">
        <v>6240</v>
      </c>
      <c r="AH1234" s="81" t="b">
        <v>0</v>
      </c>
      <c r="AI1234" s="81" t="s">
        <v>6479</v>
      </c>
      <c r="AJ1234" s="81"/>
      <c r="AK1234" s="86" t="s">
        <v>6240</v>
      </c>
      <c r="AL1234" s="81" t="b">
        <v>0</v>
      </c>
      <c r="AM1234" s="81">
        <v>23</v>
      </c>
      <c r="AN1234" s="86" t="s">
        <v>5111</v>
      </c>
      <c r="AO1234" s="86" t="s">
        <v>6503</v>
      </c>
      <c r="AP1234" s="81" t="b">
        <v>0</v>
      </c>
      <c r="AQ1234" s="86" t="s">
        <v>5111</v>
      </c>
      <c r="AR1234" s="81" t="s">
        <v>179</v>
      </c>
      <c r="AS1234" s="81">
        <v>0</v>
      </c>
      <c r="AT1234" s="81">
        <v>0</v>
      </c>
      <c r="AU1234" s="81"/>
      <c r="AV1234" s="81"/>
      <c r="AW1234" s="81"/>
      <c r="AX1234" s="81"/>
      <c r="AY1234" s="81"/>
      <c r="AZ1234" s="81"/>
      <c r="BA1234" s="81"/>
      <c r="BB1234" s="81"/>
    </row>
    <row r="1235" spans="1:54" x14ac:dyDescent="0.35">
      <c r="A1235" s="66" t="s">
        <v>920</v>
      </c>
      <c r="B1235" s="66" t="s">
        <v>990</v>
      </c>
      <c r="C1235" s="67"/>
      <c r="D1235" s="68"/>
      <c r="E1235" s="69"/>
      <c r="F1235" s="70"/>
      <c r="G1235" s="67"/>
      <c r="H1235" s="71"/>
      <c r="I1235" s="72"/>
      <c r="J1235" s="72"/>
      <c r="K1235" s="36"/>
      <c r="L1235" s="79"/>
      <c r="M1235" s="79"/>
      <c r="N1235" s="74"/>
      <c r="O1235" s="81" t="s">
        <v>1532</v>
      </c>
      <c r="P1235" s="83">
        <v>44464.337395833332</v>
      </c>
      <c r="Q1235" s="81" t="s">
        <v>1908</v>
      </c>
      <c r="R1235" s="81"/>
      <c r="S1235" s="81"/>
      <c r="T1235" s="86" t="s">
        <v>1413</v>
      </c>
      <c r="U1235" s="84" t="str">
        <f>HYPERLINK("https://pbs.twimg.com/media/FAEa_mFUYAcoKUu.jpg")</f>
        <v>https://pbs.twimg.com/media/FAEa_mFUYAcoKUu.jpg</v>
      </c>
      <c r="V1235" s="84" t="str">
        <f>HYPERLINK("https://pbs.twimg.com/media/FAEa_mFUYAcoKUu.jpg")</f>
        <v>https://pbs.twimg.com/media/FAEa_mFUYAcoKUu.jpg</v>
      </c>
      <c r="W1235" s="83">
        <v>44464.337395833332</v>
      </c>
      <c r="X1235" s="89">
        <v>44464</v>
      </c>
      <c r="Y1235" s="86" t="s">
        <v>3563</v>
      </c>
      <c r="Z1235" s="84" t="str">
        <f>HYPERLINK("https://twitter.com/skylova2/status/1441675302405476353")</f>
        <v>https://twitter.com/skylova2/status/1441675302405476353</v>
      </c>
      <c r="AA1235" s="81"/>
      <c r="AB1235" s="81"/>
      <c r="AC1235" s="86" t="s">
        <v>5029</v>
      </c>
      <c r="AD1235" s="81"/>
      <c r="AE1235" s="81" t="b">
        <v>0</v>
      </c>
      <c r="AF1235" s="81">
        <v>0</v>
      </c>
      <c r="AG1235" s="86" t="s">
        <v>6240</v>
      </c>
      <c r="AH1235" s="81" t="b">
        <v>0</v>
      </c>
      <c r="AI1235" s="81" t="s">
        <v>6479</v>
      </c>
      <c r="AJ1235" s="81"/>
      <c r="AK1235" s="86" t="s">
        <v>6240</v>
      </c>
      <c r="AL1235" s="81" t="b">
        <v>0</v>
      </c>
      <c r="AM1235" s="81">
        <v>23</v>
      </c>
      <c r="AN1235" s="86" t="s">
        <v>5111</v>
      </c>
      <c r="AO1235" s="86" t="s">
        <v>6503</v>
      </c>
      <c r="AP1235" s="81" t="b">
        <v>0</v>
      </c>
      <c r="AQ1235" s="86" t="s">
        <v>5111</v>
      </c>
      <c r="AR1235" s="81" t="s">
        <v>179</v>
      </c>
      <c r="AS1235" s="81">
        <v>0</v>
      </c>
      <c r="AT1235" s="81">
        <v>0</v>
      </c>
      <c r="AU1235" s="81"/>
      <c r="AV1235" s="81"/>
      <c r="AW1235" s="81"/>
      <c r="AX1235" s="81"/>
      <c r="AY1235" s="81"/>
      <c r="AZ1235" s="81"/>
      <c r="BA1235" s="81"/>
      <c r="BB1235" s="81"/>
    </row>
    <row r="1236" spans="1:54" x14ac:dyDescent="0.35">
      <c r="A1236" s="66" t="s">
        <v>921</v>
      </c>
      <c r="B1236" s="66" t="s">
        <v>921</v>
      </c>
      <c r="C1236" s="67"/>
      <c r="D1236" s="68"/>
      <c r="E1236" s="69"/>
      <c r="F1236" s="70"/>
      <c r="G1236" s="67"/>
      <c r="H1236" s="71"/>
      <c r="I1236" s="72"/>
      <c r="J1236" s="72"/>
      <c r="K1236" s="36"/>
      <c r="L1236" s="79"/>
      <c r="M1236" s="79"/>
      <c r="N1236" s="74"/>
      <c r="O1236" s="81" t="s">
        <v>179</v>
      </c>
      <c r="P1236" s="83">
        <v>44464.344560185185</v>
      </c>
      <c r="Q1236" s="81" t="s">
        <v>1940</v>
      </c>
      <c r="R1236" s="81"/>
      <c r="S1236" s="81"/>
      <c r="T1236" s="81"/>
      <c r="U1236" s="81"/>
      <c r="V1236" s="84" t="str">
        <f>HYPERLINK("https://pbs.twimg.com/profile_images/1417518297545728001/wIGBJjC9_normal.jpg")</f>
        <v>https://pbs.twimg.com/profile_images/1417518297545728001/wIGBJjC9_normal.jpg</v>
      </c>
      <c r="W1236" s="83">
        <v>44464.344560185185</v>
      </c>
      <c r="X1236" s="89">
        <v>44464</v>
      </c>
      <c r="Y1236" s="86" t="s">
        <v>3564</v>
      </c>
      <c r="Z1236" s="84" t="str">
        <f>HYPERLINK("https://twitter.com/akittendust/status/1441677898474131459")</f>
        <v>https://twitter.com/akittendust/status/1441677898474131459</v>
      </c>
      <c r="AA1236" s="81"/>
      <c r="AB1236" s="81"/>
      <c r="AC1236" s="86" t="s">
        <v>5030</v>
      </c>
      <c r="AD1236" s="81"/>
      <c r="AE1236" s="81" t="b">
        <v>0</v>
      </c>
      <c r="AF1236" s="81">
        <v>0</v>
      </c>
      <c r="AG1236" s="86" t="s">
        <v>6240</v>
      </c>
      <c r="AH1236" s="81" t="b">
        <v>0</v>
      </c>
      <c r="AI1236" s="81" t="s">
        <v>6478</v>
      </c>
      <c r="AJ1236" s="81"/>
      <c r="AK1236" s="86" t="s">
        <v>6240</v>
      </c>
      <c r="AL1236" s="81" t="b">
        <v>0</v>
      </c>
      <c r="AM1236" s="81">
        <v>0</v>
      </c>
      <c r="AN1236" s="86" t="s">
        <v>6240</v>
      </c>
      <c r="AO1236" s="86" t="s">
        <v>6503</v>
      </c>
      <c r="AP1236" s="81" t="b">
        <v>0</v>
      </c>
      <c r="AQ1236" s="86" t="s">
        <v>5030</v>
      </c>
      <c r="AR1236" s="81" t="s">
        <v>179</v>
      </c>
      <c r="AS1236" s="81">
        <v>0</v>
      </c>
      <c r="AT1236" s="81">
        <v>0</v>
      </c>
      <c r="AU1236" s="81"/>
      <c r="AV1236" s="81"/>
      <c r="AW1236" s="81"/>
      <c r="AX1236" s="81"/>
      <c r="AY1236" s="81"/>
      <c r="AZ1236" s="81"/>
      <c r="BA1236" s="81"/>
      <c r="BB1236" s="81"/>
    </row>
    <row r="1237" spans="1:54" x14ac:dyDescent="0.35">
      <c r="A1237" s="66" t="s">
        <v>922</v>
      </c>
      <c r="B1237" s="66" t="s">
        <v>922</v>
      </c>
      <c r="C1237" s="67"/>
      <c r="D1237" s="68"/>
      <c r="E1237" s="69"/>
      <c r="F1237" s="70"/>
      <c r="G1237" s="67"/>
      <c r="H1237" s="71"/>
      <c r="I1237" s="72"/>
      <c r="J1237" s="72"/>
      <c r="K1237" s="36"/>
      <c r="L1237" s="79"/>
      <c r="M1237" s="79"/>
      <c r="N1237" s="74"/>
      <c r="O1237" s="81" t="s">
        <v>179</v>
      </c>
      <c r="P1237" s="83">
        <v>44464.353101851855</v>
      </c>
      <c r="Q1237" s="81" t="s">
        <v>1941</v>
      </c>
      <c r="R1237" s="81"/>
      <c r="S1237" s="81"/>
      <c r="T1237" s="81"/>
      <c r="U1237" s="81"/>
      <c r="V1237" s="84" t="str">
        <f>HYPERLINK("https://pbs.twimg.com/profile_images/1430885201220018180/VpAfCrSh_normal.jpg")</f>
        <v>https://pbs.twimg.com/profile_images/1430885201220018180/VpAfCrSh_normal.jpg</v>
      </c>
      <c r="W1237" s="83">
        <v>44464.353101851855</v>
      </c>
      <c r="X1237" s="89">
        <v>44464</v>
      </c>
      <c r="Y1237" s="86" t="s">
        <v>3565</v>
      </c>
      <c r="Z1237" s="84" t="str">
        <f>HYPERLINK("https://twitter.com/wanshaidin1/status/1441680994797428742")</f>
        <v>https://twitter.com/wanshaidin1/status/1441680994797428742</v>
      </c>
      <c r="AA1237" s="81"/>
      <c r="AB1237" s="81"/>
      <c r="AC1237" s="86" t="s">
        <v>5031</v>
      </c>
      <c r="AD1237" s="81"/>
      <c r="AE1237" s="81" t="b">
        <v>0</v>
      </c>
      <c r="AF1237" s="81">
        <v>0</v>
      </c>
      <c r="AG1237" s="86" t="s">
        <v>6240</v>
      </c>
      <c r="AH1237" s="81" t="b">
        <v>0</v>
      </c>
      <c r="AI1237" s="81" t="s">
        <v>6478</v>
      </c>
      <c r="AJ1237" s="81"/>
      <c r="AK1237" s="86" t="s">
        <v>6240</v>
      </c>
      <c r="AL1237" s="81" t="b">
        <v>0</v>
      </c>
      <c r="AM1237" s="81">
        <v>0</v>
      </c>
      <c r="AN1237" s="86" t="s">
        <v>6240</v>
      </c>
      <c r="AO1237" s="86" t="s">
        <v>6505</v>
      </c>
      <c r="AP1237" s="81" t="b">
        <v>0</v>
      </c>
      <c r="AQ1237" s="86" t="s">
        <v>5031</v>
      </c>
      <c r="AR1237" s="81" t="s">
        <v>179</v>
      </c>
      <c r="AS1237" s="81">
        <v>0</v>
      </c>
      <c r="AT1237" s="81">
        <v>0</v>
      </c>
      <c r="AU1237" s="81"/>
      <c r="AV1237" s="81"/>
      <c r="AW1237" s="81"/>
      <c r="AX1237" s="81"/>
      <c r="AY1237" s="81"/>
      <c r="AZ1237" s="81"/>
      <c r="BA1237" s="81"/>
      <c r="BB1237" s="81"/>
    </row>
    <row r="1238" spans="1:54" x14ac:dyDescent="0.35">
      <c r="A1238" s="66" t="s">
        <v>923</v>
      </c>
      <c r="B1238" s="66" t="s">
        <v>1410</v>
      </c>
      <c r="C1238" s="67"/>
      <c r="D1238" s="68"/>
      <c r="E1238" s="69"/>
      <c r="F1238" s="70"/>
      <c r="G1238" s="67"/>
      <c r="H1238" s="71"/>
      <c r="I1238" s="72"/>
      <c r="J1238" s="72"/>
      <c r="K1238" s="36"/>
      <c r="L1238" s="79"/>
      <c r="M1238" s="79"/>
      <c r="N1238" s="74"/>
      <c r="O1238" s="81" t="s">
        <v>1533</v>
      </c>
      <c r="P1238" s="83">
        <v>44464.378472222219</v>
      </c>
      <c r="Q1238" s="81" t="s">
        <v>1907</v>
      </c>
      <c r="R1238" s="81"/>
      <c r="S1238" s="81"/>
      <c r="T1238" s="86" t="s">
        <v>1413</v>
      </c>
      <c r="U1238" s="84" t="str">
        <f>HYPERLINK("https://pbs.twimg.com/media/FAEbDOhVUAIE92y.jpg")</f>
        <v>https://pbs.twimg.com/media/FAEbDOhVUAIE92y.jpg</v>
      </c>
      <c r="V1238" s="84" t="str">
        <f>HYPERLINK("https://pbs.twimg.com/media/FAEbDOhVUAIE92y.jpg")</f>
        <v>https://pbs.twimg.com/media/FAEbDOhVUAIE92y.jpg</v>
      </c>
      <c r="W1238" s="83">
        <v>44464.378472222219</v>
      </c>
      <c r="X1238" s="89">
        <v>44464</v>
      </c>
      <c r="Y1238" s="86" t="s">
        <v>3566</v>
      </c>
      <c r="Z1238" s="84" t="str">
        <f>HYPERLINK("https://twitter.com/imnicekeepgoing/status/1441690186623041539")</f>
        <v>https://twitter.com/imnicekeepgoing/status/1441690186623041539</v>
      </c>
      <c r="AA1238" s="81"/>
      <c r="AB1238" s="81"/>
      <c r="AC1238" s="86" t="s">
        <v>5032</v>
      </c>
      <c r="AD1238" s="81"/>
      <c r="AE1238" s="81" t="b">
        <v>0</v>
      </c>
      <c r="AF1238" s="81">
        <v>0</v>
      </c>
      <c r="AG1238" s="86" t="s">
        <v>6240</v>
      </c>
      <c r="AH1238" s="81" t="b">
        <v>0</v>
      </c>
      <c r="AI1238" s="81" t="s">
        <v>6479</v>
      </c>
      <c r="AJ1238" s="81"/>
      <c r="AK1238" s="86" t="s">
        <v>6240</v>
      </c>
      <c r="AL1238" s="81" t="b">
        <v>0</v>
      </c>
      <c r="AM1238" s="81">
        <v>5</v>
      </c>
      <c r="AN1238" s="86" t="s">
        <v>5112</v>
      </c>
      <c r="AO1238" s="86" t="s">
        <v>6503</v>
      </c>
      <c r="AP1238" s="81" t="b">
        <v>0</v>
      </c>
      <c r="AQ1238" s="86" t="s">
        <v>5112</v>
      </c>
      <c r="AR1238" s="81" t="s">
        <v>179</v>
      </c>
      <c r="AS1238" s="81">
        <v>0</v>
      </c>
      <c r="AT1238" s="81">
        <v>0</v>
      </c>
      <c r="AU1238" s="81"/>
      <c r="AV1238" s="81"/>
      <c r="AW1238" s="81"/>
      <c r="AX1238" s="81"/>
      <c r="AY1238" s="81"/>
      <c r="AZ1238" s="81"/>
      <c r="BA1238" s="81"/>
      <c r="BB1238" s="81"/>
    </row>
    <row r="1239" spans="1:54" x14ac:dyDescent="0.35">
      <c r="A1239" s="66" t="s">
        <v>923</v>
      </c>
      <c r="B1239" s="66" t="s">
        <v>1411</v>
      </c>
      <c r="C1239" s="67"/>
      <c r="D1239" s="68"/>
      <c r="E1239" s="69"/>
      <c r="F1239" s="70"/>
      <c r="G1239" s="67"/>
      <c r="H1239" s="71"/>
      <c r="I1239" s="72"/>
      <c r="J1239" s="72"/>
      <c r="K1239" s="36"/>
      <c r="L1239" s="79"/>
      <c r="M1239" s="79"/>
      <c r="N1239" s="74"/>
      <c r="O1239" s="81" t="s">
        <v>1533</v>
      </c>
      <c r="P1239" s="83">
        <v>44464.378472222219</v>
      </c>
      <c r="Q1239" s="81" t="s">
        <v>1907</v>
      </c>
      <c r="R1239" s="81"/>
      <c r="S1239" s="81"/>
      <c r="T1239" s="86" t="s">
        <v>1413</v>
      </c>
      <c r="U1239" s="84" t="str">
        <f>HYPERLINK("https://pbs.twimg.com/media/FAEbDOhVUAIE92y.jpg")</f>
        <v>https://pbs.twimg.com/media/FAEbDOhVUAIE92y.jpg</v>
      </c>
      <c r="V1239" s="84" t="str">
        <f>HYPERLINK("https://pbs.twimg.com/media/FAEbDOhVUAIE92y.jpg")</f>
        <v>https://pbs.twimg.com/media/FAEbDOhVUAIE92y.jpg</v>
      </c>
      <c r="W1239" s="83">
        <v>44464.378472222219</v>
      </c>
      <c r="X1239" s="89">
        <v>44464</v>
      </c>
      <c r="Y1239" s="86" t="s">
        <v>3566</v>
      </c>
      <c r="Z1239" s="84" t="str">
        <f>HYPERLINK("https://twitter.com/imnicekeepgoing/status/1441690186623041539")</f>
        <v>https://twitter.com/imnicekeepgoing/status/1441690186623041539</v>
      </c>
      <c r="AA1239" s="81"/>
      <c r="AB1239" s="81"/>
      <c r="AC1239" s="86" t="s">
        <v>5032</v>
      </c>
      <c r="AD1239" s="81"/>
      <c r="AE1239" s="81" t="b">
        <v>0</v>
      </c>
      <c r="AF1239" s="81">
        <v>0</v>
      </c>
      <c r="AG1239" s="86" t="s">
        <v>6240</v>
      </c>
      <c r="AH1239" s="81" t="b">
        <v>0</v>
      </c>
      <c r="AI1239" s="81" t="s">
        <v>6479</v>
      </c>
      <c r="AJ1239" s="81"/>
      <c r="AK1239" s="86" t="s">
        <v>6240</v>
      </c>
      <c r="AL1239" s="81" t="b">
        <v>0</v>
      </c>
      <c r="AM1239" s="81">
        <v>5</v>
      </c>
      <c r="AN1239" s="86" t="s">
        <v>5112</v>
      </c>
      <c r="AO1239" s="86" t="s">
        <v>6503</v>
      </c>
      <c r="AP1239" s="81" t="b">
        <v>0</v>
      </c>
      <c r="AQ1239" s="86" t="s">
        <v>5112</v>
      </c>
      <c r="AR1239" s="81" t="s">
        <v>179</v>
      </c>
      <c r="AS1239" s="81">
        <v>0</v>
      </c>
      <c r="AT1239" s="81">
        <v>0</v>
      </c>
      <c r="AU1239" s="81"/>
      <c r="AV1239" s="81"/>
      <c r="AW1239" s="81"/>
      <c r="AX1239" s="81"/>
      <c r="AY1239" s="81"/>
      <c r="AZ1239" s="81"/>
      <c r="BA1239" s="81"/>
      <c r="BB1239" s="81"/>
    </row>
    <row r="1240" spans="1:54" x14ac:dyDescent="0.35">
      <c r="A1240" s="66" t="s">
        <v>923</v>
      </c>
      <c r="B1240" s="66" t="s">
        <v>1412</v>
      </c>
      <c r="C1240" s="67"/>
      <c r="D1240" s="68"/>
      <c r="E1240" s="69"/>
      <c r="F1240" s="70"/>
      <c r="G1240" s="67"/>
      <c r="H1240" s="71"/>
      <c r="I1240" s="72"/>
      <c r="J1240" s="72"/>
      <c r="K1240" s="36"/>
      <c r="L1240" s="79"/>
      <c r="M1240" s="79"/>
      <c r="N1240" s="74"/>
      <c r="O1240" s="81" t="s">
        <v>1533</v>
      </c>
      <c r="P1240" s="83">
        <v>44464.378472222219</v>
      </c>
      <c r="Q1240" s="81" t="s">
        <v>1907</v>
      </c>
      <c r="R1240" s="81"/>
      <c r="S1240" s="81"/>
      <c r="T1240" s="86" t="s">
        <v>1413</v>
      </c>
      <c r="U1240" s="84" t="str">
        <f>HYPERLINK("https://pbs.twimg.com/media/FAEbDOhVUAIE92y.jpg")</f>
        <v>https://pbs.twimg.com/media/FAEbDOhVUAIE92y.jpg</v>
      </c>
      <c r="V1240" s="84" t="str">
        <f>HYPERLINK("https://pbs.twimg.com/media/FAEbDOhVUAIE92y.jpg")</f>
        <v>https://pbs.twimg.com/media/FAEbDOhVUAIE92y.jpg</v>
      </c>
      <c r="W1240" s="83">
        <v>44464.378472222219</v>
      </c>
      <c r="X1240" s="89">
        <v>44464</v>
      </c>
      <c r="Y1240" s="86" t="s">
        <v>3566</v>
      </c>
      <c r="Z1240" s="84" t="str">
        <f>HYPERLINK("https://twitter.com/imnicekeepgoing/status/1441690186623041539")</f>
        <v>https://twitter.com/imnicekeepgoing/status/1441690186623041539</v>
      </c>
      <c r="AA1240" s="81"/>
      <c r="AB1240" s="81"/>
      <c r="AC1240" s="86" t="s">
        <v>5032</v>
      </c>
      <c r="AD1240" s="81"/>
      <c r="AE1240" s="81" t="b">
        <v>0</v>
      </c>
      <c r="AF1240" s="81">
        <v>0</v>
      </c>
      <c r="AG1240" s="86" t="s">
        <v>6240</v>
      </c>
      <c r="AH1240" s="81" t="b">
        <v>0</v>
      </c>
      <c r="AI1240" s="81" t="s">
        <v>6479</v>
      </c>
      <c r="AJ1240" s="81"/>
      <c r="AK1240" s="86" t="s">
        <v>6240</v>
      </c>
      <c r="AL1240" s="81" t="b">
        <v>0</v>
      </c>
      <c r="AM1240" s="81">
        <v>5</v>
      </c>
      <c r="AN1240" s="86" t="s">
        <v>5112</v>
      </c>
      <c r="AO1240" s="86" t="s">
        <v>6503</v>
      </c>
      <c r="AP1240" s="81" t="b">
        <v>0</v>
      </c>
      <c r="AQ1240" s="86" t="s">
        <v>5112</v>
      </c>
      <c r="AR1240" s="81" t="s">
        <v>179</v>
      </c>
      <c r="AS1240" s="81">
        <v>0</v>
      </c>
      <c r="AT1240" s="81">
        <v>0</v>
      </c>
      <c r="AU1240" s="81"/>
      <c r="AV1240" s="81"/>
      <c r="AW1240" s="81"/>
      <c r="AX1240" s="81"/>
      <c r="AY1240" s="81"/>
      <c r="AZ1240" s="81"/>
      <c r="BA1240" s="81"/>
      <c r="BB1240" s="81"/>
    </row>
    <row r="1241" spans="1:54" x14ac:dyDescent="0.35">
      <c r="A1241" s="66" t="s">
        <v>923</v>
      </c>
      <c r="B1241" s="66" t="s">
        <v>1413</v>
      </c>
      <c r="C1241" s="67"/>
      <c r="D1241" s="68"/>
      <c r="E1241" s="69"/>
      <c r="F1241" s="70"/>
      <c r="G1241" s="67"/>
      <c r="H1241" s="71"/>
      <c r="I1241" s="72"/>
      <c r="J1241" s="72"/>
      <c r="K1241" s="36"/>
      <c r="L1241" s="79"/>
      <c r="M1241" s="79"/>
      <c r="N1241" s="74"/>
      <c r="O1241" s="81" t="s">
        <v>1533</v>
      </c>
      <c r="P1241" s="83">
        <v>44464.378472222219</v>
      </c>
      <c r="Q1241" s="81" t="s">
        <v>1907</v>
      </c>
      <c r="R1241" s="81"/>
      <c r="S1241" s="81"/>
      <c r="T1241" s="86" t="s">
        <v>1413</v>
      </c>
      <c r="U1241" s="84" t="str">
        <f>HYPERLINK("https://pbs.twimg.com/media/FAEbDOhVUAIE92y.jpg")</f>
        <v>https://pbs.twimg.com/media/FAEbDOhVUAIE92y.jpg</v>
      </c>
      <c r="V1241" s="84" t="str">
        <f>HYPERLINK("https://pbs.twimg.com/media/FAEbDOhVUAIE92y.jpg")</f>
        <v>https://pbs.twimg.com/media/FAEbDOhVUAIE92y.jpg</v>
      </c>
      <c r="W1241" s="83">
        <v>44464.378472222219</v>
      </c>
      <c r="X1241" s="89">
        <v>44464</v>
      </c>
      <c r="Y1241" s="86" t="s">
        <v>3566</v>
      </c>
      <c r="Z1241" s="84" t="str">
        <f>HYPERLINK("https://twitter.com/imnicekeepgoing/status/1441690186623041539")</f>
        <v>https://twitter.com/imnicekeepgoing/status/1441690186623041539</v>
      </c>
      <c r="AA1241" s="81"/>
      <c r="AB1241" s="81"/>
      <c r="AC1241" s="86" t="s">
        <v>5032</v>
      </c>
      <c r="AD1241" s="81"/>
      <c r="AE1241" s="81" t="b">
        <v>0</v>
      </c>
      <c r="AF1241" s="81">
        <v>0</v>
      </c>
      <c r="AG1241" s="86" t="s">
        <v>6240</v>
      </c>
      <c r="AH1241" s="81" t="b">
        <v>0</v>
      </c>
      <c r="AI1241" s="81" t="s">
        <v>6479</v>
      </c>
      <c r="AJ1241" s="81"/>
      <c r="AK1241" s="86" t="s">
        <v>6240</v>
      </c>
      <c r="AL1241" s="81" t="b">
        <v>0</v>
      </c>
      <c r="AM1241" s="81">
        <v>5</v>
      </c>
      <c r="AN1241" s="86" t="s">
        <v>5112</v>
      </c>
      <c r="AO1241" s="86" t="s">
        <v>6503</v>
      </c>
      <c r="AP1241" s="81" t="b">
        <v>0</v>
      </c>
      <c r="AQ1241" s="86" t="s">
        <v>5112</v>
      </c>
      <c r="AR1241" s="81" t="s">
        <v>179</v>
      </c>
      <c r="AS1241" s="81">
        <v>0</v>
      </c>
      <c r="AT1241" s="81">
        <v>0</v>
      </c>
      <c r="AU1241" s="81"/>
      <c r="AV1241" s="81"/>
      <c r="AW1241" s="81"/>
      <c r="AX1241" s="81"/>
      <c r="AY1241" s="81"/>
      <c r="AZ1241" s="81"/>
      <c r="BA1241" s="81"/>
      <c r="BB1241" s="81"/>
    </row>
    <row r="1242" spans="1:54" x14ac:dyDescent="0.35">
      <c r="A1242" s="66" t="s">
        <v>923</v>
      </c>
      <c r="B1242" s="66" t="s">
        <v>990</v>
      </c>
      <c r="C1242" s="67"/>
      <c r="D1242" s="68"/>
      <c r="E1242" s="69"/>
      <c r="F1242" s="70"/>
      <c r="G1242" s="67"/>
      <c r="H1242" s="71"/>
      <c r="I1242" s="72"/>
      <c r="J1242" s="72"/>
      <c r="K1242" s="36"/>
      <c r="L1242" s="79"/>
      <c r="M1242" s="79"/>
      <c r="N1242" s="74"/>
      <c r="O1242" s="81" t="s">
        <v>1532</v>
      </c>
      <c r="P1242" s="83">
        <v>44464.378472222219</v>
      </c>
      <c r="Q1242" s="81" t="s">
        <v>1907</v>
      </c>
      <c r="R1242" s="81"/>
      <c r="S1242" s="81"/>
      <c r="T1242" s="86" t="s">
        <v>1413</v>
      </c>
      <c r="U1242" s="84" t="str">
        <f>HYPERLINK("https://pbs.twimg.com/media/FAEbDOhVUAIE92y.jpg")</f>
        <v>https://pbs.twimg.com/media/FAEbDOhVUAIE92y.jpg</v>
      </c>
      <c r="V1242" s="84" t="str">
        <f>HYPERLINK("https://pbs.twimg.com/media/FAEbDOhVUAIE92y.jpg")</f>
        <v>https://pbs.twimg.com/media/FAEbDOhVUAIE92y.jpg</v>
      </c>
      <c r="W1242" s="83">
        <v>44464.378472222219</v>
      </c>
      <c r="X1242" s="89">
        <v>44464</v>
      </c>
      <c r="Y1242" s="86" t="s">
        <v>3566</v>
      </c>
      <c r="Z1242" s="84" t="str">
        <f>HYPERLINK("https://twitter.com/imnicekeepgoing/status/1441690186623041539")</f>
        <v>https://twitter.com/imnicekeepgoing/status/1441690186623041539</v>
      </c>
      <c r="AA1242" s="81"/>
      <c r="AB1242" s="81"/>
      <c r="AC1242" s="86" t="s">
        <v>5032</v>
      </c>
      <c r="AD1242" s="81"/>
      <c r="AE1242" s="81" t="b">
        <v>0</v>
      </c>
      <c r="AF1242" s="81">
        <v>0</v>
      </c>
      <c r="AG1242" s="86" t="s">
        <v>6240</v>
      </c>
      <c r="AH1242" s="81" t="b">
        <v>0</v>
      </c>
      <c r="AI1242" s="81" t="s">
        <v>6479</v>
      </c>
      <c r="AJ1242" s="81"/>
      <c r="AK1242" s="86" t="s">
        <v>6240</v>
      </c>
      <c r="AL1242" s="81" t="b">
        <v>0</v>
      </c>
      <c r="AM1242" s="81">
        <v>5</v>
      </c>
      <c r="AN1242" s="86" t="s">
        <v>5112</v>
      </c>
      <c r="AO1242" s="86" t="s">
        <v>6503</v>
      </c>
      <c r="AP1242" s="81" t="b">
        <v>0</v>
      </c>
      <c r="AQ1242" s="86" t="s">
        <v>5112</v>
      </c>
      <c r="AR1242" s="81" t="s">
        <v>179</v>
      </c>
      <c r="AS1242" s="81">
        <v>0</v>
      </c>
      <c r="AT1242" s="81">
        <v>0</v>
      </c>
      <c r="AU1242" s="81"/>
      <c r="AV1242" s="81"/>
      <c r="AW1242" s="81"/>
      <c r="AX1242" s="81"/>
      <c r="AY1242" s="81"/>
      <c r="AZ1242" s="81"/>
      <c r="BA1242" s="81"/>
      <c r="BB1242" s="81"/>
    </row>
    <row r="1243" spans="1:54" x14ac:dyDescent="0.35">
      <c r="A1243" s="66" t="s">
        <v>923</v>
      </c>
      <c r="B1243" s="66" t="s">
        <v>1410</v>
      </c>
      <c r="C1243" s="67"/>
      <c r="D1243" s="68"/>
      <c r="E1243" s="69"/>
      <c r="F1243" s="70"/>
      <c r="G1243" s="67"/>
      <c r="H1243" s="71"/>
      <c r="I1243" s="72"/>
      <c r="J1243" s="72"/>
      <c r="K1243" s="36"/>
      <c r="L1243" s="79"/>
      <c r="M1243" s="79"/>
      <c r="N1243" s="74"/>
      <c r="O1243" s="81" t="s">
        <v>1533</v>
      </c>
      <c r="P1243" s="83">
        <v>44464.378912037035</v>
      </c>
      <c r="Q1243" s="81" t="s">
        <v>1906</v>
      </c>
      <c r="R1243" s="81"/>
      <c r="S1243" s="81"/>
      <c r="T1243" s="86" t="s">
        <v>1413</v>
      </c>
      <c r="U1243" s="84" t="str">
        <f>HYPERLINK("https://pbs.twimg.com/media/FAEbG8nUcA0oIOp.jpg")</f>
        <v>https://pbs.twimg.com/media/FAEbG8nUcA0oIOp.jpg</v>
      </c>
      <c r="V1243" s="84" t="str">
        <f>HYPERLINK("https://pbs.twimg.com/media/FAEbG8nUcA0oIOp.jpg")</f>
        <v>https://pbs.twimg.com/media/FAEbG8nUcA0oIOp.jpg</v>
      </c>
      <c r="W1243" s="83">
        <v>44464.378912037035</v>
      </c>
      <c r="X1243" s="89">
        <v>44464</v>
      </c>
      <c r="Y1243" s="86" t="s">
        <v>3567</v>
      </c>
      <c r="Z1243" s="84" t="str">
        <f>HYPERLINK("https://twitter.com/imnicekeepgoing/status/1441690346426023939")</f>
        <v>https://twitter.com/imnicekeepgoing/status/1441690346426023939</v>
      </c>
      <c r="AA1243" s="81"/>
      <c r="AB1243" s="81"/>
      <c r="AC1243" s="86" t="s">
        <v>5033</v>
      </c>
      <c r="AD1243" s="81"/>
      <c r="AE1243" s="81" t="b">
        <v>0</v>
      </c>
      <c r="AF1243" s="81">
        <v>0</v>
      </c>
      <c r="AG1243" s="86" t="s">
        <v>6240</v>
      </c>
      <c r="AH1243" s="81" t="b">
        <v>0</v>
      </c>
      <c r="AI1243" s="81" t="s">
        <v>6479</v>
      </c>
      <c r="AJ1243" s="81"/>
      <c r="AK1243" s="86" t="s">
        <v>6240</v>
      </c>
      <c r="AL1243" s="81" t="b">
        <v>0</v>
      </c>
      <c r="AM1243" s="81">
        <v>5</v>
      </c>
      <c r="AN1243" s="86" t="s">
        <v>5113</v>
      </c>
      <c r="AO1243" s="86" t="s">
        <v>6503</v>
      </c>
      <c r="AP1243" s="81" t="b">
        <v>0</v>
      </c>
      <c r="AQ1243" s="86" t="s">
        <v>5113</v>
      </c>
      <c r="AR1243" s="81" t="s">
        <v>179</v>
      </c>
      <c r="AS1243" s="81">
        <v>0</v>
      </c>
      <c r="AT1243" s="81">
        <v>0</v>
      </c>
      <c r="AU1243" s="81"/>
      <c r="AV1243" s="81"/>
      <c r="AW1243" s="81"/>
      <c r="AX1243" s="81"/>
      <c r="AY1243" s="81"/>
      <c r="AZ1243" s="81"/>
      <c r="BA1243" s="81"/>
      <c r="BB1243" s="81"/>
    </row>
    <row r="1244" spans="1:54" x14ac:dyDescent="0.35">
      <c r="A1244" s="66" t="s">
        <v>923</v>
      </c>
      <c r="B1244" s="66" t="s">
        <v>1411</v>
      </c>
      <c r="C1244" s="67"/>
      <c r="D1244" s="68"/>
      <c r="E1244" s="69"/>
      <c r="F1244" s="70"/>
      <c r="G1244" s="67"/>
      <c r="H1244" s="71"/>
      <c r="I1244" s="72"/>
      <c r="J1244" s="72"/>
      <c r="K1244" s="36"/>
      <c r="L1244" s="79"/>
      <c r="M1244" s="79"/>
      <c r="N1244" s="74"/>
      <c r="O1244" s="81" t="s">
        <v>1533</v>
      </c>
      <c r="P1244" s="83">
        <v>44464.378912037035</v>
      </c>
      <c r="Q1244" s="81" t="s">
        <v>1906</v>
      </c>
      <c r="R1244" s="81"/>
      <c r="S1244" s="81"/>
      <c r="T1244" s="86" t="s">
        <v>1413</v>
      </c>
      <c r="U1244" s="84" t="str">
        <f>HYPERLINK("https://pbs.twimg.com/media/FAEbG8nUcA0oIOp.jpg")</f>
        <v>https://pbs.twimg.com/media/FAEbG8nUcA0oIOp.jpg</v>
      </c>
      <c r="V1244" s="84" t="str">
        <f>HYPERLINK("https://pbs.twimg.com/media/FAEbG8nUcA0oIOp.jpg")</f>
        <v>https://pbs.twimg.com/media/FAEbG8nUcA0oIOp.jpg</v>
      </c>
      <c r="W1244" s="83">
        <v>44464.378912037035</v>
      </c>
      <c r="X1244" s="89">
        <v>44464</v>
      </c>
      <c r="Y1244" s="86" t="s">
        <v>3567</v>
      </c>
      <c r="Z1244" s="84" t="str">
        <f>HYPERLINK("https://twitter.com/imnicekeepgoing/status/1441690346426023939")</f>
        <v>https://twitter.com/imnicekeepgoing/status/1441690346426023939</v>
      </c>
      <c r="AA1244" s="81"/>
      <c r="AB1244" s="81"/>
      <c r="AC1244" s="86" t="s">
        <v>5033</v>
      </c>
      <c r="AD1244" s="81"/>
      <c r="AE1244" s="81" t="b">
        <v>0</v>
      </c>
      <c r="AF1244" s="81">
        <v>0</v>
      </c>
      <c r="AG1244" s="86" t="s">
        <v>6240</v>
      </c>
      <c r="AH1244" s="81" t="b">
        <v>0</v>
      </c>
      <c r="AI1244" s="81" t="s">
        <v>6479</v>
      </c>
      <c r="AJ1244" s="81"/>
      <c r="AK1244" s="86" t="s">
        <v>6240</v>
      </c>
      <c r="AL1244" s="81" t="b">
        <v>0</v>
      </c>
      <c r="AM1244" s="81">
        <v>5</v>
      </c>
      <c r="AN1244" s="86" t="s">
        <v>5113</v>
      </c>
      <c r="AO1244" s="86" t="s">
        <v>6503</v>
      </c>
      <c r="AP1244" s="81" t="b">
        <v>0</v>
      </c>
      <c r="AQ1244" s="86" t="s">
        <v>5113</v>
      </c>
      <c r="AR1244" s="81" t="s">
        <v>179</v>
      </c>
      <c r="AS1244" s="81">
        <v>0</v>
      </c>
      <c r="AT1244" s="81">
        <v>0</v>
      </c>
      <c r="AU1244" s="81"/>
      <c r="AV1244" s="81"/>
      <c r="AW1244" s="81"/>
      <c r="AX1244" s="81"/>
      <c r="AY1244" s="81"/>
      <c r="AZ1244" s="81"/>
      <c r="BA1244" s="81"/>
      <c r="BB1244" s="81"/>
    </row>
    <row r="1245" spans="1:54" x14ac:dyDescent="0.35">
      <c r="A1245" s="66" t="s">
        <v>923</v>
      </c>
      <c r="B1245" s="66" t="s">
        <v>1412</v>
      </c>
      <c r="C1245" s="67"/>
      <c r="D1245" s="68"/>
      <c r="E1245" s="69"/>
      <c r="F1245" s="70"/>
      <c r="G1245" s="67"/>
      <c r="H1245" s="71"/>
      <c r="I1245" s="72"/>
      <c r="J1245" s="72"/>
      <c r="K1245" s="36"/>
      <c r="L1245" s="79"/>
      <c r="M1245" s="79"/>
      <c r="N1245" s="74"/>
      <c r="O1245" s="81" t="s">
        <v>1533</v>
      </c>
      <c r="P1245" s="83">
        <v>44464.378912037035</v>
      </c>
      <c r="Q1245" s="81" t="s">
        <v>1906</v>
      </c>
      <c r="R1245" s="81"/>
      <c r="S1245" s="81"/>
      <c r="T1245" s="86" t="s">
        <v>1413</v>
      </c>
      <c r="U1245" s="84" t="str">
        <f>HYPERLINK("https://pbs.twimg.com/media/FAEbG8nUcA0oIOp.jpg")</f>
        <v>https://pbs.twimg.com/media/FAEbG8nUcA0oIOp.jpg</v>
      </c>
      <c r="V1245" s="84" t="str">
        <f>HYPERLINK("https://pbs.twimg.com/media/FAEbG8nUcA0oIOp.jpg")</f>
        <v>https://pbs.twimg.com/media/FAEbG8nUcA0oIOp.jpg</v>
      </c>
      <c r="W1245" s="83">
        <v>44464.378912037035</v>
      </c>
      <c r="X1245" s="89">
        <v>44464</v>
      </c>
      <c r="Y1245" s="86" t="s">
        <v>3567</v>
      </c>
      <c r="Z1245" s="84" t="str">
        <f>HYPERLINK("https://twitter.com/imnicekeepgoing/status/1441690346426023939")</f>
        <v>https://twitter.com/imnicekeepgoing/status/1441690346426023939</v>
      </c>
      <c r="AA1245" s="81"/>
      <c r="AB1245" s="81"/>
      <c r="AC1245" s="86" t="s">
        <v>5033</v>
      </c>
      <c r="AD1245" s="81"/>
      <c r="AE1245" s="81" t="b">
        <v>0</v>
      </c>
      <c r="AF1245" s="81">
        <v>0</v>
      </c>
      <c r="AG1245" s="86" t="s">
        <v>6240</v>
      </c>
      <c r="AH1245" s="81" t="b">
        <v>0</v>
      </c>
      <c r="AI1245" s="81" t="s">
        <v>6479</v>
      </c>
      <c r="AJ1245" s="81"/>
      <c r="AK1245" s="86" t="s">
        <v>6240</v>
      </c>
      <c r="AL1245" s="81" t="b">
        <v>0</v>
      </c>
      <c r="AM1245" s="81">
        <v>5</v>
      </c>
      <c r="AN1245" s="86" t="s">
        <v>5113</v>
      </c>
      <c r="AO1245" s="86" t="s">
        <v>6503</v>
      </c>
      <c r="AP1245" s="81" t="b">
        <v>0</v>
      </c>
      <c r="AQ1245" s="86" t="s">
        <v>5113</v>
      </c>
      <c r="AR1245" s="81" t="s">
        <v>179</v>
      </c>
      <c r="AS1245" s="81">
        <v>0</v>
      </c>
      <c r="AT1245" s="81">
        <v>0</v>
      </c>
      <c r="AU1245" s="81"/>
      <c r="AV1245" s="81"/>
      <c r="AW1245" s="81"/>
      <c r="AX1245" s="81"/>
      <c r="AY1245" s="81"/>
      <c r="AZ1245" s="81"/>
      <c r="BA1245" s="81"/>
      <c r="BB1245" s="81"/>
    </row>
    <row r="1246" spans="1:54" x14ac:dyDescent="0.35">
      <c r="A1246" s="66" t="s">
        <v>923</v>
      </c>
      <c r="B1246" s="66" t="s">
        <v>1413</v>
      </c>
      <c r="C1246" s="67"/>
      <c r="D1246" s="68"/>
      <c r="E1246" s="69"/>
      <c r="F1246" s="70"/>
      <c r="G1246" s="67"/>
      <c r="H1246" s="71"/>
      <c r="I1246" s="72"/>
      <c r="J1246" s="72"/>
      <c r="K1246" s="36"/>
      <c r="L1246" s="79"/>
      <c r="M1246" s="79"/>
      <c r="N1246" s="74"/>
      <c r="O1246" s="81" t="s">
        <v>1533</v>
      </c>
      <c r="P1246" s="83">
        <v>44464.378912037035</v>
      </c>
      <c r="Q1246" s="81" t="s">
        <v>1906</v>
      </c>
      <c r="R1246" s="81"/>
      <c r="S1246" s="81"/>
      <c r="T1246" s="86" t="s">
        <v>1413</v>
      </c>
      <c r="U1246" s="84" t="str">
        <f>HYPERLINK("https://pbs.twimg.com/media/FAEbG8nUcA0oIOp.jpg")</f>
        <v>https://pbs.twimg.com/media/FAEbG8nUcA0oIOp.jpg</v>
      </c>
      <c r="V1246" s="84" t="str">
        <f>HYPERLINK("https://pbs.twimg.com/media/FAEbG8nUcA0oIOp.jpg")</f>
        <v>https://pbs.twimg.com/media/FAEbG8nUcA0oIOp.jpg</v>
      </c>
      <c r="W1246" s="83">
        <v>44464.378912037035</v>
      </c>
      <c r="X1246" s="89">
        <v>44464</v>
      </c>
      <c r="Y1246" s="86" t="s">
        <v>3567</v>
      </c>
      <c r="Z1246" s="84" t="str">
        <f>HYPERLINK("https://twitter.com/imnicekeepgoing/status/1441690346426023939")</f>
        <v>https://twitter.com/imnicekeepgoing/status/1441690346426023939</v>
      </c>
      <c r="AA1246" s="81"/>
      <c r="AB1246" s="81"/>
      <c r="AC1246" s="86" t="s">
        <v>5033</v>
      </c>
      <c r="AD1246" s="81"/>
      <c r="AE1246" s="81" t="b">
        <v>0</v>
      </c>
      <c r="AF1246" s="81">
        <v>0</v>
      </c>
      <c r="AG1246" s="86" t="s">
        <v>6240</v>
      </c>
      <c r="AH1246" s="81" t="b">
        <v>0</v>
      </c>
      <c r="AI1246" s="81" t="s">
        <v>6479</v>
      </c>
      <c r="AJ1246" s="81"/>
      <c r="AK1246" s="86" t="s">
        <v>6240</v>
      </c>
      <c r="AL1246" s="81" t="b">
        <v>0</v>
      </c>
      <c r="AM1246" s="81">
        <v>5</v>
      </c>
      <c r="AN1246" s="86" t="s">
        <v>5113</v>
      </c>
      <c r="AO1246" s="86" t="s">
        <v>6503</v>
      </c>
      <c r="AP1246" s="81" t="b">
        <v>0</v>
      </c>
      <c r="AQ1246" s="86" t="s">
        <v>5113</v>
      </c>
      <c r="AR1246" s="81" t="s">
        <v>179</v>
      </c>
      <c r="AS1246" s="81">
        <v>0</v>
      </c>
      <c r="AT1246" s="81">
        <v>0</v>
      </c>
      <c r="AU1246" s="81"/>
      <c r="AV1246" s="81"/>
      <c r="AW1246" s="81"/>
      <c r="AX1246" s="81"/>
      <c r="AY1246" s="81"/>
      <c r="AZ1246" s="81"/>
      <c r="BA1246" s="81"/>
      <c r="BB1246" s="81"/>
    </row>
    <row r="1247" spans="1:54" x14ac:dyDescent="0.35">
      <c r="A1247" s="66" t="s">
        <v>923</v>
      </c>
      <c r="B1247" s="66" t="s">
        <v>990</v>
      </c>
      <c r="C1247" s="67"/>
      <c r="D1247" s="68"/>
      <c r="E1247" s="69"/>
      <c r="F1247" s="70"/>
      <c r="G1247" s="67"/>
      <c r="H1247" s="71"/>
      <c r="I1247" s="72"/>
      <c r="J1247" s="72"/>
      <c r="K1247" s="36"/>
      <c r="L1247" s="79"/>
      <c r="M1247" s="79"/>
      <c r="N1247" s="74"/>
      <c r="O1247" s="81" t="s">
        <v>1532</v>
      </c>
      <c r="P1247" s="83">
        <v>44464.378912037035</v>
      </c>
      <c r="Q1247" s="81" t="s">
        <v>1906</v>
      </c>
      <c r="R1247" s="81"/>
      <c r="S1247" s="81"/>
      <c r="T1247" s="86" t="s">
        <v>1413</v>
      </c>
      <c r="U1247" s="84" t="str">
        <f>HYPERLINK("https://pbs.twimg.com/media/FAEbG8nUcA0oIOp.jpg")</f>
        <v>https://pbs.twimg.com/media/FAEbG8nUcA0oIOp.jpg</v>
      </c>
      <c r="V1247" s="84" t="str">
        <f>HYPERLINK("https://pbs.twimg.com/media/FAEbG8nUcA0oIOp.jpg")</f>
        <v>https://pbs.twimg.com/media/FAEbG8nUcA0oIOp.jpg</v>
      </c>
      <c r="W1247" s="83">
        <v>44464.378912037035</v>
      </c>
      <c r="X1247" s="89">
        <v>44464</v>
      </c>
      <c r="Y1247" s="86" t="s">
        <v>3567</v>
      </c>
      <c r="Z1247" s="84" t="str">
        <f>HYPERLINK("https://twitter.com/imnicekeepgoing/status/1441690346426023939")</f>
        <v>https://twitter.com/imnicekeepgoing/status/1441690346426023939</v>
      </c>
      <c r="AA1247" s="81"/>
      <c r="AB1247" s="81"/>
      <c r="AC1247" s="86" t="s">
        <v>5033</v>
      </c>
      <c r="AD1247" s="81"/>
      <c r="AE1247" s="81" t="b">
        <v>0</v>
      </c>
      <c r="AF1247" s="81">
        <v>0</v>
      </c>
      <c r="AG1247" s="86" t="s">
        <v>6240</v>
      </c>
      <c r="AH1247" s="81" t="b">
        <v>0</v>
      </c>
      <c r="AI1247" s="81" t="s">
        <v>6479</v>
      </c>
      <c r="AJ1247" s="81"/>
      <c r="AK1247" s="86" t="s">
        <v>6240</v>
      </c>
      <c r="AL1247" s="81" t="b">
        <v>0</v>
      </c>
      <c r="AM1247" s="81">
        <v>5</v>
      </c>
      <c r="AN1247" s="86" t="s">
        <v>5113</v>
      </c>
      <c r="AO1247" s="86" t="s">
        <v>6503</v>
      </c>
      <c r="AP1247" s="81" t="b">
        <v>0</v>
      </c>
      <c r="AQ1247" s="86" t="s">
        <v>5113</v>
      </c>
      <c r="AR1247" s="81" t="s">
        <v>179</v>
      </c>
      <c r="AS1247" s="81">
        <v>0</v>
      </c>
      <c r="AT1247" s="81">
        <v>0</v>
      </c>
      <c r="AU1247" s="81"/>
      <c r="AV1247" s="81"/>
      <c r="AW1247" s="81"/>
      <c r="AX1247" s="81"/>
      <c r="AY1247" s="81"/>
      <c r="AZ1247" s="81"/>
      <c r="BA1247" s="81"/>
      <c r="BB1247" s="81"/>
    </row>
    <row r="1248" spans="1:54" x14ac:dyDescent="0.35">
      <c r="A1248" s="66" t="s">
        <v>924</v>
      </c>
      <c r="B1248" s="66" t="s">
        <v>924</v>
      </c>
      <c r="C1248" s="67"/>
      <c r="D1248" s="68"/>
      <c r="E1248" s="69"/>
      <c r="F1248" s="70"/>
      <c r="G1248" s="67"/>
      <c r="H1248" s="71"/>
      <c r="I1248" s="72"/>
      <c r="J1248" s="72"/>
      <c r="K1248" s="36"/>
      <c r="L1248" s="79"/>
      <c r="M1248" s="79"/>
      <c r="N1248" s="74"/>
      <c r="O1248" s="81" t="s">
        <v>179</v>
      </c>
      <c r="P1248" s="83">
        <v>44464.396840277775</v>
      </c>
      <c r="Q1248" s="81" t="s">
        <v>1942</v>
      </c>
      <c r="R1248" s="81"/>
      <c r="S1248" s="81"/>
      <c r="T1248" s="81"/>
      <c r="U1248" s="81"/>
      <c r="V1248" s="84" t="str">
        <f>HYPERLINK("https://pbs.twimg.com/profile_images/1381215166876946437/8k3OnihW_normal.jpg")</f>
        <v>https://pbs.twimg.com/profile_images/1381215166876946437/8k3OnihW_normal.jpg</v>
      </c>
      <c r="W1248" s="83">
        <v>44464.396840277775</v>
      </c>
      <c r="X1248" s="89">
        <v>44464</v>
      </c>
      <c r="Y1248" s="86" t="s">
        <v>3568</v>
      </c>
      <c r="Z1248" s="84" t="str">
        <f>HYPERLINK("https://twitter.com/qilahshafie69/status/1441696843558096897")</f>
        <v>https://twitter.com/qilahshafie69/status/1441696843558096897</v>
      </c>
      <c r="AA1248" s="81"/>
      <c r="AB1248" s="81"/>
      <c r="AC1248" s="86" t="s">
        <v>5034</v>
      </c>
      <c r="AD1248" s="81"/>
      <c r="AE1248" s="81" t="b">
        <v>0</v>
      </c>
      <c r="AF1248" s="81">
        <v>0</v>
      </c>
      <c r="AG1248" s="86" t="s">
        <v>6240</v>
      </c>
      <c r="AH1248" s="81" t="b">
        <v>0</v>
      </c>
      <c r="AI1248" s="81" t="s">
        <v>6478</v>
      </c>
      <c r="AJ1248" s="81"/>
      <c r="AK1248" s="86" t="s">
        <v>6240</v>
      </c>
      <c r="AL1248" s="81" t="b">
        <v>0</v>
      </c>
      <c r="AM1248" s="81">
        <v>0</v>
      </c>
      <c r="AN1248" s="86" t="s">
        <v>6240</v>
      </c>
      <c r="AO1248" s="86" t="s">
        <v>6505</v>
      </c>
      <c r="AP1248" s="81" t="b">
        <v>0</v>
      </c>
      <c r="AQ1248" s="86" t="s">
        <v>5034</v>
      </c>
      <c r="AR1248" s="81" t="s">
        <v>179</v>
      </c>
      <c r="AS1248" s="81">
        <v>0</v>
      </c>
      <c r="AT1248" s="81">
        <v>0</v>
      </c>
      <c r="AU1248" s="81"/>
      <c r="AV1248" s="81"/>
      <c r="AW1248" s="81"/>
      <c r="AX1248" s="81"/>
      <c r="AY1248" s="81"/>
      <c r="AZ1248" s="81"/>
      <c r="BA1248" s="81"/>
      <c r="BB1248" s="81"/>
    </row>
    <row r="1249" spans="1:54" x14ac:dyDescent="0.35">
      <c r="A1249" s="66" t="s">
        <v>925</v>
      </c>
      <c r="B1249" s="66" t="s">
        <v>1410</v>
      </c>
      <c r="C1249" s="67"/>
      <c r="D1249" s="68"/>
      <c r="E1249" s="69"/>
      <c r="F1249" s="70"/>
      <c r="G1249" s="67"/>
      <c r="H1249" s="71"/>
      <c r="I1249" s="72"/>
      <c r="J1249" s="72"/>
      <c r="K1249" s="36"/>
      <c r="L1249" s="79"/>
      <c r="M1249" s="79"/>
      <c r="N1249" s="74"/>
      <c r="O1249" s="81" t="s">
        <v>1533</v>
      </c>
      <c r="P1249" s="83">
        <v>44463.779374999998</v>
      </c>
      <c r="Q1249" s="81" t="s">
        <v>1909</v>
      </c>
      <c r="R1249" s="81"/>
      <c r="S1249" s="81"/>
      <c r="T1249" s="86" t="s">
        <v>1413</v>
      </c>
      <c r="U1249" s="84" t="str">
        <f>HYPERLINK("https://pbs.twimg.com/media/FAEa7dXVkAcjbKg.jpg")</f>
        <v>https://pbs.twimg.com/media/FAEa7dXVkAcjbKg.jpg</v>
      </c>
      <c r="V1249" s="84" t="str">
        <f>HYPERLINK("https://pbs.twimg.com/media/FAEa7dXVkAcjbKg.jpg")</f>
        <v>https://pbs.twimg.com/media/FAEa7dXVkAcjbKg.jpg</v>
      </c>
      <c r="W1249" s="83">
        <v>44463.779374999998</v>
      </c>
      <c r="X1249" s="89">
        <v>44463</v>
      </c>
      <c r="Y1249" s="86" t="s">
        <v>3569</v>
      </c>
      <c r="Z1249" s="84" t="str">
        <f>HYPERLINK("https://twitter.com/shrfhbgtn/status/1441473079809478657")</f>
        <v>https://twitter.com/shrfhbgtn/status/1441473079809478657</v>
      </c>
      <c r="AA1249" s="81"/>
      <c r="AB1249" s="81"/>
      <c r="AC1249" s="86" t="s">
        <v>5035</v>
      </c>
      <c r="AD1249" s="81"/>
      <c r="AE1249" s="81" t="b">
        <v>0</v>
      </c>
      <c r="AF1249" s="81">
        <v>0</v>
      </c>
      <c r="AG1249" s="86" t="s">
        <v>6240</v>
      </c>
      <c r="AH1249" s="81" t="b">
        <v>0</v>
      </c>
      <c r="AI1249" s="81" t="s">
        <v>6479</v>
      </c>
      <c r="AJ1249" s="81"/>
      <c r="AK1249" s="86" t="s">
        <v>6240</v>
      </c>
      <c r="AL1249" s="81" t="b">
        <v>0</v>
      </c>
      <c r="AM1249" s="81">
        <v>20</v>
      </c>
      <c r="AN1249" s="86" t="s">
        <v>5110</v>
      </c>
      <c r="AO1249" s="86" t="s">
        <v>6505</v>
      </c>
      <c r="AP1249" s="81" t="b">
        <v>0</v>
      </c>
      <c r="AQ1249" s="86" t="s">
        <v>5110</v>
      </c>
      <c r="AR1249" s="81" t="s">
        <v>179</v>
      </c>
      <c r="AS1249" s="81">
        <v>0</v>
      </c>
      <c r="AT1249" s="81">
        <v>0</v>
      </c>
      <c r="AU1249" s="81"/>
      <c r="AV1249" s="81"/>
      <c r="AW1249" s="81"/>
      <c r="AX1249" s="81"/>
      <c r="AY1249" s="81"/>
      <c r="AZ1249" s="81"/>
      <c r="BA1249" s="81"/>
      <c r="BB1249" s="81"/>
    </row>
    <row r="1250" spans="1:54" x14ac:dyDescent="0.35">
      <c r="A1250" s="66" t="s">
        <v>925</v>
      </c>
      <c r="B1250" s="66" t="s">
        <v>1411</v>
      </c>
      <c r="C1250" s="67"/>
      <c r="D1250" s="68"/>
      <c r="E1250" s="69"/>
      <c r="F1250" s="70"/>
      <c r="G1250" s="67"/>
      <c r="H1250" s="71"/>
      <c r="I1250" s="72"/>
      <c r="J1250" s="72"/>
      <c r="K1250" s="36"/>
      <c r="L1250" s="79"/>
      <c r="M1250" s="79"/>
      <c r="N1250" s="74"/>
      <c r="O1250" s="81" t="s">
        <v>1533</v>
      </c>
      <c r="P1250" s="83">
        <v>44463.779374999998</v>
      </c>
      <c r="Q1250" s="81" t="s">
        <v>1909</v>
      </c>
      <c r="R1250" s="81"/>
      <c r="S1250" s="81"/>
      <c r="T1250" s="86" t="s">
        <v>1413</v>
      </c>
      <c r="U1250" s="84" t="str">
        <f>HYPERLINK("https://pbs.twimg.com/media/FAEa7dXVkAcjbKg.jpg")</f>
        <v>https://pbs.twimg.com/media/FAEa7dXVkAcjbKg.jpg</v>
      </c>
      <c r="V1250" s="84" t="str">
        <f>HYPERLINK("https://pbs.twimg.com/media/FAEa7dXVkAcjbKg.jpg")</f>
        <v>https://pbs.twimg.com/media/FAEa7dXVkAcjbKg.jpg</v>
      </c>
      <c r="W1250" s="83">
        <v>44463.779374999998</v>
      </c>
      <c r="X1250" s="89">
        <v>44463</v>
      </c>
      <c r="Y1250" s="86" t="s">
        <v>3569</v>
      </c>
      <c r="Z1250" s="84" t="str">
        <f>HYPERLINK("https://twitter.com/shrfhbgtn/status/1441473079809478657")</f>
        <v>https://twitter.com/shrfhbgtn/status/1441473079809478657</v>
      </c>
      <c r="AA1250" s="81"/>
      <c r="AB1250" s="81"/>
      <c r="AC1250" s="86" t="s">
        <v>5035</v>
      </c>
      <c r="AD1250" s="81"/>
      <c r="AE1250" s="81" t="b">
        <v>0</v>
      </c>
      <c r="AF1250" s="81">
        <v>0</v>
      </c>
      <c r="AG1250" s="86" t="s">
        <v>6240</v>
      </c>
      <c r="AH1250" s="81" t="b">
        <v>0</v>
      </c>
      <c r="AI1250" s="81" t="s">
        <v>6479</v>
      </c>
      <c r="AJ1250" s="81"/>
      <c r="AK1250" s="86" t="s">
        <v>6240</v>
      </c>
      <c r="AL1250" s="81" t="b">
        <v>0</v>
      </c>
      <c r="AM1250" s="81">
        <v>20</v>
      </c>
      <c r="AN1250" s="86" t="s">
        <v>5110</v>
      </c>
      <c r="AO1250" s="86" t="s">
        <v>6505</v>
      </c>
      <c r="AP1250" s="81" t="b">
        <v>0</v>
      </c>
      <c r="AQ1250" s="86" t="s">
        <v>5110</v>
      </c>
      <c r="AR1250" s="81" t="s">
        <v>179</v>
      </c>
      <c r="AS1250" s="81">
        <v>0</v>
      </c>
      <c r="AT1250" s="81">
        <v>0</v>
      </c>
      <c r="AU1250" s="81"/>
      <c r="AV1250" s="81"/>
      <c r="AW1250" s="81"/>
      <c r="AX1250" s="81"/>
      <c r="AY1250" s="81"/>
      <c r="AZ1250" s="81"/>
      <c r="BA1250" s="81"/>
      <c r="BB1250" s="81"/>
    </row>
    <row r="1251" spans="1:54" x14ac:dyDescent="0.35">
      <c r="A1251" s="66" t="s">
        <v>925</v>
      </c>
      <c r="B1251" s="66" t="s">
        <v>1412</v>
      </c>
      <c r="C1251" s="67"/>
      <c r="D1251" s="68"/>
      <c r="E1251" s="69"/>
      <c r="F1251" s="70"/>
      <c r="G1251" s="67"/>
      <c r="H1251" s="71"/>
      <c r="I1251" s="72"/>
      <c r="J1251" s="72"/>
      <c r="K1251" s="36"/>
      <c r="L1251" s="79"/>
      <c r="M1251" s="79"/>
      <c r="N1251" s="74"/>
      <c r="O1251" s="81" t="s">
        <v>1533</v>
      </c>
      <c r="P1251" s="83">
        <v>44463.779374999998</v>
      </c>
      <c r="Q1251" s="81" t="s">
        <v>1909</v>
      </c>
      <c r="R1251" s="81"/>
      <c r="S1251" s="81"/>
      <c r="T1251" s="86" t="s">
        <v>1413</v>
      </c>
      <c r="U1251" s="84" t="str">
        <f>HYPERLINK("https://pbs.twimg.com/media/FAEa7dXVkAcjbKg.jpg")</f>
        <v>https://pbs.twimg.com/media/FAEa7dXVkAcjbKg.jpg</v>
      </c>
      <c r="V1251" s="84" t="str">
        <f>HYPERLINK("https://pbs.twimg.com/media/FAEa7dXVkAcjbKg.jpg")</f>
        <v>https://pbs.twimg.com/media/FAEa7dXVkAcjbKg.jpg</v>
      </c>
      <c r="W1251" s="83">
        <v>44463.779374999998</v>
      </c>
      <c r="X1251" s="89">
        <v>44463</v>
      </c>
      <c r="Y1251" s="86" t="s">
        <v>3569</v>
      </c>
      <c r="Z1251" s="84" t="str">
        <f>HYPERLINK("https://twitter.com/shrfhbgtn/status/1441473079809478657")</f>
        <v>https://twitter.com/shrfhbgtn/status/1441473079809478657</v>
      </c>
      <c r="AA1251" s="81"/>
      <c r="AB1251" s="81"/>
      <c r="AC1251" s="86" t="s">
        <v>5035</v>
      </c>
      <c r="AD1251" s="81"/>
      <c r="AE1251" s="81" t="b">
        <v>0</v>
      </c>
      <c r="AF1251" s="81">
        <v>0</v>
      </c>
      <c r="AG1251" s="86" t="s">
        <v>6240</v>
      </c>
      <c r="AH1251" s="81" t="b">
        <v>0</v>
      </c>
      <c r="AI1251" s="81" t="s">
        <v>6479</v>
      </c>
      <c r="AJ1251" s="81"/>
      <c r="AK1251" s="86" t="s">
        <v>6240</v>
      </c>
      <c r="AL1251" s="81" t="b">
        <v>0</v>
      </c>
      <c r="AM1251" s="81">
        <v>20</v>
      </c>
      <c r="AN1251" s="86" t="s">
        <v>5110</v>
      </c>
      <c r="AO1251" s="86" t="s">
        <v>6505</v>
      </c>
      <c r="AP1251" s="81" t="b">
        <v>0</v>
      </c>
      <c r="AQ1251" s="86" t="s">
        <v>5110</v>
      </c>
      <c r="AR1251" s="81" t="s">
        <v>179</v>
      </c>
      <c r="AS1251" s="81">
        <v>0</v>
      </c>
      <c r="AT1251" s="81">
        <v>0</v>
      </c>
      <c r="AU1251" s="81"/>
      <c r="AV1251" s="81"/>
      <c r="AW1251" s="81"/>
      <c r="AX1251" s="81"/>
      <c r="AY1251" s="81"/>
      <c r="AZ1251" s="81"/>
      <c r="BA1251" s="81"/>
      <c r="BB1251" s="81"/>
    </row>
    <row r="1252" spans="1:54" x14ac:dyDescent="0.35">
      <c r="A1252" s="66" t="s">
        <v>925</v>
      </c>
      <c r="B1252" s="66" t="s">
        <v>1413</v>
      </c>
      <c r="C1252" s="67"/>
      <c r="D1252" s="68"/>
      <c r="E1252" s="69"/>
      <c r="F1252" s="70"/>
      <c r="G1252" s="67"/>
      <c r="H1252" s="71"/>
      <c r="I1252" s="72"/>
      <c r="J1252" s="72"/>
      <c r="K1252" s="36"/>
      <c r="L1252" s="79"/>
      <c r="M1252" s="79"/>
      <c r="N1252" s="74"/>
      <c r="O1252" s="81" t="s">
        <v>1533</v>
      </c>
      <c r="P1252" s="83">
        <v>44463.779374999998</v>
      </c>
      <c r="Q1252" s="81" t="s">
        <v>1909</v>
      </c>
      <c r="R1252" s="81"/>
      <c r="S1252" s="81"/>
      <c r="T1252" s="86" t="s">
        <v>1413</v>
      </c>
      <c r="U1252" s="84" t="str">
        <f>HYPERLINK("https://pbs.twimg.com/media/FAEa7dXVkAcjbKg.jpg")</f>
        <v>https://pbs.twimg.com/media/FAEa7dXVkAcjbKg.jpg</v>
      </c>
      <c r="V1252" s="84" t="str">
        <f>HYPERLINK("https://pbs.twimg.com/media/FAEa7dXVkAcjbKg.jpg")</f>
        <v>https://pbs.twimg.com/media/FAEa7dXVkAcjbKg.jpg</v>
      </c>
      <c r="W1252" s="83">
        <v>44463.779374999998</v>
      </c>
      <c r="X1252" s="89">
        <v>44463</v>
      </c>
      <c r="Y1252" s="86" t="s">
        <v>3569</v>
      </c>
      <c r="Z1252" s="84" t="str">
        <f>HYPERLINK("https://twitter.com/shrfhbgtn/status/1441473079809478657")</f>
        <v>https://twitter.com/shrfhbgtn/status/1441473079809478657</v>
      </c>
      <c r="AA1252" s="81"/>
      <c r="AB1252" s="81"/>
      <c r="AC1252" s="86" t="s">
        <v>5035</v>
      </c>
      <c r="AD1252" s="81"/>
      <c r="AE1252" s="81" t="b">
        <v>0</v>
      </c>
      <c r="AF1252" s="81">
        <v>0</v>
      </c>
      <c r="AG1252" s="86" t="s">
        <v>6240</v>
      </c>
      <c r="AH1252" s="81" t="b">
        <v>0</v>
      </c>
      <c r="AI1252" s="81" t="s">
        <v>6479</v>
      </c>
      <c r="AJ1252" s="81"/>
      <c r="AK1252" s="86" t="s">
        <v>6240</v>
      </c>
      <c r="AL1252" s="81" t="b">
        <v>0</v>
      </c>
      <c r="AM1252" s="81">
        <v>20</v>
      </c>
      <c r="AN1252" s="86" t="s">
        <v>5110</v>
      </c>
      <c r="AO1252" s="86" t="s">
        <v>6505</v>
      </c>
      <c r="AP1252" s="81" t="b">
        <v>0</v>
      </c>
      <c r="AQ1252" s="86" t="s">
        <v>5110</v>
      </c>
      <c r="AR1252" s="81" t="s">
        <v>179</v>
      </c>
      <c r="AS1252" s="81">
        <v>0</v>
      </c>
      <c r="AT1252" s="81">
        <v>0</v>
      </c>
      <c r="AU1252" s="81"/>
      <c r="AV1252" s="81"/>
      <c r="AW1252" s="81"/>
      <c r="AX1252" s="81"/>
      <c r="AY1252" s="81"/>
      <c r="AZ1252" s="81"/>
      <c r="BA1252" s="81"/>
      <c r="BB1252" s="81"/>
    </row>
    <row r="1253" spans="1:54" x14ac:dyDescent="0.35">
      <c r="A1253" s="66" t="s">
        <v>925</v>
      </c>
      <c r="B1253" s="66" t="s">
        <v>990</v>
      </c>
      <c r="C1253" s="67"/>
      <c r="D1253" s="68"/>
      <c r="E1253" s="69"/>
      <c r="F1253" s="70"/>
      <c r="G1253" s="67"/>
      <c r="H1253" s="71"/>
      <c r="I1253" s="72"/>
      <c r="J1253" s="72"/>
      <c r="K1253" s="36"/>
      <c r="L1253" s="79"/>
      <c r="M1253" s="79"/>
      <c r="N1253" s="74"/>
      <c r="O1253" s="81" t="s">
        <v>1532</v>
      </c>
      <c r="P1253" s="83">
        <v>44463.779374999998</v>
      </c>
      <c r="Q1253" s="81" t="s">
        <v>1909</v>
      </c>
      <c r="R1253" s="81"/>
      <c r="S1253" s="81"/>
      <c r="T1253" s="86" t="s">
        <v>1413</v>
      </c>
      <c r="U1253" s="84" t="str">
        <f>HYPERLINK("https://pbs.twimg.com/media/FAEa7dXVkAcjbKg.jpg")</f>
        <v>https://pbs.twimg.com/media/FAEa7dXVkAcjbKg.jpg</v>
      </c>
      <c r="V1253" s="84" t="str">
        <f>HYPERLINK("https://pbs.twimg.com/media/FAEa7dXVkAcjbKg.jpg")</f>
        <v>https://pbs.twimg.com/media/FAEa7dXVkAcjbKg.jpg</v>
      </c>
      <c r="W1253" s="83">
        <v>44463.779374999998</v>
      </c>
      <c r="X1253" s="89">
        <v>44463</v>
      </c>
      <c r="Y1253" s="86" t="s">
        <v>3569</v>
      </c>
      <c r="Z1253" s="84" t="str">
        <f>HYPERLINK("https://twitter.com/shrfhbgtn/status/1441473079809478657")</f>
        <v>https://twitter.com/shrfhbgtn/status/1441473079809478657</v>
      </c>
      <c r="AA1253" s="81"/>
      <c r="AB1253" s="81"/>
      <c r="AC1253" s="86" t="s">
        <v>5035</v>
      </c>
      <c r="AD1253" s="81"/>
      <c r="AE1253" s="81" t="b">
        <v>0</v>
      </c>
      <c r="AF1253" s="81">
        <v>0</v>
      </c>
      <c r="AG1253" s="86" t="s">
        <v>6240</v>
      </c>
      <c r="AH1253" s="81" t="b">
        <v>0</v>
      </c>
      <c r="AI1253" s="81" t="s">
        <v>6479</v>
      </c>
      <c r="AJ1253" s="81"/>
      <c r="AK1253" s="86" t="s">
        <v>6240</v>
      </c>
      <c r="AL1253" s="81" t="b">
        <v>0</v>
      </c>
      <c r="AM1253" s="81">
        <v>20</v>
      </c>
      <c r="AN1253" s="86" t="s">
        <v>5110</v>
      </c>
      <c r="AO1253" s="86" t="s">
        <v>6505</v>
      </c>
      <c r="AP1253" s="81" t="b">
        <v>0</v>
      </c>
      <c r="AQ1253" s="86" t="s">
        <v>5110</v>
      </c>
      <c r="AR1253" s="81" t="s">
        <v>179</v>
      </c>
      <c r="AS1253" s="81">
        <v>0</v>
      </c>
      <c r="AT1253" s="81">
        <v>0</v>
      </c>
      <c r="AU1253" s="81"/>
      <c r="AV1253" s="81"/>
      <c r="AW1253" s="81"/>
      <c r="AX1253" s="81"/>
      <c r="AY1253" s="81"/>
      <c r="AZ1253" s="81"/>
      <c r="BA1253" s="81"/>
      <c r="BB1253" s="81"/>
    </row>
    <row r="1254" spans="1:54" x14ac:dyDescent="0.35">
      <c r="A1254" s="66" t="s">
        <v>925</v>
      </c>
      <c r="B1254" s="66" t="s">
        <v>1410</v>
      </c>
      <c r="C1254" s="67"/>
      <c r="D1254" s="68"/>
      <c r="E1254" s="69"/>
      <c r="F1254" s="70"/>
      <c r="G1254" s="67"/>
      <c r="H1254" s="71"/>
      <c r="I1254" s="72"/>
      <c r="J1254" s="72"/>
      <c r="K1254" s="36"/>
      <c r="L1254" s="79"/>
      <c r="M1254" s="79"/>
      <c r="N1254" s="74"/>
      <c r="O1254" s="81" t="s">
        <v>1533</v>
      </c>
      <c r="P1254" s="83">
        <v>44464.399259259262</v>
      </c>
      <c r="Q1254" s="81" t="s">
        <v>1908</v>
      </c>
      <c r="R1254" s="81"/>
      <c r="S1254" s="81"/>
      <c r="T1254" s="86" t="s">
        <v>1413</v>
      </c>
      <c r="U1254" s="84" t="str">
        <f>HYPERLINK("https://pbs.twimg.com/media/FAEa_mFUYAcoKUu.jpg")</f>
        <v>https://pbs.twimg.com/media/FAEa_mFUYAcoKUu.jpg</v>
      </c>
      <c r="V1254" s="84" t="str">
        <f>HYPERLINK("https://pbs.twimg.com/media/FAEa_mFUYAcoKUu.jpg")</f>
        <v>https://pbs.twimg.com/media/FAEa_mFUYAcoKUu.jpg</v>
      </c>
      <c r="W1254" s="83">
        <v>44464.399259259262</v>
      </c>
      <c r="X1254" s="89">
        <v>44464</v>
      </c>
      <c r="Y1254" s="86" t="s">
        <v>3570</v>
      </c>
      <c r="Z1254" s="84" t="str">
        <f>HYPERLINK("https://twitter.com/shrfhbgtn/status/1441697721211973640")</f>
        <v>https://twitter.com/shrfhbgtn/status/1441697721211973640</v>
      </c>
      <c r="AA1254" s="81"/>
      <c r="AB1254" s="81"/>
      <c r="AC1254" s="86" t="s">
        <v>5036</v>
      </c>
      <c r="AD1254" s="81"/>
      <c r="AE1254" s="81" t="b">
        <v>0</v>
      </c>
      <c r="AF1254" s="81">
        <v>0</v>
      </c>
      <c r="AG1254" s="86" t="s">
        <v>6240</v>
      </c>
      <c r="AH1254" s="81" t="b">
        <v>0</v>
      </c>
      <c r="AI1254" s="81" t="s">
        <v>6479</v>
      </c>
      <c r="AJ1254" s="81"/>
      <c r="AK1254" s="86" t="s">
        <v>6240</v>
      </c>
      <c r="AL1254" s="81" t="b">
        <v>0</v>
      </c>
      <c r="AM1254" s="81">
        <v>23</v>
      </c>
      <c r="AN1254" s="86" t="s">
        <v>5111</v>
      </c>
      <c r="AO1254" s="86" t="s">
        <v>6505</v>
      </c>
      <c r="AP1254" s="81" t="b">
        <v>0</v>
      </c>
      <c r="AQ1254" s="86" t="s">
        <v>5111</v>
      </c>
      <c r="AR1254" s="81" t="s">
        <v>179</v>
      </c>
      <c r="AS1254" s="81">
        <v>0</v>
      </c>
      <c r="AT1254" s="81">
        <v>0</v>
      </c>
      <c r="AU1254" s="81"/>
      <c r="AV1254" s="81"/>
      <c r="AW1254" s="81"/>
      <c r="AX1254" s="81"/>
      <c r="AY1254" s="81"/>
      <c r="AZ1254" s="81"/>
      <c r="BA1254" s="81"/>
      <c r="BB1254" s="81"/>
    </row>
    <row r="1255" spans="1:54" x14ac:dyDescent="0.35">
      <c r="A1255" s="66" t="s">
        <v>925</v>
      </c>
      <c r="B1255" s="66" t="s">
        <v>1411</v>
      </c>
      <c r="C1255" s="67"/>
      <c r="D1255" s="68"/>
      <c r="E1255" s="69"/>
      <c r="F1255" s="70"/>
      <c r="G1255" s="67"/>
      <c r="H1255" s="71"/>
      <c r="I1255" s="72"/>
      <c r="J1255" s="72"/>
      <c r="K1255" s="36"/>
      <c r="L1255" s="79"/>
      <c r="M1255" s="79"/>
      <c r="N1255" s="74"/>
      <c r="O1255" s="81" t="s">
        <v>1533</v>
      </c>
      <c r="P1255" s="83">
        <v>44464.399259259262</v>
      </c>
      <c r="Q1255" s="81" t="s">
        <v>1908</v>
      </c>
      <c r="R1255" s="81"/>
      <c r="S1255" s="81"/>
      <c r="T1255" s="86" t="s">
        <v>1413</v>
      </c>
      <c r="U1255" s="84" t="str">
        <f>HYPERLINK("https://pbs.twimg.com/media/FAEa_mFUYAcoKUu.jpg")</f>
        <v>https://pbs.twimg.com/media/FAEa_mFUYAcoKUu.jpg</v>
      </c>
      <c r="V1255" s="84" t="str">
        <f>HYPERLINK("https://pbs.twimg.com/media/FAEa_mFUYAcoKUu.jpg")</f>
        <v>https://pbs.twimg.com/media/FAEa_mFUYAcoKUu.jpg</v>
      </c>
      <c r="W1255" s="83">
        <v>44464.399259259262</v>
      </c>
      <c r="X1255" s="89">
        <v>44464</v>
      </c>
      <c r="Y1255" s="86" t="s">
        <v>3570</v>
      </c>
      <c r="Z1255" s="84" t="str">
        <f>HYPERLINK("https://twitter.com/shrfhbgtn/status/1441697721211973640")</f>
        <v>https://twitter.com/shrfhbgtn/status/1441697721211973640</v>
      </c>
      <c r="AA1255" s="81"/>
      <c r="AB1255" s="81"/>
      <c r="AC1255" s="86" t="s">
        <v>5036</v>
      </c>
      <c r="AD1255" s="81"/>
      <c r="AE1255" s="81" t="b">
        <v>0</v>
      </c>
      <c r="AF1255" s="81">
        <v>0</v>
      </c>
      <c r="AG1255" s="86" t="s">
        <v>6240</v>
      </c>
      <c r="AH1255" s="81" t="b">
        <v>0</v>
      </c>
      <c r="AI1255" s="81" t="s">
        <v>6479</v>
      </c>
      <c r="AJ1255" s="81"/>
      <c r="AK1255" s="86" t="s">
        <v>6240</v>
      </c>
      <c r="AL1255" s="81" t="b">
        <v>0</v>
      </c>
      <c r="AM1255" s="81">
        <v>23</v>
      </c>
      <c r="AN1255" s="86" t="s">
        <v>5111</v>
      </c>
      <c r="AO1255" s="86" t="s">
        <v>6505</v>
      </c>
      <c r="AP1255" s="81" t="b">
        <v>0</v>
      </c>
      <c r="AQ1255" s="86" t="s">
        <v>5111</v>
      </c>
      <c r="AR1255" s="81" t="s">
        <v>179</v>
      </c>
      <c r="AS1255" s="81">
        <v>0</v>
      </c>
      <c r="AT1255" s="81">
        <v>0</v>
      </c>
      <c r="AU1255" s="81"/>
      <c r="AV1255" s="81"/>
      <c r="AW1255" s="81"/>
      <c r="AX1255" s="81"/>
      <c r="AY1255" s="81"/>
      <c r="AZ1255" s="81"/>
      <c r="BA1255" s="81"/>
      <c r="BB1255" s="81"/>
    </row>
    <row r="1256" spans="1:54" x14ac:dyDescent="0.35">
      <c r="A1256" s="66" t="s">
        <v>925</v>
      </c>
      <c r="B1256" s="66" t="s">
        <v>1412</v>
      </c>
      <c r="C1256" s="67"/>
      <c r="D1256" s="68"/>
      <c r="E1256" s="69"/>
      <c r="F1256" s="70"/>
      <c r="G1256" s="67"/>
      <c r="H1256" s="71"/>
      <c r="I1256" s="72"/>
      <c r="J1256" s="72"/>
      <c r="K1256" s="36"/>
      <c r="L1256" s="79"/>
      <c r="M1256" s="79"/>
      <c r="N1256" s="74"/>
      <c r="O1256" s="81" t="s">
        <v>1533</v>
      </c>
      <c r="P1256" s="83">
        <v>44464.399259259262</v>
      </c>
      <c r="Q1256" s="81" t="s">
        <v>1908</v>
      </c>
      <c r="R1256" s="81"/>
      <c r="S1256" s="81"/>
      <c r="T1256" s="86" t="s">
        <v>1413</v>
      </c>
      <c r="U1256" s="84" t="str">
        <f>HYPERLINK("https://pbs.twimg.com/media/FAEa_mFUYAcoKUu.jpg")</f>
        <v>https://pbs.twimg.com/media/FAEa_mFUYAcoKUu.jpg</v>
      </c>
      <c r="V1256" s="84" t="str">
        <f>HYPERLINK("https://pbs.twimg.com/media/FAEa_mFUYAcoKUu.jpg")</f>
        <v>https://pbs.twimg.com/media/FAEa_mFUYAcoKUu.jpg</v>
      </c>
      <c r="W1256" s="83">
        <v>44464.399259259262</v>
      </c>
      <c r="X1256" s="89">
        <v>44464</v>
      </c>
      <c r="Y1256" s="86" t="s">
        <v>3570</v>
      </c>
      <c r="Z1256" s="84" t="str">
        <f>HYPERLINK("https://twitter.com/shrfhbgtn/status/1441697721211973640")</f>
        <v>https://twitter.com/shrfhbgtn/status/1441697721211973640</v>
      </c>
      <c r="AA1256" s="81"/>
      <c r="AB1256" s="81"/>
      <c r="AC1256" s="86" t="s">
        <v>5036</v>
      </c>
      <c r="AD1256" s="81"/>
      <c r="AE1256" s="81" t="b">
        <v>0</v>
      </c>
      <c r="AF1256" s="81">
        <v>0</v>
      </c>
      <c r="AG1256" s="86" t="s">
        <v>6240</v>
      </c>
      <c r="AH1256" s="81" t="b">
        <v>0</v>
      </c>
      <c r="AI1256" s="81" t="s">
        <v>6479</v>
      </c>
      <c r="AJ1256" s="81"/>
      <c r="AK1256" s="86" t="s">
        <v>6240</v>
      </c>
      <c r="AL1256" s="81" t="b">
        <v>0</v>
      </c>
      <c r="AM1256" s="81">
        <v>23</v>
      </c>
      <c r="AN1256" s="86" t="s">
        <v>5111</v>
      </c>
      <c r="AO1256" s="86" t="s">
        <v>6505</v>
      </c>
      <c r="AP1256" s="81" t="b">
        <v>0</v>
      </c>
      <c r="AQ1256" s="86" t="s">
        <v>5111</v>
      </c>
      <c r="AR1256" s="81" t="s">
        <v>179</v>
      </c>
      <c r="AS1256" s="81">
        <v>0</v>
      </c>
      <c r="AT1256" s="81">
        <v>0</v>
      </c>
      <c r="AU1256" s="81"/>
      <c r="AV1256" s="81"/>
      <c r="AW1256" s="81"/>
      <c r="AX1256" s="81"/>
      <c r="AY1256" s="81"/>
      <c r="AZ1256" s="81"/>
      <c r="BA1256" s="81"/>
      <c r="BB1256" s="81"/>
    </row>
    <row r="1257" spans="1:54" x14ac:dyDescent="0.35">
      <c r="A1257" s="66" t="s">
        <v>925</v>
      </c>
      <c r="B1257" s="66" t="s">
        <v>1413</v>
      </c>
      <c r="C1257" s="67"/>
      <c r="D1257" s="68"/>
      <c r="E1257" s="69"/>
      <c r="F1257" s="70"/>
      <c r="G1257" s="67"/>
      <c r="H1257" s="71"/>
      <c r="I1257" s="72"/>
      <c r="J1257" s="72"/>
      <c r="K1257" s="36"/>
      <c r="L1257" s="79"/>
      <c r="M1257" s="79"/>
      <c r="N1257" s="74"/>
      <c r="O1257" s="81" t="s">
        <v>1533</v>
      </c>
      <c r="P1257" s="83">
        <v>44464.399259259262</v>
      </c>
      <c r="Q1257" s="81" t="s">
        <v>1908</v>
      </c>
      <c r="R1257" s="81"/>
      <c r="S1257" s="81"/>
      <c r="T1257" s="86" t="s">
        <v>1413</v>
      </c>
      <c r="U1257" s="84" t="str">
        <f>HYPERLINK("https://pbs.twimg.com/media/FAEa_mFUYAcoKUu.jpg")</f>
        <v>https://pbs.twimg.com/media/FAEa_mFUYAcoKUu.jpg</v>
      </c>
      <c r="V1257" s="84" t="str">
        <f>HYPERLINK("https://pbs.twimg.com/media/FAEa_mFUYAcoKUu.jpg")</f>
        <v>https://pbs.twimg.com/media/FAEa_mFUYAcoKUu.jpg</v>
      </c>
      <c r="W1257" s="83">
        <v>44464.399259259262</v>
      </c>
      <c r="X1257" s="89">
        <v>44464</v>
      </c>
      <c r="Y1257" s="86" t="s">
        <v>3570</v>
      </c>
      <c r="Z1257" s="84" t="str">
        <f>HYPERLINK("https://twitter.com/shrfhbgtn/status/1441697721211973640")</f>
        <v>https://twitter.com/shrfhbgtn/status/1441697721211973640</v>
      </c>
      <c r="AA1257" s="81"/>
      <c r="AB1257" s="81"/>
      <c r="AC1257" s="86" t="s">
        <v>5036</v>
      </c>
      <c r="AD1257" s="81"/>
      <c r="AE1257" s="81" t="b">
        <v>0</v>
      </c>
      <c r="AF1257" s="81">
        <v>0</v>
      </c>
      <c r="AG1257" s="86" t="s">
        <v>6240</v>
      </c>
      <c r="AH1257" s="81" t="b">
        <v>0</v>
      </c>
      <c r="AI1257" s="81" t="s">
        <v>6479</v>
      </c>
      <c r="AJ1257" s="81"/>
      <c r="AK1257" s="86" t="s">
        <v>6240</v>
      </c>
      <c r="AL1257" s="81" t="b">
        <v>0</v>
      </c>
      <c r="AM1257" s="81">
        <v>23</v>
      </c>
      <c r="AN1257" s="86" t="s">
        <v>5111</v>
      </c>
      <c r="AO1257" s="86" t="s">
        <v>6505</v>
      </c>
      <c r="AP1257" s="81" t="b">
        <v>0</v>
      </c>
      <c r="AQ1257" s="86" t="s">
        <v>5111</v>
      </c>
      <c r="AR1257" s="81" t="s">
        <v>179</v>
      </c>
      <c r="AS1257" s="81">
        <v>0</v>
      </c>
      <c r="AT1257" s="81">
        <v>0</v>
      </c>
      <c r="AU1257" s="81"/>
      <c r="AV1257" s="81"/>
      <c r="AW1257" s="81"/>
      <c r="AX1257" s="81"/>
      <c r="AY1257" s="81"/>
      <c r="AZ1257" s="81"/>
      <c r="BA1257" s="81"/>
      <c r="BB1257" s="81"/>
    </row>
    <row r="1258" spans="1:54" x14ac:dyDescent="0.35">
      <c r="A1258" s="66" t="s">
        <v>925</v>
      </c>
      <c r="B1258" s="66" t="s">
        <v>990</v>
      </c>
      <c r="C1258" s="67"/>
      <c r="D1258" s="68"/>
      <c r="E1258" s="69"/>
      <c r="F1258" s="70"/>
      <c r="G1258" s="67"/>
      <c r="H1258" s="71"/>
      <c r="I1258" s="72"/>
      <c r="J1258" s="72"/>
      <c r="K1258" s="36"/>
      <c r="L1258" s="79"/>
      <c r="M1258" s="79"/>
      <c r="N1258" s="74"/>
      <c r="O1258" s="81" t="s">
        <v>1532</v>
      </c>
      <c r="P1258" s="83">
        <v>44464.399259259262</v>
      </c>
      <c r="Q1258" s="81" t="s">
        <v>1908</v>
      </c>
      <c r="R1258" s="81"/>
      <c r="S1258" s="81"/>
      <c r="T1258" s="86" t="s">
        <v>1413</v>
      </c>
      <c r="U1258" s="84" t="str">
        <f>HYPERLINK("https://pbs.twimg.com/media/FAEa_mFUYAcoKUu.jpg")</f>
        <v>https://pbs.twimg.com/media/FAEa_mFUYAcoKUu.jpg</v>
      </c>
      <c r="V1258" s="84" t="str">
        <f>HYPERLINK("https://pbs.twimg.com/media/FAEa_mFUYAcoKUu.jpg")</f>
        <v>https://pbs.twimg.com/media/FAEa_mFUYAcoKUu.jpg</v>
      </c>
      <c r="W1258" s="83">
        <v>44464.399259259262</v>
      </c>
      <c r="X1258" s="89">
        <v>44464</v>
      </c>
      <c r="Y1258" s="86" t="s">
        <v>3570</v>
      </c>
      <c r="Z1258" s="84" t="str">
        <f>HYPERLINK("https://twitter.com/shrfhbgtn/status/1441697721211973640")</f>
        <v>https://twitter.com/shrfhbgtn/status/1441697721211973640</v>
      </c>
      <c r="AA1258" s="81"/>
      <c r="AB1258" s="81"/>
      <c r="AC1258" s="86" t="s">
        <v>5036</v>
      </c>
      <c r="AD1258" s="81"/>
      <c r="AE1258" s="81" t="b">
        <v>0</v>
      </c>
      <c r="AF1258" s="81">
        <v>0</v>
      </c>
      <c r="AG1258" s="86" t="s">
        <v>6240</v>
      </c>
      <c r="AH1258" s="81" t="b">
        <v>0</v>
      </c>
      <c r="AI1258" s="81" t="s">
        <v>6479</v>
      </c>
      <c r="AJ1258" s="81"/>
      <c r="AK1258" s="86" t="s">
        <v>6240</v>
      </c>
      <c r="AL1258" s="81" t="b">
        <v>0</v>
      </c>
      <c r="AM1258" s="81">
        <v>23</v>
      </c>
      <c r="AN1258" s="86" t="s">
        <v>5111</v>
      </c>
      <c r="AO1258" s="86" t="s">
        <v>6505</v>
      </c>
      <c r="AP1258" s="81" t="b">
        <v>0</v>
      </c>
      <c r="AQ1258" s="86" t="s">
        <v>5111</v>
      </c>
      <c r="AR1258" s="81" t="s">
        <v>179</v>
      </c>
      <c r="AS1258" s="81">
        <v>0</v>
      </c>
      <c r="AT1258" s="81">
        <v>0</v>
      </c>
      <c r="AU1258" s="81"/>
      <c r="AV1258" s="81"/>
      <c r="AW1258" s="81"/>
      <c r="AX1258" s="81"/>
      <c r="AY1258" s="81"/>
      <c r="AZ1258" s="81"/>
      <c r="BA1258" s="81"/>
      <c r="BB1258" s="81"/>
    </row>
    <row r="1259" spans="1:54" x14ac:dyDescent="0.35">
      <c r="A1259" s="66" t="s">
        <v>926</v>
      </c>
      <c r="B1259" s="66" t="s">
        <v>1440</v>
      </c>
      <c r="C1259" s="67"/>
      <c r="D1259" s="68"/>
      <c r="E1259" s="69"/>
      <c r="F1259" s="70"/>
      <c r="G1259" s="67"/>
      <c r="H1259" s="71"/>
      <c r="I1259" s="72"/>
      <c r="J1259" s="72"/>
      <c r="K1259" s="36"/>
      <c r="L1259" s="79"/>
      <c r="M1259" s="79"/>
      <c r="N1259" s="74"/>
      <c r="O1259" s="81" t="s">
        <v>1534</v>
      </c>
      <c r="P1259" s="83">
        <v>44464.446666666663</v>
      </c>
      <c r="Q1259" s="81" t="s">
        <v>1943</v>
      </c>
      <c r="R1259" s="81"/>
      <c r="S1259" s="81"/>
      <c r="T1259" s="81"/>
      <c r="U1259" s="81"/>
      <c r="V1259" s="84" t="str">
        <f>HYPERLINK("https://pbs.twimg.com/profile_images/1438830920337813510/KTbtm5m5_normal.jpg")</f>
        <v>https://pbs.twimg.com/profile_images/1438830920337813510/KTbtm5m5_normal.jpg</v>
      </c>
      <c r="W1259" s="83">
        <v>44464.446666666663</v>
      </c>
      <c r="X1259" s="89">
        <v>44464</v>
      </c>
      <c r="Y1259" s="86" t="s">
        <v>3571</v>
      </c>
      <c r="Z1259" s="84" t="str">
        <f>HYPERLINK("https://twitter.com/usagiescape/status/1441714898518503437")</f>
        <v>https://twitter.com/usagiescape/status/1441714898518503437</v>
      </c>
      <c r="AA1259" s="81"/>
      <c r="AB1259" s="81"/>
      <c r="AC1259" s="86" t="s">
        <v>5037</v>
      </c>
      <c r="AD1259" s="86" t="s">
        <v>6114</v>
      </c>
      <c r="AE1259" s="81" t="b">
        <v>0</v>
      </c>
      <c r="AF1259" s="81">
        <v>0</v>
      </c>
      <c r="AG1259" s="86" t="s">
        <v>6372</v>
      </c>
      <c r="AH1259" s="81" t="b">
        <v>0</v>
      </c>
      <c r="AI1259" s="81" t="s">
        <v>6478</v>
      </c>
      <c r="AJ1259" s="81"/>
      <c r="AK1259" s="86" t="s">
        <v>6240</v>
      </c>
      <c r="AL1259" s="81" t="b">
        <v>0</v>
      </c>
      <c r="AM1259" s="81">
        <v>0</v>
      </c>
      <c r="AN1259" s="86" t="s">
        <v>6240</v>
      </c>
      <c r="AO1259" s="86" t="s">
        <v>6503</v>
      </c>
      <c r="AP1259" s="81" t="b">
        <v>0</v>
      </c>
      <c r="AQ1259" s="86" t="s">
        <v>6114</v>
      </c>
      <c r="AR1259" s="81" t="s">
        <v>179</v>
      </c>
      <c r="AS1259" s="81">
        <v>0</v>
      </c>
      <c r="AT1259" s="81">
        <v>0</v>
      </c>
      <c r="AU1259" s="81"/>
      <c r="AV1259" s="81"/>
      <c r="AW1259" s="81"/>
      <c r="AX1259" s="81"/>
      <c r="AY1259" s="81"/>
      <c r="AZ1259" s="81"/>
      <c r="BA1259" s="81"/>
      <c r="BB1259" s="81"/>
    </row>
    <row r="1260" spans="1:54" x14ac:dyDescent="0.35">
      <c r="A1260" s="66" t="s">
        <v>927</v>
      </c>
      <c r="B1260" s="66" t="s">
        <v>1440</v>
      </c>
      <c r="C1260" s="67"/>
      <c r="D1260" s="68"/>
      <c r="E1260" s="69"/>
      <c r="F1260" s="70"/>
      <c r="G1260" s="67"/>
      <c r="H1260" s="71"/>
      <c r="I1260" s="72"/>
      <c r="J1260" s="72"/>
      <c r="K1260" s="36"/>
      <c r="L1260" s="79"/>
      <c r="M1260" s="79"/>
      <c r="N1260" s="74"/>
      <c r="O1260" s="81" t="s">
        <v>1534</v>
      </c>
      <c r="P1260" s="83">
        <v>44464.448321759257</v>
      </c>
      <c r="Q1260" s="81" t="s">
        <v>1944</v>
      </c>
      <c r="R1260" s="81"/>
      <c r="S1260" s="81"/>
      <c r="T1260" s="81"/>
      <c r="U1260" s="81"/>
      <c r="V1260" s="84" t="str">
        <f>HYPERLINK("https://pbs.twimg.com/profile_images/1435983937055068161/AGA38BXg_normal.jpg")</f>
        <v>https://pbs.twimg.com/profile_images/1435983937055068161/AGA38BXg_normal.jpg</v>
      </c>
      <c r="W1260" s="83">
        <v>44464.448321759257</v>
      </c>
      <c r="X1260" s="89">
        <v>44464</v>
      </c>
      <c r="Y1260" s="86" t="s">
        <v>3572</v>
      </c>
      <c r="Z1260" s="84" t="str">
        <f>HYPERLINK("https://twitter.com/ezzyyall/status/1441715498035519490")</f>
        <v>https://twitter.com/ezzyyall/status/1441715498035519490</v>
      </c>
      <c r="AA1260" s="81"/>
      <c r="AB1260" s="81"/>
      <c r="AC1260" s="86" t="s">
        <v>5038</v>
      </c>
      <c r="AD1260" s="86" t="s">
        <v>6114</v>
      </c>
      <c r="AE1260" s="81" t="b">
        <v>0</v>
      </c>
      <c r="AF1260" s="81">
        <v>0</v>
      </c>
      <c r="AG1260" s="86" t="s">
        <v>6372</v>
      </c>
      <c r="AH1260" s="81" t="b">
        <v>0</v>
      </c>
      <c r="AI1260" s="81" t="s">
        <v>6478</v>
      </c>
      <c r="AJ1260" s="81"/>
      <c r="AK1260" s="86" t="s">
        <v>6240</v>
      </c>
      <c r="AL1260" s="81" t="b">
        <v>0</v>
      </c>
      <c r="AM1260" s="81">
        <v>0</v>
      </c>
      <c r="AN1260" s="86" t="s">
        <v>6240</v>
      </c>
      <c r="AO1260" s="86" t="s">
        <v>6503</v>
      </c>
      <c r="AP1260" s="81" t="b">
        <v>0</v>
      </c>
      <c r="AQ1260" s="86" t="s">
        <v>6114</v>
      </c>
      <c r="AR1260" s="81" t="s">
        <v>179</v>
      </c>
      <c r="AS1260" s="81">
        <v>0</v>
      </c>
      <c r="AT1260" s="81">
        <v>0</v>
      </c>
      <c r="AU1260" s="81"/>
      <c r="AV1260" s="81"/>
      <c r="AW1260" s="81"/>
      <c r="AX1260" s="81"/>
      <c r="AY1260" s="81"/>
      <c r="AZ1260" s="81"/>
      <c r="BA1260" s="81"/>
      <c r="BB1260" s="81"/>
    </row>
    <row r="1261" spans="1:54" x14ac:dyDescent="0.35">
      <c r="A1261" s="66" t="s">
        <v>928</v>
      </c>
      <c r="B1261" s="66" t="s">
        <v>928</v>
      </c>
      <c r="C1261" s="67"/>
      <c r="D1261" s="68"/>
      <c r="E1261" s="69"/>
      <c r="F1261" s="70"/>
      <c r="G1261" s="67"/>
      <c r="H1261" s="71"/>
      <c r="I1261" s="72"/>
      <c r="J1261" s="72"/>
      <c r="K1261" s="36"/>
      <c r="L1261" s="79"/>
      <c r="M1261" s="79"/>
      <c r="N1261" s="74"/>
      <c r="O1261" s="81" t="s">
        <v>179</v>
      </c>
      <c r="P1261" s="83">
        <v>44461.916574074072</v>
      </c>
      <c r="Q1261" s="81" t="s">
        <v>1781</v>
      </c>
      <c r="R1261" s="81"/>
      <c r="S1261" s="81"/>
      <c r="T1261" s="86" t="s">
        <v>2681</v>
      </c>
      <c r="U1261" s="84" t="str">
        <f>HYPERLINK("https://pbs.twimg.com/media/E_6-KvyVgAA0Zfe.jpg")</f>
        <v>https://pbs.twimg.com/media/E_6-KvyVgAA0Zfe.jpg</v>
      </c>
      <c r="V1261" s="84" t="str">
        <f>HYPERLINK("https://pbs.twimg.com/media/E_6-KvyVgAA0Zfe.jpg")</f>
        <v>https://pbs.twimg.com/media/E_6-KvyVgAA0Zfe.jpg</v>
      </c>
      <c r="W1261" s="83">
        <v>44461.916574074072</v>
      </c>
      <c r="X1261" s="89">
        <v>44461</v>
      </c>
      <c r="Y1261" s="86" t="s">
        <v>3573</v>
      </c>
      <c r="Z1261" s="84" t="str">
        <f>HYPERLINK("https://twitter.com/juventusfcid/status/1440798025639555074")</f>
        <v>https://twitter.com/juventusfcid/status/1440798025639555074</v>
      </c>
      <c r="AA1261" s="81"/>
      <c r="AB1261" s="81"/>
      <c r="AC1261" s="86" t="s">
        <v>5039</v>
      </c>
      <c r="AD1261" s="81"/>
      <c r="AE1261" s="81" t="b">
        <v>0</v>
      </c>
      <c r="AF1261" s="81">
        <v>296</v>
      </c>
      <c r="AG1261" s="86" t="s">
        <v>6240</v>
      </c>
      <c r="AH1261" s="81" t="b">
        <v>0</v>
      </c>
      <c r="AI1261" s="81" t="s">
        <v>6479</v>
      </c>
      <c r="AJ1261" s="81"/>
      <c r="AK1261" s="86" t="s">
        <v>6240</v>
      </c>
      <c r="AL1261" s="81" t="b">
        <v>0</v>
      </c>
      <c r="AM1261" s="81">
        <v>71</v>
      </c>
      <c r="AN1261" s="86" t="s">
        <v>6240</v>
      </c>
      <c r="AO1261" s="86" t="s">
        <v>6503</v>
      </c>
      <c r="AP1261" s="81" t="b">
        <v>0</v>
      </c>
      <c r="AQ1261" s="86" t="s">
        <v>5039</v>
      </c>
      <c r="AR1261" s="81" t="s">
        <v>179</v>
      </c>
      <c r="AS1261" s="81">
        <v>0</v>
      </c>
      <c r="AT1261" s="81">
        <v>0</v>
      </c>
      <c r="AU1261" s="81"/>
      <c r="AV1261" s="81"/>
      <c r="AW1261" s="81"/>
      <c r="AX1261" s="81"/>
      <c r="AY1261" s="81"/>
      <c r="AZ1261" s="81"/>
      <c r="BA1261" s="81"/>
      <c r="BB1261" s="81"/>
    </row>
    <row r="1262" spans="1:54" x14ac:dyDescent="0.35">
      <c r="A1262" s="66" t="s">
        <v>929</v>
      </c>
      <c r="B1262" s="66" t="s">
        <v>928</v>
      </c>
      <c r="C1262" s="67"/>
      <c r="D1262" s="68"/>
      <c r="E1262" s="69"/>
      <c r="F1262" s="70"/>
      <c r="G1262" s="67"/>
      <c r="H1262" s="71"/>
      <c r="I1262" s="72"/>
      <c r="J1262" s="72"/>
      <c r="K1262" s="36"/>
      <c r="L1262" s="79"/>
      <c r="M1262" s="79"/>
      <c r="N1262" s="74"/>
      <c r="O1262" s="81" t="s">
        <v>1532</v>
      </c>
      <c r="P1262" s="83">
        <v>44464.449108796296</v>
      </c>
      <c r="Q1262" s="81" t="s">
        <v>1781</v>
      </c>
      <c r="R1262" s="81"/>
      <c r="S1262" s="81"/>
      <c r="T1262" s="86" t="s">
        <v>2681</v>
      </c>
      <c r="U1262" s="84" t="str">
        <f>HYPERLINK("https://pbs.twimg.com/media/E_6-KvyVgAA0Zfe.jpg")</f>
        <v>https://pbs.twimg.com/media/E_6-KvyVgAA0Zfe.jpg</v>
      </c>
      <c r="V1262" s="84" t="str">
        <f>HYPERLINK("https://pbs.twimg.com/media/E_6-KvyVgAA0Zfe.jpg")</f>
        <v>https://pbs.twimg.com/media/E_6-KvyVgAA0Zfe.jpg</v>
      </c>
      <c r="W1262" s="83">
        <v>44464.449108796296</v>
      </c>
      <c r="X1262" s="89">
        <v>44464</v>
      </c>
      <c r="Y1262" s="86" t="s">
        <v>3574</v>
      </c>
      <c r="Z1262" s="84" t="str">
        <f>HYPERLINK("https://twitter.com/emirvan96/status/1441715786066718722")</f>
        <v>https://twitter.com/emirvan96/status/1441715786066718722</v>
      </c>
      <c r="AA1262" s="81"/>
      <c r="AB1262" s="81"/>
      <c r="AC1262" s="86" t="s">
        <v>5040</v>
      </c>
      <c r="AD1262" s="81"/>
      <c r="AE1262" s="81" t="b">
        <v>0</v>
      </c>
      <c r="AF1262" s="81">
        <v>0</v>
      </c>
      <c r="AG1262" s="86" t="s">
        <v>6240</v>
      </c>
      <c r="AH1262" s="81" t="b">
        <v>0</v>
      </c>
      <c r="AI1262" s="81" t="s">
        <v>6479</v>
      </c>
      <c r="AJ1262" s="81"/>
      <c r="AK1262" s="86" t="s">
        <v>6240</v>
      </c>
      <c r="AL1262" s="81" t="b">
        <v>0</v>
      </c>
      <c r="AM1262" s="81">
        <v>71</v>
      </c>
      <c r="AN1262" s="86" t="s">
        <v>5039</v>
      </c>
      <c r="AO1262" s="86" t="s">
        <v>6503</v>
      </c>
      <c r="AP1262" s="81" t="b">
        <v>0</v>
      </c>
      <c r="AQ1262" s="86" t="s">
        <v>5039</v>
      </c>
      <c r="AR1262" s="81" t="s">
        <v>179</v>
      </c>
      <c r="AS1262" s="81">
        <v>0</v>
      </c>
      <c r="AT1262" s="81">
        <v>0</v>
      </c>
      <c r="AU1262" s="81"/>
      <c r="AV1262" s="81"/>
      <c r="AW1262" s="81"/>
      <c r="AX1262" s="81"/>
      <c r="AY1262" s="81"/>
      <c r="AZ1262" s="81"/>
      <c r="BA1262" s="81"/>
      <c r="BB1262" s="81"/>
    </row>
    <row r="1263" spans="1:54" x14ac:dyDescent="0.35">
      <c r="A1263" s="66" t="s">
        <v>930</v>
      </c>
      <c r="B1263" s="66" t="s">
        <v>1440</v>
      </c>
      <c r="C1263" s="67"/>
      <c r="D1263" s="68"/>
      <c r="E1263" s="69"/>
      <c r="F1263" s="70"/>
      <c r="G1263" s="67"/>
      <c r="H1263" s="71"/>
      <c r="I1263" s="72"/>
      <c r="J1263" s="72"/>
      <c r="K1263" s="36"/>
      <c r="L1263" s="79"/>
      <c r="M1263" s="79"/>
      <c r="N1263" s="74"/>
      <c r="O1263" s="81" t="s">
        <v>1534</v>
      </c>
      <c r="P1263" s="83">
        <v>44464.449606481481</v>
      </c>
      <c r="Q1263" s="81" t="s">
        <v>1945</v>
      </c>
      <c r="R1263" s="81"/>
      <c r="S1263" s="81"/>
      <c r="T1263" s="81"/>
      <c r="U1263" s="81"/>
      <c r="V1263" s="84" t="str">
        <f>HYPERLINK("https://pbs.twimg.com/profile_images/1439314773376569344/e6Xcl9U8_normal.jpg")</f>
        <v>https://pbs.twimg.com/profile_images/1439314773376569344/e6Xcl9U8_normal.jpg</v>
      </c>
      <c r="W1263" s="83">
        <v>44464.449606481481</v>
      </c>
      <c r="X1263" s="89">
        <v>44464</v>
      </c>
      <c r="Y1263" s="86" t="s">
        <v>3575</v>
      </c>
      <c r="Z1263" s="84" t="str">
        <f>HYPERLINK("https://twitter.com/cap_bintang/status/1441715964765036544")</f>
        <v>https://twitter.com/cap_bintang/status/1441715964765036544</v>
      </c>
      <c r="AA1263" s="81"/>
      <c r="AB1263" s="81"/>
      <c r="AC1263" s="86" t="s">
        <v>5041</v>
      </c>
      <c r="AD1263" s="86" t="s">
        <v>6114</v>
      </c>
      <c r="AE1263" s="81" t="b">
        <v>0</v>
      </c>
      <c r="AF1263" s="81">
        <v>0</v>
      </c>
      <c r="AG1263" s="86" t="s">
        <v>6372</v>
      </c>
      <c r="AH1263" s="81" t="b">
        <v>0</v>
      </c>
      <c r="AI1263" s="81" t="s">
        <v>6478</v>
      </c>
      <c r="AJ1263" s="81"/>
      <c r="AK1263" s="86" t="s">
        <v>6240</v>
      </c>
      <c r="AL1263" s="81" t="b">
        <v>0</v>
      </c>
      <c r="AM1263" s="81">
        <v>0</v>
      </c>
      <c r="AN1263" s="86" t="s">
        <v>6240</v>
      </c>
      <c r="AO1263" s="86" t="s">
        <v>6503</v>
      </c>
      <c r="AP1263" s="81" t="b">
        <v>0</v>
      </c>
      <c r="AQ1263" s="86" t="s">
        <v>6114</v>
      </c>
      <c r="AR1263" s="81" t="s">
        <v>179</v>
      </c>
      <c r="AS1263" s="81">
        <v>0</v>
      </c>
      <c r="AT1263" s="81">
        <v>0</v>
      </c>
      <c r="AU1263" s="81"/>
      <c r="AV1263" s="81"/>
      <c r="AW1263" s="81"/>
      <c r="AX1263" s="81"/>
      <c r="AY1263" s="81"/>
      <c r="AZ1263" s="81"/>
      <c r="BA1263" s="81"/>
      <c r="BB1263" s="81"/>
    </row>
    <row r="1264" spans="1:54" x14ac:dyDescent="0.35">
      <c r="A1264" s="66" t="s">
        <v>931</v>
      </c>
      <c r="B1264" s="66" t="s">
        <v>1440</v>
      </c>
      <c r="C1264" s="67"/>
      <c r="D1264" s="68"/>
      <c r="E1264" s="69"/>
      <c r="F1264" s="70"/>
      <c r="G1264" s="67"/>
      <c r="H1264" s="71"/>
      <c r="I1264" s="72"/>
      <c r="J1264" s="72"/>
      <c r="K1264" s="36"/>
      <c r="L1264" s="79"/>
      <c r="M1264" s="79"/>
      <c r="N1264" s="74"/>
      <c r="O1264" s="81" t="s">
        <v>1534</v>
      </c>
      <c r="P1264" s="83">
        <v>44464.455358796295</v>
      </c>
      <c r="Q1264" s="81" t="s">
        <v>1946</v>
      </c>
      <c r="R1264" s="81"/>
      <c r="S1264" s="81"/>
      <c r="T1264" s="81"/>
      <c r="U1264" s="81"/>
      <c r="V1264" s="84" t="str">
        <f>HYPERLINK("https://pbs.twimg.com/profile_images/1426701145968242689/yoYxKaAJ_normal.jpg")</f>
        <v>https://pbs.twimg.com/profile_images/1426701145968242689/yoYxKaAJ_normal.jpg</v>
      </c>
      <c r="W1264" s="83">
        <v>44464.455358796295</v>
      </c>
      <c r="X1264" s="89">
        <v>44464</v>
      </c>
      <c r="Y1264" s="86" t="s">
        <v>3576</v>
      </c>
      <c r="Z1264" s="84" t="str">
        <f>HYPERLINK("https://twitter.com/mungillicious/status/1441718051229954056")</f>
        <v>https://twitter.com/mungillicious/status/1441718051229954056</v>
      </c>
      <c r="AA1264" s="81"/>
      <c r="AB1264" s="81"/>
      <c r="AC1264" s="86" t="s">
        <v>5042</v>
      </c>
      <c r="AD1264" s="86" t="s">
        <v>6114</v>
      </c>
      <c r="AE1264" s="81" t="b">
        <v>0</v>
      </c>
      <c r="AF1264" s="81">
        <v>0</v>
      </c>
      <c r="AG1264" s="86" t="s">
        <v>6372</v>
      </c>
      <c r="AH1264" s="81" t="b">
        <v>0</v>
      </c>
      <c r="AI1264" s="81" t="s">
        <v>6478</v>
      </c>
      <c r="AJ1264" s="81"/>
      <c r="AK1264" s="86" t="s">
        <v>6240</v>
      </c>
      <c r="AL1264" s="81" t="b">
        <v>0</v>
      </c>
      <c r="AM1264" s="81">
        <v>0</v>
      </c>
      <c r="AN1264" s="86" t="s">
        <v>6240</v>
      </c>
      <c r="AO1264" s="86" t="s">
        <v>6503</v>
      </c>
      <c r="AP1264" s="81" t="b">
        <v>0</v>
      </c>
      <c r="AQ1264" s="86" t="s">
        <v>6114</v>
      </c>
      <c r="AR1264" s="81" t="s">
        <v>179</v>
      </c>
      <c r="AS1264" s="81">
        <v>0</v>
      </c>
      <c r="AT1264" s="81">
        <v>0</v>
      </c>
      <c r="AU1264" s="81"/>
      <c r="AV1264" s="81"/>
      <c r="AW1264" s="81"/>
      <c r="AX1264" s="81"/>
      <c r="AY1264" s="81"/>
      <c r="AZ1264" s="81"/>
      <c r="BA1264" s="81"/>
      <c r="BB1264" s="81"/>
    </row>
    <row r="1265" spans="1:54" x14ac:dyDescent="0.35">
      <c r="A1265" s="66" t="s">
        <v>932</v>
      </c>
      <c r="B1265" s="66" t="s">
        <v>1441</v>
      </c>
      <c r="C1265" s="67"/>
      <c r="D1265" s="68"/>
      <c r="E1265" s="69"/>
      <c r="F1265" s="70"/>
      <c r="G1265" s="67"/>
      <c r="H1265" s="71"/>
      <c r="I1265" s="72"/>
      <c r="J1265" s="72"/>
      <c r="K1265" s="36"/>
      <c r="L1265" s="79"/>
      <c r="M1265" s="79"/>
      <c r="N1265" s="74"/>
      <c r="O1265" s="81" t="s">
        <v>1534</v>
      </c>
      <c r="P1265" s="83">
        <v>44464.462418981479</v>
      </c>
      <c r="Q1265" s="81" t="s">
        <v>1947</v>
      </c>
      <c r="R1265" s="81"/>
      <c r="S1265" s="81"/>
      <c r="T1265" s="81"/>
      <c r="U1265" s="81"/>
      <c r="V1265" s="84" t="str">
        <f>HYPERLINK("https://pbs.twimg.com/profile_images/1429339589500497923/HNJQpqu7_normal.jpg")</f>
        <v>https://pbs.twimg.com/profile_images/1429339589500497923/HNJQpqu7_normal.jpg</v>
      </c>
      <c r="W1265" s="83">
        <v>44464.462418981479</v>
      </c>
      <c r="X1265" s="89">
        <v>44464</v>
      </c>
      <c r="Y1265" s="86" t="s">
        <v>3577</v>
      </c>
      <c r="Z1265" s="84" t="str">
        <f>HYPERLINK("https://twitter.com/kimonechi/status/1441720607213645831")</f>
        <v>https://twitter.com/kimonechi/status/1441720607213645831</v>
      </c>
      <c r="AA1265" s="81"/>
      <c r="AB1265" s="81"/>
      <c r="AC1265" s="86" t="s">
        <v>5043</v>
      </c>
      <c r="AD1265" s="86" t="s">
        <v>6115</v>
      </c>
      <c r="AE1265" s="81" t="b">
        <v>0</v>
      </c>
      <c r="AF1265" s="81">
        <v>0</v>
      </c>
      <c r="AG1265" s="86" t="s">
        <v>6373</v>
      </c>
      <c r="AH1265" s="81" t="b">
        <v>0</v>
      </c>
      <c r="AI1265" s="81" t="s">
        <v>6478</v>
      </c>
      <c r="AJ1265" s="81"/>
      <c r="AK1265" s="86" t="s">
        <v>6240</v>
      </c>
      <c r="AL1265" s="81" t="b">
        <v>0</v>
      </c>
      <c r="AM1265" s="81">
        <v>0</v>
      </c>
      <c r="AN1265" s="86" t="s">
        <v>6240</v>
      </c>
      <c r="AO1265" s="86" t="s">
        <v>6507</v>
      </c>
      <c r="AP1265" s="81" t="b">
        <v>0</v>
      </c>
      <c r="AQ1265" s="86" t="s">
        <v>6115</v>
      </c>
      <c r="AR1265" s="81" t="s">
        <v>179</v>
      </c>
      <c r="AS1265" s="81">
        <v>0</v>
      </c>
      <c r="AT1265" s="81">
        <v>0</v>
      </c>
      <c r="AU1265" s="81"/>
      <c r="AV1265" s="81"/>
      <c r="AW1265" s="81"/>
      <c r="AX1265" s="81"/>
      <c r="AY1265" s="81"/>
      <c r="AZ1265" s="81"/>
      <c r="BA1265" s="81"/>
      <c r="BB1265" s="81"/>
    </row>
    <row r="1266" spans="1:54" x14ac:dyDescent="0.35">
      <c r="A1266" s="66" t="s">
        <v>933</v>
      </c>
      <c r="B1266" s="66" t="s">
        <v>1442</v>
      </c>
      <c r="C1266" s="67"/>
      <c r="D1266" s="68"/>
      <c r="E1266" s="69"/>
      <c r="F1266" s="70"/>
      <c r="G1266" s="67"/>
      <c r="H1266" s="71"/>
      <c r="I1266" s="72"/>
      <c r="J1266" s="72"/>
      <c r="K1266" s="36"/>
      <c r="L1266" s="79"/>
      <c r="M1266" s="79"/>
      <c r="N1266" s="74"/>
      <c r="O1266" s="81" t="s">
        <v>1535</v>
      </c>
      <c r="P1266" s="83">
        <v>44464.468032407407</v>
      </c>
      <c r="Q1266" s="81" t="s">
        <v>1948</v>
      </c>
      <c r="R1266" s="81"/>
      <c r="S1266" s="81"/>
      <c r="T1266" s="81"/>
      <c r="U1266" s="81"/>
      <c r="V1266" s="84" t="str">
        <f>HYPERLINK("https://pbs.twimg.com/profile_images/1081064343578394624/XDncZ7yI_normal.jpg")</f>
        <v>https://pbs.twimg.com/profile_images/1081064343578394624/XDncZ7yI_normal.jpg</v>
      </c>
      <c r="W1266" s="83">
        <v>44464.468032407407</v>
      </c>
      <c r="X1266" s="89">
        <v>44464</v>
      </c>
      <c r="Y1266" s="86" t="s">
        <v>3578</v>
      </c>
      <c r="Z1266" s="84" t="str">
        <f>HYPERLINK("https://twitter.com/faeezah01774194/status/1441722640486391813")</f>
        <v>https://twitter.com/faeezah01774194/status/1441722640486391813</v>
      </c>
      <c r="AA1266" s="81"/>
      <c r="AB1266" s="81"/>
      <c r="AC1266" s="86" t="s">
        <v>5044</v>
      </c>
      <c r="AD1266" s="86" t="s">
        <v>6116</v>
      </c>
      <c r="AE1266" s="81" t="b">
        <v>0</v>
      </c>
      <c r="AF1266" s="81">
        <v>0</v>
      </c>
      <c r="AG1266" s="86" t="s">
        <v>6374</v>
      </c>
      <c r="AH1266" s="81" t="b">
        <v>0</v>
      </c>
      <c r="AI1266" s="81" t="s">
        <v>6478</v>
      </c>
      <c r="AJ1266" s="81"/>
      <c r="AK1266" s="86" t="s">
        <v>6240</v>
      </c>
      <c r="AL1266" s="81" t="b">
        <v>0</v>
      </c>
      <c r="AM1266" s="81">
        <v>0</v>
      </c>
      <c r="AN1266" s="86" t="s">
        <v>6240</v>
      </c>
      <c r="AO1266" s="86" t="s">
        <v>6503</v>
      </c>
      <c r="AP1266" s="81" t="b">
        <v>0</v>
      </c>
      <c r="AQ1266" s="86" t="s">
        <v>6116</v>
      </c>
      <c r="AR1266" s="81" t="s">
        <v>179</v>
      </c>
      <c r="AS1266" s="81">
        <v>0</v>
      </c>
      <c r="AT1266" s="81">
        <v>0</v>
      </c>
      <c r="AU1266" s="81"/>
      <c r="AV1266" s="81"/>
      <c r="AW1266" s="81"/>
      <c r="AX1266" s="81"/>
      <c r="AY1266" s="81"/>
      <c r="AZ1266" s="81"/>
      <c r="BA1266" s="81"/>
      <c r="BB1266" s="81"/>
    </row>
    <row r="1267" spans="1:54" x14ac:dyDescent="0.35">
      <c r="A1267" s="66" t="s">
        <v>933</v>
      </c>
      <c r="B1267" s="66" t="s">
        <v>1443</v>
      </c>
      <c r="C1267" s="67"/>
      <c r="D1267" s="68"/>
      <c r="E1267" s="69"/>
      <c r="F1267" s="70"/>
      <c r="G1267" s="67"/>
      <c r="H1267" s="71"/>
      <c r="I1267" s="72"/>
      <c r="J1267" s="72"/>
      <c r="K1267" s="36"/>
      <c r="L1267" s="79"/>
      <c r="M1267" s="79"/>
      <c r="N1267" s="74"/>
      <c r="O1267" s="81" t="s">
        <v>1534</v>
      </c>
      <c r="P1267" s="83">
        <v>44464.468032407407</v>
      </c>
      <c r="Q1267" s="81" t="s">
        <v>1948</v>
      </c>
      <c r="R1267" s="81"/>
      <c r="S1267" s="81"/>
      <c r="T1267" s="81"/>
      <c r="U1267" s="81"/>
      <c r="V1267" s="84" t="str">
        <f>HYPERLINK("https://pbs.twimg.com/profile_images/1081064343578394624/XDncZ7yI_normal.jpg")</f>
        <v>https://pbs.twimg.com/profile_images/1081064343578394624/XDncZ7yI_normal.jpg</v>
      </c>
      <c r="W1267" s="83">
        <v>44464.468032407407</v>
      </c>
      <c r="X1267" s="89">
        <v>44464</v>
      </c>
      <c r="Y1267" s="86" t="s">
        <v>3578</v>
      </c>
      <c r="Z1267" s="84" t="str">
        <f>HYPERLINK("https://twitter.com/faeezah01774194/status/1441722640486391813")</f>
        <v>https://twitter.com/faeezah01774194/status/1441722640486391813</v>
      </c>
      <c r="AA1267" s="81"/>
      <c r="AB1267" s="81"/>
      <c r="AC1267" s="86" t="s">
        <v>5044</v>
      </c>
      <c r="AD1267" s="86" t="s">
        <v>6116</v>
      </c>
      <c r="AE1267" s="81" t="b">
        <v>0</v>
      </c>
      <c r="AF1267" s="81">
        <v>0</v>
      </c>
      <c r="AG1267" s="86" t="s">
        <v>6374</v>
      </c>
      <c r="AH1267" s="81" t="b">
        <v>0</v>
      </c>
      <c r="AI1267" s="81" t="s">
        <v>6478</v>
      </c>
      <c r="AJ1267" s="81"/>
      <c r="AK1267" s="86" t="s">
        <v>6240</v>
      </c>
      <c r="AL1267" s="81" t="b">
        <v>0</v>
      </c>
      <c r="AM1267" s="81">
        <v>0</v>
      </c>
      <c r="AN1267" s="86" t="s">
        <v>6240</v>
      </c>
      <c r="AO1267" s="86" t="s">
        <v>6503</v>
      </c>
      <c r="AP1267" s="81" t="b">
        <v>0</v>
      </c>
      <c r="AQ1267" s="86" t="s">
        <v>6116</v>
      </c>
      <c r="AR1267" s="81" t="s">
        <v>179</v>
      </c>
      <c r="AS1267" s="81">
        <v>0</v>
      </c>
      <c r="AT1267" s="81">
        <v>0</v>
      </c>
      <c r="AU1267" s="81"/>
      <c r="AV1267" s="81"/>
      <c r="AW1267" s="81"/>
      <c r="AX1267" s="81"/>
      <c r="AY1267" s="81"/>
      <c r="AZ1267" s="81"/>
      <c r="BA1267" s="81"/>
      <c r="BB1267" s="81"/>
    </row>
    <row r="1268" spans="1:54" x14ac:dyDescent="0.35">
      <c r="A1268" s="66" t="s">
        <v>934</v>
      </c>
      <c r="B1268" s="66" t="s">
        <v>1444</v>
      </c>
      <c r="C1268" s="67"/>
      <c r="D1268" s="68"/>
      <c r="E1268" s="69"/>
      <c r="F1268" s="70"/>
      <c r="G1268" s="67"/>
      <c r="H1268" s="71"/>
      <c r="I1268" s="72"/>
      <c r="J1268" s="72"/>
      <c r="K1268" s="36"/>
      <c r="L1268" s="79"/>
      <c r="M1268" s="79"/>
      <c r="N1268" s="74"/>
      <c r="O1268" s="81" t="s">
        <v>1534</v>
      </c>
      <c r="P1268" s="83">
        <v>44464.47011574074</v>
      </c>
      <c r="Q1268" s="81" t="s">
        <v>1949</v>
      </c>
      <c r="R1268" s="81"/>
      <c r="S1268" s="81"/>
      <c r="T1268" s="81"/>
      <c r="U1268" s="81"/>
      <c r="V1268" s="84" t="str">
        <f>HYPERLINK("https://pbs.twimg.com/profile_images/1410793599210385409/vnvXi8QP_normal.jpg")</f>
        <v>https://pbs.twimg.com/profile_images/1410793599210385409/vnvXi8QP_normal.jpg</v>
      </c>
      <c r="W1268" s="83">
        <v>44464.47011574074</v>
      </c>
      <c r="X1268" s="89">
        <v>44464</v>
      </c>
      <c r="Y1268" s="86" t="s">
        <v>3579</v>
      </c>
      <c r="Z1268" s="84" t="str">
        <f>HYPERLINK("https://twitter.com/miliondez/status/1441723397491200009")</f>
        <v>https://twitter.com/miliondez/status/1441723397491200009</v>
      </c>
      <c r="AA1268" s="81"/>
      <c r="AB1268" s="81"/>
      <c r="AC1268" s="86" t="s">
        <v>5045</v>
      </c>
      <c r="AD1268" s="86" t="s">
        <v>6117</v>
      </c>
      <c r="AE1268" s="81" t="b">
        <v>0</v>
      </c>
      <c r="AF1268" s="81">
        <v>0</v>
      </c>
      <c r="AG1268" s="86" t="s">
        <v>6375</v>
      </c>
      <c r="AH1268" s="81" t="b">
        <v>0</v>
      </c>
      <c r="AI1268" s="81" t="s">
        <v>6478</v>
      </c>
      <c r="AJ1268" s="81"/>
      <c r="AK1268" s="86" t="s">
        <v>6240</v>
      </c>
      <c r="AL1268" s="81" t="b">
        <v>0</v>
      </c>
      <c r="AM1268" s="81">
        <v>0</v>
      </c>
      <c r="AN1268" s="86" t="s">
        <v>6240</v>
      </c>
      <c r="AO1268" s="86" t="s">
        <v>6503</v>
      </c>
      <c r="AP1268" s="81" t="b">
        <v>0</v>
      </c>
      <c r="AQ1268" s="86" t="s">
        <v>6117</v>
      </c>
      <c r="AR1268" s="81" t="s">
        <v>179</v>
      </c>
      <c r="AS1268" s="81">
        <v>0</v>
      </c>
      <c r="AT1268" s="81">
        <v>0</v>
      </c>
      <c r="AU1268" s="81"/>
      <c r="AV1268" s="81"/>
      <c r="AW1268" s="81"/>
      <c r="AX1268" s="81"/>
      <c r="AY1268" s="81"/>
      <c r="AZ1268" s="81"/>
      <c r="BA1268" s="81"/>
      <c r="BB1268" s="81"/>
    </row>
    <row r="1269" spans="1:54" x14ac:dyDescent="0.35">
      <c r="A1269" s="66" t="s">
        <v>935</v>
      </c>
      <c r="B1269" s="66" t="s">
        <v>1445</v>
      </c>
      <c r="C1269" s="67"/>
      <c r="D1269" s="68"/>
      <c r="E1269" s="69"/>
      <c r="F1269" s="70"/>
      <c r="G1269" s="67"/>
      <c r="H1269" s="71"/>
      <c r="I1269" s="72"/>
      <c r="J1269" s="72"/>
      <c r="K1269" s="36"/>
      <c r="L1269" s="79"/>
      <c r="M1269" s="79"/>
      <c r="N1269" s="74"/>
      <c r="O1269" s="81" t="s">
        <v>1534</v>
      </c>
      <c r="P1269" s="83">
        <v>44464.467893518522</v>
      </c>
      <c r="Q1269" s="81" t="s">
        <v>1950</v>
      </c>
      <c r="R1269" s="81"/>
      <c r="S1269" s="81"/>
      <c r="T1269" s="81"/>
      <c r="U1269" s="81"/>
      <c r="V1269" s="84" t="str">
        <f>HYPERLINK("https://pbs.twimg.com/profile_images/1441259821550899200/81MnSvAQ_normal.jpg")</f>
        <v>https://pbs.twimg.com/profile_images/1441259821550899200/81MnSvAQ_normal.jpg</v>
      </c>
      <c r="W1269" s="83">
        <v>44464.467893518522</v>
      </c>
      <c r="X1269" s="89">
        <v>44464</v>
      </c>
      <c r="Y1269" s="86" t="s">
        <v>3580</v>
      </c>
      <c r="Z1269" s="84" t="str">
        <f>HYPERLINK("https://twitter.com/heymingyuu/status/1441722592046424074")</f>
        <v>https://twitter.com/heymingyuu/status/1441722592046424074</v>
      </c>
      <c r="AA1269" s="81"/>
      <c r="AB1269" s="81"/>
      <c r="AC1269" s="86" t="s">
        <v>5046</v>
      </c>
      <c r="AD1269" s="86" t="s">
        <v>6118</v>
      </c>
      <c r="AE1269" s="81" t="b">
        <v>0</v>
      </c>
      <c r="AF1269" s="81">
        <v>0</v>
      </c>
      <c r="AG1269" s="86" t="s">
        <v>6376</v>
      </c>
      <c r="AH1269" s="81" t="b">
        <v>0</v>
      </c>
      <c r="AI1269" s="81" t="s">
        <v>6478</v>
      </c>
      <c r="AJ1269" s="81"/>
      <c r="AK1269" s="86" t="s">
        <v>6240</v>
      </c>
      <c r="AL1269" s="81" t="b">
        <v>0</v>
      </c>
      <c r="AM1269" s="81">
        <v>0</v>
      </c>
      <c r="AN1269" s="86" t="s">
        <v>6240</v>
      </c>
      <c r="AO1269" s="86" t="s">
        <v>6503</v>
      </c>
      <c r="AP1269" s="81" t="b">
        <v>0</v>
      </c>
      <c r="AQ1269" s="86" t="s">
        <v>6118</v>
      </c>
      <c r="AR1269" s="81" t="s">
        <v>179</v>
      </c>
      <c r="AS1269" s="81">
        <v>0</v>
      </c>
      <c r="AT1269" s="81">
        <v>0</v>
      </c>
      <c r="AU1269" s="81"/>
      <c r="AV1269" s="81"/>
      <c r="AW1269" s="81"/>
      <c r="AX1269" s="81"/>
      <c r="AY1269" s="81"/>
      <c r="AZ1269" s="81"/>
      <c r="BA1269" s="81"/>
      <c r="BB1269" s="81"/>
    </row>
    <row r="1270" spans="1:54" x14ac:dyDescent="0.35">
      <c r="A1270" s="66" t="s">
        <v>935</v>
      </c>
      <c r="B1270" s="66" t="s">
        <v>1445</v>
      </c>
      <c r="C1270" s="67"/>
      <c r="D1270" s="68"/>
      <c r="E1270" s="69"/>
      <c r="F1270" s="70"/>
      <c r="G1270" s="67"/>
      <c r="H1270" s="71"/>
      <c r="I1270" s="72"/>
      <c r="J1270" s="72"/>
      <c r="K1270" s="36"/>
      <c r="L1270" s="79"/>
      <c r="M1270" s="79"/>
      <c r="N1270" s="74"/>
      <c r="O1270" s="81" t="s">
        <v>1534</v>
      </c>
      <c r="P1270" s="83">
        <v>44464.475694444445</v>
      </c>
      <c r="Q1270" s="81" t="s">
        <v>1951</v>
      </c>
      <c r="R1270" s="81"/>
      <c r="S1270" s="81"/>
      <c r="T1270" s="81"/>
      <c r="U1270" s="81"/>
      <c r="V1270" s="84" t="str">
        <f>HYPERLINK("https://pbs.twimg.com/profile_images/1441259821550899200/81MnSvAQ_normal.jpg")</f>
        <v>https://pbs.twimg.com/profile_images/1441259821550899200/81MnSvAQ_normal.jpg</v>
      </c>
      <c r="W1270" s="83">
        <v>44464.475694444445</v>
      </c>
      <c r="X1270" s="89">
        <v>44464</v>
      </c>
      <c r="Y1270" s="86" t="s">
        <v>3581</v>
      </c>
      <c r="Z1270" s="84" t="str">
        <f>HYPERLINK("https://twitter.com/heymingyuu/status/1441725418906611725")</f>
        <v>https://twitter.com/heymingyuu/status/1441725418906611725</v>
      </c>
      <c r="AA1270" s="81"/>
      <c r="AB1270" s="81"/>
      <c r="AC1270" s="86" t="s">
        <v>5047</v>
      </c>
      <c r="AD1270" s="86" t="s">
        <v>6119</v>
      </c>
      <c r="AE1270" s="81" t="b">
        <v>0</v>
      </c>
      <c r="AF1270" s="81">
        <v>0</v>
      </c>
      <c r="AG1270" s="86" t="s">
        <v>6376</v>
      </c>
      <c r="AH1270" s="81" t="b">
        <v>0</v>
      </c>
      <c r="AI1270" s="81" t="s">
        <v>6478</v>
      </c>
      <c r="AJ1270" s="81"/>
      <c r="AK1270" s="86" t="s">
        <v>6240</v>
      </c>
      <c r="AL1270" s="81" t="b">
        <v>0</v>
      </c>
      <c r="AM1270" s="81">
        <v>0</v>
      </c>
      <c r="AN1270" s="86" t="s">
        <v>6240</v>
      </c>
      <c r="AO1270" s="86" t="s">
        <v>6503</v>
      </c>
      <c r="AP1270" s="81" t="b">
        <v>0</v>
      </c>
      <c r="AQ1270" s="86" t="s">
        <v>6119</v>
      </c>
      <c r="AR1270" s="81" t="s">
        <v>179</v>
      </c>
      <c r="AS1270" s="81">
        <v>0</v>
      </c>
      <c r="AT1270" s="81">
        <v>0</v>
      </c>
      <c r="AU1270" s="81"/>
      <c r="AV1270" s="81"/>
      <c r="AW1270" s="81"/>
      <c r="AX1270" s="81"/>
      <c r="AY1270" s="81"/>
      <c r="AZ1270" s="81"/>
      <c r="BA1270" s="81"/>
      <c r="BB1270" s="81"/>
    </row>
    <row r="1271" spans="1:54" x14ac:dyDescent="0.35">
      <c r="A1271" s="66" t="s">
        <v>936</v>
      </c>
      <c r="B1271" s="66" t="s">
        <v>1446</v>
      </c>
      <c r="C1271" s="67"/>
      <c r="D1271" s="68"/>
      <c r="E1271" s="69"/>
      <c r="F1271" s="70"/>
      <c r="G1271" s="67"/>
      <c r="H1271" s="71"/>
      <c r="I1271" s="72"/>
      <c r="J1271" s="72"/>
      <c r="K1271" s="36"/>
      <c r="L1271" s="79"/>
      <c r="M1271" s="79"/>
      <c r="N1271" s="74"/>
      <c r="O1271" s="81" t="s">
        <v>1534</v>
      </c>
      <c r="P1271" s="83">
        <v>44464.48027777778</v>
      </c>
      <c r="Q1271" s="81" t="s">
        <v>1952</v>
      </c>
      <c r="R1271" s="81"/>
      <c r="S1271" s="81"/>
      <c r="T1271" s="81"/>
      <c r="U1271" s="81"/>
      <c r="V1271" s="84" t="str">
        <f>HYPERLINK("https://pbs.twimg.com/profile_images/1439198209591578634/n9tiyiG3_normal.jpg")</f>
        <v>https://pbs.twimg.com/profile_images/1439198209591578634/n9tiyiG3_normal.jpg</v>
      </c>
      <c r="W1271" s="83">
        <v>44464.48027777778</v>
      </c>
      <c r="X1271" s="89">
        <v>44464</v>
      </c>
      <c r="Y1271" s="86" t="s">
        <v>3582</v>
      </c>
      <c r="Z1271" s="84" t="str">
        <f>HYPERLINK("https://twitter.com/claruskv/status/1441727081906278404")</f>
        <v>https://twitter.com/claruskv/status/1441727081906278404</v>
      </c>
      <c r="AA1271" s="81"/>
      <c r="AB1271" s="81"/>
      <c r="AC1271" s="86" t="s">
        <v>5048</v>
      </c>
      <c r="AD1271" s="86" t="s">
        <v>6120</v>
      </c>
      <c r="AE1271" s="81" t="b">
        <v>0</v>
      </c>
      <c r="AF1271" s="81">
        <v>0</v>
      </c>
      <c r="AG1271" s="86" t="s">
        <v>6377</v>
      </c>
      <c r="AH1271" s="81" t="b">
        <v>0</v>
      </c>
      <c r="AI1271" s="81" t="s">
        <v>6478</v>
      </c>
      <c r="AJ1271" s="81"/>
      <c r="AK1271" s="86" t="s">
        <v>6240</v>
      </c>
      <c r="AL1271" s="81" t="b">
        <v>0</v>
      </c>
      <c r="AM1271" s="81">
        <v>0</v>
      </c>
      <c r="AN1271" s="86" t="s">
        <v>6240</v>
      </c>
      <c r="AO1271" s="86" t="s">
        <v>6503</v>
      </c>
      <c r="AP1271" s="81" t="b">
        <v>0</v>
      </c>
      <c r="AQ1271" s="86" t="s">
        <v>6120</v>
      </c>
      <c r="AR1271" s="81" t="s">
        <v>179</v>
      </c>
      <c r="AS1271" s="81">
        <v>0</v>
      </c>
      <c r="AT1271" s="81">
        <v>0</v>
      </c>
      <c r="AU1271" s="81"/>
      <c r="AV1271" s="81"/>
      <c r="AW1271" s="81"/>
      <c r="AX1271" s="81"/>
      <c r="AY1271" s="81"/>
      <c r="AZ1271" s="81"/>
      <c r="BA1271" s="81"/>
      <c r="BB1271" s="81"/>
    </row>
    <row r="1272" spans="1:54" x14ac:dyDescent="0.35">
      <c r="A1272" s="66" t="s">
        <v>937</v>
      </c>
      <c r="B1272" s="66" t="s">
        <v>1440</v>
      </c>
      <c r="C1272" s="67"/>
      <c r="D1272" s="68"/>
      <c r="E1272" s="69"/>
      <c r="F1272" s="70"/>
      <c r="G1272" s="67"/>
      <c r="H1272" s="71"/>
      <c r="I1272" s="72"/>
      <c r="J1272" s="72"/>
      <c r="K1272" s="36"/>
      <c r="L1272" s="79"/>
      <c r="M1272" s="79"/>
      <c r="N1272" s="74"/>
      <c r="O1272" s="81" t="s">
        <v>1534</v>
      </c>
      <c r="P1272" s="83">
        <v>44464.489004629628</v>
      </c>
      <c r="Q1272" s="81" t="s">
        <v>1953</v>
      </c>
      <c r="R1272" s="81"/>
      <c r="S1272" s="81"/>
      <c r="T1272" s="81"/>
      <c r="U1272" s="81"/>
      <c r="V1272" s="84" t="str">
        <f>HYPERLINK("https://pbs.twimg.com/profile_images/1430158701357375494/2xZW3bUr_normal.jpg")</f>
        <v>https://pbs.twimg.com/profile_images/1430158701357375494/2xZW3bUr_normal.jpg</v>
      </c>
      <c r="W1272" s="83">
        <v>44464.489004629628</v>
      </c>
      <c r="X1272" s="89">
        <v>44464</v>
      </c>
      <c r="Y1272" s="86" t="s">
        <v>3583</v>
      </c>
      <c r="Z1272" s="84" t="str">
        <f>HYPERLINK("https://twitter.com/inipandaa_/status/1441730242268184576")</f>
        <v>https://twitter.com/inipandaa_/status/1441730242268184576</v>
      </c>
      <c r="AA1272" s="81"/>
      <c r="AB1272" s="81"/>
      <c r="AC1272" s="86" t="s">
        <v>5049</v>
      </c>
      <c r="AD1272" s="86" t="s">
        <v>6114</v>
      </c>
      <c r="AE1272" s="81" t="b">
        <v>0</v>
      </c>
      <c r="AF1272" s="81">
        <v>0</v>
      </c>
      <c r="AG1272" s="86" t="s">
        <v>6372</v>
      </c>
      <c r="AH1272" s="81" t="b">
        <v>0</v>
      </c>
      <c r="AI1272" s="81" t="s">
        <v>6478</v>
      </c>
      <c r="AJ1272" s="81"/>
      <c r="AK1272" s="86" t="s">
        <v>6240</v>
      </c>
      <c r="AL1272" s="81" t="b">
        <v>0</v>
      </c>
      <c r="AM1272" s="81">
        <v>0</v>
      </c>
      <c r="AN1272" s="86" t="s">
        <v>6240</v>
      </c>
      <c r="AO1272" s="86" t="s">
        <v>6503</v>
      </c>
      <c r="AP1272" s="81" t="b">
        <v>0</v>
      </c>
      <c r="AQ1272" s="86" t="s">
        <v>6114</v>
      </c>
      <c r="AR1272" s="81" t="s">
        <v>179</v>
      </c>
      <c r="AS1272" s="81">
        <v>0</v>
      </c>
      <c r="AT1272" s="81">
        <v>0</v>
      </c>
      <c r="AU1272" s="81"/>
      <c r="AV1272" s="81"/>
      <c r="AW1272" s="81"/>
      <c r="AX1272" s="81"/>
      <c r="AY1272" s="81"/>
      <c r="AZ1272" s="81"/>
      <c r="BA1272" s="81"/>
      <c r="BB1272" s="81"/>
    </row>
    <row r="1273" spans="1:54" x14ac:dyDescent="0.35">
      <c r="A1273" s="66" t="s">
        <v>938</v>
      </c>
      <c r="B1273" s="66" t="s">
        <v>1447</v>
      </c>
      <c r="C1273" s="67"/>
      <c r="D1273" s="68"/>
      <c r="E1273" s="69"/>
      <c r="F1273" s="70"/>
      <c r="G1273" s="67"/>
      <c r="H1273" s="71"/>
      <c r="I1273" s="72"/>
      <c r="J1273" s="72"/>
      <c r="K1273" s="36"/>
      <c r="L1273" s="79"/>
      <c r="M1273" s="79"/>
      <c r="N1273" s="74"/>
      <c r="O1273" s="81" t="s">
        <v>1534</v>
      </c>
      <c r="P1273" s="83">
        <v>44464.49523148148</v>
      </c>
      <c r="Q1273" s="81" t="s">
        <v>1954</v>
      </c>
      <c r="R1273" s="81"/>
      <c r="S1273" s="81"/>
      <c r="T1273" s="81"/>
      <c r="U1273" s="81"/>
      <c r="V1273" s="84" t="str">
        <f>HYPERLINK("https://pbs.twimg.com/profile_images/1420390917379289089/jo-CmnLk_normal.jpg")</f>
        <v>https://pbs.twimg.com/profile_images/1420390917379289089/jo-CmnLk_normal.jpg</v>
      </c>
      <c r="W1273" s="83">
        <v>44464.49523148148</v>
      </c>
      <c r="X1273" s="89">
        <v>44464</v>
      </c>
      <c r="Y1273" s="86" t="s">
        <v>3584</v>
      </c>
      <c r="Z1273" s="84" t="str">
        <f>HYPERLINK("https://twitter.com/taeilcarts/status/1441732499311239169")</f>
        <v>https://twitter.com/taeilcarts/status/1441732499311239169</v>
      </c>
      <c r="AA1273" s="81"/>
      <c r="AB1273" s="81"/>
      <c r="AC1273" s="86" t="s">
        <v>5050</v>
      </c>
      <c r="AD1273" s="86" t="s">
        <v>6121</v>
      </c>
      <c r="AE1273" s="81" t="b">
        <v>0</v>
      </c>
      <c r="AF1273" s="81">
        <v>0</v>
      </c>
      <c r="AG1273" s="86" t="s">
        <v>6378</v>
      </c>
      <c r="AH1273" s="81" t="b">
        <v>0</v>
      </c>
      <c r="AI1273" s="81" t="s">
        <v>6478</v>
      </c>
      <c r="AJ1273" s="81"/>
      <c r="AK1273" s="86" t="s">
        <v>6240</v>
      </c>
      <c r="AL1273" s="81" t="b">
        <v>0</v>
      </c>
      <c r="AM1273" s="81">
        <v>0</v>
      </c>
      <c r="AN1273" s="86" t="s">
        <v>6240</v>
      </c>
      <c r="AO1273" s="86" t="s">
        <v>6503</v>
      </c>
      <c r="AP1273" s="81" t="b">
        <v>0</v>
      </c>
      <c r="AQ1273" s="86" t="s">
        <v>6121</v>
      </c>
      <c r="AR1273" s="81" t="s">
        <v>179</v>
      </c>
      <c r="AS1273" s="81">
        <v>0</v>
      </c>
      <c r="AT1273" s="81">
        <v>0</v>
      </c>
      <c r="AU1273" s="81"/>
      <c r="AV1273" s="81"/>
      <c r="AW1273" s="81"/>
      <c r="AX1273" s="81"/>
      <c r="AY1273" s="81"/>
      <c r="AZ1273" s="81"/>
      <c r="BA1273" s="81"/>
      <c r="BB1273" s="81"/>
    </row>
    <row r="1274" spans="1:54" x14ac:dyDescent="0.35">
      <c r="A1274" s="66" t="s">
        <v>939</v>
      </c>
      <c r="B1274" s="66" t="s">
        <v>1440</v>
      </c>
      <c r="C1274" s="67"/>
      <c r="D1274" s="68"/>
      <c r="E1274" s="69"/>
      <c r="F1274" s="70"/>
      <c r="G1274" s="67"/>
      <c r="H1274" s="71"/>
      <c r="I1274" s="72"/>
      <c r="J1274" s="72"/>
      <c r="K1274" s="36"/>
      <c r="L1274" s="79"/>
      <c r="M1274" s="79"/>
      <c r="N1274" s="74"/>
      <c r="O1274" s="81" t="s">
        <v>1534</v>
      </c>
      <c r="P1274" s="83">
        <v>44464.504814814813</v>
      </c>
      <c r="Q1274" s="81" t="s">
        <v>1955</v>
      </c>
      <c r="R1274" s="81"/>
      <c r="S1274" s="81"/>
      <c r="T1274" s="81"/>
      <c r="U1274" s="81"/>
      <c r="V1274" s="84" t="str">
        <f>HYPERLINK("https://pbs.twimg.com/profile_images/1438058333387169792/4bqlCp4E_normal.jpg")</f>
        <v>https://pbs.twimg.com/profile_images/1438058333387169792/4bqlCp4E_normal.jpg</v>
      </c>
      <c r="W1274" s="83">
        <v>44464.504814814813</v>
      </c>
      <c r="X1274" s="89">
        <v>44464</v>
      </c>
      <c r="Y1274" s="86" t="s">
        <v>3585</v>
      </c>
      <c r="Z1274" s="84" t="str">
        <f>HYPERLINK("https://twitter.com/tetehdrinktea/status/1441735973763571717")</f>
        <v>https://twitter.com/tetehdrinktea/status/1441735973763571717</v>
      </c>
      <c r="AA1274" s="81"/>
      <c r="AB1274" s="81"/>
      <c r="AC1274" s="86" t="s">
        <v>5051</v>
      </c>
      <c r="AD1274" s="86" t="s">
        <v>6114</v>
      </c>
      <c r="AE1274" s="81" t="b">
        <v>0</v>
      </c>
      <c r="AF1274" s="81">
        <v>0</v>
      </c>
      <c r="AG1274" s="86" t="s">
        <v>6372</v>
      </c>
      <c r="AH1274" s="81" t="b">
        <v>0</v>
      </c>
      <c r="AI1274" s="81" t="s">
        <v>6478</v>
      </c>
      <c r="AJ1274" s="81"/>
      <c r="AK1274" s="86" t="s">
        <v>6240</v>
      </c>
      <c r="AL1274" s="81" t="b">
        <v>0</v>
      </c>
      <c r="AM1274" s="81">
        <v>0</v>
      </c>
      <c r="AN1274" s="86" t="s">
        <v>6240</v>
      </c>
      <c r="AO1274" s="86" t="s">
        <v>6505</v>
      </c>
      <c r="AP1274" s="81" t="b">
        <v>0</v>
      </c>
      <c r="AQ1274" s="86" t="s">
        <v>6114</v>
      </c>
      <c r="AR1274" s="81" t="s">
        <v>179</v>
      </c>
      <c r="AS1274" s="81">
        <v>0</v>
      </c>
      <c r="AT1274" s="81">
        <v>0</v>
      </c>
      <c r="AU1274" s="81"/>
      <c r="AV1274" s="81"/>
      <c r="AW1274" s="81"/>
      <c r="AX1274" s="81"/>
      <c r="AY1274" s="81"/>
      <c r="AZ1274" s="81"/>
      <c r="BA1274" s="81"/>
      <c r="BB1274" s="81"/>
    </row>
    <row r="1275" spans="1:54" x14ac:dyDescent="0.35">
      <c r="A1275" s="66" t="s">
        <v>940</v>
      </c>
      <c r="B1275" s="66" t="s">
        <v>940</v>
      </c>
      <c r="C1275" s="67"/>
      <c r="D1275" s="68"/>
      <c r="E1275" s="69"/>
      <c r="F1275" s="70"/>
      <c r="G1275" s="67"/>
      <c r="H1275" s="71"/>
      <c r="I1275" s="72"/>
      <c r="J1275" s="72"/>
      <c r="K1275" s="36"/>
      <c r="L1275" s="79"/>
      <c r="M1275" s="79"/>
      <c r="N1275" s="74"/>
      <c r="O1275" s="81" t="s">
        <v>179</v>
      </c>
      <c r="P1275" s="83">
        <v>44464.505879629629</v>
      </c>
      <c r="Q1275" s="81" t="s">
        <v>1956</v>
      </c>
      <c r="R1275" s="81"/>
      <c r="S1275" s="81"/>
      <c r="T1275" s="81"/>
      <c r="U1275" s="81"/>
      <c r="V1275" s="84" t="str">
        <f>HYPERLINK("https://pbs.twimg.com/profile_images/1401077613339189249/OCHeU4eL_normal.jpg")</f>
        <v>https://pbs.twimg.com/profile_images/1401077613339189249/OCHeU4eL_normal.jpg</v>
      </c>
      <c r="W1275" s="83">
        <v>44464.505879629629</v>
      </c>
      <c r="X1275" s="89">
        <v>44464</v>
      </c>
      <c r="Y1275" s="86" t="s">
        <v>3586</v>
      </c>
      <c r="Z1275" s="84" t="str">
        <f>HYPERLINK("https://twitter.com/siapakahaquw/status/1441736359165628421")</f>
        <v>https://twitter.com/siapakahaquw/status/1441736359165628421</v>
      </c>
      <c r="AA1275" s="81"/>
      <c r="AB1275" s="81"/>
      <c r="AC1275" s="86" t="s">
        <v>5052</v>
      </c>
      <c r="AD1275" s="81"/>
      <c r="AE1275" s="81" t="b">
        <v>0</v>
      </c>
      <c r="AF1275" s="81">
        <v>0</v>
      </c>
      <c r="AG1275" s="86" t="s">
        <v>6240</v>
      </c>
      <c r="AH1275" s="81" t="b">
        <v>0</v>
      </c>
      <c r="AI1275" s="81" t="s">
        <v>6478</v>
      </c>
      <c r="AJ1275" s="81"/>
      <c r="AK1275" s="86" t="s">
        <v>6240</v>
      </c>
      <c r="AL1275" s="81" t="b">
        <v>0</v>
      </c>
      <c r="AM1275" s="81">
        <v>0</v>
      </c>
      <c r="AN1275" s="86" t="s">
        <v>6240</v>
      </c>
      <c r="AO1275" s="86" t="s">
        <v>6503</v>
      </c>
      <c r="AP1275" s="81" t="b">
        <v>0</v>
      </c>
      <c r="AQ1275" s="86" t="s">
        <v>5052</v>
      </c>
      <c r="AR1275" s="81" t="s">
        <v>179</v>
      </c>
      <c r="AS1275" s="81">
        <v>0</v>
      </c>
      <c r="AT1275" s="81">
        <v>0</v>
      </c>
      <c r="AU1275" s="81"/>
      <c r="AV1275" s="81"/>
      <c r="AW1275" s="81"/>
      <c r="AX1275" s="81"/>
      <c r="AY1275" s="81"/>
      <c r="AZ1275" s="81"/>
      <c r="BA1275" s="81"/>
      <c r="BB1275" s="81"/>
    </row>
    <row r="1276" spans="1:54" x14ac:dyDescent="0.35">
      <c r="A1276" s="66" t="s">
        <v>941</v>
      </c>
      <c r="B1276" s="66" t="s">
        <v>941</v>
      </c>
      <c r="C1276" s="67"/>
      <c r="D1276" s="68"/>
      <c r="E1276" s="69"/>
      <c r="F1276" s="70"/>
      <c r="G1276" s="67"/>
      <c r="H1276" s="71"/>
      <c r="I1276" s="72"/>
      <c r="J1276" s="72"/>
      <c r="K1276" s="36"/>
      <c r="L1276" s="79"/>
      <c r="M1276" s="79"/>
      <c r="N1276" s="74"/>
      <c r="O1276" s="81" t="s">
        <v>179</v>
      </c>
      <c r="P1276" s="83">
        <v>44464.507118055553</v>
      </c>
      <c r="Q1276" s="81" t="s">
        <v>1957</v>
      </c>
      <c r="R1276" s="81"/>
      <c r="S1276" s="81"/>
      <c r="T1276" s="81"/>
      <c r="U1276" s="81"/>
      <c r="V1276" s="84" t="str">
        <f>HYPERLINK("https://pbs.twimg.com/profile_images/1277454139308380160/r5aiTEYH_normal.jpg")</f>
        <v>https://pbs.twimg.com/profile_images/1277454139308380160/r5aiTEYH_normal.jpg</v>
      </c>
      <c r="W1276" s="83">
        <v>44464.507118055553</v>
      </c>
      <c r="X1276" s="89">
        <v>44464</v>
      </c>
      <c r="Y1276" s="86" t="s">
        <v>3587</v>
      </c>
      <c r="Z1276" s="84" t="str">
        <f>HYPERLINK("https://twitter.com/potolawas/status/1441736806613929999")</f>
        <v>https://twitter.com/potolawas/status/1441736806613929999</v>
      </c>
      <c r="AA1276" s="81"/>
      <c r="AB1276" s="81"/>
      <c r="AC1276" s="86" t="s">
        <v>5053</v>
      </c>
      <c r="AD1276" s="86" t="s">
        <v>6122</v>
      </c>
      <c r="AE1276" s="81" t="b">
        <v>0</v>
      </c>
      <c r="AF1276" s="81">
        <v>0</v>
      </c>
      <c r="AG1276" s="86" t="s">
        <v>6379</v>
      </c>
      <c r="AH1276" s="81" t="b">
        <v>0</v>
      </c>
      <c r="AI1276" s="81" t="s">
        <v>6478</v>
      </c>
      <c r="AJ1276" s="81"/>
      <c r="AK1276" s="86" t="s">
        <v>6240</v>
      </c>
      <c r="AL1276" s="81" t="b">
        <v>0</v>
      </c>
      <c r="AM1276" s="81">
        <v>0</v>
      </c>
      <c r="AN1276" s="86" t="s">
        <v>6240</v>
      </c>
      <c r="AO1276" s="86" t="s">
        <v>6503</v>
      </c>
      <c r="AP1276" s="81" t="b">
        <v>0</v>
      </c>
      <c r="AQ1276" s="86" t="s">
        <v>6122</v>
      </c>
      <c r="AR1276" s="81" t="s">
        <v>179</v>
      </c>
      <c r="AS1276" s="81">
        <v>0</v>
      </c>
      <c r="AT1276" s="81">
        <v>0</v>
      </c>
      <c r="AU1276" s="81"/>
      <c r="AV1276" s="81"/>
      <c r="AW1276" s="81"/>
      <c r="AX1276" s="81"/>
      <c r="AY1276" s="81"/>
      <c r="AZ1276" s="81"/>
      <c r="BA1276" s="81"/>
      <c r="BB1276" s="81"/>
    </row>
    <row r="1277" spans="1:54" x14ac:dyDescent="0.35">
      <c r="A1277" s="66" t="s">
        <v>942</v>
      </c>
      <c r="B1277" s="66" t="s">
        <v>1448</v>
      </c>
      <c r="C1277" s="67"/>
      <c r="D1277" s="68"/>
      <c r="E1277" s="69"/>
      <c r="F1277" s="70"/>
      <c r="G1277" s="67"/>
      <c r="H1277" s="71"/>
      <c r="I1277" s="72"/>
      <c r="J1277" s="72"/>
      <c r="K1277" s="36"/>
      <c r="L1277" s="79"/>
      <c r="M1277" s="79"/>
      <c r="N1277" s="74"/>
      <c r="O1277" s="81" t="s">
        <v>1534</v>
      </c>
      <c r="P1277" s="83">
        <v>44464.522638888891</v>
      </c>
      <c r="Q1277" s="81" t="s">
        <v>1958</v>
      </c>
      <c r="R1277" s="81"/>
      <c r="S1277" s="81"/>
      <c r="T1277" s="81"/>
      <c r="U1277" s="81"/>
      <c r="V1277" s="84" t="str">
        <f>HYPERLINK("https://pbs.twimg.com/profile_images/1429720796293845000/h0N_l0r3_normal.jpg")</f>
        <v>https://pbs.twimg.com/profile_images/1429720796293845000/h0N_l0r3_normal.jpg</v>
      </c>
      <c r="W1277" s="83">
        <v>44464.522638888891</v>
      </c>
      <c r="X1277" s="89">
        <v>44464</v>
      </c>
      <c r="Y1277" s="86" t="s">
        <v>3588</v>
      </c>
      <c r="Z1277" s="84" t="str">
        <f>HYPERLINK("https://twitter.com/micimochi/status/1441742431947423753")</f>
        <v>https://twitter.com/micimochi/status/1441742431947423753</v>
      </c>
      <c r="AA1277" s="81"/>
      <c r="AB1277" s="81"/>
      <c r="AC1277" s="86" t="s">
        <v>5054</v>
      </c>
      <c r="AD1277" s="86" t="s">
        <v>6123</v>
      </c>
      <c r="AE1277" s="81" t="b">
        <v>0</v>
      </c>
      <c r="AF1277" s="81">
        <v>0</v>
      </c>
      <c r="AG1277" s="86" t="s">
        <v>6380</v>
      </c>
      <c r="AH1277" s="81" t="b">
        <v>0</v>
      </c>
      <c r="AI1277" s="81" t="s">
        <v>6478</v>
      </c>
      <c r="AJ1277" s="81"/>
      <c r="AK1277" s="86" t="s">
        <v>6240</v>
      </c>
      <c r="AL1277" s="81" t="b">
        <v>0</v>
      </c>
      <c r="AM1277" s="81">
        <v>0</v>
      </c>
      <c r="AN1277" s="86" t="s">
        <v>6240</v>
      </c>
      <c r="AO1277" s="86" t="s">
        <v>6503</v>
      </c>
      <c r="AP1277" s="81" t="b">
        <v>0</v>
      </c>
      <c r="AQ1277" s="86" t="s">
        <v>6123</v>
      </c>
      <c r="AR1277" s="81" t="s">
        <v>179</v>
      </c>
      <c r="AS1277" s="81">
        <v>0</v>
      </c>
      <c r="AT1277" s="81">
        <v>0</v>
      </c>
      <c r="AU1277" s="81"/>
      <c r="AV1277" s="81"/>
      <c r="AW1277" s="81"/>
      <c r="AX1277" s="81"/>
      <c r="AY1277" s="81"/>
      <c r="AZ1277" s="81"/>
      <c r="BA1277" s="81"/>
      <c r="BB1277" s="81"/>
    </row>
    <row r="1278" spans="1:54" x14ac:dyDescent="0.35">
      <c r="A1278" s="66" t="s">
        <v>943</v>
      </c>
      <c r="B1278" s="66" t="s">
        <v>1363</v>
      </c>
      <c r="C1278" s="67"/>
      <c r="D1278" s="68"/>
      <c r="E1278" s="69"/>
      <c r="F1278" s="70"/>
      <c r="G1278" s="67"/>
      <c r="H1278" s="71"/>
      <c r="I1278" s="72"/>
      <c r="J1278" s="72"/>
      <c r="K1278" s="36"/>
      <c r="L1278" s="79"/>
      <c r="M1278" s="79"/>
      <c r="N1278" s="74"/>
      <c r="O1278" s="81" t="s">
        <v>1535</v>
      </c>
      <c r="P1278" s="83">
        <v>44459.36347222222</v>
      </c>
      <c r="Q1278" s="81" t="s">
        <v>1959</v>
      </c>
      <c r="R1278" s="84" t="str">
        <f>HYPERLINK("https://koranbumn.com/2021/09/perkuat-layanan-posaja-pos-indonesia-gandeng-nujek-dan-perkenalkan-o-ranger-mawar/")</f>
        <v>https://koranbumn.com/2021/09/perkuat-layanan-posaja-pos-indonesia-gandeng-nujek-dan-perkenalkan-o-ranger-mawar/</v>
      </c>
      <c r="S1278" s="81" t="s">
        <v>2630</v>
      </c>
      <c r="T1278" s="81"/>
      <c r="U1278" s="81"/>
      <c r="V1278" s="84" t="str">
        <f>HYPERLINK("https://pbs.twimg.com/profile_images/1427413643436593153/zRSKIgJK_normal.jpg")</f>
        <v>https://pbs.twimg.com/profile_images/1427413643436593153/zRSKIgJK_normal.jpg</v>
      </c>
      <c r="W1278" s="83">
        <v>44459.36347222222</v>
      </c>
      <c r="X1278" s="89">
        <v>44459</v>
      </c>
      <c r="Y1278" s="86" t="s">
        <v>3589</v>
      </c>
      <c r="Z1278" s="84" t="str">
        <f>HYPERLINK("https://twitter.com/koranbumn/status/1439872811607023618")</f>
        <v>https://twitter.com/koranbumn/status/1439872811607023618</v>
      </c>
      <c r="AA1278" s="81"/>
      <c r="AB1278" s="81"/>
      <c r="AC1278" s="86" t="s">
        <v>5055</v>
      </c>
      <c r="AD1278" s="81"/>
      <c r="AE1278" s="81" t="b">
        <v>0</v>
      </c>
      <c r="AF1278" s="81">
        <v>0</v>
      </c>
      <c r="AG1278" s="86" t="s">
        <v>6240</v>
      </c>
      <c r="AH1278" s="81" t="b">
        <v>0</v>
      </c>
      <c r="AI1278" s="81" t="s">
        <v>6478</v>
      </c>
      <c r="AJ1278" s="81"/>
      <c r="AK1278" s="86" t="s">
        <v>6240</v>
      </c>
      <c r="AL1278" s="81" t="b">
        <v>0</v>
      </c>
      <c r="AM1278" s="81">
        <v>0</v>
      </c>
      <c r="AN1278" s="86" t="s">
        <v>6240</v>
      </c>
      <c r="AO1278" s="86" t="s">
        <v>6507</v>
      </c>
      <c r="AP1278" s="81" t="b">
        <v>0</v>
      </c>
      <c r="AQ1278" s="86" t="s">
        <v>5055</v>
      </c>
      <c r="AR1278" s="81" t="s">
        <v>179</v>
      </c>
      <c r="AS1278" s="81">
        <v>0</v>
      </c>
      <c r="AT1278" s="81">
        <v>0</v>
      </c>
      <c r="AU1278" s="81"/>
      <c r="AV1278" s="81"/>
      <c r="AW1278" s="81"/>
      <c r="AX1278" s="81"/>
      <c r="AY1278" s="81"/>
      <c r="AZ1278" s="81"/>
      <c r="BA1278" s="81"/>
      <c r="BB1278" s="81"/>
    </row>
    <row r="1279" spans="1:54" x14ac:dyDescent="0.35">
      <c r="A1279" s="66" t="s">
        <v>943</v>
      </c>
      <c r="B1279" s="66" t="s">
        <v>943</v>
      </c>
      <c r="C1279" s="67"/>
      <c r="D1279" s="68"/>
      <c r="E1279" s="69"/>
      <c r="F1279" s="70"/>
      <c r="G1279" s="67"/>
      <c r="H1279" s="71"/>
      <c r="I1279" s="72"/>
      <c r="J1279" s="72"/>
      <c r="K1279" s="36"/>
      <c r="L1279" s="79"/>
      <c r="M1279" s="79"/>
      <c r="N1279" s="74"/>
      <c r="O1279" s="81" t="s">
        <v>179</v>
      </c>
      <c r="P1279" s="83">
        <v>44458.539027777777</v>
      </c>
      <c r="Q1279" s="81" t="s">
        <v>1960</v>
      </c>
      <c r="R1279" s="84" t="str">
        <f>HYPERLINK("https://koranbumn.com/2021/09/pos-indonesia-perkenalkan-wanita-kurir-o-ranger-mawar/")</f>
        <v>https://koranbumn.com/2021/09/pos-indonesia-perkenalkan-wanita-kurir-o-ranger-mawar/</v>
      </c>
      <c r="S1279" s="81" t="s">
        <v>2630</v>
      </c>
      <c r="T1279" s="81"/>
      <c r="U1279" s="81"/>
      <c r="V1279" s="84" t="str">
        <f>HYPERLINK("https://pbs.twimg.com/profile_images/1427413643436593153/zRSKIgJK_normal.jpg")</f>
        <v>https://pbs.twimg.com/profile_images/1427413643436593153/zRSKIgJK_normal.jpg</v>
      </c>
      <c r="W1279" s="83">
        <v>44458.539027777777</v>
      </c>
      <c r="X1279" s="89">
        <v>44458</v>
      </c>
      <c r="Y1279" s="86" t="s">
        <v>3590</v>
      </c>
      <c r="Z1279" s="84" t="str">
        <f>HYPERLINK("https://twitter.com/koranbumn/status/1439574041921163267")</f>
        <v>https://twitter.com/koranbumn/status/1439574041921163267</v>
      </c>
      <c r="AA1279" s="81"/>
      <c r="AB1279" s="81"/>
      <c r="AC1279" s="86" t="s">
        <v>5056</v>
      </c>
      <c r="AD1279" s="81"/>
      <c r="AE1279" s="81" t="b">
        <v>0</v>
      </c>
      <c r="AF1279" s="81">
        <v>0</v>
      </c>
      <c r="AG1279" s="86" t="s">
        <v>6240</v>
      </c>
      <c r="AH1279" s="81" t="b">
        <v>0</v>
      </c>
      <c r="AI1279" s="81" t="s">
        <v>6478</v>
      </c>
      <c r="AJ1279" s="81"/>
      <c r="AK1279" s="86" t="s">
        <v>6240</v>
      </c>
      <c r="AL1279" s="81" t="b">
        <v>0</v>
      </c>
      <c r="AM1279" s="81">
        <v>0</v>
      </c>
      <c r="AN1279" s="86" t="s">
        <v>6240</v>
      </c>
      <c r="AO1279" s="86" t="s">
        <v>6507</v>
      </c>
      <c r="AP1279" s="81" t="b">
        <v>0</v>
      </c>
      <c r="AQ1279" s="86" t="s">
        <v>5056</v>
      </c>
      <c r="AR1279" s="81" t="s">
        <v>179</v>
      </c>
      <c r="AS1279" s="81">
        <v>0</v>
      </c>
      <c r="AT1279" s="81">
        <v>0</v>
      </c>
      <c r="AU1279" s="81"/>
      <c r="AV1279" s="81"/>
      <c r="AW1279" s="81"/>
      <c r="AX1279" s="81"/>
      <c r="AY1279" s="81"/>
      <c r="AZ1279" s="81"/>
      <c r="BA1279" s="81"/>
      <c r="BB1279" s="81"/>
    </row>
    <row r="1280" spans="1:54" x14ac:dyDescent="0.35">
      <c r="A1280" s="66" t="s">
        <v>943</v>
      </c>
      <c r="B1280" s="66" t="s">
        <v>1191</v>
      </c>
      <c r="C1280" s="67"/>
      <c r="D1280" s="68"/>
      <c r="E1280" s="69"/>
      <c r="F1280" s="70"/>
      <c r="G1280" s="67"/>
      <c r="H1280" s="71"/>
      <c r="I1280" s="72"/>
      <c r="J1280" s="72"/>
      <c r="K1280" s="36"/>
      <c r="L1280" s="79"/>
      <c r="M1280" s="79"/>
      <c r="N1280" s="74"/>
      <c r="O1280" s="81" t="s">
        <v>1535</v>
      </c>
      <c r="P1280" s="83">
        <v>44459.36347222222</v>
      </c>
      <c r="Q1280" s="81" t="s">
        <v>1959</v>
      </c>
      <c r="R1280" s="84" t="str">
        <f>HYPERLINK("https://koranbumn.com/2021/09/perkuat-layanan-posaja-pos-indonesia-gandeng-nujek-dan-perkenalkan-o-ranger-mawar/")</f>
        <v>https://koranbumn.com/2021/09/perkuat-layanan-posaja-pos-indonesia-gandeng-nujek-dan-perkenalkan-o-ranger-mawar/</v>
      </c>
      <c r="S1280" s="81" t="s">
        <v>2630</v>
      </c>
      <c r="T1280" s="81"/>
      <c r="U1280" s="81"/>
      <c r="V1280" s="84" t="str">
        <f>HYPERLINK("https://pbs.twimg.com/profile_images/1427413643436593153/zRSKIgJK_normal.jpg")</f>
        <v>https://pbs.twimg.com/profile_images/1427413643436593153/zRSKIgJK_normal.jpg</v>
      </c>
      <c r="W1280" s="83">
        <v>44459.36347222222</v>
      </c>
      <c r="X1280" s="89">
        <v>44459</v>
      </c>
      <c r="Y1280" s="86" t="s">
        <v>3589</v>
      </c>
      <c r="Z1280" s="84" t="str">
        <f>HYPERLINK("https://twitter.com/koranbumn/status/1439872811607023618")</f>
        <v>https://twitter.com/koranbumn/status/1439872811607023618</v>
      </c>
      <c r="AA1280" s="81"/>
      <c r="AB1280" s="81"/>
      <c r="AC1280" s="86" t="s">
        <v>5055</v>
      </c>
      <c r="AD1280" s="81"/>
      <c r="AE1280" s="81" t="b">
        <v>0</v>
      </c>
      <c r="AF1280" s="81">
        <v>0</v>
      </c>
      <c r="AG1280" s="86" t="s">
        <v>6240</v>
      </c>
      <c r="AH1280" s="81" t="b">
        <v>0</v>
      </c>
      <c r="AI1280" s="81" t="s">
        <v>6478</v>
      </c>
      <c r="AJ1280" s="81"/>
      <c r="AK1280" s="86" t="s">
        <v>6240</v>
      </c>
      <c r="AL1280" s="81" t="b">
        <v>0</v>
      </c>
      <c r="AM1280" s="81">
        <v>0</v>
      </c>
      <c r="AN1280" s="86" t="s">
        <v>6240</v>
      </c>
      <c r="AO1280" s="86" t="s">
        <v>6507</v>
      </c>
      <c r="AP1280" s="81" t="b">
        <v>0</v>
      </c>
      <c r="AQ1280" s="86" t="s">
        <v>5055</v>
      </c>
      <c r="AR1280" s="81" t="s">
        <v>179</v>
      </c>
      <c r="AS1280" s="81">
        <v>0</v>
      </c>
      <c r="AT1280" s="81">
        <v>0</v>
      </c>
      <c r="AU1280" s="81"/>
      <c r="AV1280" s="81"/>
      <c r="AW1280" s="81"/>
      <c r="AX1280" s="81"/>
      <c r="AY1280" s="81"/>
      <c r="AZ1280" s="81"/>
      <c r="BA1280" s="81"/>
      <c r="BB1280" s="81"/>
    </row>
    <row r="1281" spans="1:54" x14ac:dyDescent="0.35">
      <c r="A1281" s="66" t="s">
        <v>943</v>
      </c>
      <c r="B1281" s="66" t="s">
        <v>1315</v>
      </c>
      <c r="C1281" s="67"/>
      <c r="D1281" s="68"/>
      <c r="E1281" s="69"/>
      <c r="F1281" s="70"/>
      <c r="G1281" s="67"/>
      <c r="H1281" s="71"/>
      <c r="I1281" s="72"/>
      <c r="J1281" s="72"/>
      <c r="K1281" s="36"/>
      <c r="L1281" s="79"/>
      <c r="M1281" s="79"/>
      <c r="N1281" s="74"/>
      <c r="O1281" s="81" t="s">
        <v>1535</v>
      </c>
      <c r="P1281" s="83">
        <v>44459.36347222222</v>
      </c>
      <c r="Q1281" s="81" t="s">
        <v>1959</v>
      </c>
      <c r="R1281" s="84" t="str">
        <f>HYPERLINK("https://koranbumn.com/2021/09/perkuat-layanan-posaja-pos-indonesia-gandeng-nujek-dan-perkenalkan-o-ranger-mawar/")</f>
        <v>https://koranbumn.com/2021/09/perkuat-layanan-posaja-pos-indonesia-gandeng-nujek-dan-perkenalkan-o-ranger-mawar/</v>
      </c>
      <c r="S1281" s="81" t="s">
        <v>2630</v>
      </c>
      <c r="T1281" s="81"/>
      <c r="U1281" s="81"/>
      <c r="V1281" s="84" t="str">
        <f>HYPERLINK("https://pbs.twimg.com/profile_images/1427413643436593153/zRSKIgJK_normal.jpg")</f>
        <v>https://pbs.twimg.com/profile_images/1427413643436593153/zRSKIgJK_normal.jpg</v>
      </c>
      <c r="W1281" s="83">
        <v>44459.36347222222</v>
      </c>
      <c r="X1281" s="89">
        <v>44459</v>
      </c>
      <c r="Y1281" s="86" t="s">
        <v>3589</v>
      </c>
      <c r="Z1281" s="84" t="str">
        <f>HYPERLINK("https://twitter.com/koranbumn/status/1439872811607023618")</f>
        <v>https://twitter.com/koranbumn/status/1439872811607023618</v>
      </c>
      <c r="AA1281" s="81"/>
      <c r="AB1281" s="81"/>
      <c r="AC1281" s="86" t="s">
        <v>5055</v>
      </c>
      <c r="AD1281" s="81"/>
      <c r="AE1281" s="81" t="b">
        <v>0</v>
      </c>
      <c r="AF1281" s="81">
        <v>0</v>
      </c>
      <c r="AG1281" s="86" t="s">
        <v>6240</v>
      </c>
      <c r="AH1281" s="81" t="b">
        <v>0</v>
      </c>
      <c r="AI1281" s="81" t="s">
        <v>6478</v>
      </c>
      <c r="AJ1281" s="81"/>
      <c r="AK1281" s="86" t="s">
        <v>6240</v>
      </c>
      <c r="AL1281" s="81" t="b">
        <v>0</v>
      </c>
      <c r="AM1281" s="81">
        <v>0</v>
      </c>
      <c r="AN1281" s="86" t="s">
        <v>6240</v>
      </c>
      <c r="AO1281" s="86" t="s">
        <v>6507</v>
      </c>
      <c r="AP1281" s="81" t="b">
        <v>0</v>
      </c>
      <c r="AQ1281" s="86" t="s">
        <v>5055</v>
      </c>
      <c r="AR1281" s="81" t="s">
        <v>179</v>
      </c>
      <c r="AS1281" s="81">
        <v>0</v>
      </c>
      <c r="AT1281" s="81">
        <v>0</v>
      </c>
      <c r="AU1281" s="81"/>
      <c r="AV1281" s="81"/>
      <c r="AW1281" s="81"/>
      <c r="AX1281" s="81"/>
      <c r="AY1281" s="81"/>
      <c r="AZ1281" s="81"/>
      <c r="BA1281" s="81"/>
      <c r="BB1281" s="81"/>
    </row>
    <row r="1282" spans="1:54" x14ac:dyDescent="0.35">
      <c r="A1282" s="66" t="s">
        <v>943</v>
      </c>
      <c r="B1282" s="66" t="s">
        <v>943</v>
      </c>
      <c r="C1282" s="67"/>
      <c r="D1282" s="68"/>
      <c r="E1282" s="69"/>
      <c r="F1282" s="70"/>
      <c r="G1282" s="67"/>
      <c r="H1282" s="71"/>
      <c r="I1282" s="72"/>
      <c r="J1282" s="72"/>
      <c r="K1282" s="36"/>
      <c r="L1282" s="79"/>
      <c r="M1282" s="79"/>
      <c r="N1282" s="74"/>
      <c r="O1282" s="81" t="s">
        <v>179</v>
      </c>
      <c r="P1282" s="83">
        <v>44464.535486111112</v>
      </c>
      <c r="Q1282" s="81" t="s">
        <v>1961</v>
      </c>
      <c r="R1282" s="84" t="str">
        <f>HYPERLINK("https://koranbumn.com/2021/09/pos-indonesia-kejar-target-pendistribusian-bst-di-wilayah-terluar-yang-belum-selesai/?utm_source=dlvr.it&amp;utm_medium=twitter")</f>
        <v>https://koranbumn.com/2021/09/pos-indonesia-kejar-target-pendistribusian-bst-di-wilayah-terluar-yang-belum-selesai/?utm_source=dlvr.it&amp;utm_medium=twitter</v>
      </c>
      <c r="S1282" s="81" t="s">
        <v>2630</v>
      </c>
      <c r="T1282" s="81"/>
      <c r="U1282" s="81"/>
      <c r="V1282" s="84" t="str">
        <f>HYPERLINK("https://pbs.twimg.com/profile_images/1427413643436593153/zRSKIgJK_normal.jpg")</f>
        <v>https://pbs.twimg.com/profile_images/1427413643436593153/zRSKIgJK_normal.jpg</v>
      </c>
      <c r="W1282" s="83">
        <v>44464.535486111112</v>
      </c>
      <c r="X1282" s="89">
        <v>44464</v>
      </c>
      <c r="Y1282" s="86" t="s">
        <v>3591</v>
      </c>
      <c r="Z1282" s="84" t="str">
        <f>HYPERLINK("https://twitter.com/koranbumn/status/1441747088480505864")</f>
        <v>https://twitter.com/koranbumn/status/1441747088480505864</v>
      </c>
      <c r="AA1282" s="81"/>
      <c r="AB1282" s="81"/>
      <c r="AC1282" s="86" t="s">
        <v>5057</v>
      </c>
      <c r="AD1282" s="81"/>
      <c r="AE1282" s="81" t="b">
        <v>0</v>
      </c>
      <c r="AF1282" s="81">
        <v>0</v>
      </c>
      <c r="AG1282" s="86" t="s">
        <v>6240</v>
      </c>
      <c r="AH1282" s="81" t="b">
        <v>0</v>
      </c>
      <c r="AI1282" s="81" t="s">
        <v>6478</v>
      </c>
      <c r="AJ1282" s="81"/>
      <c r="AK1282" s="86" t="s">
        <v>6240</v>
      </c>
      <c r="AL1282" s="81" t="b">
        <v>0</v>
      </c>
      <c r="AM1282" s="81">
        <v>0</v>
      </c>
      <c r="AN1282" s="86" t="s">
        <v>6240</v>
      </c>
      <c r="AO1282" s="86" t="s">
        <v>6515</v>
      </c>
      <c r="AP1282" s="81" t="b">
        <v>0</v>
      </c>
      <c r="AQ1282" s="86" t="s">
        <v>5057</v>
      </c>
      <c r="AR1282" s="81" t="s">
        <v>179</v>
      </c>
      <c r="AS1282" s="81">
        <v>0</v>
      </c>
      <c r="AT1282" s="81">
        <v>0</v>
      </c>
      <c r="AU1282" s="81"/>
      <c r="AV1282" s="81"/>
      <c r="AW1282" s="81"/>
      <c r="AX1282" s="81"/>
      <c r="AY1282" s="81"/>
      <c r="AZ1282" s="81"/>
      <c r="BA1282" s="81"/>
      <c r="BB1282" s="81"/>
    </row>
    <row r="1283" spans="1:54" x14ac:dyDescent="0.35">
      <c r="A1283" s="66" t="s">
        <v>944</v>
      </c>
      <c r="B1283" s="66" t="s">
        <v>1449</v>
      </c>
      <c r="C1283" s="67"/>
      <c r="D1283" s="68"/>
      <c r="E1283" s="69"/>
      <c r="F1283" s="70"/>
      <c r="G1283" s="67"/>
      <c r="H1283" s="71"/>
      <c r="I1283" s="72"/>
      <c r="J1283" s="72"/>
      <c r="K1283" s="36"/>
      <c r="L1283" s="79"/>
      <c r="M1283" s="79"/>
      <c r="N1283" s="74"/>
      <c r="O1283" s="81" t="s">
        <v>1534</v>
      </c>
      <c r="P1283" s="83">
        <v>44464.594108796293</v>
      </c>
      <c r="Q1283" s="81" t="s">
        <v>1962</v>
      </c>
      <c r="R1283" s="81"/>
      <c r="S1283" s="81"/>
      <c r="T1283" s="81"/>
      <c r="U1283" s="81"/>
      <c r="V1283" s="84" t="str">
        <f>HYPERLINK("https://pbs.twimg.com/profile_images/1442170654082568193/_g0OXJMk_normal.jpg")</f>
        <v>https://pbs.twimg.com/profile_images/1442170654082568193/_g0OXJMk_normal.jpg</v>
      </c>
      <c r="W1283" s="83">
        <v>44464.594108796293</v>
      </c>
      <c r="X1283" s="89">
        <v>44464</v>
      </c>
      <c r="Y1283" s="86" t="s">
        <v>3592</v>
      </c>
      <c r="Z1283" s="84" t="str">
        <f>HYPERLINK("https://twitter.com/joyxvc1/status/1441768332412153858")</f>
        <v>https://twitter.com/joyxvc1/status/1441768332412153858</v>
      </c>
      <c r="AA1283" s="81"/>
      <c r="AB1283" s="81"/>
      <c r="AC1283" s="86" t="s">
        <v>5058</v>
      </c>
      <c r="AD1283" s="86" t="s">
        <v>6124</v>
      </c>
      <c r="AE1283" s="81" t="b">
        <v>0</v>
      </c>
      <c r="AF1283" s="81">
        <v>0</v>
      </c>
      <c r="AG1283" s="86" t="s">
        <v>6381</v>
      </c>
      <c r="AH1283" s="81" t="b">
        <v>0</v>
      </c>
      <c r="AI1283" s="81" t="s">
        <v>6478</v>
      </c>
      <c r="AJ1283" s="81"/>
      <c r="AK1283" s="86" t="s">
        <v>6240</v>
      </c>
      <c r="AL1283" s="81" t="b">
        <v>0</v>
      </c>
      <c r="AM1283" s="81">
        <v>0</v>
      </c>
      <c r="AN1283" s="86" t="s">
        <v>6240</v>
      </c>
      <c r="AO1283" s="86" t="s">
        <v>6507</v>
      </c>
      <c r="AP1283" s="81" t="b">
        <v>0</v>
      </c>
      <c r="AQ1283" s="86" t="s">
        <v>6124</v>
      </c>
      <c r="AR1283" s="81" t="s">
        <v>179</v>
      </c>
      <c r="AS1283" s="81">
        <v>0</v>
      </c>
      <c r="AT1283" s="81">
        <v>0</v>
      </c>
      <c r="AU1283" s="81"/>
      <c r="AV1283" s="81"/>
      <c r="AW1283" s="81"/>
      <c r="AX1283" s="81"/>
      <c r="AY1283" s="81"/>
      <c r="AZ1283" s="81"/>
      <c r="BA1283" s="81"/>
      <c r="BB1283" s="81"/>
    </row>
    <row r="1284" spans="1:54" x14ac:dyDescent="0.35">
      <c r="A1284" s="66" t="s">
        <v>945</v>
      </c>
      <c r="B1284" s="66" t="s">
        <v>1450</v>
      </c>
      <c r="C1284" s="67"/>
      <c r="D1284" s="68"/>
      <c r="E1284" s="69"/>
      <c r="F1284" s="70"/>
      <c r="G1284" s="67"/>
      <c r="H1284" s="71"/>
      <c r="I1284" s="72"/>
      <c r="J1284" s="72"/>
      <c r="K1284" s="36"/>
      <c r="L1284" s="79"/>
      <c r="M1284" s="79"/>
      <c r="N1284" s="74"/>
      <c r="O1284" s="81" t="s">
        <v>1534</v>
      </c>
      <c r="P1284" s="83">
        <v>44464.604872685188</v>
      </c>
      <c r="Q1284" s="81" t="s">
        <v>1963</v>
      </c>
      <c r="R1284" s="81"/>
      <c r="S1284" s="81"/>
      <c r="T1284" s="81"/>
      <c r="U1284" s="81"/>
      <c r="V1284" s="84" t="str">
        <f>HYPERLINK("https://pbs.twimg.com/profile_images/1442313336457084930/dwBGN5Dd_normal.jpg")</f>
        <v>https://pbs.twimg.com/profile_images/1442313336457084930/dwBGN5Dd_normal.jpg</v>
      </c>
      <c r="W1284" s="83">
        <v>44464.604872685188</v>
      </c>
      <c r="X1284" s="89">
        <v>44464</v>
      </c>
      <c r="Y1284" s="86" t="s">
        <v>3593</v>
      </c>
      <c r="Z1284" s="84" t="str">
        <f>HYPERLINK("https://twitter.com/characterofr/status/1441772232993169411")</f>
        <v>https://twitter.com/characterofr/status/1441772232993169411</v>
      </c>
      <c r="AA1284" s="81"/>
      <c r="AB1284" s="81"/>
      <c r="AC1284" s="86" t="s">
        <v>5059</v>
      </c>
      <c r="AD1284" s="86" t="s">
        <v>6125</v>
      </c>
      <c r="AE1284" s="81" t="b">
        <v>0</v>
      </c>
      <c r="AF1284" s="81">
        <v>0</v>
      </c>
      <c r="AG1284" s="86" t="s">
        <v>6382</v>
      </c>
      <c r="AH1284" s="81" t="b">
        <v>0</v>
      </c>
      <c r="AI1284" s="81" t="s">
        <v>6478</v>
      </c>
      <c r="AJ1284" s="81"/>
      <c r="AK1284" s="86" t="s">
        <v>6240</v>
      </c>
      <c r="AL1284" s="81" t="b">
        <v>0</v>
      </c>
      <c r="AM1284" s="81">
        <v>0</v>
      </c>
      <c r="AN1284" s="86" t="s">
        <v>6240</v>
      </c>
      <c r="AO1284" s="86" t="s">
        <v>6503</v>
      </c>
      <c r="AP1284" s="81" t="b">
        <v>0</v>
      </c>
      <c r="AQ1284" s="86" t="s">
        <v>6125</v>
      </c>
      <c r="AR1284" s="81" t="s">
        <v>179</v>
      </c>
      <c r="AS1284" s="81">
        <v>0</v>
      </c>
      <c r="AT1284" s="81">
        <v>0</v>
      </c>
      <c r="AU1284" s="81"/>
      <c r="AV1284" s="81"/>
      <c r="AW1284" s="81"/>
      <c r="AX1284" s="81"/>
      <c r="AY1284" s="81"/>
      <c r="AZ1284" s="81"/>
      <c r="BA1284" s="81"/>
      <c r="BB1284" s="81"/>
    </row>
    <row r="1285" spans="1:54" x14ac:dyDescent="0.35">
      <c r="A1285" s="66" t="s">
        <v>946</v>
      </c>
      <c r="B1285" s="66" t="s">
        <v>946</v>
      </c>
      <c r="C1285" s="67"/>
      <c r="D1285" s="68"/>
      <c r="E1285" s="69"/>
      <c r="F1285" s="70"/>
      <c r="G1285" s="67"/>
      <c r="H1285" s="71"/>
      <c r="I1285" s="72"/>
      <c r="J1285" s="72"/>
      <c r="K1285" s="36"/>
      <c r="L1285" s="79"/>
      <c r="M1285" s="79"/>
      <c r="N1285" s="74"/>
      <c r="O1285" s="81" t="s">
        <v>179</v>
      </c>
      <c r="P1285" s="83">
        <v>44464.604930555557</v>
      </c>
      <c r="Q1285" s="81" t="s">
        <v>1964</v>
      </c>
      <c r="R1285" s="81"/>
      <c r="S1285" s="81"/>
      <c r="T1285" s="81"/>
      <c r="U1285" s="81"/>
      <c r="V1285" s="84" t="str">
        <f>HYPERLINK("https://pbs.twimg.com/profile_images/1442723682548273156/FG625YYa_normal.jpg")</f>
        <v>https://pbs.twimg.com/profile_images/1442723682548273156/FG625YYa_normal.jpg</v>
      </c>
      <c r="W1285" s="83">
        <v>44464.604930555557</v>
      </c>
      <c r="X1285" s="89">
        <v>44464</v>
      </c>
      <c r="Y1285" s="86" t="s">
        <v>3594</v>
      </c>
      <c r="Z1285" s="84" t="str">
        <f>HYPERLINK("https://twitter.com/jjaeluvm/status/1441772253201326085")</f>
        <v>https://twitter.com/jjaeluvm/status/1441772253201326085</v>
      </c>
      <c r="AA1285" s="81"/>
      <c r="AB1285" s="81"/>
      <c r="AC1285" s="86" t="s">
        <v>5060</v>
      </c>
      <c r="AD1285" s="81"/>
      <c r="AE1285" s="81" t="b">
        <v>0</v>
      </c>
      <c r="AF1285" s="81">
        <v>0</v>
      </c>
      <c r="AG1285" s="86" t="s">
        <v>6240</v>
      </c>
      <c r="AH1285" s="81" t="b">
        <v>0</v>
      </c>
      <c r="AI1285" s="81" t="s">
        <v>6478</v>
      </c>
      <c r="AJ1285" s="81"/>
      <c r="AK1285" s="86" t="s">
        <v>6240</v>
      </c>
      <c r="AL1285" s="81" t="b">
        <v>0</v>
      </c>
      <c r="AM1285" s="81">
        <v>0</v>
      </c>
      <c r="AN1285" s="86" t="s">
        <v>6240</v>
      </c>
      <c r="AO1285" s="86" t="s">
        <v>6503</v>
      </c>
      <c r="AP1285" s="81" t="b">
        <v>0</v>
      </c>
      <c r="AQ1285" s="86" t="s">
        <v>5060</v>
      </c>
      <c r="AR1285" s="81" t="s">
        <v>179</v>
      </c>
      <c r="AS1285" s="81">
        <v>0</v>
      </c>
      <c r="AT1285" s="81">
        <v>0</v>
      </c>
      <c r="AU1285" s="81"/>
      <c r="AV1285" s="81"/>
      <c r="AW1285" s="81"/>
      <c r="AX1285" s="81"/>
      <c r="AY1285" s="81"/>
      <c r="AZ1285" s="81"/>
      <c r="BA1285" s="81"/>
      <c r="BB1285" s="81"/>
    </row>
    <row r="1286" spans="1:54" x14ac:dyDescent="0.35">
      <c r="A1286" s="66" t="s">
        <v>947</v>
      </c>
      <c r="B1286" s="66" t="s">
        <v>1367</v>
      </c>
      <c r="C1286" s="67"/>
      <c r="D1286" s="68"/>
      <c r="E1286" s="69"/>
      <c r="F1286" s="70"/>
      <c r="G1286" s="67"/>
      <c r="H1286" s="71"/>
      <c r="I1286" s="72"/>
      <c r="J1286" s="72"/>
      <c r="K1286" s="36"/>
      <c r="L1286" s="79"/>
      <c r="M1286" s="79"/>
      <c r="N1286" s="74"/>
      <c r="O1286" s="81" t="s">
        <v>1534</v>
      </c>
      <c r="P1286" s="83">
        <v>44464.613356481481</v>
      </c>
      <c r="Q1286" s="81" t="s">
        <v>1965</v>
      </c>
      <c r="R1286" s="81"/>
      <c r="S1286" s="81"/>
      <c r="T1286" s="81"/>
      <c r="U1286" s="81"/>
      <c r="V1286" s="84" t="str">
        <f>HYPERLINK("https://pbs.twimg.com/profile_images/1442262490184765443/7pcuREWn_normal.jpg")</f>
        <v>https://pbs.twimg.com/profile_images/1442262490184765443/7pcuREWn_normal.jpg</v>
      </c>
      <c r="W1286" s="83">
        <v>44464.613356481481</v>
      </c>
      <c r="X1286" s="89">
        <v>44464</v>
      </c>
      <c r="Y1286" s="86" t="s">
        <v>3595</v>
      </c>
      <c r="Z1286" s="84" t="str">
        <f>HYPERLINK("https://twitter.com/hellloimsthn/status/1441775306407170049")</f>
        <v>https://twitter.com/hellloimsthn/status/1441775306407170049</v>
      </c>
      <c r="AA1286" s="81"/>
      <c r="AB1286" s="81"/>
      <c r="AC1286" s="86" t="s">
        <v>5061</v>
      </c>
      <c r="AD1286" s="86" t="s">
        <v>6126</v>
      </c>
      <c r="AE1286" s="81" t="b">
        <v>0</v>
      </c>
      <c r="AF1286" s="81">
        <v>0</v>
      </c>
      <c r="AG1286" s="86" t="s">
        <v>6331</v>
      </c>
      <c r="AH1286" s="81" t="b">
        <v>0</v>
      </c>
      <c r="AI1286" s="81" t="s">
        <v>6478</v>
      </c>
      <c r="AJ1286" s="81"/>
      <c r="AK1286" s="86" t="s">
        <v>6240</v>
      </c>
      <c r="AL1286" s="81" t="b">
        <v>0</v>
      </c>
      <c r="AM1286" s="81">
        <v>0</v>
      </c>
      <c r="AN1286" s="86" t="s">
        <v>6240</v>
      </c>
      <c r="AO1286" s="86" t="s">
        <v>6507</v>
      </c>
      <c r="AP1286" s="81" t="b">
        <v>0</v>
      </c>
      <c r="AQ1286" s="86" t="s">
        <v>6126</v>
      </c>
      <c r="AR1286" s="81" t="s">
        <v>179</v>
      </c>
      <c r="AS1286" s="81">
        <v>0</v>
      </c>
      <c r="AT1286" s="81">
        <v>0</v>
      </c>
      <c r="AU1286" s="81"/>
      <c r="AV1286" s="81"/>
      <c r="AW1286" s="81"/>
      <c r="AX1286" s="81"/>
      <c r="AY1286" s="81"/>
      <c r="AZ1286" s="81"/>
      <c r="BA1286" s="81"/>
      <c r="BB1286" s="81"/>
    </row>
    <row r="1287" spans="1:54" x14ac:dyDescent="0.35">
      <c r="A1287" s="66" t="s">
        <v>948</v>
      </c>
      <c r="B1287" s="66" t="s">
        <v>1451</v>
      </c>
      <c r="C1287" s="67"/>
      <c r="D1287" s="68"/>
      <c r="E1287" s="69"/>
      <c r="F1287" s="70"/>
      <c r="G1287" s="67"/>
      <c r="H1287" s="71"/>
      <c r="I1287" s="72"/>
      <c r="J1287" s="72"/>
      <c r="K1287" s="36"/>
      <c r="L1287" s="79"/>
      <c r="M1287" s="79"/>
      <c r="N1287" s="74"/>
      <c r="O1287" s="81" t="s">
        <v>1534</v>
      </c>
      <c r="P1287" s="83">
        <v>44464.613518518519</v>
      </c>
      <c r="Q1287" s="81" t="s">
        <v>1966</v>
      </c>
      <c r="R1287" s="81"/>
      <c r="S1287" s="81"/>
      <c r="T1287" s="81"/>
      <c r="U1287" s="84" t="str">
        <f>HYPERLINK("https://pbs.twimg.com/media/FAI3DWvVcAIXTCa.jpg")</f>
        <v>https://pbs.twimg.com/media/FAI3DWvVcAIXTCa.jpg</v>
      </c>
      <c r="V1287" s="84" t="str">
        <f>HYPERLINK("https://pbs.twimg.com/media/FAI3DWvVcAIXTCa.jpg")</f>
        <v>https://pbs.twimg.com/media/FAI3DWvVcAIXTCa.jpg</v>
      </c>
      <c r="W1287" s="83">
        <v>44464.613518518519</v>
      </c>
      <c r="X1287" s="89">
        <v>44464</v>
      </c>
      <c r="Y1287" s="86" t="s">
        <v>3596</v>
      </c>
      <c r="Z1287" s="84" t="str">
        <f>HYPERLINK("https://twitter.com/p3psodent/status/1441775365853089795")</f>
        <v>https://twitter.com/p3psodent/status/1441775365853089795</v>
      </c>
      <c r="AA1287" s="81"/>
      <c r="AB1287" s="81"/>
      <c r="AC1287" s="86" t="s">
        <v>5062</v>
      </c>
      <c r="AD1287" s="86" t="s">
        <v>6127</v>
      </c>
      <c r="AE1287" s="81" t="b">
        <v>0</v>
      </c>
      <c r="AF1287" s="81">
        <v>0</v>
      </c>
      <c r="AG1287" s="86" t="s">
        <v>6383</v>
      </c>
      <c r="AH1287" s="81" t="b">
        <v>0</v>
      </c>
      <c r="AI1287" s="81" t="s">
        <v>6478</v>
      </c>
      <c r="AJ1287" s="81"/>
      <c r="AK1287" s="86" t="s">
        <v>6240</v>
      </c>
      <c r="AL1287" s="81" t="b">
        <v>0</v>
      </c>
      <c r="AM1287" s="81">
        <v>0</v>
      </c>
      <c r="AN1287" s="86" t="s">
        <v>6240</v>
      </c>
      <c r="AO1287" s="86" t="s">
        <v>6503</v>
      </c>
      <c r="AP1287" s="81" t="b">
        <v>0</v>
      </c>
      <c r="AQ1287" s="86" t="s">
        <v>6127</v>
      </c>
      <c r="AR1287" s="81" t="s">
        <v>179</v>
      </c>
      <c r="AS1287" s="81">
        <v>0</v>
      </c>
      <c r="AT1287" s="81">
        <v>0</v>
      </c>
      <c r="AU1287" s="81"/>
      <c r="AV1287" s="81"/>
      <c r="AW1287" s="81"/>
      <c r="AX1287" s="81"/>
      <c r="AY1287" s="81"/>
      <c r="AZ1287" s="81"/>
      <c r="BA1287" s="81"/>
      <c r="BB1287" s="81"/>
    </row>
    <row r="1288" spans="1:54" x14ac:dyDescent="0.35">
      <c r="A1288" s="66" t="s">
        <v>949</v>
      </c>
      <c r="B1288" s="66" t="s">
        <v>1367</v>
      </c>
      <c r="C1288" s="67"/>
      <c r="D1288" s="68"/>
      <c r="E1288" s="69"/>
      <c r="F1288" s="70"/>
      <c r="G1288" s="67"/>
      <c r="H1288" s="71"/>
      <c r="I1288" s="72"/>
      <c r="J1288" s="72"/>
      <c r="K1288" s="36"/>
      <c r="L1288" s="79"/>
      <c r="M1288" s="79"/>
      <c r="N1288" s="74"/>
      <c r="O1288" s="81" t="s">
        <v>1534</v>
      </c>
      <c r="P1288" s="83">
        <v>44464.614363425928</v>
      </c>
      <c r="Q1288" s="81" t="s">
        <v>1967</v>
      </c>
      <c r="R1288" s="81"/>
      <c r="S1288" s="81"/>
      <c r="T1288" s="81"/>
      <c r="U1288" s="81"/>
      <c r="V1288" s="84" t="str">
        <f>HYPERLINK("https://pbs.twimg.com/profile_images/1440362529385902088/2h3LzmnO_normal.jpg")</f>
        <v>https://pbs.twimg.com/profile_images/1440362529385902088/2h3LzmnO_normal.jpg</v>
      </c>
      <c r="W1288" s="83">
        <v>44464.614363425928</v>
      </c>
      <c r="X1288" s="89">
        <v>44464</v>
      </c>
      <c r="Y1288" s="86" t="s">
        <v>3597</v>
      </c>
      <c r="Z1288" s="84" t="str">
        <f>HYPERLINK("https://twitter.com/jerukcina/status/1441775671718526986")</f>
        <v>https://twitter.com/jerukcina/status/1441775671718526986</v>
      </c>
      <c r="AA1288" s="81"/>
      <c r="AB1288" s="81"/>
      <c r="AC1288" s="86" t="s">
        <v>5063</v>
      </c>
      <c r="AD1288" s="86" t="s">
        <v>6126</v>
      </c>
      <c r="AE1288" s="81" t="b">
        <v>0</v>
      </c>
      <c r="AF1288" s="81">
        <v>1</v>
      </c>
      <c r="AG1288" s="86" t="s">
        <v>6331</v>
      </c>
      <c r="AH1288" s="81" t="b">
        <v>0</v>
      </c>
      <c r="AI1288" s="81" t="s">
        <v>6478</v>
      </c>
      <c r="AJ1288" s="81"/>
      <c r="AK1288" s="86" t="s">
        <v>6240</v>
      </c>
      <c r="AL1288" s="81" t="b">
        <v>0</v>
      </c>
      <c r="AM1288" s="81">
        <v>0</v>
      </c>
      <c r="AN1288" s="86" t="s">
        <v>6240</v>
      </c>
      <c r="AO1288" s="86" t="s">
        <v>6503</v>
      </c>
      <c r="AP1288" s="81" t="b">
        <v>0</v>
      </c>
      <c r="AQ1288" s="86" t="s">
        <v>6126</v>
      </c>
      <c r="AR1288" s="81" t="s">
        <v>179</v>
      </c>
      <c r="AS1288" s="81">
        <v>0</v>
      </c>
      <c r="AT1288" s="81">
        <v>0</v>
      </c>
      <c r="AU1288" s="81"/>
      <c r="AV1288" s="81"/>
      <c r="AW1288" s="81"/>
      <c r="AX1288" s="81"/>
      <c r="AY1288" s="81"/>
      <c r="AZ1288" s="81"/>
      <c r="BA1288" s="81"/>
      <c r="BB1288" s="81"/>
    </row>
    <row r="1289" spans="1:54" x14ac:dyDescent="0.35">
      <c r="A1289" s="66" t="s">
        <v>950</v>
      </c>
      <c r="B1289" s="66" t="s">
        <v>1367</v>
      </c>
      <c r="C1289" s="67"/>
      <c r="D1289" s="68"/>
      <c r="E1289" s="69"/>
      <c r="F1289" s="70"/>
      <c r="G1289" s="67"/>
      <c r="H1289" s="71"/>
      <c r="I1289" s="72"/>
      <c r="J1289" s="72"/>
      <c r="K1289" s="36"/>
      <c r="L1289" s="79"/>
      <c r="M1289" s="79"/>
      <c r="N1289" s="74"/>
      <c r="O1289" s="81" t="s">
        <v>1534</v>
      </c>
      <c r="P1289" s="83">
        <v>44464.614398148151</v>
      </c>
      <c r="Q1289" s="81" t="s">
        <v>1968</v>
      </c>
      <c r="R1289" s="81"/>
      <c r="S1289" s="81"/>
      <c r="T1289" s="81"/>
      <c r="U1289" s="81"/>
      <c r="V1289" s="84" t="str">
        <f>HYPERLINK("https://pbs.twimg.com/profile_images/1440724584643260419/LkH_tIqO_normal.jpg")</f>
        <v>https://pbs.twimg.com/profile_images/1440724584643260419/LkH_tIqO_normal.jpg</v>
      </c>
      <c r="W1289" s="83">
        <v>44464.614398148151</v>
      </c>
      <c r="X1289" s="89">
        <v>44464</v>
      </c>
      <c r="Y1289" s="86" t="s">
        <v>3598</v>
      </c>
      <c r="Z1289" s="84" t="str">
        <f>HYPERLINK("https://twitter.com/lvlyjbblyy/status/1441775683445805056")</f>
        <v>https://twitter.com/lvlyjbblyy/status/1441775683445805056</v>
      </c>
      <c r="AA1289" s="81"/>
      <c r="AB1289" s="81"/>
      <c r="AC1289" s="86" t="s">
        <v>5064</v>
      </c>
      <c r="AD1289" s="86" t="s">
        <v>6126</v>
      </c>
      <c r="AE1289" s="81" t="b">
        <v>0</v>
      </c>
      <c r="AF1289" s="81">
        <v>0</v>
      </c>
      <c r="AG1289" s="86" t="s">
        <v>6331</v>
      </c>
      <c r="AH1289" s="81" t="b">
        <v>0</v>
      </c>
      <c r="AI1289" s="81" t="s">
        <v>6479</v>
      </c>
      <c r="AJ1289" s="81"/>
      <c r="AK1289" s="86" t="s">
        <v>6240</v>
      </c>
      <c r="AL1289" s="81" t="b">
        <v>0</v>
      </c>
      <c r="AM1289" s="81">
        <v>0</v>
      </c>
      <c r="AN1289" s="86" t="s">
        <v>6240</v>
      </c>
      <c r="AO1289" s="86" t="s">
        <v>6503</v>
      </c>
      <c r="AP1289" s="81" t="b">
        <v>0</v>
      </c>
      <c r="AQ1289" s="86" t="s">
        <v>6126</v>
      </c>
      <c r="AR1289" s="81" t="s">
        <v>179</v>
      </c>
      <c r="AS1289" s="81">
        <v>0</v>
      </c>
      <c r="AT1289" s="81">
        <v>0</v>
      </c>
      <c r="AU1289" s="81"/>
      <c r="AV1289" s="81"/>
      <c r="AW1289" s="81"/>
      <c r="AX1289" s="81"/>
      <c r="AY1289" s="81"/>
      <c r="AZ1289" s="81"/>
      <c r="BA1289" s="81"/>
      <c r="BB1289" s="81"/>
    </row>
    <row r="1290" spans="1:54" x14ac:dyDescent="0.35">
      <c r="A1290" s="66" t="s">
        <v>951</v>
      </c>
      <c r="B1290" s="66" t="s">
        <v>1367</v>
      </c>
      <c r="C1290" s="67"/>
      <c r="D1290" s="68"/>
      <c r="E1290" s="69"/>
      <c r="F1290" s="70"/>
      <c r="G1290" s="67"/>
      <c r="H1290" s="71"/>
      <c r="I1290" s="72"/>
      <c r="J1290" s="72"/>
      <c r="K1290" s="36"/>
      <c r="L1290" s="79"/>
      <c r="M1290" s="79"/>
      <c r="N1290" s="74"/>
      <c r="O1290" s="81" t="s">
        <v>1534</v>
      </c>
      <c r="P1290" s="83">
        <v>44464.614444444444</v>
      </c>
      <c r="Q1290" s="81" t="s">
        <v>1969</v>
      </c>
      <c r="R1290" s="81"/>
      <c r="S1290" s="81"/>
      <c r="T1290" s="81"/>
      <c r="U1290" s="81"/>
      <c r="V1290" s="84" t="str">
        <f>HYPERLINK("https://pbs.twimg.com/profile_images/1441287491802128384/WjhmCeoJ_normal.jpg")</f>
        <v>https://pbs.twimg.com/profile_images/1441287491802128384/WjhmCeoJ_normal.jpg</v>
      </c>
      <c r="W1290" s="83">
        <v>44464.614444444444</v>
      </c>
      <c r="X1290" s="89">
        <v>44464</v>
      </c>
      <c r="Y1290" s="86" t="s">
        <v>3599</v>
      </c>
      <c r="Z1290" s="84" t="str">
        <f>HYPERLINK("https://twitter.com/lightaboo/status/1441775698918600724")</f>
        <v>https://twitter.com/lightaboo/status/1441775698918600724</v>
      </c>
      <c r="AA1290" s="81"/>
      <c r="AB1290" s="81"/>
      <c r="AC1290" s="86" t="s">
        <v>5065</v>
      </c>
      <c r="AD1290" s="86" t="s">
        <v>6126</v>
      </c>
      <c r="AE1290" s="81" t="b">
        <v>0</v>
      </c>
      <c r="AF1290" s="81">
        <v>0</v>
      </c>
      <c r="AG1290" s="86" t="s">
        <v>6331</v>
      </c>
      <c r="AH1290" s="81" t="b">
        <v>0</v>
      </c>
      <c r="AI1290" s="81" t="s">
        <v>6478</v>
      </c>
      <c r="AJ1290" s="81"/>
      <c r="AK1290" s="86" t="s">
        <v>6240</v>
      </c>
      <c r="AL1290" s="81" t="b">
        <v>0</v>
      </c>
      <c r="AM1290" s="81">
        <v>0</v>
      </c>
      <c r="AN1290" s="86" t="s">
        <v>6240</v>
      </c>
      <c r="AO1290" s="86" t="s">
        <v>6503</v>
      </c>
      <c r="AP1290" s="81" t="b">
        <v>0</v>
      </c>
      <c r="AQ1290" s="86" t="s">
        <v>6126</v>
      </c>
      <c r="AR1290" s="81" t="s">
        <v>179</v>
      </c>
      <c r="AS1290" s="81">
        <v>0</v>
      </c>
      <c r="AT1290" s="81">
        <v>0</v>
      </c>
      <c r="AU1290" s="81"/>
      <c r="AV1290" s="81"/>
      <c r="AW1290" s="81"/>
      <c r="AX1290" s="81"/>
      <c r="AY1290" s="81"/>
      <c r="AZ1290" s="81"/>
      <c r="BA1290" s="81"/>
      <c r="BB1290" s="81"/>
    </row>
    <row r="1291" spans="1:54" x14ac:dyDescent="0.35">
      <c r="A1291" s="66" t="s">
        <v>952</v>
      </c>
      <c r="B1291" s="66" t="s">
        <v>952</v>
      </c>
      <c r="C1291" s="67"/>
      <c r="D1291" s="68"/>
      <c r="E1291" s="69"/>
      <c r="F1291" s="70"/>
      <c r="G1291" s="67"/>
      <c r="H1291" s="71"/>
      <c r="I1291" s="72"/>
      <c r="J1291" s="72"/>
      <c r="K1291" s="36"/>
      <c r="L1291" s="79"/>
      <c r="M1291" s="79"/>
      <c r="N1291" s="74"/>
      <c r="O1291" s="81" t="s">
        <v>179</v>
      </c>
      <c r="P1291" s="83">
        <v>44464.629791666666</v>
      </c>
      <c r="Q1291" s="81" t="s">
        <v>1970</v>
      </c>
      <c r="R1291" s="84" t="str">
        <f>HYPERLINK("https://www.instagram.com/p/CUP8EbvB5C1/?utm_medium=twitter")</f>
        <v>https://www.instagram.com/p/CUP8EbvB5C1/?utm_medium=twitter</v>
      </c>
      <c r="S1291" s="81" t="s">
        <v>2626</v>
      </c>
      <c r="T1291" s="81"/>
      <c r="U1291" s="81"/>
      <c r="V1291" s="84" t="str">
        <f>HYPERLINK("https://pbs.twimg.com/profile_images/1814337748/ICON_MHT_normal.png")</f>
        <v>https://pbs.twimg.com/profile_images/1814337748/ICON_MHT_normal.png</v>
      </c>
      <c r="W1291" s="83">
        <v>44464.629791666666</v>
      </c>
      <c r="X1291" s="89">
        <v>44464</v>
      </c>
      <c r="Y1291" s="86" t="s">
        <v>3600</v>
      </c>
      <c r="Z1291" s="84" t="str">
        <f>HYPERLINK("https://twitter.com/univ_mhthamrin/status/1441781263761764352")</f>
        <v>https://twitter.com/univ_mhthamrin/status/1441781263761764352</v>
      </c>
      <c r="AA1291" s="90">
        <v>-628782571</v>
      </c>
      <c r="AB1291" s="90">
        <v>10687470808</v>
      </c>
      <c r="AC1291" s="86" t="s">
        <v>5066</v>
      </c>
      <c r="AD1291" s="81"/>
      <c r="AE1291" s="81" t="b">
        <v>0</v>
      </c>
      <c r="AF1291" s="81">
        <v>0</v>
      </c>
      <c r="AG1291" s="86" t="s">
        <v>6240</v>
      </c>
      <c r="AH1291" s="81" t="b">
        <v>0</v>
      </c>
      <c r="AI1291" s="81" t="s">
        <v>6478</v>
      </c>
      <c r="AJ1291" s="81"/>
      <c r="AK1291" s="86" t="s">
        <v>6240</v>
      </c>
      <c r="AL1291" s="81" t="b">
        <v>0</v>
      </c>
      <c r="AM1291" s="81">
        <v>0</v>
      </c>
      <c r="AN1291" s="86" t="s">
        <v>6240</v>
      </c>
      <c r="AO1291" s="86" t="s">
        <v>6523</v>
      </c>
      <c r="AP1291" s="81" t="b">
        <v>0</v>
      </c>
      <c r="AQ1291" s="86" t="s">
        <v>5066</v>
      </c>
      <c r="AR1291" s="81" t="s">
        <v>179</v>
      </c>
      <c r="AS1291" s="81">
        <v>0</v>
      </c>
      <c r="AT1291" s="81">
        <v>0</v>
      </c>
      <c r="AU1291" s="81" t="s">
        <v>6538</v>
      </c>
      <c r="AV1291" s="81" t="s">
        <v>6543</v>
      </c>
      <c r="AW1291" s="81" t="s">
        <v>12</v>
      </c>
      <c r="AX1291" s="81" t="s">
        <v>6546</v>
      </c>
      <c r="AY1291" s="91" t="s">
        <v>6553</v>
      </c>
      <c r="AZ1291" s="81" t="s">
        <v>6560</v>
      </c>
      <c r="BA1291" s="81" t="s">
        <v>6564</v>
      </c>
      <c r="BB1291" s="84" t="str">
        <f>HYPERLINK("https://api.twitter.com/1.1/geo/id/0e960886390aa80d.json")</f>
        <v>https://api.twitter.com/1.1/geo/id/0e960886390aa80d.json</v>
      </c>
    </row>
    <row r="1292" spans="1:54" x14ac:dyDescent="0.35">
      <c r="A1292" s="66" t="s">
        <v>953</v>
      </c>
      <c r="B1292" s="66" t="s">
        <v>1410</v>
      </c>
      <c r="C1292" s="67"/>
      <c r="D1292" s="68"/>
      <c r="E1292" s="69"/>
      <c r="F1292" s="70"/>
      <c r="G1292" s="67"/>
      <c r="H1292" s="71"/>
      <c r="I1292" s="72"/>
      <c r="J1292" s="72"/>
      <c r="K1292" s="36"/>
      <c r="L1292" s="79"/>
      <c r="M1292" s="79"/>
      <c r="N1292" s="74"/>
      <c r="O1292" s="81" t="s">
        <v>1533</v>
      </c>
      <c r="P1292" s="83">
        <v>44464.647337962961</v>
      </c>
      <c r="Q1292" s="81" t="s">
        <v>1908</v>
      </c>
      <c r="R1292" s="81"/>
      <c r="S1292" s="81"/>
      <c r="T1292" s="86" t="s">
        <v>1413</v>
      </c>
      <c r="U1292" s="84" t="str">
        <f>HYPERLINK("https://pbs.twimg.com/media/FAEa_mFUYAcoKUu.jpg")</f>
        <v>https://pbs.twimg.com/media/FAEa_mFUYAcoKUu.jpg</v>
      </c>
      <c r="V1292" s="84" t="str">
        <f>HYPERLINK("https://pbs.twimg.com/media/FAEa_mFUYAcoKUu.jpg")</f>
        <v>https://pbs.twimg.com/media/FAEa_mFUYAcoKUu.jpg</v>
      </c>
      <c r="W1292" s="83">
        <v>44464.647337962961</v>
      </c>
      <c r="X1292" s="89">
        <v>44464</v>
      </c>
      <c r="Y1292" s="86" t="s">
        <v>3601</v>
      </c>
      <c r="Z1292" s="84" t="str">
        <f>HYPERLINK("https://twitter.com/artsyyflower/status/1441787621051490309")</f>
        <v>https://twitter.com/artsyyflower/status/1441787621051490309</v>
      </c>
      <c r="AA1292" s="81"/>
      <c r="AB1292" s="81"/>
      <c r="AC1292" s="86" t="s">
        <v>5067</v>
      </c>
      <c r="AD1292" s="81"/>
      <c r="AE1292" s="81" t="b">
        <v>0</v>
      </c>
      <c r="AF1292" s="81">
        <v>0</v>
      </c>
      <c r="AG1292" s="86" t="s">
        <v>6240</v>
      </c>
      <c r="AH1292" s="81" t="b">
        <v>0</v>
      </c>
      <c r="AI1292" s="81" t="s">
        <v>6479</v>
      </c>
      <c r="AJ1292" s="81"/>
      <c r="AK1292" s="86" t="s">
        <v>6240</v>
      </c>
      <c r="AL1292" s="81" t="b">
        <v>0</v>
      </c>
      <c r="AM1292" s="81">
        <v>23</v>
      </c>
      <c r="AN1292" s="86" t="s">
        <v>5111</v>
      </c>
      <c r="AO1292" s="86" t="s">
        <v>6503</v>
      </c>
      <c r="AP1292" s="81" t="b">
        <v>0</v>
      </c>
      <c r="AQ1292" s="86" t="s">
        <v>5111</v>
      </c>
      <c r="AR1292" s="81" t="s">
        <v>179</v>
      </c>
      <c r="AS1292" s="81">
        <v>0</v>
      </c>
      <c r="AT1292" s="81">
        <v>0</v>
      </c>
      <c r="AU1292" s="81"/>
      <c r="AV1292" s="81"/>
      <c r="AW1292" s="81"/>
      <c r="AX1292" s="81"/>
      <c r="AY1292" s="81"/>
      <c r="AZ1292" s="81"/>
      <c r="BA1292" s="81"/>
      <c r="BB1292" s="81"/>
    </row>
    <row r="1293" spans="1:54" x14ac:dyDescent="0.35">
      <c r="A1293" s="66" t="s">
        <v>953</v>
      </c>
      <c r="B1293" s="66" t="s">
        <v>1411</v>
      </c>
      <c r="C1293" s="67"/>
      <c r="D1293" s="68"/>
      <c r="E1293" s="69"/>
      <c r="F1293" s="70"/>
      <c r="G1293" s="67"/>
      <c r="H1293" s="71"/>
      <c r="I1293" s="72"/>
      <c r="J1293" s="72"/>
      <c r="K1293" s="36"/>
      <c r="L1293" s="79"/>
      <c r="M1293" s="79"/>
      <c r="N1293" s="74"/>
      <c r="O1293" s="81" t="s">
        <v>1533</v>
      </c>
      <c r="P1293" s="83">
        <v>44464.647337962961</v>
      </c>
      <c r="Q1293" s="81" t="s">
        <v>1908</v>
      </c>
      <c r="R1293" s="81"/>
      <c r="S1293" s="81"/>
      <c r="T1293" s="86" t="s">
        <v>1413</v>
      </c>
      <c r="U1293" s="84" t="str">
        <f>HYPERLINK("https://pbs.twimg.com/media/FAEa_mFUYAcoKUu.jpg")</f>
        <v>https://pbs.twimg.com/media/FAEa_mFUYAcoKUu.jpg</v>
      </c>
      <c r="V1293" s="84" t="str">
        <f>HYPERLINK("https://pbs.twimg.com/media/FAEa_mFUYAcoKUu.jpg")</f>
        <v>https://pbs.twimg.com/media/FAEa_mFUYAcoKUu.jpg</v>
      </c>
      <c r="W1293" s="83">
        <v>44464.647337962961</v>
      </c>
      <c r="X1293" s="89">
        <v>44464</v>
      </c>
      <c r="Y1293" s="86" t="s">
        <v>3601</v>
      </c>
      <c r="Z1293" s="84" t="str">
        <f>HYPERLINK("https://twitter.com/artsyyflower/status/1441787621051490309")</f>
        <v>https://twitter.com/artsyyflower/status/1441787621051490309</v>
      </c>
      <c r="AA1293" s="81"/>
      <c r="AB1293" s="81"/>
      <c r="AC1293" s="86" t="s">
        <v>5067</v>
      </c>
      <c r="AD1293" s="81"/>
      <c r="AE1293" s="81" t="b">
        <v>0</v>
      </c>
      <c r="AF1293" s="81">
        <v>0</v>
      </c>
      <c r="AG1293" s="86" t="s">
        <v>6240</v>
      </c>
      <c r="AH1293" s="81" t="b">
        <v>0</v>
      </c>
      <c r="AI1293" s="81" t="s">
        <v>6479</v>
      </c>
      <c r="AJ1293" s="81"/>
      <c r="AK1293" s="86" t="s">
        <v>6240</v>
      </c>
      <c r="AL1293" s="81" t="b">
        <v>0</v>
      </c>
      <c r="AM1293" s="81">
        <v>23</v>
      </c>
      <c r="AN1293" s="86" t="s">
        <v>5111</v>
      </c>
      <c r="AO1293" s="86" t="s">
        <v>6503</v>
      </c>
      <c r="AP1293" s="81" t="b">
        <v>0</v>
      </c>
      <c r="AQ1293" s="86" t="s">
        <v>5111</v>
      </c>
      <c r="AR1293" s="81" t="s">
        <v>179</v>
      </c>
      <c r="AS1293" s="81">
        <v>0</v>
      </c>
      <c r="AT1293" s="81">
        <v>0</v>
      </c>
      <c r="AU1293" s="81"/>
      <c r="AV1293" s="81"/>
      <c r="AW1293" s="81"/>
      <c r="AX1293" s="81"/>
      <c r="AY1293" s="81"/>
      <c r="AZ1293" s="81"/>
      <c r="BA1293" s="81"/>
      <c r="BB1293" s="81"/>
    </row>
    <row r="1294" spans="1:54" x14ac:dyDescent="0.35">
      <c r="A1294" s="66" t="s">
        <v>953</v>
      </c>
      <c r="B1294" s="66" t="s">
        <v>1412</v>
      </c>
      <c r="C1294" s="67"/>
      <c r="D1294" s="68"/>
      <c r="E1294" s="69"/>
      <c r="F1294" s="70"/>
      <c r="G1294" s="67"/>
      <c r="H1294" s="71"/>
      <c r="I1294" s="72"/>
      <c r="J1294" s="72"/>
      <c r="K1294" s="36"/>
      <c r="L1294" s="79"/>
      <c r="M1294" s="79"/>
      <c r="N1294" s="74"/>
      <c r="O1294" s="81" t="s">
        <v>1533</v>
      </c>
      <c r="P1294" s="83">
        <v>44464.647337962961</v>
      </c>
      <c r="Q1294" s="81" t="s">
        <v>1908</v>
      </c>
      <c r="R1294" s="81"/>
      <c r="S1294" s="81"/>
      <c r="T1294" s="86" t="s">
        <v>1413</v>
      </c>
      <c r="U1294" s="84" t="str">
        <f>HYPERLINK("https://pbs.twimg.com/media/FAEa_mFUYAcoKUu.jpg")</f>
        <v>https://pbs.twimg.com/media/FAEa_mFUYAcoKUu.jpg</v>
      </c>
      <c r="V1294" s="84" t="str">
        <f>HYPERLINK("https://pbs.twimg.com/media/FAEa_mFUYAcoKUu.jpg")</f>
        <v>https://pbs.twimg.com/media/FAEa_mFUYAcoKUu.jpg</v>
      </c>
      <c r="W1294" s="83">
        <v>44464.647337962961</v>
      </c>
      <c r="X1294" s="89">
        <v>44464</v>
      </c>
      <c r="Y1294" s="86" t="s">
        <v>3601</v>
      </c>
      <c r="Z1294" s="84" t="str">
        <f>HYPERLINK("https://twitter.com/artsyyflower/status/1441787621051490309")</f>
        <v>https://twitter.com/artsyyflower/status/1441787621051490309</v>
      </c>
      <c r="AA1294" s="81"/>
      <c r="AB1294" s="81"/>
      <c r="AC1294" s="86" t="s">
        <v>5067</v>
      </c>
      <c r="AD1294" s="81"/>
      <c r="AE1294" s="81" t="b">
        <v>0</v>
      </c>
      <c r="AF1294" s="81">
        <v>0</v>
      </c>
      <c r="AG1294" s="86" t="s">
        <v>6240</v>
      </c>
      <c r="AH1294" s="81" t="b">
        <v>0</v>
      </c>
      <c r="AI1294" s="81" t="s">
        <v>6479</v>
      </c>
      <c r="AJ1294" s="81"/>
      <c r="AK1294" s="86" t="s">
        <v>6240</v>
      </c>
      <c r="AL1294" s="81" t="b">
        <v>0</v>
      </c>
      <c r="AM1294" s="81">
        <v>23</v>
      </c>
      <c r="AN1294" s="86" t="s">
        <v>5111</v>
      </c>
      <c r="AO1294" s="86" t="s">
        <v>6503</v>
      </c>
      <c r="AP1294" s="81" t="b">
        <v>0</v>
      </c>
      <c r="AQ1294" s="86" t="s">
        <v>5111</v>
      </c>
      <c r="AR1294" s="81" t="s">
        <v>179</v>
      </c>
      <c r="AS1294" s="81">
        <v>0</v>
      </c>
      <c r="AT1294" s="81">
        <v>0</v>
      </c>
      <c r="AU1294" s="81"/>
      <c r="AV1294" s="81"/>
      <c r="AW1294" s="81"/>
      <c r="AX1294" s="81"/>
      <c r="AY1294" s="81"/>
      <c r="AZ1294" s="81"/>
      <c r="BA1294" s="81"/>
      <c r="BB1294" s="81"/>
    </row>
    <row r="1295" spans="1:54" x14ac:dyDescent="0.35">
      <c r="A1295" s="66" t="s">
        <v>953</v>
      </c>
      <c r="B1295" s="66" t="s">
        <v>1413</v>
      </c>
      <c r="C1295" s="67"/>
      <c r="D1295" s="68"/>
      <c r="E1295" s="69"/>
      <c r="F1295" s="70"/>
      <c r="G1295" s="67"/>
      <c r="H1295" s="71"/>
      <c r="I1295" s="72"/>
      <c r="J1295" s="72"/>
      <c r="K1295" s="36"/>
      <c r="L1295" s="79"/>
      <c r="M1295" s="79"/>
      <c r="N1295" s="74"/>
      <c r="O1295" s="81" t="s">
        <v>1533</v>
      </c>
      <c r="P1295" s="83">
        <v>44464.647337962961</v>
      </c>
      <c r="Q1295" s="81" t="s">
        <v>1908</v>
      </c>
      <c r="R1295" s="81"/>
      <c r="S1295" s="81"/>
      <c r="T1295" s="86" t="s">
        <v>1413</v>
      </c>
      <c r="U1295" s="84" t="str">
        <f>HYPERLINK("https://pbs.twimg.com/media/FAEa_mFUYAcoKUu.jpg")</f>
        <v>https://pbs.twimg.com/media/FAEa_mFUYAcoKUu.jpg</v>
      </c>
      <c r="V1295" s="84" t="str">
        <f>HYPERLINK("https://pbs.twimg.com/media/FAEa_mFUYAcoKUu.jpg")</f>
        <v>https://pbs.twimg.com/media/FAEa_mFUYAcoKUu.jpg</v>
      </c>
      <c r="W1295" s="83">
        <v>44464.647337962961</v>
      </c>
      <c r="X1295" s="89">
        <v>44464</v>
      </c>
      <c r="Y1295" s="86" t="s">
        <v>3601</v>
      </c>
      <c r="Z1295" s="84" t="str">
        <f>HYPERLINK("https://twitter.com/artsyyflower/status/1441787621051490309")</f>
        <v>https://twitter.com/artsyyflower/status/1441787621051490309</v>
      </c>
      <c r="AA1295" s="81"/>
      <c r="AB1295" s="81"/>
      <c r="AC1295" s="86" t="s">
        <v>5067</v>
      </c>
      <c r="AD1295" s="81"/>
      <c r="AE1295" s="81" t="b">
        <v>0</v>
      </c>
      <c r="AF1295" s="81">
        <v>0</v>
      </c>
      <c r="AG1295" s="86" t="s">
        <v>6240</v>
      </c>
      <c r="AH1295" s="81" t="b">
        <v>0</v>
      </c>
      <c r="AI1295" s="81" t="s">
        <v>6479</v>
      </c>
      <c r="AJ1295" s="81"/>
      <c r="AK1295" s="86" t="s">
        <v>6240</v>
      </c>
      <c r="AL1295" s="81" t="b">
        <v>0</v>
      </c>
      <c r="AM1295" s="81">
        <v>23</v>
      </c>
      <c r="AN1295" s="86" t="s">
        <v>5111</v>
      </c>
      <c r="AO1295" s="86" t="s">
        <v>6503</v>
      </c>
      <c r="AP1295" s="81" t="b">
        <v>0</v>
      </c>
      <c r="AQ1295" s="86" t="s">
        <v>5111</v>
      </c>
      <c r="AR1295" s="81" t="s">
        <v>179</v>
      </c>
      <c r="AS1295" s="81">
        <v>0</v>
      </c>
      <c r="AT1295" s="81">
        <v>0</v>
      </c>
      <c r="AU1295" s="81"/>
      <c r="AV1295" s="81"/>
      <c r="AW1295" s="81"/>
      <c r="AX1295" s="81"/>
      <c r="AY1295" s="81"/>
      <c r="AZ1295" s="81"/>
      <c r="BA1295" s="81"/>
      <c r="BB1295" s="81"/>
    </row>
    <row r="1296" spans="1:54" x14ac:dyDescent="0.35">
      <c r="A1296" s="66" t="s">
        <v>953</v>
      </c>
      <c r="B1296" s="66" t="s">
        <v>990</v>
      </c>
      <c r="C1296" s="67"/>
      <c r="D1296" s="68"/>
      <c r="E1296" s="69"/>
      <c r="F1296" s="70"/>
      <c r="G1296" s="67"/>
      <c r="H1296" s="71"/>
      <c r="I1296" s="72"/>
      <c r="J1296" s="72"/>
      <c r="K1296" s="36"/>
      <c r="L1296" s="79"/>
      <c r="M1296" s="79"/>
      <c r="N1296" s="74"/>
      <c r="O1296" s="81" t="s">
        <v>1532</v>
      </c>
      <c r="P1296" s="83">
        <v>44464.647337962961</v>
      </c>
      <c r="Q1296" s="81" t="s">
        <v>1908</v>
      </c>
      <c r="R1296" s="81"/>
      <c r="S1296" s="81"/>
      <c r="T1296" s="86" t="s">
        <v>1413</v>
      </c>
      <c r="U1296" s="84" t="str">
        <f>HYPERLINK("https://pbs.twimg.com/media/FAEa_mFUYAcoKUu.jpg")</f>
        <v>https://pbs.twimg.com/media/FAEa_mFUYAcoKUu.jpg</v>
      </c>
      <c r="V1296" s="84" t="str">
        <f>HYPERLINK("https://pbs.twimg.com/media/FAEa_mFUYAcoKUu.jpg")</f>
        <v>https://pbs.twimg.com/media/FAEa_mFUYAcoKUu.jpg</v>
      </c>
      <c r="W1296" s="83">
        <v>44464.647337962961</v>
      </c>
      <c r="X1296" s="89">
        <v>44464</v>
      </c>
      <c r="Y1296" s="86" t="s">
        <v>3601</v>
      </c>
      <c r="Z1296" s="84" t="str">
        <f>HYPERLINK("https://twitter.com/artsyyflower/status/1441787621051490309")</f>
        <v>https://twitter.com/artsyyflower/status/1441787621051490309</v>
      </c>
      <c r="AA1296" s="81"/>
      <c r="AB1296" s="81"/>
      <c r="AC1296" s="86" t="s">
        <v>5067</v>
      </c>
      <c r="AD1296" s="81"/>
      <c r="AE1296" s="81" t="b">
        <v>0</v>
      </c>
      <c r="AF1296" s="81">
        <v>0</v>
      </c>
      <c r="AG1296" s="86" t="s">
        <v>6240</v>
      </c>
      <c r="AH1296" s="81" t="b">
        <v>0</v>
      </c>
      <c r="AI1296" s="81" t="s">
        <v>6479</v>
      </c>
      <c r="AJ1296" s="81"/>
      <c r="AK1296" s="86" t="s">
        <v>6240</v>
      </c>
      <c r="AL1296" s="81" t="b">
        <v>0</v>
      </c>
      <c r="AM1296" s="81">
        <v>23</v>
      </c>
      <c r="AN1296" s="86" t="s">
        <v>5111</v>
      </c>
      <c r="AO1296" s="86" t="s">
        <v>6503</v>
      </c>
      <c r="AP1296" s="81" t="b">
        <v>0</v>
      </c>
      <c r="AQ1296" s="86" t="s">
        <v>5111</v>
      </c>
      <c r="AR1296" s="81" t="s">
        <v>179</v>
      </c>
      <c r="AS1296" s="81">
        <v>0</v>
      </c>
      <c r="AT1296" s="81">
        <v>0</v>
      </c>
      <c r="AU1296" s="81"/>
      <c r="AV1296" s="81"/>
      <c r="AW1296" s="81"/>
      <c r="AX1296" s="81"/>
      <c r="AY1296" s="81"/>
      <c r="AZ1296" s="81"/>
      <c r="BA1296" s="81"/>
      <c r="BB1296" s="81"/>
    </row>
    <row r="1297" spans="1:54" x14ac:dyDescent="0.35">
      <c r="A1297" s="66" t="s">
        <v>954</v>
      </c>
      <c r="B1297" s="66" t="s">
        <v>1410</v>
      </c>
      <c r="C1297" s="67"/>
      <c r="D1297" s="68"/>
      <c r="E1297" s="69"/>
      <c r="F1297" s="70"/>
      <c r="G1297" s="67"/>
      <c r="H1297" s="71"/>
      <c r="I1297" s="72"/>
      <c r="J1297" s="72"/>
      <c r="K1297" s="36"/>
      <c r="L1297" s="79"/>
      <c r="M1297" s="79"/>
      <c r="N1297" s="74"/>
      <c r="O1297" s="81" t="s">
        <v>1533</v>
      </c>
      <c r="P1297" s="83">
        <v>44464.66302083333</v>
      </c>
      <c r="Q1297" s="81" t="s">
        <v>1908</v>
      </c>
      <c r="R1297" s="81"/>
      <c r="S1297" s="81"/>
      <c r="T1297" s="86" t="s">
        <v>1413</v>
      </c>
      <c r="U1297" s="84" t="str">
        <f>HYPERLINK("https://pbs.twimg.com/media/FAEa_mFUYAcoKUu.jpg")</f>
        <v>https://pbs.twimg.com/media/FAEa_mFUYAcoKUu.jpg</v>
      </c>
      <c r="V1297" s="84" t="str">
        <f>HYPERLINK("https://pbs.twimg.com/media/FAEa_mFUYAcoKUu.jpg")</f>
        <v>https://pbs.twimg.com/media/FAEa_mFUYAcoKUu.jpg</v>
      </c>
      <c r="W1297" s="83">
        <v>44464.66302083333</v>
      </c>
      <c r="X1297" s="89">
        <v>44464</v>
      </c>
      <c r="Y1297" s="86" t="s">
        <v>3602</v>
      </c>
      <c r="Z1297" s="84" t="str">
        <f>HYPERLINK("https://twitter.com/flirtswkook/status/1441793304425689095")</f>
        <v>https://twitter.com/flirtswkook/status/1441793304425689095</v>
      </c>
      <c r="AA1297" s="81"/>
      <c r="AB1297" s="81"/>
      <c r="AC1297" s="86" t="s">
        <v>5068</v>
      </c>
      <c r="AD1297" s="81"/>
      <c r="AE1297" s="81" t="b">
        <v>0</v>
      </c>
      <c r="AF1297" s="81">
        <v>0</v>
      </c>
      <c r="AG1297" s="86" t="s">
        <v>6240</v>
      </c>
      <c r="AH1297" s="81" t="b">
        <v>0</v>
      </c>
      <c r="AI1297" s="81" t="s">
        <v>6479</v>
      </c>
      <c r="AJ1297" s="81"/>
      <c r="AK1297" s="86" t="s">
        <v>6240</v>
      </c>
      <c r="AL1297" s="81" t="b">
        <v>0</v>
      </c>
      <c r="AM1297" s="81">
        <v>23</v>
      </c>
      <c r="AN1297" s="86" t="s">
        <v>5111</v>
      </c>
      <c r="AO1297" s="86" t="s">
        <v>6503</v>
      </c>
      <c r="AP1297" s="81" t="b">
        <v>0</v>
      </c>
      <c r="AQ1297" s="86" t="s">
        <v>5111</v>
      </c>
      <c r="AR1297" s="81" t="s">
        <v>179</v>
      </c>
      <c r="AS1297" s="81">
        <v>0</v>
      </c>
      <c r="AT1297" s="81">
        <v>0</v>
      </c>
      <c r="AU1297" s="81"/>
      <c r="AV1297" s="81"/>
      <c r="AW1297" s="81"/>
      <c r="AX1297" s="81"/>
      <c r="AY1297" s="81"/>
      <c r="AZ1297" s="81"/>
      <c r="BA1297" s="81"/>
      <c r="BB1297" s="81"/>
    </row>
    <row r="1298" spans="1:54" x14ac:dyDescent="0.35">
      <c r="A1298" s="66" t="s">
        <v>954</v>
      </c>
      <c r="B1298" s="66" t="s">
        <v>1411</v>
      </c>
      <c r="C1298" s="67"/>
      <c r="D1298" s="68"/>
      <c r="E1298" s="69"/>
      <c r="F1298" s="70"/>
      <c r="G1298" s="67"/>
      <c r="H1298" s="71"/>
      <c r="I1298" s="72"/>
      <c r="J1298" s="72"/>
      <c r="K1298" s="36"/>
      <c r="L1298" s="79"/>
      <c r="M1298" s="79"/>
      <c r="N1298" s="74"/>
      <c r="O1298" s="81" t="s">
        <v>1533</v>
      </c>
      <c r="P1298" s="83">
        <v>44464.66302083333</v>
      </c>
      <c r="Q1298" s="81" t="s">
        <v>1908</v>
      </c>
      <c r="R1298" s="81"/>
      <c r="S1298" s="81"/>
      <c r="T1298" s="86" t="s">
        <v>1413</v>
      </c>
      <c r="U1298" s="84" t="str">
        <f>HYPERLINK("https://pbs.twimg.com/media/FAEa_mFUYAcoKUu.jpg")</f>
        <v>https://pbs.twimg.com/media/FAEa_mFUYAcoKUu.jpg</v>
      </c>
      <c r="V1298" s="84" t="str">
        <f>HYPERLINK("https://pbs.twimg.com/media/FAEa_mFUYAcoKUu.jpg")</f>
        <v>https://pbs.twimg.com/media/FAEa_mFUYAcoKUu.jpg</v>
      </c>
      <c r="W1298" s="83">
        <v>44464.66302083333</v>
      </c>
      <c r="X1298" s="89">
        <v>44464</v>
      </c>
      <c r="Y1298" s="86" t="s">
        <v>3602</v>
      </c>
      <c r="Z1298" s="84" t="str">
        <f>HYPERLINK("https://twitter.com/flirtswkook/status/1441793304425689095")</f>
        <v>https://twitter.com/flirtswkook/status/1441793304425689095</v>
      </c>
      <c r="AA1298" s="81"/>
      <c r="AB1298" s="81"/>
      <c r="AC1298" s="86" t="s">
        <v>5068</v>
      </c>
      <c r="AD1298" s="81"/>
      <c r="AE1298" s="81" t="b">
        <v>0</v>
      </c>
      <c r="AF1298" s="81">
        <v>0</v>
      </c>
      <c r="AG1298" s="86" t="s">
        <v>6240</v>
      </c>
      <c r="AH1298" s="81" t="b">
        <v>0</v>
      </c>
      <c r="AI1298" s="81" t="s">
        <v>6479</v>
      </c>
      <c r="AJ1298" s="81"/>
      <c r="AK1298" s="86" t="s">
        <v>6240</v>
      </c>
      <c r="AL1298" s="81" t="b">
        <v>0</v>
      </c>
      <c r="AM1298" s="81">
        <v>23</v>
      </c>
      <c r="AN1298" s="86" t="s">
        <v>5111</v>
      </c>
      <c r="AO1298" s="86" t="s">
        <v>6503</v>
      </c>
      <c r="AP1298" s="81" t="b">
        <v>0</v>
      </c>
      <c r="AQ1298" s="86" t="s">
        <v>5111</v>
      </c>
      <c r="AR1298" s="81" t="s">
        <v>179</v>
      </c>
      <c r="AS1298" s="81">
        <v>0</v>
      </c>
      <c r="AT1298" s="81">
        <v>0</v>
      </c>
      <c r="AU1298" s="81"/>
      <c r="AV1298" s="81"/>
      <c r="AW1298" s="81"/>
      <c r="AX1298" s="81"/>
      <c r="AY1298" s="81"/>
      <c r="AZ1298" s="81"/>
      <c r="BA1298" s="81"/>
      <c r="BB1298" s="81"/>
    </row>
    <row r="1299" spans="1:54" x14ac:dyDescent="0.35">
      <c r="A1299" s="66" t="s">
        <v>954</v>
      </c>
      <c r="B1299" s="66" t="s">
        <v>1412</v>
      </c>
      <c r="C1299" s="67"/>
      <c r="D1299" s="68"/>
      <c r="E1299" s="69"/>
      <c r="F1299" s="70"/>
      <c r="G1299" s="67"/>
      <c r="H1299" s="71"/>
      <c r="I1299" s="72"/>
      <c r="J1299" s="72"/>
      <c r="K1299" s="36"/>
      <c r="L1299" s="79"/>
      <c r="M1299" s="79"/>
      <c r="N1299" s="74"/>
      <c r="O1299" s="81" t="s">
        <v>1533</v>
      </c>
      <c r="P1299" s="83">
        <v>44464.66302083333</v>
      </c>
      <c r="Q1299" s="81" t="s">
        <v>1908</v>
      </c>
      <c r="R1299" s="81"/>
      <c r="S1299" s="81"/>
      <c r="T1299" s="86" t="s">
        <v>1413</v>
      </c>
      <c r="U1299" s="84" t="str">
        <f>HYPERLINK("https://pbs.twimg.com/media/FAEa_mFUYAcoKUu.jpg")</f>
        <v>https://pbs.twimg.com/media/FAEa_mFUYAcoKUu.jpg</v>
      </c>
      <c r="V1299" s="84" t="str">
        <f>HYPERLINK("https://pbs.twimg.com/media/FAEa_mFUYAcoKUu.jpg")</f>
        <v>https://pbs.twimg.com/media/FAEa_mFUYAcoKUu.jpg</v>
      </c>
      <c r="W1299" s="83">
        <v>44464.66302083333</v>
      </c>
      <c r="X1299" s="89">
        <v>44464</v>
      </c>
      <c r="Y1299" s="86" t="s">
        <v>3602</v>
      </c>
      <c r="Z1299" s="84" t="str">
        <f>HYPERLINK("https://twitter.com/flirtswkook/status/1441793304425689095")</f>
        <v>https://twitter.com/flirtswkook/status/1441793304425689095</v>
      </c>
      <c r="AA1299" s="81"/>
      <c r="AB1299" s="81"/>
      <c r="AC1299" s="86" t="s">
        <v>5068</v>
      </c>
      <c r="AD1299" s="81"/>
      <c r="AE1299" s="81" t="b">
        <v>0</v>
      </c>
      <c r="AF1299" s="81">
        <v>0</v>
      </c>
      <c r="AG1299" s="86" t="s">
        <v>6240</v>
      </c>
      <c r="AH1299" s="81" t="b">
        <v>0</v>
      </c>
      <c r="AI1299" s="81" t="s">
        <v>6479</v>
      </c>
      <c r="AJ1299" s="81"/>
      <c r="AK1299" s="86" t="s">
        <v>6240</v>
      </c>
      <c r="AL1299" s="81" t="b">
        <v>0</v>
      </c>
      <c r="AM1299" s="81">
        <v>23</v>
      </c>
      <c r="AN1299" s="86" t="s">
        <v>5111</v>
      </c>
      <c r="AO1299" s="86" t="s">
        <v>6503</v>
      </c>
      <c r="AP1299" s="81" t="b">
        <v>0</v>
      </c>
      <c r="AQ1299" s="86" t="s">
        <v>5111</v>
      </c>
      <c r="AR1299" s="81" t="s">
        <v>179</v>
      </c>
      <c r="AS1299" s="81">
        <v>0</v>
      </c>
      <c r="AT1299" s="81">
        <v>0</v>
      </c>
      <c r="AU1299" s="81"/>
      <c r="AV1299" s="81"/>
      <c r="AW1299" s="81"/>
      <c r="AX1299" s="81"/>
      <c r="AY1299" s="81"/>
      <c r="AZ1299" s="81"/>
      <c r="BA1299" s="81"/>
      <c r="BB1299" s="81"/>
    </row>
    <row r="1300" spans="1:54" x14ac:dyDescent="0.35">
      <c r="A1300" s="66" t="s">
        <v>954</v>
      </c>
      <c r="B1300" s="66" t="s">
        <v>1413</v>
      </c>
      <c r="C1300" s="67"/>
      <c r="D1300" s="68"/>
      <c r="E1300" s="69"/>
      <c r="F1300" s="70"/>
      <c r="G1300" s="67"/>
      <c r="H1300" s="71"/>
      <c r="I1300" s="72"/>
      <c r="J1300" s="72"/>
      <c r="K1300" s="36"/>
      <c r="L1300" s="79"/>
      <c r="M1300" s="79"/>
      <c r="N1300" s="74"/>
      <c r="O1300" s="81" t="s">
        <v>1533</v>
      </c>
      <c r="P1300" s="83">
        <v>44464.66302083333</v>
      </c>
      <c r="Q1300" s="81" t="s">
        <v>1908</v>
      </c>
      <c r="R1300" s="81"/>
      <c r="S1300" s="81"/>
      <c r="T1300" s="86" t="s">
        <v>1413</v>
      </c>
      <c r="U1300" s="84" t="str">
        <f>HYPERLINK("https://pbs.twimg.com/media/FAEa_mFUYAcoKUu.jpg")</f>
        <v>https://pbs.twimg.com/media/FAEa_mFUYAcoKUu.jpg</v>
      </c>
      <c r="V1300" s="84" t="str">
        <f>HYPERLINK("https://pbs.twimg.com/media/FAEa_mFUYAcoKUu.jpg")</f>
        <v>https://pbs.twimg.com/media/FAEa_mFUYAcoKUu.jpg</v>
      </c>
      <c r="W1300" s="83">
        <v>44464.66302083333</v>
      </c>
      <c r="X1300" s="89">
        <v>44464</v>
      </c>
      <c r="Y1300" s="86" t="s">
        <v>3602</v>
      </c>
      <c r="Z1300" s="84" t="str">
        <f>HYPERLINK("https://twitter.com/flirtswkook/status/1441793304425689095")</f>
        <v>https://twitter.com/flirtswkook/status/1441793304425689095</v>
      </c>
      <c r="AA1300" s="81"/>
      <c r="AB1300" s="81"/>
      <c r="AC1300" s="86" t="s">
        <v>5068</v>
      </c>
      <c r="AD1300" s="81"/>
      <c r="AE1300" s="81" t="b">
        <v>0</v>
      </c>
      <c r="AF1300" s="81">
        <v>0</v>
      </c>
      <c r="AG1300" s="86" t="s">
        <v>6240</v>
      </c>
      <c r="AH1300" s="81" t="b">
        <v>0</v>
      </c>
      <c r="AI1300" s="81" t="s">
        <v>6479</v>
      </c>
      <c r="AJ1300" s="81"/>
      <c r="AK1300" s="86" t="s">
        <v>6240</v>
      </c>
      <c r="AL1300" s="81" t="b">
        <v>0</v>
      </c>
      <c r="AM1300" s="81">
        <v>23</v>
      </c>
      <c r="AN1300" s="86" t="s">
        <v>5111</v>
      </c>
      <c r="AO1300" s="86" t="s">
        <v>6503</v>
      </c>
      <c r="AP1300" s="81" t="b">
        <v>0</v>
      </c>
      <c r="AQ1300" s="86" t="s">
        <v>5111</v>
      </c>
      <c r="AR1300" s="81" t="s">
        <v>179</v>
      </c>
      <c r="AS1300" s="81">
        <v>0</v>
      </c>
      <c r="AT1300" s="81">
        <v>0</v>
      </c>
      <c r="AU1300" s="81"/>
      <c r="AV1300" s="81"/>
      <c r="AW1300" s="81"/>
      <c r="AX1300" s="81"/>
      <c r="AY1300" s="81"/>
      <c r="AZ1300" s="81"/>
      <c r="BA1300" s="81"/>
      <c r="BB1300" s="81"/>
    </row>
    <row r="1301" spans="1:54" x14ac:dyDescent="0.35">
      <c r="A1301" s="66" t="s">
        <v>954</v>
      </c>
      <c r="B1301" s="66" t="s">
        <v>990</v>
      </c>
      <c r="C1301" s="67"/>
      <c r="D1301" s="68"/>
      <c r="E1301" s="69"/>
      <c r="F1301" s="70"/>
      <c r="G1301" s="67"/>
      <c r="H1301" s="71"/>
      <c r="I1301" s="72"/>
      <c r="J1301" s="72"/>
      <c r="K1301" s="36"/>
      <c r="L1301" s="79"/>
      <c r="M1301" s="79"/>
      <c r="N1301" s="74"/>
      <c r="O1301" s="81" t="s">
        <v>1532</v>
      </c>
      <c r="P1301" s="83">
        <v>44464.66302083333</v>
      </c>
      <c r="Q1301" s="81" t="s">
        <v>1908</v>
      </c>
      <c r="R1301" s="81"/>
      <c r="S1301" s="81"/>
      <c r="T1301" s="86" t="s">
        <v>1413</v>
      </c>
      <c r="U1301" s="84" t="str">
        <f>HYPERLINK("https://pbs.twimg.com/media/FAEa_mFUYAcoKUu.jpg")</f>
        <v>https://pbs.twimg.com/media/FAEa_mFUYAcoKUu.jpg</v>
      </c>
      <c r="V1301" s="84" t="str">
        <f>HYPERLINK("https://pbs.twimg.com/media/FAEa_mFUYAcoKUu.jpg")</f>
        <v>https://pbs.twimg.com/media/FAEa_mFUYAcoKUu.jpg</v>
      </c>
      <c r="W1301" s="83">
        <v>44464.66302083333</v>
      </c>
      <c r="X1301" s="89">
        <v>44464</v>
      </c>
      <c r="Y1301" s="86" t="s">
        <v>3602</v>
      </c>
      <c r="Z1301" s="84" t="str">
        <f>HYPERLINK("https://twitter.com/flirtswkook/status/1441793304425689095")</f>
        <v>https://twitter.com/flirtswkook/status/1441793304425689095</v>
      </c>
      <c r="AA1301" s="81"/>
      <c r="AB1301" s="81"/>
      <c r="AC1301" s="86" t="s">
        <v>5068</v>
      </c>
      <c r="AD1301" s="81"/>
      <c r="AE1301" s="81" t="b">
        <v>0</v>
      </c>
      <c r="AF1301" s="81">
        <v>0</v>
      </c>
      <c r="AG1301" s="86" t="s">
        <v>6240</v>
      </c>
      <c r="AH1301" s="81" t="b">
        <v>0</v>
      </c>
      <c r="AI1301" s="81" t="s">
        <v>6479</v>
      </c>
      <c r="AJ1301" s="81"/>
      <c r="AK1301" s="86" t="s">
        <v>6240</v>
      </c>
      <c r="AL1301" s="81" t="b">
        <v>0</v>
      </c>
      <c r="AM1301" s="81">
        <v>23</v>
      </c>
      <c r="AN1301" s="86" t="s">
        <v>5111</v>
      </c>
      <c r="AO1301" s="86" t="s">
        <v>6503</v>
      </c>
      <c r="AP1301" s="81" t="b">
        <v>0</v>
      </c>
      <c r="AQ1301" s="86" t="s">
        <v>5111</v>
      </c>
      <c r="AR1301" s="81" t="s">
        <v>179</v>
      </c>
      <c r="AS1301" s="81">
        <v>0</v>
      </c>
      <c r="AT1301" s="81">
        <v>0</v>
      </c>
      <c r="AU1301" s="81"/>
      <c r="AV1301" s="81"/>
      <c r="AW1301" s="81"/>
      <c r="AX1301" s="81"/>
      <c r="AY1301" s="81"/>
      <c r="AZ1301" s="81"/>
      <c r="BA1301" s="81"/>
      <c r="BB1301" s="81"/>
    </row>
    <row r="1302" spans="1:54" x14ac:dyDescent="0.35">
      <c r="A1302" s="66" t="s">
        <v>955</v>
      </c>
      <c r="B1302" s="66" t="s">
        <v>1452</v>
      </c>
      <c r="C1302" s="67"/>
      <c r="D1302" s="68"/>
      <c r="E1302" s="69"/>
      <c r="F1302" s="70"/>
      <c r="G1302" s="67"/>
      <c r="H1302" s="71"/>
      <c r="I1302" s="72"/>
      <c r="J1302" s="72"/>
      <c r="K1302" s="36"/>
      <c r="L1302" s="79"/>
      <c r="M1302" s="79"/>
      <c r="N1302" s="74"/>
      <c r="O1302" s="81" t="s">
        <v>1534</v>
      </c>
      <c r="P1302" s="83">
        <v>44464.698009259257</v>
      </c>
      <c r="Q1302" s="81" t="s">
        <v>1971</v>
      </c>
      <c r="R1302" s="81"/>
      <c r="S1302" s="81"/>
      <c r="T1302" s="81"/>
      <c r="U1302" s="81"/>
      <c r="V1302" s="84" t="str">
        <f>HYPERLINK("https://pbs.twimg.com/profile_images/1438543518037725193/a2EZIqrO_normal.jpg")</f>
        <v>https://pbs.twimg.com/profile_images/1438543518037725193/a2EZIqrO_normal.jpg</v>
      </c>
      <c r="W1302" s="83">
        <v>44464.698009259257</v>
      </c>
      <c r="X1302" s="89">
        <v>44464</v>
      </c>
      <c r="Y1302" s="86" t="s">
        <v>3603</v>
      </c>
      <c r="Z1302" s="84" t="str">
        <f>HYPERLINK("https://twitter.com/jinkidubuu/status/1441805982884003846")</f>
        <v>https://twitter.com/jinkidubuu/status/1441805982884003846</v>
      </c>
      <c r="AA1302" s="81"/>
      <c r="AB1302" s="81"/>
      <c r="AC1302" s="86" t="s">
        <v>5069</v>
      </c>
      <c r="AD1302" s="86" t="s">
        <v>6128</v>
      </c>
      <c r="AE1302" s="81" t="b">
        <v>0</v>
      </c>
      <c r="AF1302" s="81">
        <v>0</v>
      </c>
      <c r="AG1302" s="86" t="s">
        <v>6384</v>
      </c>
      <c r="AH1302" s="81" t="b">
        <v>0</v>
      </c>
      <c r="AI1302" s="81" t="s">
        <v>6478</v>
      </c>
      <c r="AJ1302" s="81"/>
      <c r="AK1302" s="86" t="s">
        <v>6240</v>
      </c>
      <c r="AL1302" s="81" t="b">
        <v>0</v>
      </c>
      <c r="AM1302" s="81">
        <v>0</v>
      </c>
      <c r="AN1302" s="86" t="s">
        <v>6240</v>
      </c>
      <c r="AO1302" s="86" t="s">
        <v>6503</v>
      </c>
      <c r="AP1302" s="81" t="b">
        <v>0</v>
      </c>
      <c r="AQ1302" s="86" t="s">
        <v>6128</v>
      </c>
      <c r="AR1302" s="81" t="s">
        <v>179</v>
      </c>
      <c r="AS1302" s="81">
        <v>0</v>
      </c>
      <c r="AT1302" s="81">
        <v>0</v>
      </c>
      <c r="AU1302" s="81"/>
      <c r="AV1302" s="81"/>
      <c r="AW1302" s="81"/>
      <c r="AX1302" s="81"/>
      <c r="AY1302" s="81"/>
      <c r="AZ1302" s="81"/>
      <c r="BA1302" s="81"/>
      <c r="BB1302" s="81"/>
    </row>
    <row r="1303" spans="1:54" x14ac:dyDescent="0.35">
      <c r="A1303" s="66" t="s">
        <v>956</v>
      </c>
      <c r="B1303" s="66" t="s">
        <v>1453</v>
      </c>
      <c r="C1303" s="67"/>
      <c r="D1303" s="68"/>
      <c r="E1303" s="69"/>
      <c r="F1303" s="70"/>
      <c r="G1303" s="67"/>
      <c r="H1303" s="71"/>
      <c r="I1303" s="72"/>
      <c r="J1303" s="72"/>
      <c r="K1303" s="36"/>
      <c r="L1303" s="79"/>
      <c r="M1303" s="79"/>
      <c r="N1303" s="74"/>
      <c r="O1303" s="81" t="s">
        <v>1534</v>
      </c>
      <c r="P1303" s="83">
        <v>44464.69840277778</v>
      </c>
      <c r="Q1303" s="81" t="s">
        <v>1972</v>
      </c>
      <c r="R1303" s="81"/>
      <c r="S1303" s="81"/>
      <c r="T1303" s="81"/>
      <c r="U1303" s="81"/>
      <c r="V1303" s="84" t="str">
        <f>HYPERLINK("https://pbs.twimg.com/profile_images/1441726621908570119/U7XsWmRP_normal.jpg")</f>
        <v>https://pbs.twimg.com/profile_images/1441726621908570119/U7XsWmRP_normal.jpg</v>
      </c>
      <c r="W1303" s="83">
        <v>44464.69840277778</v>
      </c>
      <c r="X1303" s="89">
        <v>44464</v>
      </c>
      <c r="Y1303" s="86" t="s">
        <v>3604</v>
      </c>
      <c r="Z1303" s="84" t="str">
        <f>HYPERLINK("https://twitter.com/jcpacaran/status/1441806124013940745")</f>
        <v>https://twitter.com/jcpacaran/status/1441806124013940745</v>
      </c>
      <c r="AA1303" s="81"/>
      <c r="AB1303" s="81"/>
      <c r="AC1303" s="86" t="s">
        <v>5070</v>
      </c>
      <c r="AD1303" s="86" t="s">
        <v>6129</v>
      </c>
      <c r="AE1303" s="81" t="b">
        <v>0</v>
      </c>
      <c r="AF1303" s="81">
        <v>0</v>
      </c>
      <c r="AG1303" s="86" t="s">
        <v>6385</v>
      </c>
      <c r="AH1303" s="81" t="b">
        <v>0</v>
      </c>
      <c r="AI1303" s="81" t="s">
        <v>6478</v>
      </c>
      <c r="AJ1303" s="81"/>
      <c r="AK1303" s="86" t="s">
        <v>6240</v>
      </c>
      <c r="AL1303" s="81" t="b">
        <v>0</v>
      </c>
      <c r="AM1303" s="81">
        <v>0</v>
      </c>
      <c r="AN1303" s="86" t="s">
        <v>6240</v>
      </c>
      <c r="AO1303" s="86" t="s">
        <v>6503</v>
      </c>
      <c r="AP1303" s="81" t="b">
        <v>0</v>
      </c>
      <c r="AQ1303" s="86" t="s">
        <v>6129</v>
      </c>
      <c r="AR1303" s="81" t="s">
        <v>179</v>
      </c>
      <c r="AS1303" s="81">
        <v>0</v>
      </c>
      <c r="AT1303" s="81">
        <v>0</v>
      </c>
      <c r="AU1303" s="81"/>
      <c r="AV1303" s="81"/>
      <c r="AW1303" s="81"/>
      <c r="AX1303" s="81"/>
      <c r="AY1303" s="81"/>
      <c r="AZ1303" s="81"/>
      <c r="BA1303" s="81"/>
      <c r="BB1303" s="81"/>
    </row>
    <row r="1304" spans="1:54" x14ac:dyDescent="0.35">
      <c r="A1304" s="66" t="s">
        <v>957</v>
      </c>
      <c r="B1304" s="66" t="s">
        <v>1454</v>
      </c>
      <c r="C1304" s="67"/>
      <c r="D1304" s="68"/>
      <c r="E1304" s="69"/>
      <c r="F1304" s="70"/>
      <c r="G1304" s="67"/>
      <c r="H1304" s="71"/>
      <c r="I1304" s="72"/>
      <c r="J1304" s="72"/>
      <c r="K1304" s="36"/>
      <c r="L1304" s="79"/>
      <c r="M1304" s="79"/>
      <c r="N1304" s="74"/>
      <c r="O1304" s="81" t="s">
        <v>1533</v>
      </c>
      <c r="P1304" s="83">
        <v>44464.703750000001</v>
      </c>
      <c r="Q1304" s="81" t="s">
        <v>1973</v>
      </c>
      <c r="R1304" s="81"/>
      <c r="S1304" s="81"/>
      <c r="T1304" s="86" t="s">
        <v>2691</v>
      </c>
      <c r="U1304" s="84" t="str">
        <f>HYPERLINK("https://pbs.twimg.com/media/FAI5unvVgAgIBY3.jpg")</f>
        <v>https://pbs.twimg.com/media/FAI5unvVgAgIBY3.jpg</v>
      </c>
      <c r="V1304" s="84" t="str">
        <f>HYPERLINK("https://pbs.twimg.com/media/FAI5unvVgAgIBY3.jpg")</f>
        <v>https://pbs.twimg.com/media/FAI5unvVgAgIBY3.jpg</v>
      </c>
      <c r="W1304" s="83">
        <v>44464.703750000001</v>
      </c>
      <c r="X1304" s="89">
        <v>44464</v>
      </c>
      <c r="Y1304" s="86" t="s">
        <v>3605</v>
      </c>
      <c r="Z1304" s="84" t="str">
        <f>HYPERLINK("https://twitter.com/hjia__/status/1441808065578164229")</f>
        <v>https://twitter.com/hjia__/status/1441808065578164229</v>
      </c>
      <c r="AA1304" s="81"/>
      <c r="AB1304" s="81"/>
      <c r="AC1304" s="86" t="s">
        <v>5071</v>
      </c>
      <c r="AD1304" s="81"/>
      <c r="AE1304" s="81" t="b">
        <v>0</v>
      </c>
      <c r="AF1304" s="81">
        <v>0</v>
      </c>
      <c r="AG1304" s="86" t="s">
        <v>6240</v>
      </c>
      <c r="AH1304" s="81" t="b">
        <v>0</v>
      </c>
      <c r="AI1304" s="81" t="s">
        <v>6479</v>
      </c>
      <c r="AJ1304" s="81"/>
      <c r="AK1304" s="86" t="s">
        <v>6240</v>
      </c>
      <c r="AL1304" s="81" t="b">
        <v>0</v>
      </c>
      <c r="AM1304" s="81">
        <v>6</v>
      </c>
      <c r="AN1304" s="86" t="s">
        <v>5177</v>
      </c>
      <c r="AO1304" s="86" t="s">
        <v>6505</v>
      </c>
      <c r="AP1304" s="81" t="b">
        <v>0</v>
      </c>
      <c r="AQ1304" s="86" t="s">
        <v>5177</v>
      </c>
      <c r="AR1304" s="81" t="s">
        <v>179</v>
      </c>
      <c r="AS1304" s="81">
        <v>0</v>
      </c>
      <c r="AT1304" s="81">
        <v>0</v>
      </c>
      <c r="AU1304" s="81"/>
      <c r="AV1304" s="81"/>
      <c r="AW1304" s="81"/>
      <c r="AX1304" s="81"/>
      <c r="AY1304" s="81"/>
      <c r="AZ1304" s="81"/>
      <c r="BA1304" s="81"/>
      <c r="BB1304" s="81"/>
    </row>
    <row r="1305" spans="1:54" x14ac:dyDescent="0.35">
      <c r="A1305" s="66" t="s">
        <v>957</v>
      </c>
      <c r="B1305" s="66" t="s">
        <v>1028</v>
      </c>
      <c r="C1305" s="67"/>
      <c r="D1305" s="68"/>
      <c r="E1305" s="69"/>
      <c r="F1305" s="70"/>
      <c r="G1305" s="67"/>
      <c r="H1305" s="71"/>
      <c r="I1305" s="72"/>
      <c r="J1305" s="72"/>
      <c r="K1305" s="36"/>
      <c r="L1305" s="79"/>
      <c r="M1305" s="79"/>
      <c r="N1305" s="74"/>
      <c r="O1305" s="81" t="s">
        <v>1532</v>
      </c>
      <c r="P1305" s="83">
        <v>44464.703750000001</v>
      </c>
      <c r="Q1305" s="81" t="s">
        <v>1973</v>
      </c>
      <c r="R1305" s="81"/>
      <c r="S1305" s="81"/>
      <c r="T1305" s="86" t="s">
        <v>2691</v>
      </c>
      <c r="U1305" s="84" t="str">
        <f>HYPERLINK("https://pbs.twimg.com/media/FAI5unvVgAgIBY3.jpg")</f>
        <v>https://pbs.twimg.com/media/FAI5unvVgAgIBY3.jpg</v>
      </c>
      <c r="V1305" s="84" t="str">
        <f>HYPERLINK("https://pbs.twimg.com/media/FAI5unvVgAgIBY3.jpg")</f>
        <v>https://pbs.twimg.com/media/FAI5unvVgAgIBY3.jpg</v>
      </c>
      <c r="W1305" s="83">
        <v>44464.703750000001</v>
      </c>
      <c r="X1305" s="89">
        <v>44464</v>
      </c>
      <c r="Y1305" s="86" t="s">
        <v>3605</v>
      </c>
      <c r="Z1305" s="84" t="str">
        <f>HYPERLINK("https://twitter.com/hjia__/status/1441808065578164229")</f>
        <v>https://twitter.com/hjia__/status/1441808065578164229</v>
      </c>
      <c r="AA1305" s="81"/>
      <c r="AB1305" s="81"/>
      <c r="AC1305" s="86" t="s">
        <v>5071</v>
      </c>
      <c r="AD1305" s="81"/>
      <c r="AE1305" s="81" t="b">
        <v>0</v>
      </c>
      <c r="AF1305" s="81">
        <v>0</v>
      </c>
      <c r="AG1305" s="86" t="s">
        <v>6240</v>
      </c>
      <c r="AH1305" s="81" t="b">
        <v>0</v>
      </c>
      <c r="AI1305" s="81" t="s">
        <v>6479</v>
      </c>
      <c r="AJ1305" s="81"/>
      <c r="AK1305" s="86" t="s">
        <v>6240</v>
      </c>
      <c r="AL1305" s="81" t="b">
        <v>0</v>
      </c>
      <c r="AM1305" s="81">
        <v>6</v>
      </c>
      <c r="AN1305" s="86" t="s">
        <v>5177</v>
      </c>
      <c r="AO1305" s="86" t="s">
        <v>6505</v>
      </c>
      <c r="AP1305" s="81" t="b">
        <v>0</v>
      </c>
      <c r="AQ1305" s="86" t="s">
        <v>5177</v>
      </c>
      <c r="AR1305" s="81" t="s">
        <v>179</v>
      </c>
      <c r="AS1305" s="81">
        <v>0</v>
      </c>
      <c r="AT1305" s="81">
        <v>0</v>
      </c>
      <c r="AU1305" s="81"/>
      <c r="AV1305" s="81"/>
      <c r="AW1305" s="81"/>
      <c r="AX1305" s="81"/>
      <c r="AY1305" s="81"/>
      <c r="AZ1305" s="81"/>
      <c r="BA1305" s="81"/>
      <c r="BB1305" s="81"/>
    </row>
    <row r="1306" spans="1:54" x14ac:dyDescent="0.35">
      <c r="A1306" s="66" t="s">
        <v>958</v>
      </c>
      <c r="B1306" s="66" t="s">
        <v>958</v>
      </c>
      <c r="C1306" s="67"/>
      <c r="D1306" s="68"/>
      <c r="E1306" s="69"/>
      <c r="F1306" s="70"/>
      <c r="G1306" s="67"/>
      <c r="H1306" s="71"/>
      <c r="I1306" s="72"/>
      <c r="J1306" s="72"/>
      <c r="K1306" s="36"/>
      <c r="L1306" s="79"/>
      <c r="M1306" s="79"/>
      <c r="N1306" s="74"/>
      <c r="O1306" s="81" t="s">
        <v>179</v>
      </c>
      <c r="P1306" s="83">
        <v>44464.707083333335</v>
      </c>
      <c r="Q1306" s="81" t="s">
        <v>1974</v>
      </c>
      <c r="R1306" s="81"/>
      <c r="S1306" s="81"/>
      <c r="T1306" s="81"/>
      <c r="U1306" s="81"/>
      <c r="V1306" s="84" t="str">
        <f>HYPERLINK("https://pbs.twimg.com/profile_images/1439502555772375040/ceHsLq4F_normal.jpg")</f>
        <v>https://pbs.twimg.com/profile_images/1439502555772375040/ceHsLq4F_normal.jpg</v>
      </c>
      <c r="W1306" s="83">
        <v>44464.707083333335</v>
      </c>
      <c r="X1306" s="89">
        <v>44464</v>
      </c>
      <c r="Y1306" s="86" t="s">
        <v>3606</v>
      </c>
      <c r="Z1306" s="84" t="str">
        <f>HYPERLINK("https://twitter.com/byeommin/status/1441809271830638604")</f>
        <v>https://twitter.com/byeommin/status/1441809271830638604</v>
      </c>
      <c r="AA1306" s="81"/>
      <c r="AB1306" s="81"/>
      <c r="AC1306" s="86" t="s">
        <v>5072</v>
      </c>
      <c r="AD1306" s="86" t="s">
        <v>6130</v>
      </c>
      <c r="AE1306" s="81" t="b">
        <v>0</v>
      </c>
      <c r="AF1306" s="81">
        <v>0</v>
      </c>
      <c r="AG1306" s="86" t="s">
        <v>6386</v>
      </c>
      <c r="AH1306" s="81" t="b">
        <v>0</v>
      </c>
      <c r="AI1306" s="81" t="s">
        <v>6478</v>
      </c>
      <c r="AJ1306" s="81"/>
      <c r="AK1306" s="86" t="s">
        <v>6240</v>
      </c>
      <c r="AL1306" s="81" t="b">
        <v>0</v>
      </c>
      <c r="AM1306" s="81">
        <v>0</v>
      </c>
      <c r="AN1306" s="86" t="s">
        <v>6240</v>
      </c>
      <c r="AO1306" s="86" t="s">
        <v>6503</v>
      </c>
      <c r="AP1306" s="81" t="b">
        <v>0</v>
      </c>
      <c r="AQ1306" s="86" t="s">
        <v>6130</v>
      </c>
      <c r="AR1306" s="81" t="s">
        <v>179</v>
      </c>
      <c r="AS1306" s="81">
        <v>0</v>
      </c>
      <c r="AT1306" s="81">
        <v>0</v>
      </c>
      <c r="AU1306" s="81"/>
      <c r="AV1306" s="81"/>
      <c r="AW1306" s="81"/>
      <c r="AX1306" s="81"/>
      <c r="AY1306" s="81"/>
      <c r="AZ1306" s="81"/>
      <c r="BA1306" s="81"/>
      <c r="BB1306" s="81"/>
    </row>
    <row r="1307" spans="1:54" x14ac:dyDescent="0.35">
      <c r="A1307" s="66" t="s">
        <v>959</v>
      </c>
      <c r="B1307" s="66" t="s">
        <v>1434</v>
      </c>
      <c r="C1307" s="67"/>
      <c r="D1307" s="68"/>
      <c r="E1307" s="69"/>
      <c r="F1307" s="70"/>
      <c r="G1307" s="67"/>
      <c r="H1307" s="71"/>
      <c r="I1307" s="72"/>
      <c r="J1307" s="72"/>
      <c r="K1307" s="36"/>
      <c r="L1307" s="79"/>
      <c r="M1307" s="79"/>
      <c r="N1307" s="74"/>
      <c r="O1307" s="81" t="s">
        <v>1535</v>
      </c>
      <c r="P1307" s="83">
        <v>44464.96025462963</v>
      </c>
      <c r="Q1307" s="81" t="s">
        <v>1975</v>
      </c>
      <c r="R1307" s="81"/>
      <c r="S1307" s="81"/>
      <c r="T1307" s="81"/>
      <c r="U1307" s="81"/>
      <c r="V1307" s="84" t="str">
        <f>HYPERLINK("https://pbs.twimg.com/profile_images/1267752156322381826/7n8p6zMA_normal.jpg")</f>
        <v>https://pbs.twimg.com/profile_images/1267752156322381826/7n8p6zMA_normal.jpg</v>
      </c>
      <c r="W1307" s="83">
        <v>44464.96025462963</v>
      </c>
      <c r="X1307" s="89">
        <v>44464</v>
      </c>
      <c r="Y1307" s="86" t="s">
        <v>3607</v>
      </c>
      <c r="Z1307" s="84" t="str">
        <f>HYPERLINK("https://twitter.com/unclemuthu05/status/1441901015893098497")</f>
        <v>https://twitter.com/unclemuthu05/status/1441901015893098497</v>
      </c>
      <c r="AA1307" s="81"/>
      <c r="AB1307" s="81"/>
      <c r="AC1307" s="86" t="s">
        <v>5073</v>
      </c>
      <c r="AD1307" s="86" t="s">
        <v>6131</v>
      </c>
      <c r="AE1307" s="81" t="b">
        <v>0</v>
      </c>
      <c r="AF1307" s="81">
        <v>0</v>
      </c>
      <c r="AG1307" s="86" t="s">
        <v>6387</v>
      </c>
      <c r="AH1307" s="81" t="b">
        <v>0</v>
      </c>
      <c r="AI1307" s="81" t="s">
        <v>6478</v>
      </c>
      <c r="AJ1307" s="81"/>
      <c r="AK1307" s="86" t="s">
        <v>6240</v>
      </c>
      <c r="AL1307" s="81" t="b">
        <v>0</v>
      </c>
      <c r="AM1307" s="81">
        <v>0</v>
      </c>
      <c r="AN1307" s="86" t="s">
        <v>6240</v>
      </c>
      <c r="AO1307" s="86" t="s">
        <v>6503</v>
      </c>
      <c r="AP1307" s="81" t="b">
        <v>0</v>
      </c>
      <c r="AQ1307" s="86" t="s">
        <v>6131</v>
      </c>
      <c r="AR1307" s="81" t="s">
        <v>179</v>
      </c>
      <c r="AS1307" s="81">
        <v>0</v>
      </c>
      <c r="AT1307" s="81">
        <v>0</v>
      </c>
      <c r="AU1307" s="81"/>
      <c r="AV1307" s="81"/>
      <c r="AW1307" s="81"/>
      <c r="AX1307" s="81"/>
      <c r="AY1307" s="81"/>
      <c r="AZ1307" s="81"/>
      <c r="BA1307" s="81"/>
      <c r="BB1307" s="81"/>
    </row>
    <row r="1308" spans="1:54" x14ac:dyDescent="0.35">
      <c r="A1308" s="66" t="s">
        <v>959</v>
      </c>
      <c r="B1308" s="66" t="s">
        <v>1455</v>
      </c>
      <c r="C1308" s="67"/>
      <c r="D1308" s="68"/>
      <c r="E1308" s="69"/>
      <c r="F1308" s="70"/>
      <c r="G1308" s="67"/>
      <c r="H1308" s="71"/>
      <c r="I1308" s="72"/>
      <c r="J1308" s="72"/>
      <c r="K1308" s="36"/>
      <c r="L1308" s="79"/>
      <c r="M1308" s="79"/>
      <c r="N1308" s="74"/>
      <c r="O1308" s="81" t="s">
        <v>1534</v>
      </c>
      <c r="P1308" s="83">
        <v>44464.96025462963</v>
      </c>
      <c r="Q1308" s="81" t="s">
        <v>1975</v>
      </c>
      <c r="R1308" s="81"/>
      <c r="S1308" s="81"/>
      <c r="T1308" s="81"/>
      <c r="U1308" s="81"/>
      <c r="V1308" s="84" t="str">
        <f>HYPERLINK("https://pbs.twimg.com/profile_images/1267752156322381826/7n8p6zMA_normal.jpg")</f>
        <v>https://pbs.twimg.com/profile_images/1267752156322381826/7n8p6zMA_normal.jpg</v>
      </c>
      <c r="W1308" s="83">
        <v>44464.96025462963</v>
      </c>
      <c r="X1308" s="89">
        <v>44464</v>
      </c>
      <c r="Y1308" s="86" t="s">
        <v>3607</v>
      </c>
      <c r="Z1308" s="84" t="str">
        <f>HYPERLINK("https://twitter.com/unclemuthu05/status/1441901015893098497")</f>
        <v>https://twitter.com/unclemuthu05/status/1441901015893098497</v>
      </c>
      <c r="AA1308" s="81"/>
      <c r="AB1308" s="81"/>
      <c r="AC1308" s="86" t="s">
        <v>5073</v>
      </c>
      <c r="AD1308" s="86" t="s">
        <v>6131</v>
      </c>
      <c r="AE1308" s="81" t="b">
        <v>0</v>
      </c>
      <c r="AF1308" s="81">
        <v>0</v>
      </c>
      <c r="AG1308" s="86" t="s">
        <v>6387</v>
      </c>
      <c r="AH1308" s="81" t="b">
        <v>0</v>
      </c>
      <c r="AI1308" s="81" t="s">
        <v>6478</v>
      </c>
      <c r="AJ1308" s="81"/>
      <c r="AK1308" s="86" t="s">
        <v>6240</v>
      </c>
      <c r="AL1308" s="81" t="b">
        <v>0</v>
      </c>
      <c r="AM1308" s="81">
        <v>0</v>
      </c>
      <c r="AN1308" s="86" t="s">
        <v>6240</v>
      </c>
      <c r="AO1308" s="86" t="s">
        <v>6503</v>
      </c>
      <c r="AP1308" s="81" t="b">
        <v>0</v>
      </c>
      <c r="AQ1308" s="86" t="s">
        <v>6131</v>
      </c>
      <c r="AR1308" s="81" t="s">
        <v>179</v>
      </c>
      <c r="AS1308" s="81">
        <v>0</v>
      </c>
      <c r="AT1308" s="81">
        <v>0</v>
      </c>
      <c r="AU1308" s="81"/>
      <c r="AV1308" s="81"/>
      <c r="AW1308" s="81"/>
      <c r="AX1308" s="81"/>
      <c r="AY1308" s="81"/>
      <c r="AZ1308" s="81"/>
      <c r="BA1308" s="81"/>
      <c r="BB1308" s="81"/>
    </row>
    <row r="1309" spans="1:54" x14ac:dyDescent="0.35">
      <c r="A1309" s="66" t="s">
        <v>959</v>
      </c>
      <c r="B1309" s="66" t="s">
        <v>1456</v>
      </c>
      <c r="C1309" s="67"/>
      <c r="D1309" s="68"/>
      <c r="E1309" s="69"/>
      <c r="F1309" s="70"/>
      <c r="G1309" s="67"/>
      <c r="H1309" s="71"/>
      <c r="I1309" s="72"/>
      <c r="J1309" s="72"/>
      <c r="K1309" s="36"/>
      <c r="L1309" s="79"/>
      <c r="M1309" s="79"/>
      <c r="N1309" s="74"/>
      <c r="O1309" s="81" t="s">
        <v>1534</v>
      </c>
      <c r="P1309" s="83">
        <v>44464.960462962961</v>
      </c>
      <c r="Q1309" s="81" t="s">
        <v>1976</v>
      </c>
      <c r="R1309" s="81"/>
      <c r="S1309" s="81"/>
      <c r="T1309" s="81"/>
      <c r="U1309" s="81"/>
      <c r="V1309" s="84" t="str">
        <f>HYPERLINK("https://pbs.twimg.com/profile_images/1267752156322381826/7n8p6zMA_normal.jpg")</f>
        <v>https://pbs.twimg.com/profile_images/1267752156322381826/7n8p6zMA_normal.jpg</v>
      </c>
      <c r="W1309" s="83">
        <v>44464.960462962961</v>
      </c>
      <c r="X1309" s="89">
        <v>44464</v>
      </c>
      <c r="Y1309" s="86" t="s">
        <v>3608</v>
      </c>
      <c r="Z1309" s="84" t="str">
        <f>HYPERLINK("https://twitter.com/unclemuthu05/status/1441901093806477315")</f>
        <v>https://twitter.com/unclemuthu05/status/1441901093806477315</v>
      </c>
      <c r="AA1309" s="81"/>
      <c r="AB1309" s="81"/>
      <c r="AC1309" s="86" t="s">
        <v>5074</v>
      </c>
      <c r="AD1309" s="86" t="s">
        <v>6132</v>
      </c>
      <c r="AE1309" s="81" t="b">
        <v>0</v>
      </c>
      <c r="AF1309" s="81">
        <v>0</v>
      </c>
      <c r="AG1309" s="86" t="s">
        <v>6388</v>
      </c>
      <c r="AH1309" s="81" t="b">
        <v>0</v>
      </c>
      <c r="AI1309" s="81" t="s">
        <v>6478</v>
      </c>
      <c r="AJ1309" s="81"/>
      <c r="AK1309" s="86" t="s">
        <v>6240</v>
      </c>
      <c r="AL1309" s="81" t="b">
        <v>0</v>
      </c>
      <c r="AM1309" s="81">
        <v>0</v>
      </c>
      <c r="AN1309" s="86" t="s">
        <v>6240</v>
      </c>
      <c r="AO1309" s="86" t="s">
        <v>6503</v>
      </c>
      <c r="AP1309" s="81" t="b">
        <v>0</v>
      </c>
      <c r="AQ1309" s="86" t="s">
        <v>6132</v>
      </c>
      <c r="AR1309" s="81" t="s">
        <v>179</v>
      </c>
      <c r="AS1309" s="81">
        <v>0</v>
      </c>
      <c r="AT1309" s="81">
        <v>0</v>
      </c>
      <c r="AU1309" s="81"/>
      <c r="AV1309" s="81"/>
      <c r="AW1309" s="81"/>
      <c r="AX1309" s="81"/>
      <c r="AY1309" s="81"/>
      <c r="AZ1309" s="81"/>
      <c r="BA1309" s="81"/>
      <c r="BB1309" s="81"/>
    </row>
    <row r="1310" spans="1:54" x14ac:dyDescent="0.35">
      <c r="A1310" s="66" t="s">
        <v>959</v>
      </c>
      <c r="B1310" s="66" t="s">
        <v>1372</v>
      </c>
      <c r="C1310" s="67"/>
      <c r="D1310" s="68"/>
      <c r="E1310" s="69"/>
      <c r="F1310" s="70"/>
      <c r="G1310" s="67"/>
      <c r="H1310" s="71"/>
      <c r="I1310" s="72"/>
      <c r="J1310" s="72"/>
      <c r="K1310" s="36"/>
      <c r="L1310" s="79"/>
      <c r="M1310" s="79"/>
      <c r="N1310" s="74"/>
      <c r="O1310" s="81" t="s">
        <v>1535</v>
      </c>
      <c r="P1310" s="83">
        <v>44464.960162037038</v>
      </c>
      <c r="Q1310" s="81" t="s">
        <v>1977</v>
      </c>
      <c r="R1310" s="81"/>
      <c r="S1310" s="81"/>
      <c r="T1310" s="81"/>
      <c r="U1310" s="81"/>
      <c r="V1310" s="84" t="str">
        <f>HYPERLINK("https://pbs.twimg.com/profile_images/1267752156322381826/7n8p6zMA_normal.jpg")</f>
        <v>https://pbs.twimg.com/profile_images/1267752156322381826/7n8p6zMA_normal.jpg</v>
      </c>
      <c r="W1310" s="83">
        <v>44464.960162037038</v>
      </c>
      <c r="X1310" s="89">
        <v>44464</v>
      </c>
      <c r="Y1310" s="86" t="s">
        <v>3609</v>
      </c>
      <c r="Z1310" s="84" t="str">
        <f>HYPERLINK("https://twitter.com/unclemuthu05/status/1441900982883930113")</f>
        <v>https://twitter.com/unclemuthu05/status/1441900982883930113</v>
      </c>
      <c r="AA1310" s="81"/>
      <c r="AB1310" s="81"/>
      <c r="AC1310" s="86" t="s">
        <v>5075</v>
      </c>
      <c r="AD1310" s="86" t="s">
        <v>6133</v>
      </c>
      <c r="AE1310" s="81" t="b">
        <v>0</v>
      </c>
      <c r="AF1310" s="81">
        <v>0</v>
      </c>
      <c r="AG1310" s="86" t="s">
        <v>6389</v>
      </c>
      <c r="AH1310" s="81" t="b">
        <v>0</v>
      </c>
      <c r="AI1310" s="81" t="s">
        <v>6478</v>
      </c>
      <c r="AJ1310" s="81"/>
      <c r="AK1310" s="86" t="s">
        <v>6240</v>
      </c>
      <c r="AL1310" s="81" t="b">
        <v>0</v>
      </c>
      <c r="AM1310" s="81">
        <v>0</v>
      </c>
      <c r="AN1310" s="86" t="s">
        <v>6240</v>
      </c>
      <c r="AO1310" s="86" t="s">
        <v>6503</v>
      </c>
      <c r="AP1310" s="81" t="b">
        <v>0</v>
      </c>
      <c r="AQ1310" s="86" t="s">
        <v>6133</v>
      </c>
      <c r="AR1310" s="81" t="s">
        <v>179</v>
      </c>
      <c r="AS1310" s="81">
        <v>0</v>
      </c>
      <c r="AT1310" s="81">
        <v>0</v>
      </c>
      <c r="AU1310" s="81"/>
      <c r="AV1310" s="81"/>
      <c r="AW1310" s="81"/>
      <c r="AX1310" s="81"/>
      <c r="AY1310" s="81"/>
      <c r="AZ1310" s="81"/>
      <c r="BA1310" s="81"/>
      <c r="BB1310" s="81"/>
    </row>
    <row r="1311" spans="1:54" x14ac:dyDescent="0.35">
      <c r="A1311" s="66" t="s">
        <v>959</v>
      </c>
      <c r="B1311" s="66" t="s">
        <v>1372</v>
      </c>
      <c r="C1311" s="67"/>
      <c r="D1311" s="68"/>
      <c r="E1311" s="69"/>
      <c r="F1311" s="70"/>
      <c r="G1311" s="67"/>
      <c r="H1311" s="71"/>
      <c r="I1311" s="72"/>
      <c r="J1311" s="72"/>
      <c r="K1311" s="36"/>
      <c r="L1311" s="79"/>
      <c r="M1311" s="79"/>
      <c r="N1311" s="74"/>
      <c r="O1311" s="81" t="s">
        <v>1535</v>
      </c>
      <c r="P1311" s="83">
        <v>44464.96025462963</v>
      </c>
      <c r="Q1311" s="81" t="s">
        <v>1975</v>
      </c>
      <c r="R1311" s="81"/>
      <c r="S1311" s="81"/>
      <c r="T1311" s="81"/>
      <c r="U1311" s="81"/>
      <c r="V1311" s="84" t="str">
        <f>HYPERLINK("https://pbs.twimg.com/profile_images/1267752156322381826/7n8p6zMA_normal.jpg")</f>
        <v>https://pbs.twimg.com/profile_images/1267752156322381826/7n8p6zMA_normal.jpg</v>
      </c>
      <c r="W1311" s="83">
        <v>44464.96025462963</v>
      </c>
      <c r="X1311" s="89">
        <v>44464</v>
      </c>
      <c r="Y1311" s="86" t="s">
        <v>3607</v>
      </c>
      <c r="Z1311" s="84" t="str">
        <f>HYPERLINK("https://twitter.com/unclemuthu05/status/1441901015893098497")</f>
        <v>https://twitter.com/unclemuthu05/status/1441901015893098497</v>
      </c>
      <c r="AA1311" s="81"/>
      <c r="AB1311" s="81"/>
      <c r="AC1311" s="86" t="s">
        <v>5073</v>
      </c>
      <c r="AD1311" s="86" t="s">
        <v>6131</v>
      </c>
      <c r="AE1311" s="81" t="b">
        <v>0</v>
      </c>
      <c r="AF1311" s="81">
        <v>0</v>
      </c>
      <c r="AG1311" s="86" t="s">
        <v>6387</v>
      </c>
      <c r="AH1311" s="81" t="b">
        <v>0</v>
      </c>
      <c r="AI1311" s="81" t="s">
        <v>6478</v>
      </c>
      <c r="AJ1311" s="81"/>
      <c r="AK1311" s="86" t="s">
        <v>6240</v>
      </c>
      <c r="AL1311" s="81" t="b">
        <v>0</v>
      </c>
      <c r="AM1311" s="81">
        <v>0</v>
      </c>
      <c r="AN1311" s="86" t="s">
        <v>6240</v>
      </c>
      <c r="AO1311" s="86" t="s">
        <v>6503</v>
      </c>
      <c r="AP1311" s="81" t="b">
        <v>0</v>
      </c>
      <c r="AQ1311" s="86" t="s">
        <v>6131</v>
      </c>
      <c r="AR1311" s="81" t="s">
        <v>179</v>
      </c>
      <c r="AS1311" s="81">
        <v>0</v>
      </c>
      <c r="AT1311" s="81">
        <v>0</v>
      </c>
      <c r="AU1311" s="81"/>
      <c r="AV1311" s="81"/>
      <c r="AW1311" s="81"/>
      <c r="AX1311" s="81"/>
      <c r="AY1311" s="81"/>
      <c r="AZ1311" s="81"/>
      <c r="BA1311" s="81"/>
      <c r="BB1311" s="81"/>
    </row>
    <row r="1312" spans="1:54" x14ac:dyDescent="0.35">
      <c r="A1312" s="66" t="s">
        <v>959</v>
      </c>
      <c r="B1312" s="66" t="s">
        <v>1372</v>
      </c>
      <c r="C1312" s="67"/>
      <c r="D1312" s="68"/>
      <c r="E1312" s="69"/>
      <c r="F1312" s="70"/>
      <c r="G1312" s="67"/>
      <c r="H1312" s="71"/>
      <c r="I1312" s="72"/>
      <c r="J1312" s="72"/>
      <c r="K1312" s="36"/>
      <c r="L1312" s="79"/>
      <c r="M1312" s="79"/>
      <c r="N1312" s="74"/>
      <c r="O1312" s="81" t="s">
        <v>1535</v>
      </c>
      <c r="P1312" s="83">
        <v>44464.960462962961</v>
      </c>
      <c r="Q1312" s="81" t="s">
        <v>1976</v>
      </c>
      <c r="R1312" s="81"/>
      <c r="S1312" s="81"/>
      <c r="T1312" s="81"/>
      <c r="U1312" s="81"/>
      <c r="V1312" s="84" t="str">
        <f>HYPERLINK("https://pbs.twimg.com/profile_images/1267752156322381826/7n8p6zMA_normal.jpg")</f>
        <v>https://pbs.twimg.com/profile_images/1267752156322381826/7n8p6zMA_normal.jpg</v>
      </c>
      <c r="W1312" s="83">
        <v>44464.960462962961</v>
      </c>
      <c r="X1312" s="89">
        <v>44464</v>
      </c>
      <c r="Y1312" s="86" t="s">
        <v>3608</v>
      </c>
      <c r="Z1312" s="84" t="str">
        <f>HYPERLINK("https://twitter.com/unclemuthu05/status/1441901093806477315")</f>
        <v>https://twitter.com/unclemuthu05/status/1441901093806477315</v>
      </c>
      <c r="AA1312" s="81"/>
      <c r="AB1312" s="81"/>
      <c r="AC1312" s="86" t="s">
        <v>5074</v>
      </c>
      <c r="AD1312" s="86" t="s">
        <v>6132</v>
      </c>
      <c r="AE1312" s="81" t="b">
        <v>0</v>
      </c>
      <c r="AF1312" s="81">
        <v>0</v>
      </c>
      <c r="AG1312" s="86" t="s">
        <v>6388</v>
      </c>
      <c r="AH1312" s="81" t="b">
        <v>0</v>
      </c>
      <c r="AI1312" s="81" t="s">
        <v>6478</v>
      </c>
      <c r="AJ1312" s="81"/>
      <c r="AK1312" s="86" t="s">
        <v>6240</v>
      </c>
      <c r="AL1312" s="81" t="b">
        <v>0</v>
      </c>
      <c r="AM1312" s="81">
        <v>0</v>
      </c>
      <c r="AN1312" s="86" t="s">
        <v>6240</v>
      </c>
      <c r="AO1312" s="86" t="s">
        <v>6503</v>
      </c>
      <c r="AP1312" s="81" t="b">
        <v>0</v>
      </c>
      <c r="AQ1312" s="86" t="s">
        <v>6132</v>
      </c>
      <c r="AR1312" s="81" t="s">
        <v>179</v>
      </c>
      <c r="AS1312" s="81">
        <v>0</v>
      </c>
      <c r="AT1312" s="81">
        <v>0</v>
      </c>
      <c r="AU1312" s="81"/>
      <c r="AV1312" s="81"/>
      <c r="AW1312" s="81"/>
      <c r="AX1312" s="81"/>
      <c r="AY1312" s="81"/>
      <c r="AZ1312" s="81"/>
      <c r="BA1312" s="81"/>
      <c r="BB1312" s="81"/>
    </row>
    <row r="1313" spans="1:54" x14ac:dyDescent="0.35">
      <c r="A1313" s="66" t="s">
        <v>960</v>
      </c>
      <c r="B1313" s="66" t="s">
        <v>1372</v>
      </c>
      <c r="C1313" s="67"/>
      <c r="D1313" s="68"/>
      <c r="E1313" s="69"/>
      <c r="F1313" s="70"/>
      <c r="G1313" s="67"/>
      <c r="H1313" s="71"/>
      <c r="I1313" s="72"/>
      <c r="J1313" s="72"/>
      <c r="K1313" s="36"/>
      <c r="L1313" s="79"/>
      <c r="M1313" s="79"/>
      <c r="N1313" s="74"/>
      <c r="O1313" s="81" t="s">
        <v>1535</v>
      </c>
      <c r="P1313" s="83">
        <v>44464.960960648146</v>
      </c>
      <c r="Q1313" s="81" t="s">
        <v>1978</v>
      </c>
      <c r="R1313" s="81"/>
      <c r="S1313" s="81"/>
      <c r="T1313" s="81"/>
      <c r="U1313" s="81"/>
      <c r="V1313" s="84" t="str">
        <f>HYPERLINK("https://pbs.twimg.com/profile_images/1413600731165118464/Smi9sx6l_normal.jpg")</f>
        <v>https://pbs.twimg.com/profile_images/1413600731165118464/Smi9sx6l_normal.jpg</v>
      </c>
      <c r="W1313" s="83">
        <v>44464.960960648146</v>
      </c>
      <c r="X1313" s="89">
        <v>44464</v>
      </c>
      <c r="Y1313" s="86" t="s">
        <v>3610</v>
      </c>
      <c r="Z1313" s="84" t="str">
        <f>HYPERLINK("https://twitter.com/jeneralkenobii/status/1441901273414922240")</f>
        <v>https://twitter.com/jeneralkenobii/status/1441901273414922240</v>
      </c>
      <c r="AA1313" s="81"/>
      <c r="AB1313" s="81"/>
      <c r="AC1313" s="86" t="s">
        <v>5076</v>
      </c>
      <c r="AD1313" s="86" t="s">
        <v>5075</v>
      </c>
      <c r="AE1313" s="81" t="b">
        <v>0</v>
      </c>
      <c r="AF1313" s="81">
        <v>0</v>
      </c>
      <c r="AG1313" s="86" t="s">
        <v>6390</v>
      </c>
      <c r="AH1313" s="81" t="b">
        <v>0</v>
      </c>
      <c r="AI1313" s="81" t="s">
        <v>6478</v>
      </c>
      <c r="AJ1313" s="81"/>
      <c r="AK1313" s="86" t="s">
        <v>6240</v>
      </c>
      <c r="AL1313" s="81" t="b">
        <v>0</v>
      </c>
      <c r="AM1313" s="81">
        <v>0</v>
      </c>
      <c r="AN1313" s="86" t="s">
        <v>6240</v>
      </c>
      <c r="AO1313" s="86" t="s">
        <v>6503</v>
      </c>
      <c r="AP1313" s="81" t="b">
        <v>0</v>
      </c>
      <c r="AQ1313" s="86" t="s">
        <v>5075</v>
      </c>
      <c r="AR1313" s="81" t="s">
        <v>179</v>
      </c>
      <c r="AS1313" s="81">
        <v>0</v>
      </c>
      <c r="AT1313" s="81">
        <v>0</v>
      </c>
      <c r="AU1313" s="81"/>
      <c r="AV1313" s="81"/>
      <c r="AW1313" s="81"/>
      <c r="AX1313" s="81"/>
      <c r="AY1313" s="81"/>
      <c r="AZ1313" s="81"/>
      <c r="BA1313" s="81"/>
      <c r="BB1313" s="81"/>
    </row>
    <row r="1314" spans="1:54" x14ac:dyDescent="0.35">
      <c r="A1314" s="66" t="s">
        <v>959</v>
      </c>
      <c r="B1314" s="66" t="s">
        <v>1371</v>
      </c>
      <c r="C1314" s="67"/>
      <c r="D1314" s="68"/>
      <c r="E1314" s="69"/>
      <c r="F1314" s="70"/>
      <c r="G1314" s="67"/>
      <c r="H1314" s="71"/>
      <c r="I1314" s="72"/>
      <c r="J1314" s="72"/>
      <c r="K1314" s="36"/>
      <c r="L1314" s="79"/>
      <c r="M1314" s="79"/>
      <c r="N1314" s="74"/>
      <c r="O1314" s="81" t="s">
        <v>1535</v>
      </c>
      <c r="P1314" s="83">
        <v>44464.960162037038</v>
      </c>
      <c r="Q1314" s="81" t="s">
        <v>1977</v>
      </c>
      <c r="R1314" s="81"/>
      <c r="S1314" s="81"/>
      <c r="T1314" s="81"/>
      <c r="U1314" s="81"/>
      <c r="V1314" s="84" t="str">
        <f>HYPERLINK("https://pbs.twimg.com/profile_images/1267752156322381826/7n8p6zMA_normal.jpg")</f>
        <v>https://pbs.twimg.com/profile_images/1267752156322381826/7n8p6zMA_normal.jpg</v>
      </c>
      <c r="W1314" s="83">
        <v>44464.960162037038</v>
      </c>
      <c r="X1314" s="89">
        <v>44464</v>
      </c>
      <c r="Y1314" s="86" t="s">
        <v>3609</v>
      </c>
      <c r="Z1314" s="84" t="str">
        <f>HYPERLINK("https://twitter.com/unclemuthu05/status/1441900982883930113")</f>
        <v>https://twitter.com/unclemuthu05/status/1441900982883930113</v>
      </c>
      <c r="AA1314" s="81"/>
      <c r="AB1314" s="81"/>
      <c r="AC1314" s="86" t="s">
        <v>5075</v>
      </c>
      <c r="AD1314" s="86" t="s">
        <v>6133</v>
      </c>
      <c r="AE1314" s="81" t="b">
        <v>0</v>
      </c>
      <c r="AF1314" s="81">
        <v>0</v>
      </c>
      <c r="AG1314" s="86" t="s">
        <v>6389</v>
      </c>
      <c r="AH1314" s="81" t="b">
        <v>0</v>
      </c>
      <c r="AI1314" s="81" t="s">
        <v>6478</v>
      </c>
      <c r="AJ1314" s="81"/>
      <c r="AK1314" s="86" t="s">
        <v>6240</v>
      </c>
      <c r="AL1314" s="81" t="b">
        <v>0</v>
      </c>
      <c r="AM1314" s="81">
        <v>0</v>
      </c>
      <c r="AN1314" s="86" t="s">
        <v>6240</v>
      </c>
      <c r="AO1314" s="86" t="s">
        <v>6503</v>
      </c>
      <c r="AP1314" s="81" t="b">
        <v>0</v>
      </c>
      <c r="AQ1314" s="86" t="s">
        <v>6133</v>
      </c>
      <c r="AR1314" s="81" t="s">
        <v>179</v>
      </c>
      <c r="AS1314" s="81">
        <v>0</v>
      </c>
      <c r="AT1314" s="81">
        <v>0</v>
      </c>
      <c r="AU1314" s="81"/>
      <c r="AV1314" s="81"/>
      <c r="AW1314" s="81"/>
      <c r="AX1314" s="81"/>
      <c r="AY1314" s="81"/>
      <c r="AZ1314" s="81"/>
      <c r="BA1314" s="81"/>
      <c r="BB1314" s="81"/>
    </row>
    <row r="1315" spans="1:54" x14ac:dyDescent="0.35">
      <c r="A1315" s="66" t="s">
        <v>959</v>
      </c>
      <c r="B1315" s="66" t="s">
        <v>1371</v>
      </c>
      <c r="C1315" s="67"/>
      <c r="D1315" s="68"/>
      <c r="E1315" s="69"/>
      <c r="F1315" s="70"/>
      <c r="G1315" s="67"/>
      <c r="H1315" s="71"/>
      <c r="I1315" s="72"/>
      <c r="J1315" s="72"/>
      <c r="K1315" s="36"/>
      <c r="L1315" s="79"/>
      <c r="M1315" s="79"/>
      <c r="N1315" s="74"/>
      <c r="O1315" s="81" t="s">
        <v>1535</v>
      </c>
      <c r="P1315" s="83">
        <v>44464.96025462963</v>
      </c>
      <c r="Q1315" s="81" t="s">
        <v>1975</v>
      </c>
      <c r="R1315" s="81"/>
      <c r="S1315" s="81"/>
      <c r="T1315" s="81"/>
      <c r="U1315" s="81"/>
      <c r="V1315" s="84" t="str">
        <f>HYPERLINK("https://pbs.twimg.com/profile_images/1267752156322381826/7n8p6zMA_normal.jpg")</f>
        <v>https://pbs.twimg.com/profile_images/1267752156322381826/7n8p6zMA_normal.jpg</v>
      </c>
      <c r="W1315" s="83">
        <v>44464.96025462963</v>
      </c>
      <c r="X1315" s="89">
        <v>44464</v>
      </c>
      <c r="Y1315" s="86" t="s">
        <v>3607</v>
      </c>
      <c r="Z1315" s="84" t="str">
        <f>HYPERLINK("https://twitter.com/unclemuthu05/status/1441901015893098497")</f>
        <v>https://twitter.com/unclemuthu05/status/1441901015893098497</v>
      </c>
      <c r="AA1315" s="81"/>
      <c r="AB1315" s="81"/>
      <c r="AC1315" s="86" t="s">
        <v>5073</v>
      </c>
      <c r="AD1315" s="86" t="s">
        <v>6131</v>
      </c>
      <c r="AE1315" s="81" t="b">
        <v>0</v>
      </c>
      <c r="AF1315" s="81">
        <v>0</v>
      </c>
      <c r="AG1315" s="86" t="s">
        <v>6387</v>
      </c>
      <c r="AH1315" s="81" t="b">
        <v>0</v>
      </c>
      <c r="AI1315" s="81" t="s">
        <v>6478</v>
      </c>
      <c r="AJ1315" s="81"/>
      <c r="AK1315" s="86" t="s">
        <v>6240</v>
      </c>
      <c r="AL1315" s="81" t="b">
        <v>0</v>
      </c>
      <c r="AM1315" s="81">
        <v>0</v>
      </c>
      <c r="AN1315" s="86" t="s">
        <v>6240</v>
      </c>
      <c r="AO1315" s="86" t="s">
        <v>6503</v>
      </c>
      <c r="AP1315" s="81" t="b">
        <v>0</v>
      </c>
      <c r="AQ1315" s="86" t="s">
        <v>6131</v>
      </c>
      <c r="AR1315" s="81" t="s">
        <v>179</v>
      </c>
      <c r="AS1315" s="81">
        <v>0</v>
      </c>
      <c r="AT1315" s="81">
        <v>0</v>
      </c>
      <c r="AU1315" s="81"/>
      <c r="AV1315" s="81"/>
      <c r="AW1315" s="81"/>
      <c r="AX1315" s="81"/>
      <c r="AY1315" s="81"/>
      <c r="AZ1315" s="81"/>
      <c r="BA1315" s="81"/>
      <c r="BB1315" s="81"/>
    </row>
    <row r="1316" spans="1:54" x14ac:dyDescent="0.35">
      <c r="A1316" s="66" t="s">
        <v>959</v>
      </c>
      <c r="B1316" s="66" t="s">
        <v>1371</v>
      </c>
      <c r="C1316" s="67"/>
      <c r="D1316" s="68"/>
      <c r="E1316" s="69"/>
      <c r="F1316" s="70"/>
      <c r="G1316" s="67"/>
      <c r="H1316" s="71"/>
      <c r="I1316" s="72"/>
      <c r="J1316" s="72"/>
      <c r="K1316" s="36"/>
      <c r="L1316" s="79"/>
      <c r="M1316" s="79"/>
      <c r="N1316" s="74"/>
      <c r="O1316" s="81" t="s">
        <v>1535</v>
      </c>
      <c r="P1316" s="83">
        <v>44464.960462962961</v>
      </c>
      <c r="Q1316" s="81" t="s">
        <v>1976</v>
      </c>
      <c r="R1316" s="81"/>
      <c r="S1316" s="81"/>
      <c r="T1316" s="81"/>
      <c r="U1316" s="81"/>
      <c r="V1316" s="84" t="str">
        <f>HYPERLINK("https://pbs.twimg.com/profile_images/1267752156322381826/7n8p6zMA_normal.jpg")</f>
        <v>https://pbs.twimg.com/profile_images/1267752156322381826/7n8p6zMA_normal.jpg</v>
      </c>
      <c r="W1316" s="83">
        <v>44464.960462962961</v>
      </c>
      <c r="X1316" s="89">
        <v>44464</v>
      </c>
      <c r="Y1316" s="86" t="s">
        <v>3608</v>
      </c>
      <c r="Z1316" s="84" t="str">
        <f>HYPERLINK("https://twitter.com/unclemuthu05/status/1441901093806477315")</f>
        <v>https://twitter.com/unclemuthu05/status/1441901093806477315</v>
      </c>
      <c r="AA1316" s="81"/>
      <c r="AB1316" s="81"/>
      <c r="AC1316" s="86" t="s">
        <v>5074</v>
      </c>
      <c r="AD1316" s="86" t="s">
        <v>6132</v>
      </c>
      <c r="AE1316" s="81" t="b">
        <v>0</v>
      </c>
      <c r="AF1316" s="81">
        <v>0</v>
      </c>
      <c r="AG1316" s="86" t="s">
        <v>6388</v>
      </c>
      <c r="AH1316" s="81" t="b">
        <v>0</v>
      </c>
      <c r="AI1316" s="81" t="s">
        <v>6478</v>
      </c>
      <c r="AJ1316" s="81"/>
      <c r="AK1316" s="86" t="s">
        <v>6240</v>
      </c>
      <c r="AL1316" s="81" t="b">
        <v>0</v>
      </c>
      <c r="AM1316" s="81">
        <v>0</v>
      </c>
      <c r="AN1316" s="86" t="s">
        <v>6240</v>
      </c>
      <c r="AO1316" s="86" t="s">
        <v>6503</v>
      </c>
      <c r="AP1316" s="81" t="b">
        <v>0</v>
      </c>
      <c r="AQ1316" s="86" t="s">
        <v>6132</v>
      </c>
      <c r="AR1316" s="81" t="s">
        <v>179</v>
      </c>
      <c r="AS1316" s="81">
        <v>0</v>
      </c>
      <c r="AT1316" s="81">
        <v>0</v>
      </c>
      <c r="AU1316" s="81"/>
      <c r="AV1316" s="81"/>
      <c r="AW1316" s="81"/>
      <c r="AX1316" s="81"/>
      <c r="AY1316" s="81"/>
      <c r="AZ1316" s="81"/>
      <c r="BA1316" s="81"/>
      <c r="BB1316" s="81"/>
    </row>
    <row r="1317" spans="1:54" x14ac:dyDescent="0.35">
      <c r="A1317" s="66" t="s">
        <v>960</v>
      </c>
      <c r="B1317" s="66" t="s">
        <v>1371</v>
      </c>
      <c r="C1317" s="67"/>
      <c r="D1317" s="68"/>
      <c r="E1317" s="69"/>
      <c r="F1317" s="70"/>
      <c r="G1317" s="67"/>
      <c r="H1317" s="71"/>
      <c r="I1317" s="72"/>
      <c r="J1317" s="72"/>
      <c r="K1317" s="36"/>
      <c r="L1317" s="79"/>
      <c r="M1317" s="79"/>
      <c r="N1317" s="74"/>
      <c r="O1317" s="81" t="s">
        <v>1535</v>
      </c>
      <c r="P1317" s="83">
        <v>44464.960960648146</v>
      </c>
      <c r="Q1317" s="81" t="s">
        <v>1978</v>
      </c>
      <c r="R1317" s="81"/>
      <c r="S1317" s="81"/>
      <c r="T1317" s="81"/>
      <c r="U1317" s="81"/>
      <c r="V1317" s="84" t="str">
        <f>HYPERLINK("https://pbs.twimg.com/profile_images/1413600731165118464/Smi9sx6l_normal.jpg")</f>
        <v>https://pbs.twimg.com/profile_images/1413600731165118464/Smi9sx6l_normal.jpg</v>
      </c>
      <c r="W1317" s="83">
        <v>44464.960960648146</v>
      </c>
      <c r="X1317" s="89">
        <v>44464</v>
      </c>
      <c r="Y1317" s="86" t="s">
        <v>3610</v>
      </c>
      <c r="Z1317" s="84" t="str">
        <f>HYPERLINK("https://twitter.com/jeneralkenobii/status/1441901273414922240")</f>
        <v>https://twitter.com/jeneralkenobii/status/1441901273414922240</v>
      </c>
      <c r="AA1317" s="81"/>
      <c r="AB1317" s="81"/>
      <c r="AC1317" s="86" t="s">
        <v>5076</v>
      </c>
      <c r="AD1317" s="86" t="s">
        <v>5075</v>
      </c>
      <c r="AE1317" s="81" t="b">
        <v>0</v>
      </c>
      <c r="AF1317" s="81">
        <v>0</v>
      </c>
      <c r="AG1317" s="86" t="s">
        <v>6390</v>
      </c>
      <c r="AH1317" s="81" t="b">
        <v>0</v>
      </c>
      <c r="AI1317" s="81" t="s">
        <v>6478</v>
      </c>
      <c r="AJ1317" s="81"/>
      <c r="AK1317" s="86" t="s">
        <v>6240</v>
      </c>
      <c r="AL1317" s="81" t="b">
        <v>0</v>
      </c>
      <c r="AM1317" s="81">
        <v>0</v>
      </c>
      <c r="AN1317" s="86" t="s">
        <v>6240</v>
      </c>
      <c r="AO1317" s="86" t="s">
        <v>6503</v>
      </c>
      <c r="AP1317" s="81" t="b">
        <v>0</v>
      </c>
      <c r="AQ1317" s="86" t="s">
        <v>5075</v>
      </c>
      <c r="AR1317" s="81" t="s">
        <v>179</v>
      </c>
      <c r="AS1317" s="81">
        <v>0</v>
      </c>
      <c r="AT1317" s="81">
        <v>0</v>
      </c>
      <c r="AU1317" s="81"/>
      <c r="AV1317" s="81"/>
      <c r="AW1317" s="81"/>
      <c r="AX1317" s="81"/>
      <c r="AY1317" s="81"/>
      <c r="AZ1317" s="81"/>
      <c r="BA1317" s="81"/>
      <c r="BB1317" s="81"/>
    </row>
    <row r="1318" spans="1:54" x14ac:dyDescent="0.35">
      <c r="A1318" s="66" t="s">
        <v>959</v>
      </c>
      <c r="B1318" s="66" t="s">
        <v>960</v>
      </c>
      <c r="C1318" s="67"/>
      <c r="D1318" s="68"/>
      <c r="E1318" s="69"/>
      <c r="F1318" s="70"/>
      <c r="G1318" s="67"/>
      <c r="H1318" s="71"/>
      <c r="I1318" s="72"/>
      <c r="J1318" s="72"/>
      <c r="K1318" s="36"/>
      <c r="L1318" s="79"/>
      <c r="M1318" s="79"/>
      <c r="N1318" s="74"/>
      <c r="O1318" s="81" t="s">
        <v>1534</v>
      </c>
      <c r="P1318" s="83">
        <v>44464.960162037038</v>
      </c>
      <c r="Q1318" s="81" t="s">
        <v>1977</v>
      </c>
      <c r="R1318" s="81"/>
      <c r="S1318" s="81"/>
      <c r="T1318" s="81"/>
      <c r="U1318" s="81"/>
      <c r="V1318" s="84" t="str">
        <f>HYPERLINK("https://pbs.twimg.com/profile_images/1267752156322381826/7n8p6zMA_normal.jpg")</f>
        <v>https://pbs.twimg.com/profile_images/1267752156322381826/7n8p6zMA_normal.jpg</v>
      </c>
      <c r="W1318" s="83">
        <v>44464.960162037038</v>
      </c>
      <c r="X1318" s="89">
        <v>44464</v>
      </c>
      <c r="Y1318" s="86" t="s">
        <v>3609</v>
      </c>
      <c r="Z1318" s="84" t="str">
        <f>HYPERLINK("https://twitter.com/unclemuthu05/status/1441900982883930113")</f>
        <v>https://twitter.com/unclemuthu05/status/1441900982883930113</v>
      </c>
      <c r="AA1318" s="81"/>
      <c r="AB1318" s="81"/>
      <c r="AC1318" s="86" t="s">
        <v>5075</v>
      </c>
      <c r="AD1318" s="86" t="s">
        <v>6133</v>
      </c>
      <c r="AE1318" s="81" t="b">
        <v>0</v>
      </c>
      <c r="AF1318" s="81">
        <v>0</v>
      </c>
      <c r="AG1318" s="86" t="s">
        <v>6389</v>
      </c>
      <c r="AH1318" s="81" t="b">
        <v>0</v>
      </c>
      <c r="AI1318" s="81" t="s">
        <v>6478</v>
      </c>
      <c r="AJ1318" s="81"/>
      <c r="AK1318" s="86" t="s">
        <v>6240</v>
      </c>
      <c r="AL1318" s="81" t="b">
        <v>0</v>
      </c>
      <c r="AM1318" s="81">
        <v>0</v>
      </c>
      <c r="AN1318" s="86" t="s">
        <v>6240</v>
      </c>
      <c r="AO1318" s="86" t="s">
        <v>6503</v>
      </c>
      <c r="AP1318" s="81" t="b">
        <v>0</v>
      </c>
      <c r="AQ1318" s="86" t="s">
        <v>6133</v>
      </c>
      <c r="AR1318" s="81" t="s">
        <v>179</v>
      </c>
      <c r="AS1318" s="81">
        <v>0</v>
      </c>
      <c r="AT1318" s="81">
        <v>0</v>
      </c>
      <c r="AU1318" s="81"/>
      <c r="AV1318" s="81"/>
      <c r="AW1318" s="81"/>
      <c r="AX1318" s="81"/>
      <c r="AY1318" s="81"/>
      <c r="AZ1318" s="81"/>
      <c r="BA1318" s="81"/>
      <c r="BB1318" s="81"/>
    </row>
    <row r="1319" spans="1:54" x14ac:dyDescent="0.35">
      <c r="A1319" s="66" t="s">
        <v>960</v>
      </c>
      <c r="B1319" s="66" t="s">
        <v>959</v>
      </c>
      <c r="C1319" s="67"/>
      <c r="D1319" s="68"/>
      <c r="E1319" s="69"/>
      <c r="F1319" s="70"/>
      <c r="G1319" s="67"/>
      <c r="H1319" s="71"/>
      <c r="I1319" s="72"/>
      <c r="J1319" s="72"/>
      <c r="K1319" s="36"/>
      <c r="L1319" s="79"/>
      <c r="M1319" s="79"/>
      <c r="N1319" s="74"/>
      <c r="O1319" s="81" t="s">
        <v>1534</v>
      </c>
      <c r="P1319" s="83">
        <v>44464.960960648146</v>
      </c>
      <c r="Q1319" s="81" t="s">
        <v>1978</v>
      </c>
      <c r="R1319" s="81"/>
      <c r="S1319" s="81"/>
      <c r="T1319" s="81"/>
      <c r="U1319" s="81"/>
      <c r="V1319" s="84" t="str">
        <f>HYPERLINK("https://pbs.twimg.com/profile_images/1413600731165118464/Smi9sx6l_normal.jpg")</f>
        <v>https://pbs.twimg.com/profile_images/1413600731165118464/Smi9sx6l_normal.jpg</v>
      </c>
      <c r="W1319" s="83">
        <v>44464.960960648146</v>
      </c>
      <c r="X1319" s="89">
        <v>44464</v>
      </c>
      <c r="Y1319" s="86" t="s">
        <v>3610</v>
      </c>
      <c r="Z1319" s="84" t="str">
        <f>HYPERLINK("https://twitter.com/jeneralkenobii/status/1441901273414922240")</f>
        <v>https://twitter.com/jeneralkenobii/status/1441901273414922240</v>
      </c>
      <c r="AA1319" s="81"/>
      <c r="AB1319" s="81"/>
      <c r="AC1319" s="86" t="s">
        <v>5076</v>
      </c>
      <c r="AD1319" s="86" t="s">
        <v>5075</v>
      </c>
      <c r="AE1319" s="81" t="b">
        <v>0</v>
      </c>
      <c r="AF1319" s="81">
        <v>0</v>
      </c>
      <c r="AG1319" s="86" t="s">
        <v>6390</v>
      </c>
      <c r="AH1319" s="81" t="b">
        <v>0</v>
      </c>
      <c r="AI1319" s="81" t="s">
        <v>6478</v>
      </c>
      <c r="AJ1319" s="81"/>
      <c r="AK1319" s="86" t="s">
        <v>6240</v>
      </c>
      <c r="AL1319" s="81" t="b">
        <v>0</v>
      </c>
      <c r="AM1319" s="81">
        <v>0</v>
      </c>
      <c r="AN1319" s="86" t="s">
        <v>6240</v>
      </c>
      <c r="AO1319" s="86" t="s">
        <v>6503</v>
      </c>
      <c r="AP1319" s="81" t="b">
        <v>0</v>
      </c>
      <c r="AQ1319" s="86" t="s">
        <v>5075</v>
      </c>
      <c r="AR1319" s="81" t="s">
        <v>179</v>
      </c>
      <c r="AS1319" s="81">
        <v>0</v>
      </c>
      <c r="AT1319" s="81">
        <v>0</v>
      </c>
      <c r="AU1319" s="81"/>
      <c r="AV1319" s="81"/>
      <c r="AW1319" s="81"/>
      <c r="AX1319" s="81"/>
      <c r="AY1319" s="81"/>
      <c r="AZ1319" s="81"/>
      <c r="BA1319" s="81"/>
      <c r="BB1319" s="81"/>
    </row>
    <row r="1320" spans="1:54" x14ac:dyDescent="0.35">
      <c r="A1320" s="66" t="s">
        <v>961</v>
      </c>
      <c r="B1320" s="66" t="s">
        <v>961</v>
      </c>
      <c r="C1320" s="67"/>
      <c r="D1320" s="68"/>
      <c r="E1320" s="69"/>
      <c r="F1320" s="70"/>
      <c r="G1320" s="67"/>
      <c r="H1320" s="71"/>
      <c r="I1320" s="72"/>
      <c r="J1320" s="72"/>
      <c r="K1320" s="36"/>
      <c r="L1320" s="79"/>
      <c r="M1320" s="79"/>
      <c r="N1320" s="74"/>
      <c r="O1320" s="81" t="s">
        <v>179</v>
      </c>
      <c r="P1320" s="83">
        <v>44465.002083333333</v>
      </c>
      <c r="Q1320" s="81" t="s">
        <v>1979</v>
      </c>
      <c r="R1320" s="81"/>
      <c r="S1320" s="81"/>
      <c r="T1320" s="81"/>
      <c r="U1320" s="81"/>
      <c r="V1320" s="84" t="str">
        <f>HYPERLINK("https://pbs.twimg.com/profile_images/1437034466615070723/g5HtDvbA_normal.jpg")</f>
        <v>https://pbs.twimg.com/profile_images/1437034466615070723/g5HtDvbA_normal.jpg</v>
      </c>
      <c r="W1320" s="83">
        <v>44465.002083333333</v>
      </c>
      <c r="X1320" s="89">
        <v>44465</v>
      </c>
      <c r="Y1320" s="86" t="s">
        <v>3611</v>
      </c>
      <c r="Z1320" s="84" t="str">
        <f>HYPERLINK("https://twitter.com/aniszulkifle/status/1441916175789682698")</f>
        <v>https://twitter.com/aniszulkifle/status/1441916175789682698</v>
      </c>
      <c r="AA1320" s="81"/>
      <c r="AB1320" s="81"/>
      <c r="AC1320" s="86" t="s">
        <v>5077</v>
      </c>
      <c r="AD1320" s="81"/>
      <c r="AE1320" s="81" t="b">
        <v>0</v>
      </c>
      <c r="AF1320" s="81">
        <v>0</v>
      </c>
      <c r="AG1320" s="86" t="s">
        <v>6240</v>
      </c>
      <c r="AH1320" s="81" t="b">
        <v>0</v>
      </c>
      <c r="AI1320" s="81" t="s">
        <v>6478</v>
      </c>
      <c r="AJ1320" s="81"/>
      <c r="AK1320" s="86" t="s">
        <v>6240</v>
      </c>
      <c r="AL1320" s="81" t="b">
        <v>0</v>
      </c>
      <c r="AM1320" s="81">
        <v>0</v>
      </c>
      <c r="AN1320" s="86" t="s">
        <v>6240</v>
      </c>
      <c r="AO1320" s="86" t="s">
        <v>6505</v>
      </c>
      <c r="AP1320" s="81" t="b">
        <v>0</v>
      </c>
      <c r="AQ1320" s="86" t="s">
        <v>5077</v>
      </c>
      <c r="AR1320" s="81" t="s">
        <v>179</v>
      </c>
      <c r="AS1320" s="81">
        <v>0</v>
      </c>
      <c r="AT1320" s="81">
        <v>0</v>
      </c>
      <c r="AU1320" s="81"/>
      <c r="AV1320" s="81"/>
      <c r="AW1320" s="81"/>
      <c r="AX1320" s="81"/>
      <c r="AY1320" s="81"/>
      <c r="AZ1320" s="81"/>
      <c r="BA1320" s="81"/>
      <c r="BB1320" s="81"/>
    </row>
    <row r="1321" spans="1:54" x14ac:dyDescent="0.35">
      <c r="A1321" s="66" t="s">
        <v>962</v>
      </c>
      <c r="B1321" s="66" t="s">
        <v>1457</v>
      </c>
      <c r="C1321" s="67"/>
      <c r="D1321" s="68"/>
      <c r="E1321" s="69"/>
      <c r="F1321" s="70"/>
      <c r="G1321" s="67"/>
      <c r="H1321" s="71"/>
      <c r="I1321" s="72"/>
      <c r="J1321" s="72"/>
      <c r="K1321" s="36"/>
      <c r="L1321" s="79"/>
      <c r="M1321" s="79"/>
      <c r="N1321" s="74"/>
      <c r="O1321" s="81" t="s">
        <v>1535</v>
      </c>
      <c r="P1321" s="83">
        <v>44464.334687499999</v>
      </c>
      <c r="Q1321" s="81" t="s">
        <v>1980</v>
      </c>
      <c r="R1321" s="81"/>
      <c r="S1321" s="81"/>
      <c r="T1321" s="81"/>
      <c r="U1321" s="84" t="str">
        <f>HYPERLINK("https://pbs.twimg.com/media/FAHbIQkVQAcUSHF.jpg")</f>
        <v>https://pbs.twimg.com/media/FAHbIQkVQAcUSHF.jpg</v>
      </c>
      <c r="V1321" s="84" t="str">
        <f>HYPERLINK("https://pbs.twimg.com/media/FAHbIQkVQAcUSHF.jpg")</f>
        <v>https://pbs.twimg.com/media/FAHbIQkVQAcUSHF.jpg</v>
      </c>
      <c r="W1321" s="83">
        <v>44464.334687499999</v>
      </c>
      <c r="X1321" s="89">
        <v>44464</v>
      </c>
      <c r="Y1321" s="86" t="s">
        <v>3612</v>
      </c>
      <c r="Z1321" s="84" t="str">
        <f>HYPERLINK("https://twitter.com/ahidahid/status/1441674318493089801")</f>
        <v>https://twitter.com/ahidahid/status/1441674318493089801</v>
      </c>
      <c r="AA1321" s="81"/>
      <c r="AB1321" s="81"/>
      <c r="AC1321" s="86" t="s">
        <v>5078</v>
      </c>
      <c r="AD1321" s="81"/>
      <c r="AE1321" s="81" t="b">
        <v>0</v>
      </c>
      <c r="AF1321" s="81">
        <v>2</v>
      </c>
      <c r="AG1321" s="86" t="s">
        <v>6240</v>
      </c>
      <c r="AH1321" s="81" t="b">
        <v>0</v>
      </c>
      <c r="AI1321" s="81" t="s">
        <v>6478</v>
      </c>
      <c r="AJ1321" s="81"/>
      <c r="AK1321" s="86" t="s">
        <v>6240</v>
      </c>
      <c r="AL1321" s="81" t="b">
        <v>0</v>
      </c>
      <c r="AM1321" s="81">
        <v>1</v>
      </c>
      <c r="AN1321" s="86" t="s">
        <v>6240</v>
      </c>
      <c r="AO1321" s="86" t="s">
        <v>6503</v>
      </c>
      <c r="AP1321" s="81" t="b">
        <v>0</v>
      </c>
      <c r="AQ1321" s="86" t="s">
        <v>5078</v>
      </c>
      <c r="AR1321" s="81" t="s">
        <v>179</v>
      </c>
      <c r="AS1321" s="81">
        <v>0</v>
      </c>
      <c r="AT1321" s="81">
        <v>0</v>
      </c>
      <c r="AU1321" s="81"/>
      <c r="AV1321" s="81"/>
      <c r="AW1321" s="81"/>
      <c r="AX1321" s="81"/>
      <c r="AY1321" s="81"/>
      <c r="AZ1321" s="81"/>
      <c r="BA1321" s="81"/>
      <c r="BB1321" s="81"/>
    </row>
    <row r="1322" spans="1:54" x14ac:dyDescent="0.35">
      <c r="A1322" s="66" t="s">
        <v>963</v>
      </c>
      <c r="B1322" s="66" t="s">
        <v>1457</v>
      </c>
      <c r="C1322" s="67"/>
      <c r="D1322" s="68"/>
      <c r="E1322" s="69"/>
      <c r="F1322" s="70"/>
      <c r="G1322" s="67"/>
      <c r="H1322" s="71"/>
      <c r="I1322" s="72"/>
      <c r="J1322" s="72"/>
      <c r="K1322" s="36"/>
      <c r="L1322" s="79"/>
      <c r="M1322" s="79"/>
      <c r="N1322" s="74"/>
      <c r="O1322" s="81" t="s">
        <v>1533</v>
      </c>
      <c r="P1322" s="83">
        <v>44465.047650462962</v>
      </c>
      <c r="Q1322" s="81" t="s">
        <v>1980</v>
      </c>
      <c r="R1322" s="81"/>
      <c r="S1322" s="81"/>
      <c r="T1322" s="81"/>
      <c r="U1322" s="84" t="str">
        <f>HYPERLINK("https://pbs.twimg.com/media/FAHbIQkVQAcUSHF.jpg")</f>
        <v>https://pbs.twimg.com/media/FAHbIQkVQAcUSHF.jpg</v>
      </c>
      <c r="V1322" s="84" t="str">
        <f>HYPERLINK("https://pbs.twimg.com/media/FAHbIQkVQAcUSHF.jpg")</f>
        <v>https://pbs.twimg.com/media/FAHbIQkVQAcUSHF.jpg</v>
      </c>
      <c r="W1322" s="83">
        <v>44465.047650462962</v>
      </c>
      <c r="X1322" s="89">
        <v>44465</v>
      </c>
      <c r="Y1322" s="86" t="s">
        <v>3613</v>
      </c>
      <c r="Z1322" s="84" t="str">
        <f>HYPERLINK("https://twitter.com/reloadnih/status/1441932690878435329")</f>
        <v>https://twitter.com/reloadnih/status/1441932690878435329</v>
      </c>
      <c r="AA1322" s="81"/>
      <c r="AB1322" s="81"/>
      <c r="AC1322" s="86" t="s">
        <v>5079</v>
      </c>
      <c r="AD1322" s="81"/>
      <c r="AE1322" s="81" t="b">
        <v>0</v>
      </c>
      <c r="AF1322" s="81">
        <v>0</v>
      </c>
      <c r="AG1322" s="86" t="s">
        <v>6240</v>
      </c>
      <c r="AH1322" s="81" t="b">
        <v>0</v>
      </c>
      <c r="AI1322" s="81" t="s">
        <v>6478</v>
      </c>
      <c r="AJ1322" s="81"/>
      <c r="AK1322" s="86" t="s">
        <v>6240</v>
      </c>
      <c r="AL1322" s="81" t="b">
        <v>0</v>
      </c>
      <c r="AM1322" s="81">
        <v>1</v>
      </c>
      <c r="AN1322" s="86" t="s">
        <v>5078</v>
      </c>
      <c r="AO1322" s="86" t="s">
        <v>6503</v>
      </c>
      <c r="AP1322" s="81" t="b">
        <v>0</v>
      </c>
      <c r="AQ1322" s="86" t="s">
        <v>5078</v>
      </c>
      <c r="AR1322" s="81" t="s">
        <v>179</v>
      </c>
      <c r="AS1322" s="81">
        <v>0</v>
      </c>
      <c r="AT1322" s="81">
        <v>0</v>
      </c>
      <c r="AU1322" s="81"/>
      <c r="AV1322" s="81"/>
      <c r="AW1322" s="81"/>
      <c r="AX1322" s="81"/>
      <c r="AY1322" s="81"/>
      <c r="AZ1322" s="81"/>
      <c r="BA1322" s="81"/>
      <c r="BB1322" s="81"/>
    </row>
    <row r="1323" spans="1:54" x14ac:dyDescent="0.35">
      <c r="A1323" s="66" t="s">
        <v>962</v>
      </c>
      <c r="B1323" s="66" t="s">
        <v>1458</v>
      </c>
      <c r="C1323" s="67"/>
      <c r="D1323" s="68"/>
      <c r="E1323" s="69"/>
      <c r="F1323" s="70"/>
      <c r="G1323" s="67"/>
      <c r="H1323" s="71"/>
      <c r="I1323" s="72"/>
      <c r="J1323" s="72"/>
      <c r="K1323" s="36"/>
      <c r="L1323" s="79"/>
      <c r="M1323" s="79"/>
      <c r="N1323" s="74"/>
      <c r="O1323" s="81" t="s">
        <v>1535</v>
      </c>
      <c r="P1323" s="83">
        <v>44464.334687499999</v>
      </c>
      <c r="Q1323" s="81" t="s">
        <v>1980</v>
      </c>
      <c r="R1323" s="81"/>
      <c r="S1323" s="81"/>
      <c r="T1323" s="81"/>
      <c r="U1323" s="84" t="str">
        <f>HYPERLINK("https://pbs.twimg.com/media/FAHbIQkVQAcUSHF.jpg")</f>
        <v>https://pbs.twimg.com/media/FAHbIQkVQAcUSHF.jpg</v>
      </c>
      <c r="V1323" s="84" t="str">
        <f>HYPERLINK("https://pbs.twimg.com/media/FAHbIQkVQAcUSHF.jpg")</f>
        <v>https://pbs.twimg.com/media/FAHbIQkVQAcUSHF.jpg</v>
      </c>
      <c r="W1323" s="83">
        <v>44464.334687499999</v>
      </c>
      <c r="X1323" s="89">
        <v>44464</v>
      </c>
      <c r="Y1323" s="86" t="s">
        <v>3612</v>
      </c>
      <c r="Z1323" s="84" t="str">
        <f>HYPERLINK("https://twitter.com/ahidahid/status/1441674318493089801")</f>
        <v>https://twitter.com/ahidahid/status/1441674318493089801</v>
      </c>
      <c r="AA1323" s="81"/>
      <c r="AB1323" s="81"/>
      <c r="AC1323" s="86" t="s">
        <v>5078</v>
      </c>
      <c r="AD1323" s="81"/>
      <c r="AE1323" s="81" t="b">
        <v>0</v>
      </c>
      <c r="AF1323" s="81">
        <v>2</v>
      </c>
      <c r="AG1323" s="86" t="s">
        <v>6240</v>
      </c>
      <c r="AH1323" s="81" t="b">
        <v>0</v>
      </c>
      <c r="AI1323" s="81" t="s">
        <v>6478</v>
      </c>
      <c r="AJ1323" s="81"/>
      <c r="AK1323" s="86" t="s">
        <v>6240</v>
      </c>
      <c r="AL1323" s="81" t="b">
        <v>0</v>
      </c>
      <c r="AM1323" s="81">
        <v>1</v>
      </c>
      <c r="AN1323" s="86" t="s">
        <v>6240</v>
      </c>
      <c r="AO1323" s="86" t="s">
        <v>6503</v>
      </c>
      <c r="AP1323" s="81" t="b">
        <v>0</v>
      </c>
      <c r="AQ1323" s="86" t="s">
        <v>5078</v>
      </c>
      <c r="AR1323" s="81" t="s">
        <v>179</v>
      </c>
      <c r="AS1323" s="81">
        <v>0</v>
      </c>
      <c r="AT1323" s="81">
        <v>0</v>
      </c>
      <c r="AU1323" s="81"/>
      <c r="AV1323" s="81"/>
      <c r="AW1323" s="81"/>
      <c r="AX1323" s="81"/>
      <c r="AY1323" s="81"/>
      <c r="AZ1323" s="81"/>
      <c r="BA1323" s="81"/>
      <c r="BB1323" s="81"/>
    </row>
    <row r="1324" spans="1:54" x14ac:dyDescent="0.35">
      <c r="A1324" s="66" t="s">
        <v>963</v>
      </c>
      <c r="B1324" s="66" t="s">
        <v>1458</v>
      </c>
      <c r="C1324" s="67"/>
      <c r="D1324" s="68"/>
      <c r="E1324" s="69"/>
      <c r="F1324" s="70"/>
      <c r="G1324" s="67"/>
      <c r="H1324" s="71"/>
      <c r="I1324" s="72"/>
      <c r="J1324" s="72"/>
      <c r="K1324" s="36"/>
      <c r="L1324" s="79"/>
      <c r="M1324" s="79"/>
      <c r="N1324" s="74"/>
      <c r="O1324" s="81" t="s">
        <v>1533</v>
      </c>
      <c r="P1324" s="83">
        <v>44465.047650462962</v>
      </c>
      <c r="Q1324" s="81" t="s">
        <v>1980</v>
      </c>
      <c r="R1324" s="81"/>
      <c r="S1324" s="81"/>
      <c r="T1324" s="81"/>
      <c r="U1324" s="84" t="str">
        <f>HYPERLINK("https://pbs.twimg.com/media/FAHbIQkVQAcUSHF.jpg")</f>
        <v>https://pbs.twimg.com/media/FAHbIQkVQAcUSHF.jpg</v>
      </c>
      <c r="V1324" s="84" t="str">
        <f>HYPERLINK("https://pbs.twimg.com/media/FAHbIQkVQAcUSHF.jpg")</f>
        <v>https://pbs.twimg.com/media/FAHbIQkVQAcUSHF.jpg</v>
      </c>
      <c r="W1324" s="83">
        <v>44465.047650462962</v>
      </c>
      <c r="X1324" s="89">
        <v>44465</v>
      </c>
      <c r="Y1324" s="86" t="s">
        <v>3613</v>
      </c>
      <c r="Z1324" s="84" t="str">
        <f>HYPERLINK("https://twitter.com/reloadnih/status/1441932690878435329")</f>
        <v>https://twitter.com/reloadnih/status/1441932690878435329</v>
      </c>
      <c r="AA1324" s="81"/>
      <c r="AB1324" s="81"/>
      <c r="AC1324" s="86" t="s">
        <v>5079</v>
      </c>
      <c r="AD1324" s="81"/>
      <c r="AE1324" s="81" t="b">
        <v>0</v>
      </c>
      <c r="AF1324" s="81">
        <v>0</v>
      </c>
      <c r="AG1324" s="86" t="s">
        <v>6240</v>
      </c>
      <c r="AH1324" s="81" t="b">
        <v>0</v>
      </c>
      <c r="AI1324" s="81" t="s">
        <v>6478</v>
      </c>
      <c r="AJ1324" s="81"/>
      <c r="AK1324" s="86" t="s">
        <v>6240</v>
      </c>
      <c r="AL1324" s="81" t="b">
        <v>0</v>
      </c>
      <c r="AM1324" s="81">
        <v>1</v>
      </c>
      <c r="AN1324" s="86" t="s">
        <v>5078</v>
      </c>
      <c r="AO1324" s="86" t="s">
        <v>6503</v>
      </c>
      <c r="AP1324" s="81" t="b">
        <v>0</v>
      </c>
      <c r="AQ1324" s="86" t="s">
        <v>5078</v>
      </c>
      <c r="AR1324" s="81" t="s">
        <v>179</v>
      </c>
      <c r="AS1324" s="81">
        <v>0</v>
      </c>
      <c r="AT1324" s="81">
        <v>0</v>
      </c>
      <c r="AU1324" s="81"/>
      <c r="AV1324" s="81"/>
      <c r="AW1324" s="81"/>
      <c r="AX1324" s="81"/>
      <c r="AY1324" s="81"/>
      <c r="AZ1324" s="81"/>
      <c r="BA1324" s="81"/>
      <c r="BB1324" s="81"/>
    </row>
    <row r="1325" spans="1:54" x14ac:dyDescent="0.35">
      <c r="A1325" s="66" t="s">
        <v>963</v>
      </c>
      <c r="B1325" s="66" t="s">
        <v>962</v>
      </c>
      <c r="C1325" s="67"/>
      <c r="D1325" s="68"/>
      <c r="E1325" s="69"/>
      <c r="F1325" s="70"/>
      <c r="G1325" s="67"/>
      <c r="H1325" s="71"/>
      <c r="I1325" s="72"/>
      <c r="J1325" s="72"/>
      <c r="K1325" s="36"/>
      <c r="L1325" s="79"/>
      <c r="M1325" s="79"/>
      <c r="N1325" s="74"/>
      <c r="O1325" s="81" t="s">
        <v>1532</v>
      </c>
      <c r="P1325" s="83">
        <v>44465.047650462962</v>
      </c>
      <c r="Q1325" s="81" t="s">
        <v>1980</v>
      </c>
      <c r="R1325" s="81"/>
      <c r="S1325" s="81"/>
      <c r="T1325" s="81"/>
      <c r="U1325" s="84" t="str">
        <f>HYPERLINK("https://pbs.twimg.com/media/FAHbIQkVQAcUSHF.jpg")</f>
        <v>https://pbs.twimg.com/media/FAHbIQkVQAcUSHF.jpg</v>
      </c>
      <c r="V1325" s="84" t="str">
        <f>HYPERLINK("https://pbs.twimg.com/media/FAHbIQkVQAcUSHF.jpg")</f>
        <v>https://pbs.twimg.com/media/FAHbIQkVQAcUSHF.jpg</v>
      </c>
      <c r="W1325" s="83">
        <v>44465.047650462962</v>
      </c>
      <c r="X1325" s="89">
        <v>44465</v>
      </c>
      <c r="Y1325" s="86" t="s">
        <v>3613</v>
      </c>
      <c r="Z1325" s="84" t="str">
        <f>HYPERLINK("https://twitter.com/reloadnih/status/1441932690878435329")</f>
        <v>https://twitter.com/reloadnih/status/1441932690878435329</v>
      </c>
      <c r="AA1325" s="81"/>
      <c r="AB1325" s="81"/>
      <c r="AC1325" s="86" t="s">
        <v>5079</v>
      </c>
      <c r="AD1325" s="81"/>
      <c r="AE1325" s="81" t="b">
        <v>0</v>
      </c>
      <c r="AF1325" s="81">
        <v>0</v>
      </c>
      <c r="AG1325" s="86" t="s">
        <v>6240</v>
      </c>
      <c r="AH1325" s="81" t="b">
        <v>0</v>
      </c>
      <c r="AI1325" s="81" t="s">
        <v>6478</v>
      </c>
      <c r="AJ1325" s="81"/>
      <c r="AK1325" s="86" t="s">
        <v>6240</v>
      </c>
      <c r="AL1325" s="81" t="b">
        <v>0</v>
      </c>
      <c r="AM1325" s="81">
        <v>1</v>
      </c>
      <c r="AN1325" s="86" t="s">
        <v>5078</v>
      </c>
      <c r="AO1325" s="86" t="s">
        <v>6503</v>
      </c>
      <c r="AP1325" s="81" t="b">
        <v>0</v>
      </c>
      <c r="AQ1325" s="86" t="s">
        <v>5078</v>
      </c>
      <c r="AR1325" s="81" t="s">
        <v>179</v>
      </c>
      <c r="AS1325" s="81">
        <v>0</v>
      </c>
      <c r="AT1325" s="81">
        <v>0</v>
      </c>
      <c r="AU1325" s="81"/>
      <c r="AV1325" s="81"/>
      <c r="AW1325" s="81"/>
      <c r="AX1325" s="81"/>
      <c r="AY1325" s="81"/>
      <c r="AZ1325" s="81"/>
      <c r="BA1325" s="81"/>
      <c r="BB1325" s="81"/>
    </row>
    <row r="1326" spans="1:54" x14ac:dyDescent="0.35">
      <c r="A1326" s="66" t="s">
        <v>964</v>
      </c>
      <c r="B1326" s="66" t="s">
        <v>1191</v>
      </c>
      <c r="C1326" s="67"/>
      <c r="D1326" s="68"/>
      <c r="E1326" s="69"/>
      <c r="F1326" s="70"/>
      <c r="G1326" s="67"/>
      <c r="H1326" s="71"/>
      <c r="I1326" s="72"/>
      <c r="J1326" s="72"/>
      <c r="K1326" s="36"/>
      <c r="L1326" s="79"/>
      <c r="M1326" s="79"/>
      <c r="N1326" s="74"/>
      <c r="O1326" s="81" t="s">
        <v>1535</v>
      </c>
      <c r="P1326" s="83">
        <v>44465.079467592594</v>
      </c>
      <c r="Q1326" s="81" t="s">
        <v>1981</v>
      </c>
      <c r="R1326" s="81" t="s">
        <v>2574</v>
      </c>
      <c r="S1326" s="81" t="s">
        <v>2631</v>
      </c>
      <c r="T1326" s="81"/>
      <c r="U1326" s="81"/>
      <c r="V1326" s="84" t="str">
        <f>HYPERLINK("https://pbs.twimg.com/profile_images/1439085783349039107/cuyR-Bqx_normal.jpg")</f>
        <v>https://pbs.twimg.com/profile_images/1439085783349039107/cuyR-Bqx_normal.jpg</v>
      </c>
      <c r="W1326" s="83">
        <v>44465.079467592594</v>
      </c>
      <c r="X1326" s="89">
        <v>44465</v>
      </c>
      <c r="Y1326" s="86" t="s">
        <v>3614</v>
      </c>
      <c r="Z1326" s="84" t="str">
        <f>HYPERLINK("https://twitter.com/mkomeliya/status/1441944219191414784")</f>
        <v>https://twitter.com/mkomeliya/status/1441944219191414784</v>
      </c>
      <c r="AA1326" s="81"/>
      <c r="AB1326" s="81"/>
      <c r="AC1326" s="86" t="s">
        <v>5080</v>
      </c>
      <c r="AD1326" s="81"/>
      <c r="AE1326" s="81" t="b">
        <v>0</v>
      </c>
      <c r="AF1326" s="81">
        <v>0</v>
      </c>
      <c r="AG1326" s="86" t="s">
        <v>6240</v>
      </c>
      <c r="AH1326" s="81" t="b">
        <v>1</v>
      </c>
      <c r="AI1326" s="81" t="s">
        <v>6478</v>
      </c>
      <c r="AJ1326" s="81"/>
      <c r="AK1326" s="86" t="s">
        <v>6501</v>
      </c>
      <c r="AL1326" s="81" t="b">
        <v>0</v>
      </c>
      <c r="AM1326" s="81">
        <v>0</v>
      </c>
      <c r="AN1326" s="86" t="s">
        <v>6240</v>
      </c>
      <c r="AO1326" s="86" t="s">
        <v>6507</v>
      </c>
      <c r="AP1326" s="81" t="b">
        <v>0</v>
      </c>
      <c r="AQ1326" s="86" t="s">
        <v>5080</v>
      </c>
      <c r="AR1326" s="81" t="s">
        <v>179</v>
      </c>
      <c r="AS1326" s="81">
        <v>0</v>
      </c>
      <c r="AT1326" s="81">
        <v>0</v>
      </c>
      <c r="AU1326" s="81"/>
      <c r="AV1326" s="81"/>
      <c r="AW1326" s="81"/>
      <c r="AX1326" s="81"/>
      <c r="AY1326" s="81"/>
      <c r="AZ1326" s="81"/>
      <c r="BA1326" s="81"/>
      <c r="BB1326" s="81"/>
    </row>
    <row r="1327" spans="1:54" x14ac:dyDescent="0.35">
      <c r="A1327" s="66" t="s">
        <v>965</v>
      </c>
      <c r="B1327" s="66" t="s">
        <v>1454</v>
      </c>
      <c r="C1327" s="67"/>
      <c r="D1327" s="68"/>
      <c r="E1327" s="69"/>
      <c r="F1327" s="70"/>
      <c r="G1327" s="67"/>
      <c r="H1327" s="71"/>
      <c r="I1327" s="72"/>
      <c r="J1327" s="72"/>
      <c r="K1327" s="36"/>
      <c r="L1327" s="79"/>
      <c r="M1327" s="79"/>
      <c r="N1327" s="74"/>
      <c r="O1327" s="81" t="s">
        <v>1533</v>
      </c>
      <c r="P1327" s="83">
        <v>44465.082569444443</v>
      </c>
      <c r="Q1327" s="81" t="s">
        <v>1973</v>
      </c>
      <c r="R1327" s="81"/>
      <c r="S1327" s="81"/>
      <c r="T1327" s="86" t="s">
        <v>2691</v>
      </c>
      <c r="U1327" s="84" t="str">
        <f>HYPERLINK("https://pbs.twimg.com/media/FAI5unvVgAgIBY3.jpg")</f>
        <v>https://pbs.twimg.com/media/FAI5unvVgAgIBY3.jpg</v>
      </c>
      <c r="V1327" s="84" t="str">
        <f>HYPERLINK("https://pbs.twimg.com/media/FAI5unvVgAgIBY3.jpg")</f>
        <v>https://pbs.twimg.com/media/FAI5unvVgAgIBY3.jpg</v>
      </c>
      <c r="W1327" s="83">
        <v>44465.082569444443</v>
      </c>
      <c r="X1327" s="89">
        <v>44465</v>
      </c>
      <c r="Y1327" s="86" t="s">
        <v>3615</v>
      </c>
      <c r="Z1327" s="84" t="str">
        <f>HYPERLINK("https://twitter.com/smolwoonie/status/1441945343311036420")</f>
        <v>https://twitter.com/smolwoonie/status/1441945343311036420</v>
      </c>
      <c r="AA1327" s="81"/>
      <c r="AB1327" s="81"/>
      <c r="AC1327" s="86" t="s">
        <v>5081</v>
      </c>
      <c r="AD1327" s="81"/>
      <c r="AE1327" s="81" t="b">
        <v>0</v>
      </c>
      <c r="AF1327" s="81">
        <v>0</v>
      </c>
      <c r="AG1327" s="86" t="s">
        <v>6240</v>
      </c>
      <c r="AH1327" s="81" t="b">
        <v>0</v>
      </c>
      <c r="AI1327" s="81" t="s">
        <v>6479</v>
      </c>
      <c r="AJ1327" s="81"/>
      <c r="AK1327" s="86" t="s">
        <v>6240</v>
      </c>
      <c r="AL1327" s="81" t="b">
        <v>0</v>
      </c>
      <c r="AM1327" s="81">
        <v>6</v>
      </c>
      <c r="AN1327" s="86" t="s">
        <v>5177</v>
      </c>
      <c r="AO1327" s="86" t="s">
        <v>6505</v>
      </c>
      <c r="AP1327" s="81" t="b">
        <v>0</v>
      </c>
      <c r="AQ1327" s="86" t="s">
        <v>5177</v>
      </c>
      <c r="AR1327" s="81" t="s">
        <v>179</v>
      </c>
      <c r="AS1327" s="81">
        <v>0</v>
      </c>
      <c r="AT1327" s="81">
        <v>0</v>
      </c>
      <c r="AU1327" s="81"/>
      <c r="AV1327" s="81"/>
      <c r="AW1327" s="81"/>
      <c r="AX1327" s="81"/>
      <c r="AY1327" s="81"/>
      <c r="AZ1327" s="81"/>
      <c r="BA1327" s="81"/>
      <c r="BB1327" s="81"/>
    </row>
    <row r="1328" spans="1:54" x14ac:dyDescent="0.35">
      <c r="A1328" s="66" t="s">
        <v>965</v>
      </c>
      <c r="B1328" s="66" t="s">
        <v>1028</v>
      </c>
      <c r="C1328" s="67"/>
      <c r="D1328" s="68"/>
      <c r="E1328" s="69"/>
      <c r="F1328" s="70"/>
      <c r="G1328" s="67"/>
      <c r="H1328" s="71"/>
      <c r="I1328" s="72"/>
      <c r="J1328" s="72"/>
      <c r="K1328" s="36"/>
      <c r="L1328" s="79"/>
      <c r="M1328" s="79"/>
      <c r="N1328" s="74"/>
      <c r="O1328" s="81" t="s">
        <v>1532</v>
      </c>
      <c r="P1328" s="83">
        <v>44465.082569444443</v>
      </c>
      <c r="Q1328" s="81" t="s">
        <v>1973</v>
      </c>
      <c r="R1328" s="81"/>
      <c r="S1328" s="81"/>
      <c r="T1328" s="86" t="s">
        <v>2691</v>
      </c>
      <c r="U1328" s="84" t="str">
        <f>HYPERLINK("https://pbs.twimg.com/media/FAI5unvVgAgIBY3.jpg")</f>
        <v>https://pbs.twimg.com/media/FAI5unvVgAgIBY3.jpg</v>
      </c>
      <c r="V1328" s="84" t="str">
        <f>HYPERLINK("https://pbs.twimg.com/media/FAI5unvVgAgIBY3.jpg")</f>
        <v>https://pbs.twimg.com/media/FAI5unvVgAgIBY3.jpg</v>
      </c>
      <c r="W1328" s="83">
        <v>44465.082569444443</v>
      </c>
      <c r="X1328" s="89">
        <v>44465</v>
      </c>
      <c r="Y1328" s="86" t="s">
        <v>3615</v>
      </c>
      <c r="Z1328" s="84" t="str">
        <f>HYPERLINK("https://twitter.com/smolwoonie/status/1441945343311036420")</f>
        <v>https://twitter.com/smolwoonie/status/1441945343311036420</v>
      </c>
      <c r="AA1328" s="81"/>
      <c r="AB1328" s="81"/>
      <c r="AC1328" s="86" t="s">
        <v>5081</v>
      </c>
      <c r="AD1328" s="81"/>
      <c r="AE1328" s="81" t="b">
        <v>0</v>
      </c>
      <c r="AF1328" s="81">
        <v>0</v>
      </c>
      <c r="AG1328" s="86" t="s">
        <v>6240</v>
      </c>
      <c r="AH1328" s="81" t="b">
        <v>0</v>
      </c>
      <c r="AI1328" s="81" t="s">
        <v>6479</v>
      </c>
      <c r="AJ1328" s="81"/>
      <c r="AK1328" s="86" t="s">
        <v>6240</v>
      </c>
      <c r="AL1328" s="81" t="b">
        <v>0</v>
      </c>
      <c r="AM1328" s="81">
        <v>6</v>
      </c>
      <c r="AN1328" s="86" t="s">
        <v>5177</v>
      </c>
      <c r="AO1328" s="86" t="s">
        <v>6505</v>
      </c>
      <c r="AP1328" s="81" t="b">
        <v>0</v>
      </c>
      <c r="AQ1328" s="86" t="s">
        <v>5177</v>
      </c>
      <c r="AR1328" s="81" t="s">
        <v>179</v>
      </c>
      <c r="AS1328" s="81">
        <v>0</v>
      </c>
      <c r="AT1328" s="81">
        <v>0</v>
      </c>
      <c r="AU1328" s="81"/>
      <c r="AV1328" s="81"/>
      <c r="AW1328" s="81"/>
      <c r="AX1328" s="81"/>
      <c r="AY1328" s="81"/>
      <c r="AZ1328" s="81"/>
      <c r="BA1328" s="81"/>
      <c r="BB1328" s="81"/>
    </row>
    <row r="1329" spans="1:54" x14ac:dyDescent="0.35">
      <c r="A1329" s="66" t="s">
        <v>966</v>
      </c>
      <c r="B1329" s="66" t="s">
        <v>1410</v>
      </c>
      <c r="C1329" s="67"/>
      <c r="D1329" s="68"/>
      <c r="E1329" s="69"/>
      <c r="F1329" s="70"/>
      <c r="G1329" s="67"/>
      <c r="H1329" s="71"/>
      <c r="I1329" s="72"/>
      <c r="J1329" s="72"/>
      <c r="K1329" s="36"/>
      <c r="L1329" s="79"/>
      <c r="M1329" s="79"/>
      <c r="N1329" s="74"/>
      <c r="O1329" s="81" t="s">
        <v>1533</v>
      </c>
      <c r="P1329" s="83">
        <v>44465.090138888889</v>
      </c>
      <c r="Q1329" s="81" t="s">
        <v>1908</v>
      </c>
      <c r="R1329" s="81"/>
      <c r="S1329" s="81"/>
      <c r="T1329" s="86" t="s">
        <v>1413</v>
      </c>
      <c r="U1329" s="84" t="str">
        <f>HYPERLINK("https://pbs.twimg.com/media/FAEa_mFUYAcoKUu.jpg")</f>
        <v>https://pbs.twimg.com/media/FAEa_mFUYAcoKUu.jpg</v>
      </c>
      <c r="V1329" s="84" t="str">
        <f>HYPERLINK("https://pbs.twimg.com/media/FAEa_mFUYAcoKUu.jpg")</f>
        <v>https://pbs.twimg.com/media/FAEa_mFUYAcoKUu.jpg</v>
      </c>
      <c r="W1329" s="83">
        <v>44465.090138888889</v>
      </c>
      <c r="X1329" s="89">
        <v>44465</v>
      </c>
      <c r="Y1329" s="86" t="s">
        <v>3616</v>
      </c>
      <c r="Z1329" s="84" t="str">
        <f>HYPERLINK("https://twitter.com/izzarose/status/1441948087019212808")</f>
        <v>https://twitter.com/izzarose/status/1441948087019212808</v>
      </c>
      <c r="AA1329" s="81"/>
      <c r="AB1329" s="81"/>
      <c r="AC1329" s="86" t="s">
        <v>5082</v>
      </c>
      <c r="AD1329" s="81"/>
      <c r="AE1329" s="81" t="b">
        <v>0</v>
      </c>
      <c r="AF1329" s="81">
        <v>0</v>
      </c>
      <c r="AG1329" s="86" t="s">
        <v>6240</v>
      </c>
      <c r="AH1329" s="81" t="b">
        <v>0</v>
      </c>
      <c r="AI1329" s="81" t="s">
        <v>6479</v>
      </c>
      <c r="AJ1329" s="81"/>
      <c r="AK1329" s="86" t="s">
        <v>6240</v>
      </c>
      <c r="AL1329" s="81" t="b">
        <v>0</v>
      </c>
      <c r="AM1329" s="81">
        <v>23</v>
      </c>
      <c r="AN1329" s="86" t="s">
        <v>5111</v>
      </c>
      <c r="AO1329" s="86" t="s">
        <v>6505</v>
      </c>
      <c r="AP1329" s="81" t="b">
        <v>0</v>
      </c>
      <c r="AQ1329" s="86" t="s">
        <v>5111</v>
      </c>
      <c r="AR1329" s="81" t="s">
        <v>179</v>
      </c>
      <c r="AS1329" s="81">
        <v>0</v>
      </c>
      <c r="AT1329" s="81">
        <v>0</v>
      </c>
      <c r="AU1329" s="81"/>
      <c r="AV1329" s="81"/>
      <c r="AW1329" s="81"/>
      <c r="AX1329" s="81"/>
      <c r="AY1329" s="81"/>
      <c r="AZ1329" s="81"/>
      <c r="BA1329" s="81"/>
      <c r="BB1329" s="81"/>
    </row>
    <row r="1330" spans="1:54" x14ac:dyDescent="0.35">
      <c r="A1330" s="66" t="s">
        <v>966</v>
      </c>
      <c r="B1330" s="66" t="s">
        <v>1411</v>
      </c>
      <c r="C1330" s="67"/>
      <c r="D1330" s="68"/>
      <c r="E1330" s="69"/>
      <c r="F1330" s="70"/>
      <c r="G1330" s="67"/>
      <c r="H1330" s="71"/>
      <c r="I1330" s="72"/>
      <c r="J1330" s="72"/>
      <c r="K1330" s="36"/>
      <c r="L1330" s="79"/>
      <c r="M1330" s="79"/>
      <c r="N1330" s="74"/>
      <c r="O1330" s="81" t="s">
        <v>1533</v>
      </c>
      <c r="P1330" s="83">
        <v>44465.090138888889</v>
      </c>
      <c r="Q1330" s="81" t="s">
        <v>1908</v>
      </c>
      <c r="R1330" s="81"/>
      <c r="S1330" s="81"/>
      <c r="T1330" s="86" t="s">
        <v>1413</v>
      </c>
      <c r="U1330" s="84" t="str">
        <f>HYPERLINK("https://pbs.twimg.com/media/FAEa_mFUYAcoKUu.jpg")</f>
        <v>https://pbs.twimg.com/media/FAEa_mFUYAcoKUu.jpg</v>
      </c>
      <c r="V1330" s="84" t="str">
        <f>HYPERLINK("https://pbs.twimg.com/media/FAEa_mFUYAcoKUu.jpg")</f>
        <v>https://pbs.twimg.com/media/FAEa_mFUYAcoKUu.jpg</v>
      </c>
      <c r="W1330" s="83">
        <v>44465.090138888889</v>
      </c>
      <c r="X1330" s="89">
        <v>44465</v>
      </c>
      <c r="Y1330" s="86" t="s">
        <v>3616</v>
      </c>
      <c r="Z1330" s="84" t="str">
        <f>HYPERLINK("https://twitter.com/izzarose/status/1441948087019212808")</f>
        <v>https://twitter.com/izzarose/status/1441948087019212808</v>
      </c>
      <c r="AA1330" s="81"/>
      <c r="AB1330" s="81"/>
      <c r="AC1330" s="86" t="s">
        <v>5082</v>
      </c>
      <c r="AD1330" s="81"/>
      <c r="AE1330" s="81" t="b">
        <v>0</v>
      </c>
      <c r="AF1330" s="81">
        <v>0</v>
      </c>
      <c r="AG1330" s="86" t="s">
        <v>6240</v>
      </c>
      <c r="AH1330" s="81" t="b">
        <v>0</v>
      </c>
      <c r="AI1330" s="81" t="s">
        <v>6479</v>
      </c>
      <c r="AJ1330" s="81"/>
      <c r="AK1330" s="86" t="s">
        <v>6240</v>
      </c>
      <c r="AL1330" s="81" t="b">
        <v>0</v>
      </c>
      <c r="AM1330" s="81">
        <v>23</v>
      </c>
      <c r="AN1330" s="86" t="s">
        <v>5111</v>
      </c>
      <c r="AO1330" s="86" t="s">
        <v>6505</v>
      </c>
      <c r="AP1330" s="81" t="b">
        <v>0</v>
      </c>
      <c r="AQ1330" s="86" t="s">
        <v>5111</v>
      </c>
      <c r="AR1330" s="81" t="s">
        <v>179</v>
      </c>
      <c r="AS1330" s="81">
        <v>0</v>
      </c>
      <c r="AT1330" s="81">
        <v>0</v>
      </c>
      <c r="AU1330" s="81"/>
      <c r="AV1330" s="81"/>
      <c r="AW1330" s="81"/>
      <c r="AX1330" s="81"/>
      <c r="AY1330" s="81"/>
      <c r="AZ1330" s="81"/>
      <c r="BA1330" s="81"/>
      <c r="BB1330" s="81"/>
    </row>
    <row r="1331" spans="1:54" x14ac:dyDescent="0.35">
      <c r="A1331" s="66" t="s">
        <v>966</v>
      </c>
      <c r="B1331" s="66" t="s">
        <v>1412</v>
      </c>
      <c r="C1331" s="67"/>
      <c r="D1331" s="68"/>
      <c r="E1331" s="69"/>
      <c r="F1331" s="70"/>
      <c r="G1331" s="67"/>
      <c r="H1331" s="71"/>
      <c r="I1331" s="72"/>
      <c r="J1331" s="72"/>
      <c r="K1331" s="36"/>
      <c r="L1331" s="79"/>
      <c r="M1331" s="79"/>
      <c r="N1331" s="74"/>
      <c r="O1331" s="81" t="s">
        <v>1533</v>
      </c>
      <c r="P1331" s="83">
        <v>44465.090138888889</v>
      </c>
      <c r="Q1331" s="81" t="s">
        <v>1908</v>
      </c>
      <c r="R1331" s="81"/>
      <c r="S1331" s="81"/>
      <c r="T1331" s="86" t="s">
        <v>1413</v>
      </c>
      <c r="U1331" s="84" t="str">
        <f>HYPERLINK("https://pbs.twimg.com/media/FAEa_mFUYAcoKUu.jpg")</f>
        <v>https://pbs.twimg.com/media/FAEa_mFUYAcoKUu.jpg</v>
      </c>
      <c r="V1331" s="84" t="str">
        <f>HYPERLINK("https://pbs.twimg.com/media/FAEa_mFUYAcoKUu.jpg")</f>
        <v>https://pbs.twimg.com/media/FAEa_mFUYAcoKUu.jpg</v>
      </c>
      <c r="W1331" s="83">
        <v>44465.090138888889</v>
      </c>
      <c r="X1331" s="89">
        <v>44465</v>
      </c>
      <c r="Y1331" s="86" t="s">
        <v>3616</v>
      </c>
      <c r="Z1331" s="84" t="str">
        <f>HYPERLINK("https://twitter.com/izzarose/status/1441948087019212808")</f>
        <v>https://twitter.com/izzarose/status/1441948087019212808</v>
      </c>
      <c r="AA1331" s="81"/>
      <c r="AB1331" s="81"/>
      <c r="AC1331" s="86" t="s">
        <v>5082</v>
      </c>
      <c r="AD1331" s="81"/>
      <c r="AE1331" s="81" t="b">
        <v>0</v>
      </c>
      <c r="AF1331" s="81">
        <v>0</v>
      </c>
      <c r="AG1331" s="86" t="s">
        <v>6240</v>
      </c>
      <c r="AH1331" s="81" t="b">
        <v>0</v>
      </c>
      <c r="AI1331" s="81" t="s">
        <v>6479</v>
      </c>
      <c r="AJ1331" s="81"/>
      <c r="AK1331" s="86" t="s">
        <v>6240</v>
      </c>
      <c r="AL1331" s="81" t="b">
        <v>0</v>
      </c>
      <c r="AM1331" s="81">
        <v>23</v>
      </c>
      <c r="AN1331" s="86" t="s">
        <v>5111</v>
      </c>
      <c r="AO1331" s="86" t="s">
        <v>6505</v>
      </c>
      <c r="AP1331" s="81" t="b">
        <v>0</v>
      </c>
      <c r="AQ1331" s="86" t="s">
        <v>5111</v>
      </c>
      <c r="AR1331" s="81" t="s">
        <v>179</v>
      </c>
      <c r="AS1331" s="81">
        <v>0</v>
      </c>
      <c r="AT1331" s="81">
        <v>0</v>
      </c>
      <c r="AU1331" s="81"/>
      <c r="AV1331" s="81"/>
      <c r="AW1331" s="81"/>
      <c r="AX1331" s="81"/>
      <c r="AY1331" s="81"/>
      <c r="AZ1331" s="81"/>
      <c r="BA1331" s="81"/>
      <c r="BB1331" s="81"/>
    </row>
    <row r="1332" spans="1:54" x14ac:dyDescent="0.35">
      <c r="A1332" s="66" t="s">
        <v>966</v>
      </c>
      <c r="B1332" s="66" t="s">
        <v>1413</v>
      </c>
      <c r="C1332" s="67"/>
      <c r="D1332" s="68"/>
      <c r="E1332" s="69"/>
      <c r="F1332" s="70"/>
      <c r="G1332" s="67"/>
      <c r="H1332" s="71"/>
      <c r="I1332" s="72"/>
      <c r="J1332" s="72"/>
      <c r="K1332" s="36"/>
      <c r="L1332" s="79"/>
      <c r="M1332" s="79"/>
      <c r="N1332" s="74"/>
      <c r="O1332" s="81" t="s">
        <v>1533</v>
      </c>
      <c r="P1332" s="83">
        <v>44465.090138888889</v>
      </c>
      <c r="Q1332" s="81" t="s">
        <v>1908</v>
      </c>
      <c r="R1332" s="81"/>
      <c r="S1332" s="81"/>
      <c r="T1332" s="86" t="s">
        <v>1413</v>
      </c>
      <c r="U1332" s="84" t="str">
        <f>HYPERLINK("https://pbs.twimg.com/media/FAEa_mFUYAcoKUu.jpg")</f>
        <v>https://pbs.twimg.com/media/FAEa_mFUYAcoKUu.jpg</v>
      </c>
      <c r="V1332" s="84" t="str">
        <f>HYPERLINK("https://pbs.twimg.com/media/FAEa_mFUYAcoKUu.jpg")</f>
        <v>https://pbs.twimg.com/media/FAEa_mFUYAcoKUu.jpg</v>
      </c>
      <c r="W1332" s="83">
        <v>44465.090138888889</v>
      </c>
      <c r="X1332" s="89">
        <v>44465</v>
      </c>
      <c r="Y1332" s="86" t="s">
        <v>3616</v>
      </c>
      <c r="Z1332" s="84" t="str">
        <f>HYPERLINK("https://twitter.com/izzarose/status/1441948087019212808")</f>
        <v>https://twitter.com/izzarose/status/1441948087019212808</v>
      </c>
      <c r="AA1332" s="81"/>
      <c r="AB1332" s="81"/>
      <c r="AC1332" s="86" t="s">
        <v>5082</v>
      </c>
      <c r="AD1332" s="81"/>
      <c r="AE1332" s="81" t="b">
        <v>0</v>
      </c>
      <c r="AF1332" s="81">
        <v>0</v>
      </c>
      <c r="AG1332" s="86" t="s">
        <v>6240</v>
      </c>
      <c r="AH1332" s="81" t="b">
        <v>0</v>
      </c>
      <c r="AI1332" s="81" t="s">
        <v>6479</v>
      </c>
      <c r="AJ1332" s="81"/>
      <c r="AK1332" s="86" t="s">
        <v>6240</v>
      </c>
      <c r="AL1332" s="81" t="b">
        <v>0</v>
      </c>
      <c r="AM1332" s="81">
        <v>23</v>
      </c>
      <c r="AN1332" s="86" t="s">
        <v>5111</v>
      </c>
      <c r="AO1332" s="86" t="s">
        <v>6505</v>
      </c>
      <c r="AP1332" s="81" t="b">
        <v>0</v>
      </c>
      <c r="AQ1332" s="86" t="s">
        <v>5111</v>
      </c>
      <c r="AR1332" s="81" t="s">
        <v>179</v>
      </c>
      <c r="AS1332" s="81">
        <v>0</v>
      </c>
      <c r="AT1332" s="81">
        <v>0</v>
      </c>
      <c r="AU1332" s="81"/>
      <c r="AV1332" s="81"/>
      <c r="AW1332" s="81"/>
      <c r="AX1332" s="81"/>
      <c r="AY1332" s="81"/>
      <c r="AZ1332" s="81"/>
      <c r="BA1332" s="81"/>
      <c r="BB1332" s="81"/>
    </row>
    <row r="1333" spans="1:54" x14ac:dyDescent="0.35">
      <c r="A1333" s="66" t="s">
        <v>966</v>
      </c>
      <c r="B1333" s="66" t="s">
        <v>990</v>
      </c>
      <c r="C1333" s="67"/>
      <c r="D1333" s="68"/>
      <c r="E1333" s="69"/>
      <c r="F1333" s="70"/>
      <c r="G1333" s="67"/>
      <c r="H1333" s="71"/>
      <c r="I1333" s="72"/>
      <c r="J1333" s="72"/>
      <c r="K1333" s="36"/>
      <c r="L1333" s="79"/>
      <c r="M1333" s="79"/>
      <c r="N1333" s="74"/>
      <c r="O1333" s="81" t="s">
        <v>1532</v>
      </c>
      <c r="P1333" s="83">
        <v>44465.090138888889</v>
      </c>
      <c r="Q1333" s="81" t="s">
        <v>1908</v>
      </c>
      <c r="R1333" s="81"/>
      <c r="S1333" s="81"/>
      <c r="T1333" s="86" t="s">
        <v>1413</v>
      </c>
      <c r="U1333" s="84" t="str">
        <f>HYPERLINK("https://pbs.twimg.com/media/FAEa_mFUYAcoKUu.jpg")</f>
        <v>https://pbs.twimg.com/media/FAEa_mFUYAcoKUu.jpg</v>
      </c>
      <c r="V1333" s="84" t="str">
        <f>HYPERLINK("https://pbs.twimg.com/media/FAEa_mFUYAcoKUu.jpg")</f>
        <v>https://pbs.twimg.com/media/FAEa_mFUYAcoKUu.jpg</v>
      </c>
      <c r="W1333" s="83">
        <v>44465.090138888889</v>
      </c>
      <c r="X1333" s="89">
        <v>44465</v>
      </c>
      <c r="Y1333" s="86" t="s">
        <v>3616</v>
      </c>
      <c r="Z1333" s="84" t="str">
        <f>HYPERLINK("https://twitter.com/izzarose/status/1441948087019212808")</f>
        <v>https://twitter.com/izzarose/status/1441948087019212808</v>
      </c>
      <c r="AA1333" s="81"/>
      <c r="AB1333" s="81"/>
      <c r="AC1333" s="86" t="s">
        <v>5082</v>
      </c>
      <c r="AD1333" s="81"/>
      <c r="AE1333" s="81" t="b">
        <v>0</v>
      </c>
      <c r="AF1333" s="81">
        <v>0</v>
      </c>
      <c r="AG1333" s="86" t="s">
        <v>6240</v>
      </c>
      <c r="AH1333" s="81" t="b">
        <v>0</v>
      </c>
      <c r="AI1333" s="81" t="s">
        <v>6479</v>
      </c>
      <c r="AJ1333" s="81"/>
      <c r="AK1333" s="86" t="s">
        <v>6240</v>
      </c>
      <c r="AL1333" s="81" t="b">
        <v>0</v>
      </c>
      <c r="AM1333" s="81">
        <v>23</v>
      </c>
      <c r="AN1333" s="86" t="s">
        <v>5111</v>
      </c>
      <c r="AO1333" s="86" t="s">
        <v>6505</v>
      </c>
      <c r="AP1333" s="81" t="b">
        <v>0</v>
      </c>
      <c r="AQ1333" s="86" t="s">
        <v>5111</v>
      </c>
      <c r="AR1333" s="81" t="s">
        <v>179</v>
      </c>
      <c r="AS1333" s="81">
        <v>0</v>
      </c>
      <c r="AT1333" s="81">
        <v>0</v>
      </c>
      <c r="AU1333" s="81"/>
      <c r="AV1333" s="81"/>
      <c r="AW1333" s="81"/>
      <c r="AX1333" s="81"/>
      <c r="AY1333" s="81"/>
      <c r="AZ1333" s="81"/>
      <c r="BA1333" s="81"/>
      <c r="BB1333" s="81"/>
    </row>
    <row r="1334" spans="1:54" x14ac:dyDescent="0.35">
      <c r="A1334" s="66" t="s">
        <v>967</v>
      </c>
      <c r="B1334" s="66" t="s">
        <v>967</v>
      </c>
      <c r="C1334" s="67"/>
      <c r="D1334" s="68"/>
      <c r="E1334" s="69"/>
      <c r="F1334" s="70"/>
      <c r="G1334" s="67"/>
      <c r="H1334" s="71"/>
      <c r="I1334" s="72"/>
      <c r="J1334" s="72"/>
      <c r="K1334" s="36"/>
      <c r="L1334" s="79"/>
      <c r="M1334" s="79"/>
      <c r="N1334" s="74"/>
      <c r="O1334" s="81" t="s">
        <v>179</v>
      </c>
      <c r="P1334" s="83">
        <v>44465.174062500002</v>
      </c>
      <c r="Q1334" s="81" t="s">
        <v>1982</v>
      </c>
      <c r="R1334" s="81"/>
      <c r="S1334" s="81"/>
      <c r="T1334" s="81"/>
      <c r="U1334" s="81"/>
      <c r="V1334" s="84" t="str">
        <f>HYPERLINK("https://pbs.twimg.com/profile_images/1256186660489965573/wOGdjLLY_normal.jpg")</f>
        <v>https://pbs.twimg.com/profile_images/1256186660489965573/wOGdjLLY_normal.jpg</v>
      </c>
      <c r="W1334" s="83">
        <v>44465.174062500002</v>
      </c>
      <c r="X1334" s="89">
        <v>44465</v>
      </c>
      <c r="Y1334" s="86" t="s">
        <v>3617</v>
      </c>
      <c r="Z1334" s="84" t="str">
        <f>HYPERLINK("https://twitter.com/ndanaaaaaa/status/1441978498843697153")</f>
        <v>https://twitter.com/ndanaaaaaa/status/1441978498843697153</v>
      </c>
      <c r="AA1334" s="81"/>
      <c r="AB1334" s="81"/>
      <c r="AC1334" s="86" t="s">
        <v>5083</v>
      </c>
      <c r="AD1334" s="81"/>
      <c r="AE1334" s="81" t="b">
        <v>0</v>
      </c>
      <c r="AF1334" s="81">
        <v>0</v>
      </c>
      <c r="AG1334" s="86" t="s">
        <v>6240</v>
      </c>
      <c r="AH1334" s="81" t="b">
        <v>0</v>
      </c>
      <c r="AI1334" s="81" t="s">
        <v>6478</v>
      </c>
      <c r="AJ1334" s="81"/>
      <c r="AK1334" s="86" t="s">
        <v>6240</v>
      </c>
      <c r="AL1334" s="81" t="b">
        <v>0</v>
      </c>
      <c r="AM1334" s="81">
        <v>0</v>
      </c>
      <c r="AN1334" s="86" t="s">
        <v>6240</v>
      </c>
      <c r="AO1334" s="86" t="s">
        <v>6507</v>
      </c>
      <c r="AP1334" s="81" t="b">
        <v>0</v>
      </c>
      <c r="AQ1334" s="86" t="s">
        <v>5083</v>
      </c>
      <c r="AR1334" s="81" t="s">
        <v>179</v>
      </c>
      <c r="AS1334" s="81">
        <v>0</v>
      </c>
      <c r="AT1334" s="81">
        <v>0</v>
      </c>
      <c r="AU1334" s="81"/>
      <c r="AV1334" s="81"/>
      <c r="AW1334" s="81"/>
      <c r="AX1334" s="81"/>
      <c r="AY1334" s="81"/>
      <c r="AZ1334" s="81"/>
      <c r="BA1334" s="81"/>
      <c r="BB1334" s="81"/>
    </row>
    <row r="1335" spans="1:54" x14ac:dyDescent="0.35">
      <c r="A1335" s="66" t="s">
        <v>968</v>
      </c>
      <c r="B1335" s="66" t="s">
        <v>1459</v>
      </c>
      <c r="C1335" s="67"/>
      <c r="D1335" s="68"/>
      <c r="E1335" s="69"/>
      <c r="F1335" s="70"/>
      <c r="G1335" s="67"/>
      <c r="H1335" s="71"/>
      <c r="I1335" s="72"/>
      <c r="J1335" s="72"/>
      <c r="K1335" s="36"/>
      <c r="L1335" s="79"/>
      <c r="M1335" s="79"/>
      <c r="N1335" s="74"/>
      <c r="O1335" s="81" t="s">
        <v>1534</v>
      </c>
      <c r="P1335" s="83">
        <v>44465.180034722223</v>
      </c>
      <c r="Q1335" s="81" t="s">
        <v>1983</v>
      </c>
      <c r="R1335" s="81"/>
      <c r="S1335" s="81"/>
      <c r="T1335" s="81"/>
      <c r="U1335" s="81"/>
      <c r="V1335" s="84" t="str">
        <f>HYPERLINK("https://pbs.twimg.com/profile_images/1286265256327569408/Vy1XmTKq_normal.jpg")</f>
        <v>https://pbs.twimg.com/profile_images/1286265256327569408/Vy1XmTKq_normal.jpg</v>
      </c>
      <c r="W1335" s="83">
        <v>44465.180034722223</v>
      </c>
      <c r="X1335" s="89">
        <v>44465</v>
      </c>
      <c r="Y1335" s="86" t="s">
        <v>3618</v>
      </c>
      <c r="Z1335" s="84" t="str">
        <f>HYPERLINK("https://twitter.com/cxlendulx/status/1441980662219632641")</f>
        <v>https://twitter.com/cxlendulx/status/1441980662219632641</v>
      </c>
      <c r="AA1335" s="81"/>
      <c r="AB1335" s="81"/>
      <c r="AC1335" s="86" t="s">
        <v>5084</v>
      </c>
      <c r="AD1335" s="86" t="s">
        <v>6134</v>
      </c>
      <c r="AE1335" s="81" t="b">
        <v>0</v>
      </c>
      <c r="AF1335" s="81">
        <v>1</v>
      </c>
      <c r="AG1335" s="86" t="s">
        <v>6391</v>
      </c>
      <c r="AH1335" s="81" t="b">
        <v>0</v>
      </c>
      <c r="AI1335" s="81" t="s">
        <v>6478</v>
      </c>
      <c r="AJ1335" s="81"/>
      <c r="AK1335" s="86" t="s">
        <v>6240</v>
      </c>
      <c r="AL1335" s="81" t="b">
        <v>0</v>
      </c>
      <c r="AM1335" s="81">
        <v>0</v>
      </c>
      <c r="AN1335" s="86" t="s">
        <v>6240</v>
      </c>
      <c r="AO1335" s="86" t="s">
        <v>6505</v>
      </c>
      <c r="AP1335" s="81" t="b">
        <v>0</v>
      </c>
      <c r="AQ1335" s="86" t="s">
        <v>6134</v>
      </c>
      <c r="AR1335" s="81" t="s">
        <v>179</v>
      </c>
      <c r="AS1335" s="81">
        <v>0</v>
      </c>
      <c r="AT1335" s="81">
        <v>0</v>
      </c>
      <c r="AU1335" s="81"/>
      <c r="AV1335" s="81"/>
      <c r="AW1335" s="81"/>
      <c r="AX1335" s="81"/>
      <c r="AY1335" s="81"/>
      <c r="AZ1335" s="81"/>
      <c r="BA1335" s="81"/>
      <c r="BB1335" s="81"/>
    </row>
    <row r="1336" spans="1:54" x14ac:dyDescent="0.35">
      <c r="A1336" s="66" t="s">
        <v>969</v>
      </c>
      <c r="B1336" s="66" t="s">
        <v>969</v>
      </c>
      <c r="C1336" s="67"/>
      <c r="D1336" s="68"/>
      <c r="E1336" s="69"/>
      <c r="F1336" s="70"/>
      <c r="G1336" s="67"/>
      <c r="H1336" s="71"/>
      <c r="I1336" s="72"/>
      <c r="J1336" s="72"/>
      <c r="K1336" s="36"/>
      <c r="L1336" s="79"/>
      <c r="M1336" s="79"/>
      <c r="N1336" s="74"/>
      <c r="O1336" s="81" t="s">
        <v>179</v>
      </c>
      <c r="P1336" s="83">
        <v>44465.243159722224</v>
      </c>
      <c r="Q1336" s="81" t="s">
        <v>1984</v>
      </c>
      <c r="R1336" s="84" t="str">
        <f>HYPERLINK("https://bandungnews.id/buka-pusat-studi-asean-politeknik-pos-indonesia-dan-kemenlu-ri-teken-mou/")</f>
        <v>https://bandungnews.id/buka-pusat-studi-asean-politeknik-pos-indonesia-dan-kemenlu-ri-teken-mou/</v>
      </c>
      <c r="S1336" s="81" t="s">
        <v>2632</v>
      </c>
      <c r="T1336" s="81"/>
      <c r="U1336" s="84" t="str">
        <f>HYPERLINK("https://pbs.twimg.com/media/FAMGk3NVgAE8Qd9.jpg")</f>
        <v>https://pbs.twimg.com/media/FAMGk3NVgAE8Qd9.jpg</v>
      </c>
      <c r="V1336" s="84" t="str">
        <f>HYPERLINK("https://pbs.twimg.com/media/FAMGk3NVgAE8Qd9.jpg")</f>
        <v>https://pbs.twimg.com/media/FAMGk3NVgAE8Qd9.jpg</v>
      </c>
      <c r="W1336" s="83">
        <v>44465.243159722224</v>
      </c>
      <c r="X1336" s="89">
        <v>44465</v>
      </c>
      <c r="Y1336" s="86" t="s">
        <v>3619</v>
      </c>
      <c r="Z1336" s="84" t="str">
        <f>HYPERLINK("https://twitter.com/bandungnewsid/status/1442003539736207363")</f>
        <v>https://twitter.com/bandungnewsid/status/1442003539736207363</v>
      </c>
      <c r="AA1336" s="81"/>
      <c r="AB1336" s="81"/>
      <c r="AC1336" s="86" t="s">
        <v>5085</v>
      </c>
      <c r="AD1336" s="81"/>
      <c r="AE1336" s="81" t="b">
        <v>0</v>
      </c>
      <c r="AF1336" s="81">
        <v>0</v>
      </c>
      <c r="AG1336" s="86" t="s">
        <v>6240</v>
      </c>
      <c r="AH1336" s="81" t="b">
        <v>0</v>
      </c>
      <c r="AI1336" s="81" t="s">
        <v>6485</v>
      </c>
      <c r="AJ1336" s="81"/>
      <c r="AK1336" s="86" t="s">
        <v>6240</v>
      </c>
      <c r="AL1336" s="81" t="b">
        <v>0</v>
      </c>
      <c r="AM1336" s="81">
        <v>0</v>
      </c>
      <c r="AN1336" s="86" t="s">
        <v>6240</v>
      </c>
      <c r="AO1336" s="86" t="s">
        <v>6503</v>
      </c>
      <c r="AP1336" s="81" t="b">
        <v>0</v>
      </c>
      <c r="AQ1336" s="86" t="s">
        <v>5085</v>
      </c>
      <c r="AR1336" s="81" t="s">
        <v>179</v>
      </c>
      <c r="AS1336" s="81">
        <v>0</v>
      </c>
      <c r="AT1336" s="81">
        <v>0</v>
      </c>
      <c r="AU1336" s="81"/>
      <c r="AV1336" s="81"/>
      <c r="AW1336" s="81"/>
      <c r="AX1336" s="81"/>
      <c r="AY1336" s="81"/>
      <c r="AZ1336" s="81"/>
      <c r="BA1336" s="81"/>
      <c r="BB1336" s="81"/>
    </row>
    <row r="1337" spans="1:54" x14ac:dyDescent="0.35">
      <c r="A1337" s="66" t="s">
        <v>970</v>
      </c>
      <c r="B1337" s="66" t="s">
        <v>970</v>
      </c>
      <c r="C1337" s="67"/>
      <c r="D1337" s="68"/>
      <c r="E1337" s="69"/>
      <c r="F1337" s="70"/>
      <c r="G1337" s="67"/>
      <c r="H1337" s="71"/>
      <c r="I1337" s="72"/>
      <c r="J1337" s="72"/>
      <c r="K1337" s="36"/>
      <c r="L1337" s="79"/>
      <c r="M1337" s="79"/>
      <c r="N1337" s="74"/>
      <c r="O1337" s="81" t="s">
        <v>179</v>
      </c>
      <c r="P1337" s="83">
        <v>44461.437083333331</v>
      </c>
      <c r="Q1337" s="81" t="s">
        <v>1985</v>
      </c>
      <c r="R1337" s="84" t="str">
        <f>HYPERLINK("https://www.republika.co.id/berita/qztzt0383/pos-indonesia-perluas-kolaborasi-sektor-ekonomi-syariah")</f>
        <v>https://www.republika.co.id/berita/qztzt0383/pos-indonesia-perluas-kolaborasi-sektor-ekonomi-syariah</v>
      </c>
      <c r="S1337" s="81" t="s">
        <v>2589</v>
      </c>
      <c r="T1337" s="81"/>
      <c r="U1337" s="81"/>
      <c r="V1337" s="84" t="str">
        <f>HYPERLINK("https://pbs.twimg.com/profile_images/1230469523842707456/1nqEZvCp_normal.jpg")</f>
        <v>https://pbs.twimg.com/profile_images/1230469523842707456/1nqEZvCp_normal.jpg</v>
      </c>
      <c r="W1337" s="83">
        <v>44461.437083333331</v>
      </c>
      <c r="X1337" s="89">
        <v>44461</v>
      </c>
      <c r="Y1337" s="86" t="s">
        <v>3620</v>
      </c>
      <c r="Z1337" s="84" t="str">
        <f>HYPERLINK("https://twitter.com/republikaonline/status/1440624263598276608")</f>
        <v>https://twitter.com/republikaonline/status/1440624263598276608</v>
      </c>
      <c r="AA1337" s="81"/>
      <c r="AB1337" s="81"/>
      <c r="AC1337" s="86" t="s">
        <v>5086</v>
      </c>
      <c r="AD1337" s="81"/>
      <c r="AE1337" s="81" t="b">
        <v>0</v>
      </c>
      <c r="AF1337" s="81">
        <v>0</v>
      </c>
      <c r="AG1337" s="86" t="s">
        <v>6240</v>
      </c>
      <c r="AH1337" s="81" t="b">
        <v>0</v>
      </c>
      <c r="AI1337" s="81" t="s">
        <v>6478</v>
      </c>
      <c r="AJ1337" s="81"/>
      <c r="AK1337" s="86" t="s">
        <v>6240</v>
      </c>
      <c r="AL1337" s="81" t="b">
        <v>0</v>
      </c>
      <c r="AM1337" s="81">
        <v>0</v>
      </c>
      <c r="AN1337" s="86" t="s">
        <v>6240</v>
      </c>
      <c r="AO1337" s="86" t="s">
        <v>6524</v>
      </c>
      <c r="AP1337" s="81" t="b">
        <v>0</v>
      </c>
      <c r="AQ1337" s="86" t="s">
        <v>5086</v>
      </c>
      <c r="AR1337" s="81" t="s">
        <v>179</v>
      </c>
      <c r="AS1337" s="81">
        <v>0</v>
      </c>
      <c r="AT1337" s="81">
        <v>0</v>
      </c>
      <c r="AU1337" s="81"/>
      <c r="AV1337" s="81"/>
      <c r="AW1337" s="81"/>
      <c r="AX1337" s="81"/>
      <c r="AY1337" s="81"/>
      <c r="AZ1337" s="81"/>
      <c r="BA1337" s="81"/>
      <c r="BB1337" s="81"/>
    </row>
    <row r="1338" spans="1:54" x14ac:dyDescent="0.35">
      <c r="A1338" s="66" t="s">
        <v>970</v>
      </c>
      <c r="B1338" s="66" t="s">
        <v>970</v>
      </c>
      <c r="C1338" s="67"/>
      <c r="D1338" s="68"/>
      <c r="E1338" s="69"/>
      <c r="F1338" s="70"/>
      <c r="G1338" s="67"/>
      <c r="H1338" s="71"/>
      <c r="I1338" s="72"/>
      <c r="J1338" s="72"/>
      <c r="K1338" s="36"/>
      <c r="L1338" s="79"/>
      <c r="M1338" s="79"/>
      <c r="N1338" s="74"/>
      <c r="O1338" s="81" t="s">
        <v>179</v>
      </c>
      <c r="P1338" s="83">
        <v>44464.360844907409</v>
      </c>
      <c r="Q1338" s="81" t="s">
        <v>1986</v>
      </c>
      <c r="R1338" s="84" t="str">
        <f>HYPERLINK("https://www.republika.co.id/berita/qzzepx349/pos-indonesia-kejar-target-pendistribusian-bst")</f>
        <v>https://www.republika.co.id/berita/qzzepx349/pos-indonesia-kejar-target-pendistribusian-bst</v>
      </c>
      <c r="S1338" s="81" t="s">
        <v>2589</v>
      </c>
      <c r="T1338" s="81"/>
      <c r="U1338" s="81"/>
      <c r="V1338" s="84" t="str">
        <f>HYPERLINK("https://pbs.twimg.com/profile_images/1230469523842707456/1nqEZvCp_normal.jpg")</f>
        <v>https://pbs.twimg.com/profile_images/1230469523842707456/1nqEZvCp_normal.jpg</v>
      </c>
      <c r="W1338" s="83">
        <v>44464.360844907409</v>
      </c>
      <c r="X1338" s="89">
        <v>44464</v>
      </c>
      <c r="Y1338" s="86" t="s">
        <v>3621</v>
      </c>
      <c r="Z1338" s="84" t="str">
        <f>HYPERLINK("https://twitter.com/republikaonline/status/1441683797200629767")</f>
        <v>https://twitter.com/republikaonline/status/1441683797200629767</v>
      </c>
      <c r="AA1338" s="81"/>
      <c r="AB1338" s="81"/>
      <c r="AC1338" s="86" t="s">
        <v>5087</v>
      </c>
      <c r="AD1338" s="81"/>
      <c r="AE1338" s="81" t="b">
        <v>0</v>
      </c>
      <c r="AF1338" s="81">
        <v>1</v>
      </c>
      <c r="AG1338" s="86" t="s">
        <v>6240</v>
      </c>
      <c r="AH1338" s="81" t="b">
        <v>0</v>
      </c>
      <c r="AI1338" s="81" t="s">
        <v>6478</v>
      </c>
      <c r="AJ1338" s="81"/>
      <c r="AK1338" s="86" t="s">
        <v>6240</v>
      </c>
      <c r="AL1338" s="81" t="b">
        <v>0</v>
      </c>
      <c r="AM1338" s="81">
        <v>0</v>
      </c>
      <c r="AN1338" s="86" t="s">
        <v>6240</v>
      </c>
      <c r="AO1338" s="86" t="s">
        <v>6524</v>
      </c>
      <c r="AP1338" s="81" t="b">
        <v>0</v>
      </c>
      <c r="AQ1338" s="86" t="s">
        <v>5087</v>
      </c>
      <c r="AR1338" s="81" t="s">
        <v>179</v>
      </c>
      <c r="AS1338" s="81">
        <v>0</v>
      </c>
      <c r="AT1338" s="81">
        <v>0</v>
      </c>
      <c r="AU1338" s="81"/>
      <c r="AV1338" s="81"/>
      <c r="AW1338" s="81"/>
      <c r="AX1338" s="81"/>
      <c r="AY1338" s="81"/>
      <c r="AZ1338" s="81"/>
      <c r="BA1338" s="81"/>
      <c r="BB1338" s="81"/>
    </row>
    <row r="1339" spans="1:54" x14ac:dyDescent="0.35">
      <c r="A1339" s="66" t="s">
        <v>970</v>
      </c>
      <c r="B1339" s="66" t="s">
        <v>970</v>
      </c>
      <c r="C1339" s="67"/>
      <c r="D1339" s="68"/>
      <c r="E1339" s="69"/>
      <c r="F1339" s="70"/>
      <c r="G1339" s="67"/>
      <c r="H1339" s="71"/>
      <c r="I1339" s="72"/>
      <c r="J1339" s="72"/>
      <c r="K1339" s="36"/>
      <c r="L1339" s="79"/>
      <c r="M1339" s="79"/>
      <c r="N1339" s="74"/>
      <c r="O1339" s="81" t="s">
        <v>179</v>
      </c>
      <c r="P1339" s="83">
        <v>44465.249016203707</v>
      </c>
      <c r="Q1339" s="81" t="s">
        <v>1987</v>
      </c>
      <c r="R1339" s="84" t="str">
        <f>HYPERLINK("https://www.republika.co.id/berita/r011xj423/politeknik-pos-indonesia-dan-kemenlu-ri-teken-mou")</f>
        <v>https://www.republika.co.id/berita/r011xj423/politeknik-pos-indonesia-dan-kemenlu-ri-teken-mou</v>
      </c>
      <c r="S1339" s="81" t="s">
        <v>2589</v>
      </c>
      <c r="T1339" s="81"/>
      <c r="U1339" s="81"/>
      <c r="V1339" s="84" t="str">
        <f>HYPERLINK("https://pbs.twimg.com/profile_images/1230469523842707456/1nqEZvCp_normal.jpg")</f>
        <v>https://pbs.twimg.com/profile_images/1230469523842707456/1nqEZvCp_normal.jpg</v>
      </c>
      <c r="W1339" s="83">
        <v>44465.249016203707</v>
      </c>
      <c r="X1339" s="89">
        <v>44465</v>
      </c>
      <c r="Y1339" s="86" t="s">
        <v>3622</v>
      </c>
      <c r="Z1339" s="84" t="str">
        <f>HYPERLINK("https://twitter.com/republikaonline/status/1442005662590914562")</f>
        <v>https://twitter.com/republikaonline/status/1442005662590914562</v>
      </c>
      <c r="AA1339" s="81"/>
      <c r="AB1339" s="81"/>
      <c r="AC1339" s="86" t="s">
        <v>5088</v>
      </c>
      <c r="AD1339" s="81"/>
      <c r="AE1339" s="81" t="b">
        <v>0</v>
      </c>
      <c r="AF1339" s="81">
        <v>0</v>
      </c>
      <c r="AG1339" s="86" t="s">
        <v>6240</v>
      </c>
      <c r="AH1339" s="81" t="b">
        <v>0</v>
      </c>
      <c r="AI1339" s="81" t="s">
        <v>6478</v>
      </c>
      <c r="AJ1339" s="81"/>
      <c r="AK1339" s="86" t="s">
        <v>6240</v>
      </c>
      <c r="AL1339" s="81" t="b">
        <v>0</v>
      </c>
      <c r="AM1339" s="81">
        <v>1</v>
      </c>
      <c r="AN1339" s="86" t="s">
        <v>6240</v>
      </c>
      <c r="AO1339" s="86" t="s">
        <v>6524</v>
      </c>
      <c r="AP1339" s="81" t="b">
        <v>0</v>
      </c>
      <c r="AQ1339" s="86" t="s">
        <v>5088</v>
      </c>
      <c r="AR1339" s="81" t="s">
        <v>179</v>
      </c>
      <c r="AS1339" s="81">
        <v>0</v>
      </c>
      <c r="AT1339" s="81">
        <v>0</v>
      </c>
      <c r="AU1339" s="81"/>
      <c r="AV1339" s="81"/>
      <c r="AW1339" s="81"/>
      <c r="AX1339" s="81"/>
      <c r="AY1339" s="81"/>
      <c r="AZ1339" s="81"/>
      <c r="BA1339" s="81"/>
      <c r="BB1339" s="81"/>
    </row>
    <row r="1340" spans="1:54" x14ac:dyDescent="0.35">
      <c r="A1340" s="66" t="s">
        <v>971</v>
      </c>
      <c r="B1340" s="66" t="s">
        <v>970</v>
      </c>
      <c r="C1340" s="67"/>
      <c r="D1340" s="68"/>
      <c r="E1340" s="69"/>
      <c r="F1340" s="70"/>
      <c r="G1340" s="67"/>
      <c r="H1340" s="71"/>
      <c r="I1340" s="72"/>
      <c r="J1340" s="72"/>
      <c r="K1340" s="36"/>
      <c r="L1340" s="79"/>
      <c r="M1340" s="79"/>
      <c r="N1340" s="74"/>
      <c r="O1340" s="81" t="s">
        <v>1532</v>
      </c>
      <c r="P1340" s="83">
        <v>44465.250069444446</v>
      </c>
      <c r="Q1340" s="81" t="s">
        <v>1987</v>
      </c>
      <c r="R1340" s="84" t="str">
        <f>HYPERLINK("https://www.republika.co.id/berita/r011xj423/politeknik-pos-indonesia-dan-kemenlu-ri-teken-mou")</f>
        <v>https://www.republika.co.id/berita/r011xj423/politeknik-pos-indonesia-dan-kemenlu-ri-teken-mou</v>
      </c>
      <c r="S1340" s="81" t="s">
        <v>2589</v>
      </c>
      <c r="T1340" s="81"/>
      <c r="U1340" s="81"/>
      <c r="V1340" s="84" t="str">
        <f>HYPERLINK("https://pbs.twimg.com/profile_images/1419278652160708611/N-9Jru4z_normal.jpg")</f>
        <v>https://pbs.twimg.com/profile_images/1419278652160708611/N-9Jru4z_normal.jpg</v>
      </c>
      <c r="W1340" s="83">
        <v>44465.250069444446</v>
      </c>
      <c r="X1340" s="89">
        <v>44465</v>
      </c>
      <c r="Y1340" s="86" t="s">
        <v>3623</v>
      </c>
      <c r="Z1340" s="84" t="str">
        <f>HYPERLINK("https://twitter.com/bunnedu/status/1442006042452262914")</f>
        <v>https://twitter.com/bunnedu/status/1442006042452262914</v>
      </c>
      <c r="AA1340" s="81"/>
      <c r="AB1340" s="81"/>
      <c r="AC1340" s="86" t="s">
        <v>5089</v>
      </c>
      <c r="AD1340" s="81"/>
      <c r="AE1340" s="81" t="b">
        <v>0</v>
      </c>
      <c r="AF1340" s="81">
        <v>0</v>
      </c>
      <c r="AG1340" s="86" t="s">
        <v>6240</v>
      </c>
      <c r="AH1340" s="81" t="b">
        <v>0</v>
      </c>
      <c r="AI1340" s="81" t="s">
        <v>6478</v>
      </c>
      <c r="AJ1340" s="81"/>
      <c r="AK1340" s="86" t="s">
        <v>6240</v>
      </c>
      <c r="AL1340" s="81" t="b">
        <v>0</v>
      </c>
      <c r="AM1340" s="81">
        <v>1</v>
      </c>
      <c r="AN1340" s="86" t="s">
        <v>5088</v>
      </c>
      <c r="AO1340" s="86" t="s">
        <v>6503</v>
      </c>
      <c r="AP1340" s="81" t="b">
        <v>0</v>
      </c>
      <c r="AQ1340" s="86" t="s">
        <v>5088</v>
      </c>
      <c r="AR1340" s="81" t="s">
        <v>179</v>
      </c>
      <c r="AS1340" s="81">
        <v>0</v>
      </c>
      <c r="AT1340" s="81">
        <v>0</v>
      </c>
      <c r="AU1340" s="81"/>
      <c r="AV1340" s="81"/>
      <c r="AW1340" s="81"/>
      <c r="AX1340" s="81"/>
      <c r="AY1340" s="81"/>
      <c r="AZ1340" s="81"/>
      <c r="BA1340" s="81"/>
      <c r="BB1340" s="81"/>
    </row>
    <row r="1341" spans="1:54" x14ac:dyDescent="0.35">
      <c r="A1341" s="66" t="s">
        <v>972</v>
      </c>
      <c r="B1341" s="66" t="s">
        <v>972</v>
      </c>
      <c r="C1341" s="67"/>
      <c r="D1341" s="68"/>
      <c r="E1341" s="69"/>
      <c r="F1341" s="70"/>
      <c r="G1341" s="67"/>
      <c r="H1341" s="71"/>
      <c r="I1341" s="72"/>
      <c r="J1341" s="72"/>
      <c r="K1341" s="36"/>
      <c r="L1341" s="79"/>
      <c r="M1341" s="79"/>
      <c r="N1341" s="74"/>
      <c r="O1341" s="81" t="s">
        <v>179</v>
      </c>
      <c r="P1341" s="83">
        <v>44465.259502314817</v>
      </c>
      <c r="Q1341" s="81" t="s">
        <v>1988</v>
      </c>
      <c r="R1341" s="81"/>
      <c r="S1341" s="81"/>
      <c r="T1341" s="81"/>
      <c r="U1341" s="81"/>
      <c r="V1341" s="84" t="str">
        <f>HYPERLINK("https://pbs.twimg.com/profile_images/1425728456302624773/60TXrYzb_normal.jpg")</f>
        <v>https://pbs.twimg.com/profile_images/1425728456302624773/60TXrYzb_normal.jpg</v>
      </c>
      <c r="W1341" s="83">
        <v>44465.259502314817</v>
      </c>
      <c r="X1341" s="89">
        <v>44465</v>
      </c>
      <c r="Y1341" s="86" t="s">
        <v>3624</v>
      </c>
      <c r="Z1341" s="84" t="str">
        <f>HYPERLINK("https://twitter.com/allif33/status/1442009462055702528")</f>
        <v>https://twitter.com/allif33/status/1442009462055702528</v>
      </c>
      <c r="AA1341" s="81"/>
      <c r="AB1341" s="81"/>
      <c r="AC1341" s="86" t="s">
        <v>5090</v>
      </c>
      <c r="AD1341" s="81"/>
      <c r="AE1341" s="81" t="b">
        <v>0</v>
      </c>
      <c r="AF1341" s="81">
        <v>0</v>
      </c>
      <c r="AG1341" s="86" t="s">
        <v>6240</v>
      </c>
      <c r="AH1341" s="81" t="b">
        <v>0</v>
      </c>
      <c r="AI1341" s="81" t="s">
        <v>6478</v>
      </c>
      <c r="AJ1341" s="81"/>
      <c r="AK1341" s="86" t="s">
        <v>6240</v>
      </c>
      <c r="AL1341" s="81" t="b">
        <v>0</v>
      </c>
      <c r="AM1341" s="81">
        <v>0</v>
      </c>
      <c r="AN1341" s="86" t="s">
        <v>6240</v>
      </c>
      <c r="AO1341" s="86" t="s">
        <v>6503</v>
      </c>
      <c r="AP1341" s="81" t="b">
        <v>0</v>
      </c>
      <c r="AQ1341" s="86" t="s">
        <v>5090</v>
      </c>
      <c r="AR1341" s="81" t="s">
        <v>179</v>
      </c>
      <c r="AS1341" s="81">
        <v>0</v>
      </c>
      <c r="AT1341" s="81">
        <v>0</v>
      </c>
      <c r="AU1341" s="81"/>
      <c r="AV1341" s="81"/>
      <c r="AW1341" s="81"/>
      <c r="AX1341" s="81"/>
      <c r="AY1341" s="81"/>
      <c r="AZ1341" s="81"/>
      <c r="BA1341" s="81"/>
      <c r="BB1341" s="81"/>
    </row>
    <row r="1342" spans="1:54" x14ac:dyDescent="0.35">
      <c r="A1342" s="66" t="s">
        <v>973</v>
      </c>
      <c r="B1342" s="66" t="s">
        <v>973</v>
      </c>
      <c r="C1342" s="67"/>
      <c r="D1342" s="68"/>
      <c r="E1342" s="69"/>
      <c r="F1342" s="70"/>
      <c r="G1342" s="67"/>
      <c r="H1342" s="71"/>
      <c r="I1342" s="72"/>
      <c r="J1342" s="72"/>
      <c r="K1342" s="36"/>
      <c r="L1342" s="79"/>
      <c r="M1342" s="79"/>
      <c r="N1342" s="74"/>
      <c r="O1342" s="81" t="s">
        <v>179</v>
      </c>
      <c r="P1342" s="83">
        <v>44465.263113425928</v>
      </c>
      <c r="Q1342" s="81" t="s">
        <v>1989</v>
      </c>
      <c r="R1342" s="81"/>
      <c r="S1342" s="81"/>
      <c r="T1342" s="81"/>
      <c r="U1342" s="81"/>
      <c r="V1342" s="84" t="str">
        <f>HYPERLINK("https://pbs.twimg.com/profile_images/1416024357441212418/qo9f5NgH_normal.jpg")</f>
        <v>https://pbs.twimg.com/profile_images/1416024357441212418/qo9f5NgH_normal.jpg</v>
      </c>
      <c r="W1342" s="83">
        <v>44465.263113425928</v>
      </c>
      <c r="X1342" s="89">
        <v>44465</v>
      </c>
      <c r="Y1342" s="86" t="s">
        <v>3625</v>
      </c>
      <c r="Z1342" s="84" t="str">
        <f>HYPERLINK("https://twitter.com/drjoealexander/status/1442010770397560834")</f>
        <v>https://twitter.com/drjoealexander/status/1442010770397560834</v>
      </c>
      <c r="AA1342" s="81"/>
      <c r="AB1342" s="81"/>
      <c r="AC1342" s="86" t="s">
        <v>5091</v>
      </c>
      <c r="AD1342" s="81"/>
      <c r="AE1342" s="81" t="b">
        <v>0</v>
      </c>
      <c r="AF1342" s="81">
        <v>0</v>
      </c>
      <c r="AG1342" s="86" t="s">
        <v>6240</v>
      </c>
      <c r="AH1342" s="81" t="b">
        <v>0</v>
      </c>
      <c r="AI1342" s="81" t="s">
        <v>6479</v>
      </c>
      <c r="AJ1342" s="81"/>
      <c r="AK1342" s="86" t="s">
        <v>6240</v>
      </c>
      <c r="AL1342" s="81" t="b">
        <v>0</v>
      </c>
      <c r="AM1342" s="81">
        <v>0</v>
      </c>
      <c r="AN1342" s="86" t="s">
        <v>6240</v>
      </c>
      <c r="AO1342" s="86" t="s">
        <v>6503</v>
      </c>
      <c r="AP1342" s="81" t="b">
        <v>0</v>
      </c>
      <c r="AQ1342" s="86" t="s">
        <v>5091</v>
      </c>
      <c r="AR1342" s="81" t="s">
        <v>179</v>
      </c>
      <c r="AS1342" s="81">
        <v>0</v>
      </c>
      <c r="AT1342" s="81">
        <v>0</v>
      </c>
      <c r="AU1342" s="81"/>
      <c r="AV1342" s="81"/>
      <c r="AW1342" s="81"/>
      <c r="AX1342" s="81"/>
      <c r="AY1342" s="81"/>
      <c r="AZ1342" s="81"/>
      <c r="BA1342" s="81"/>
      <c r="BB1342" s="81"/>
    </row>
    <row r="1343" spans="1:54" x14ac:dyDescent="0.35">
      <c r="A1343" s="66" t="s">
        <v>974</v>
      </c>
      <c r="B1343" s="66" t="s">
        <v>1460</v>
      </c>
      <c r="C1343" s="67"/>
      <c r="D1343" s="68"/>
      <c r="E1343" s="69"/>
      <c r="F1343" s="70"/>
      <c r="G1343" s="67"/>
      <c r="H1343" s="71"/>
      <c r="I1343" s="72"/>
      <c r="J1343" s="72"/>
      <c r="K1343" s="36"/>
      <c r="L1343" s="79"/>
      <c r="M1343" s="79"/>
      <c r="N1343" s="74"/>
      <c r="O1343" s="81" t="s">
        <v>1534</v>
      </c>
      <c r="P1343" s="83">
        <v>44465.2887962963</v>
      </c>
      <c r="Q1343" s="81" t="s">
        <v>1990</v>
      </c>
      <c r="R1343" s="81"/>
      <c r="S1343" s="81"/>
      <c r="T1343" s="81"/>
      <c r="U1343" s="81"/>
      <c r="V1343" s="84" t="str">
        <f>HYPERLINK("https://pbs.twimg.com/profile_images/1427791685388435456/HmFH2YqC_normal.jpg")</f>
        <v>https://pbs.twimg.com/profile_images/1427791685388435456/HmFH2YqC_normal.jpg</v>
      </c>
      <c r="W1343" s="83">
        <v>44465.2887962963</v>
      </c>
      <c r="X1343" s="89">
        <v>44465</v>
      </c>
      <c r="Y1343" s="86" t="s">
        <v>3626</v>
      </c>
      <c r="Z1343" s="84" t="str">
        <f>HYPERLINK("https://twitter.com/cringeunicorn_/status/1442020076731781130")</f>
        <v>https://twitter.com/cringeunicorn_/status/1442020076731781130</v>
      </c>
      <c r="AA1343" s="81"/>
      <c r="AB1343" s="81"/>
      <c r="AC1343" s="86" t="s">
        <v>5092</v>
      </c>
      <c r="AD1343" s="86" t="s">
        <v>6135</v>
      </c>
      <c r="AE1343" s="81" t="b">
        <v>0</v>
      </c>
      <c r="AF1343" s="81">
        <v>0</v>
      </c>
      <c r="AG1343" s="86" t="s">
        <v>6392</v>
      </c>
      <c r="AH1343" s="81" t="b">
        <v>0</v>
      </c>
      <c r="AI1343" s="81" t="s">
        <v>6478</v>
      </c>
      <c r="AJ1343" s="81"/>
      <c r="AK1343" s="86" t="s">
        <v>6240</v>
      </c>
      <c r="AL1343" s="81" t="b">
        <v>0</v>
      </c>
      <c r="AM1343" s="81">
        <v>0</v>
      </c>
      <c r="AN1343" s="86" t="s">
        <v>6240</v>
      </c>
      <c r="AO1343" s="86" t="s">
        <v>6503</v>
      </c>
      <c r="AP1343" s="81" t="b">
        <v>0</v>
      </c>
      <c r="AQ1343" s="86" t="s">
        <v>6135</v>
      </c>
      <c r="AR1343" s="81" t="s">
        <v>179</v>
      </c>
      <c r="AS1343" s="81">
        <v>0</v>
      </c>
      <c r="AT1343" s="81">
        <v>0</v>
      </c>
      <c r="AU1343" s="81"/>
      <c r="AV1343" s="81"/>
      <c r="AW1343" s="81"/>
      <c r="AX1343" s="81"/>
      <c r="AY1343" s="81"/>
      <c r="AZ1343" s="81"/>
      <c r="BA1343" s="81"/>
      <c r="BB1343" s="81"/>
    </row>
    <row r="1344" spans="1:54" x14ac:dyDescent="0.35">
      <c r="A1344" s="66" t="s">
        <v>975</v>
      </c>
      <c r="B1344" s="66" t="s">
        <v>1461</v>
      </c>
      <c r="C1344" s="67"/>
      <c r="D1344" s="68"/>
      <c r="E1344" s="69"/>
      <c r="F1344" s="70"/>
      <c r="G1344" s="67"/>
      <c r="H1344" s="71"/>
      <c r="I1344" s="72"/>
      <c r="J1344" s="72"/>
      <c r="K1344" s="36"/>
      <c r="L1344" s="79"/>
      <c r="M1344" s="79"/>
      <c r="N1344" s="74"/>
      <c r="O1344" s="81" t="s">
        <v>1534</v>
      </c>
      <c r="P1344" s="83">
        <v>44465.297152777777</v>
      </c>
      <c r="Q1344" s="81" t="s">
        <v>1991</v>
      </c>
      <c r="R1344" s="81"/>
      <c r="S1344" s="81"/>
      <c r="T1344" s="81"/>
      <c r="U1344" s="81"/>
      <c r="V1344" s="84" t="str">
        <f>HYPERLINK("https://pbs.twimg.com/profile_images/1441387946834161670/Pload_JQ_normal.jpg")</f>
        <v>https://pbs.twimg.com/profile_images/1441387946834161670/Pload_JQ_normal.jpg</v>
      </c>
      <c r="W1344" s="83">
        <v>44465.297152777777</v>
      </c>
      <c r="X1344" s="89">
        <v>44465</v>
      </c>
      <c r="Y1344" s="86" t="s">
        <v>3627</v>
      </c>
      <c r="Z1344" s="84" t="str">
        <f>HYPERLINK("https://twitter.com/jonguparx/status/1442023107414282246")</f>
        <v>https://twitter.com/jonguparx/status/1442023107414282246</v>
      </c>
      <c r="AA1344" s="81"/>
      <c r="AB1344" s="81"/>
      <c r="AC1344" s="86" t="s">
        <v>5093</v>
      </c>
      <c r="AD1344" s="86" t="s">
        <v>6136</v>
      </c>
      <c r="AE1344" s="81" t="b">
        <v>0</v>
      </c>
      <c r="AF1344" s="81">
        <v>0</v>
      </c>
      <c r="AG1344" s="86" t="s">
        <v>6393</v>
      </c>
      <c r="AH1344" s="81" t="b">
        <v>0</v>
      </c>
      <c r="AI1344" s="81" t="s">
        <v>6478</v>
      </c>
      <c r="AJ1344" s="81"/>
      <c r="AK1344" s="86" t="s">
        <v>6240</v>
      </c>
      <c r="AL1344" s="81" t="b">
        <v>0</v>
      </c>
      <c r="AM1344" s="81">
        <v>0</v>
      </c>
      <c r="AN1344" s="86" t="s">
        <v>6240</v>
      </c>
      <c r="AO1344" s="86" t="s">
        <v>6503</v>
      </c>
      <c r="AP1344" s="81" t="b">
        <v>0</v>
      </c>
      <c r="AQ1344" s="86" t="s">
        <v>6136</v>
      </c>
      <c r="AR1344" s="81" t="s">
        <v>179</v>
      </c>
      <c r="AS1344" s="81">
        <v>0</v>
      </c>
      <c r="AT1344" s="81">
        <v>0</v>
      </c>
      <c r="AU1344" s="81"/>
      <c r="AV1344" s="81"/>
      <c r="AW1344" s="81"/>
      <c r="AX1344" s="81"/>
      <c r="AY1344" s="81"/>
      <c r="AZ1344" s="81"/>
      <c r="BA1344" s="81"/>
      <c r="BB1344" s="81"/>
    </row>
    <row r="1345" spans="1:54" x14ac:dyDescent="0.35">
      <c r="A1345" s="66" t="s">
        <v>976</v>
      </c>
      <c r="B1345" s="66" t="s">
        <v>976</v>
      </c>
      <c r="C1345" s="67"/>
      <c r="D1345" s="68"/>
      <c r="E1345" s="69"/>
      <c r="F1345" s="70"/>
      <c r="G1345" s="67"/>
      <c r="H1345" s="71"/>
      <c r="I1345" s="72"/>
      <c r="J1345" s="72"/>
      <c r="K1345" s="36"/>
      <c r="L1345" s="79"/>
      <c r="M1345" s="79"/>
      <c r="N1345" s="74"/>
      <c r="O1345" s="81" t="s">
        <v>179</v>
      </c>
      <c r="P1345" s="83">
        <v>44465.302453703705</v>
      </c>
      <c r="Q1345" s="81" t="s">
        <v>1992</v>
      </c>
      <c r="R1345" s="81"/>
      <c r="S1345" s="81"/>
      <c r="T1345" s="81"/>
      <c r="U1345" s="81"/>
      <c r="V1345" s="84" t="str">
        <f>HYPERLINK("https://pbs.twimg.com/profile_images/1379463183795036160/PSMd3JMd_normal.jpg")</f>
        <v>https://pbs.twimg.com/profile_images/1379463183795036160/PSMd3JMd_normal.jpg</v>
      </c>
      <c r="W1345" s="83">
        <v>44465.302453703705</v>
      </c>
      <c r="X1345" s="89">
        <v>44465</v>
      </c>
      <c r="Y1345" s="86" t="s">
        <v>3628</v>
      </c>
      <c r="Z1345" s="84" t="str">
        <f>HYPERLINK("https://twitter.com/kinanthings/status/1442025028132823045")</f>
        <v>https://twitter.com/kinanthings/status/1442025028132823045</v>
      </c>
      <c r="AA1345" s="81"/>
      <c r="AB1345" s="81"/>
      <c r="AC1345" s="86" t="s">
        <v>5094</v>
      </c>
      <c r="AD1345" s="81"/>
      <c r="AE1345" s="81" t="b">
        <v>0</v>
      </c>
      <c r="AF1345" s="81">
        <v>0</v>
      </c>
      <c r="AG1345" s="86" t="s">
        <v>6240</v>
      </c>
      <c r="AH1345" s="81" t="b">
        <v>0</v>
      </c>
      <c r="AI1345" s="81" t="s">
        <v>6478</v>
      </c>
      <c r="AJ1345" s="81"/>
      <c r="AK1345" s="86" t="s">
        <v>6240</v>
      </c>
      <c r="AL1345" s="81" t="b">
        <v>0</v>
      </c>
      <c r="AM1345" s="81">
        <v>0</v>
      </c>
      <c r="AN1345" s="86" t="s">
        <v>6240</v>
      </c>
      <c r="AO1345" s="86" t="s">
        <v>6503</v>
      </c>
      <c r="AP1345" s="81" t="b">
        <v>0</v>
      </c>
      <c r="AQ1345" s="86" t="s">
        <v>5094</v>
      </c>
      <c r="AR1345" s="81" t="s">
        <v>179</v>
      </c>
      <c r="AS1345" s="81">
        <v>0</v>
      </c>
      <c r="AT1345" s="81">
        <v>0</v>
      </c>
      <c r="AU1345" s="81"/>
      <c r="AV1345" s="81"/>
      <c r="AW1345" s="81"/>
      <c r="AX1345" s="81"/>
      <c r="AY1345" s="81"/>
      <c r="AZ1345" s="81"/>
      <c r="BA1345" s="81"/>
      <c r="BB1345" s="81"/>
    </row>
    <row r="1346" spans="1:54" x14ac:dyDescent="0.35">
      <c r="A1346" s="66" t="s">
        <v>977</v>
      </c>
      <c r="B1346" s="66" t="s">
        <v>977</v>
      </c>
      <c r="C1346" s="67"/>
      <c r="D1346" s="68"/>
      <c r="E1346" s="69"/>
      <c r="F1346" s="70"/>
      <c r="G1346" s="67"/>
      <c r="H1346" s="71"/>
      <c r="I1346" s="72"/>
      <c r="J1346" s="72"/>
      <c r="K1346" s="36"/>
      <c r="L1346" s="79"/>
      <c r="M1346" s="79"/>
      <c r="N1346" s="74"/>
      <c r="O1346" s="81" t="s">
        <v>179</v>
      </c>
      <c r="P1346" s="83">
        <v>44465.303981481484</v>
      </c>
      <c r="Q1346" s="84" t="str">
        <f>HYPERLINK("https://t.co/6htuXtw996")</f>
        <v>https://t.co/6htuXtw996</v>
      </c>
      <c r="R1346" s="84" t="str">
        <f>HYPERLINK("https://www.harianaceh.co.id/2021/09/26/politeknik-pos-indonesia-dan-kemenlu-ri-teken-mou/")</f>
        <v>https://www.harianaceh.co.id/2021/09/26/politeknik-pos-indonesia-dan-kemenlu-ri-teken-mou/</v>
      </c>
      <c r="S1346" s="81" t="s">
        <v>2589</v>
      </c>
      <c r="T1346" s="81"/>
      <c r="U1346" s="81"/>
      <c r="V1346" s="84" t="str">
        <f>HYPERLINK("https://pbs.twimg.com/profile_images/1133573876070400000/T4uyAxQb_normal.png")</f>
        <v>https://pbs.twimg.com/profile_images/1133573876070400000/T4uyAxQb_normal.png</v>
      </c>
      <c r="W1346" s="83">
        <v>44465.303981481484</v>
      </c>
      <c r="X1346" s="89">
        <v>44465</v>
      </c>
      <c r="Y1346" s="86" t="s">
        <v>3629</v>
      </c>
      <c r="Z1346" s="84" t="str">
        <f>HYPERLINK("https://twitter.com/kbharianaceh/status/1442025582204698627")</f>
        <v>https://twitter.com/kbharianaceh/status/1442025582204698627</v>
      </c>
      <c r="AA1346" s="81"/>
      <c r="AB1346" s="81"/>
      <c r="AC1346" s="86" t="s">
        <v>5095</v>
      </c>
      <c r="AD1346" s="81"/>
      <c r="AE1346" s="81" t="b">
        <v>0</v>
      </c>
      <c r="AF1346" s="81">
        <v>0</v>
      </c>
      <c r="AG1346" s="86" t="s">
        <v>6240</v>
      </c>
      <c r="AH1346" s="81" t="b">
        <v>0</v>
      </c>
      <c r="AI1346" s="81" t="s">
        <v>6485</v>
      </c>
      <c r="AJ1346" s="81"/>
      <c r="AK1346" s="86" t="s">
        <v>6240</v>
      </c>
      <c r="AL1346" s="81" t="b">
        <v>0</v>
      </c>
      <c r="AM1346" s="81">
        <v>0</v>
      </c>
      <c r="AN1346" s="86" t="s">
        <v>6240</v>
      </c>
      <c r="AO1346" s="86" t="s">
        <v>6509</v>
      </c>
      <c r="AP1346" s="81" t="b">
        <v>0</v>
      </c>
      <c r="AQ1346" s="86" t="s">
        <v>5095</v>
      </c>
      <c r="AR1346" s="81" t="s">
        <v>179</v>
      </c>
      <c r="AS1346" s="81">
        <v>0</v>
      </c>
      <c r="AT1346" s="81">
        <v>0</v>
      </c>
      <c r="AU1346" s="81"/>
      <c r="AV1346" s="81"/>
      <c r="AW1346" s="81"/>
      <c r="AX1346" s="81"/>
      <c r="AY1346" s="81"/>
      <c r="AZ1346" s="81"/>
      <c r="BA1346" s="81"/>
      <c r="BB1346" s="81"/>
    </row>
    <row r="1347" spans="1:54" x14ac:dyDescent="0.35">
      <c r="A1347" s="66" t="s">
        <v>978</v>
      </c>
      <c r="B1347" s="66" t="s">
        <v>978</v>
      </c>
      <c r="C1347" s="67"/>
      <c r="D1347" s="68"/>
      <c r="E1347" s="69"/>
      <c r="F1347" s="70"/>
      <c r="G1347" s="67"/>
      <c r="H1347" s="71"/>
      <c r="I1347" s="72"/>
      <c r="J1347" s="72"/>
      <c r="K1347" s="36"/>
      <c r="L1347" s="79"/>
      <c r="M1347" s="79"/>
      <c r="N1347" s="74"/>
      <c r="O1347" s="81" t="s">
        <v>179</v>
      </c>
      <c r="P1347" s="83">
        <v>44465.34752314815</v>
      </c>
      <c r="Q1347" s="81" t="s">
        <v>1993</v>
      </c>
      <c r="R1347" s="84" t="str">
        <f>HYPERLINK("https://twitter.com/pegipegi/status/1441688935957073928")</f>
        <v>https://twitter.com/pegipegi/status/1441688935957073928</v>
      </c>
      <c r="S1347" s="81" t="s">
        <v>2588</v>
      </c>
      <c r="T1347" s="81"/>
      <c r="U1347" s="81"/>
      <c r="V1347" s="84" t="str">
        <f>HYPERLINK("https://pbs.twimg.com/profile_images/1304779979159343106/-NY-t1KC_normal.jpg")</f>
        <v>https://pbs.twimg.com/profile_images/1304779979159343106/-NY-t1KC_normal.jpg</v>
      </c>
      <c r="W1347" s="83">
        <v>44465.34752314815</v>
      </c>
      <c r="X1347" s="89">
        <v>44465</v>
      </c>
      <c r="Y1347" s="86" t="s">
        <v>3630</v>
      </c>
      <c r="Z1347" s="84" t="str">
        <f>HYPERLINK("https://twitter.com/chyoevil13/status/1442041359737651204")</f>
        <v>https://twitter.com/chyoevil13/status/1442041359737651204</v>
      </c>
      <c r="AA1347" s="81"/>
      <c r="AB1347" s="81"/>
      <c r="AC1347" s="86" t="s">
        <v>5096</v>
      </c>
      <c r="AD1347" s="81"/>
      <c r="AE1347" s="81" t="b">
        <v>0</v>
      </c>
      <c r="AF1347" s="81">
        <v>0</v>
      </c>
      <c r="AG1347" s="86" t="s">
        <v>6240</v>
      </c>
      <c r="AH1347" s="81" t="b">
        <v>1</v>
      </c>
      <c r="AI1347" s="81" t="s">
        <v>6478</v>
      </c>
      <c r="AJ1347" s="81"/>
      <c r="AK1347" s="86" t="s">
        <v>6502</v>
      </c>
      <c r="AL1347" s="81" t="b">
        <v>0</v>
      </c>
      <c r="AM1347" s="81">
        <v>0</v>
      </c>
      <c r="AN1347" s="86" t="s">
        <v>6240</v>
      </c>
      <c r="AO1347" s="86" t="s">
        <v>6505</v>
      </c>
      <c r="AP1347" s="81" t="b">
        <v>0</v>
      </c>
      <c r="AQ1347" s="86" t="s">
        <v>5096</v>
      </c>
      <c r="AR1347" s="81" t="s">
        <v>179</v>
      </c>
      <c r="AS1347" s="81">
        <v>0</v>
      </c>
      <c r="AT1347" s="81">
        <v>0</v>
      </c>
      <c r="AU1347" s="81"/>
      <c r="AV1347" s="81"/>
      <c r="AW1347" s="81"/>
      <c r="AX1347" s="81"/>
      <c r="AY1347" s="81"/>
      <c r="AZ1347" s="81"/>
      <c r="BA1347" s="81"/>
      <c r="BB1347" s="81"/>
    </row>
    <row r="1348" spans="1:54" x14ac:dyDescent="0.35">
      <c r="A1348" s="66" t="s">
        <v>979</v>
      </c>
      <c r="B1348" s="66" t="s">
        <v>1462</v>
      </c>
      <c r="C1348" s="67"/>
      <c r="D1348" s="68"/>
      <c r="E1348" s="69"/>
      <c r="F1348" s="70"/>
      <c r="G1348" s="67"/>
      <c r="H1348" s="71"/>
      <c r="I1348" s="72"/>
      <c r="J1348" s="72"/>
      <c r="K1348" s="36"/>
      <c r="L1348" s="79"/>
      <c r="M1348" s="79"/>
      <c r="N1348" s="74"/>
      <c r="O1348" s="81" t="s">
        <v>1534</v>
      </c>
      <c r="P1348" s="83">
        <v>44465.352719907409</v>
      </c>
      <c r="Q1348" s="81" t="s">
        <v>1994</v>
      </c>
      <c r="R1348" s="81"/>
      <c r="S1348" s="81"/>
      <c r="T1348" s="81"/>
      <c r="U1348" s="81"/>
      <c r="V1348" s="84" t="str">
        <f>HYPERLINK("https://pbs.twimg.com/profile_images/1442462229429829637/syHWaSMP_normal.jpg")</f>
        <v>https://pbs.twimg.com/profile_images/1442462229429829637/syHWaSMP_normal.jpg</v>
      </c>
      <c r="W1348" s="83">
        <v>44465.352719907409</v>
      </c>
      <c r="X1348" s="89">
        <v>44465</v>
      </c>
      <c r="Y1348" s="86" t="s">
        <v>3631</v>
      </c>
      <c r="Z1348" s="84" t="str">
        <f>HYPERLINK("https://twitter.com/birrubiw/status/1442043243202375686")</f>
        <v>https://twitter.com/birrubiw/status/1442043243202375686</v>
      </c>
      <c r="AA1348" s="81"/>
      <c r="AB1348" s="81"/>
      <c r="AC1348" s="86" t="s">
        <v>5097</v>
      </c>
      <c r="AD1348" s="86" t="s">
        <v>6137</v>
      </c>
      <c r="AE1348" s="81" t="b">
        <v>0</v>
      </c>
      <c r="AF1348" s="81">
        <v>0</v>
      </c>
      <c r="AG1348" s="86" t="s">
        <v>6394</v>
      </c>
      <c r="AH1348" s="81" t="b">
        <v>0</v>
      </c>
      <c r="AI1348" s="81" t="s">
        <v>6478</v>
      </c>
      <c r="AJ1348" s="81"/>
      <c r="AK1348" s="86" t="s">
        <v>6240</v>
      </c>
      <c r="AL1348" s="81" t="b">
        <v>0</v>
      </c>
      <c r="AM1348" s="81">
        <v>0</v>
      </c>
      <c r="AN1348" s="86" t="s">
        <v>6240</v>
      </c>
      <c r="AO1348" s="86" t="s">
        <v>6503</v>
      </c>
      <c r="AP1348" s="81" t="b">
        <v>0</v>
      </c>
      <c r="AQ1348" s="86" t="s">
        <v>6137</v>
      </c>
      <c r="AR1348" s="81" t="s">
        <v>179</v>
      </c>
      <c r="AS1348" s="81">
        <v>0</v>
      </c>
      <c r="AT1348" s="81">
        <v>0</v>
      </c>
      <c r="AU1348" s="81"/>
      <c r="AV1348" s="81"/>
      <c r="AW1348" s="81"/>
      <c r="AX1348" s="81"/>
      <c r="AY1348" s="81"/>
      <c r="AZ1348" s="81"/>
      <c r="BA1348" s="81"/>
      <c r="BB1348" s="81"/>
    </row>
    <row r="1349" spans="1:54" x14ac:dyDescent="0.35">
      <c r="A1349" s="66" t="s">
        <v>980</v>
      </c>
      <c r="B1349" s="66" t="s">
        <v>1463</v>
      </c>
      <c r="C1349" s="67"/>
      <c r="D1349" s="68"/>
      <c r="E1349" s="69"/>
      <c r="F1349" s="70"/>
      <c r="G1349" s="67"/>
      <c r="H1349" s="71"/>
      <c r="I1349" s="72"/>
      <c r="J1349" s="72"/>
      <c r="K1349" s="36"/>
      <c r="L1349" s="79"/>
      <c r="M1349" s="79"/>
      <c r="N1349" s="74"/>
      <c r="O1349" s="81" t="s">
        <v>1534</v>
      </c>
      <c r="P1349" s="83">
        <v>44465.379699074074</v>
      </c>
      <c r="Q1349" s="81" t="s">
        <v>1995</v>
      </c>
      <c r="R1349" s="81"/>
      <c r="S1349" s="81"/>
      <c r="T1349" s="81"/>
      <c r="U1349" s="81"/>
      <c r="V1349" s="84" t="str">
        <f>HYPERLINK("https://pbs.twimg.com/profile_images/1438502926985535495/T3_rAfxd_normal.jpg")</f>
        <v>https://pbs.twimg.com/profile_images/1438502926985535495/T3_rAfxd_normal.jpg</v>
      </c>
      <c r="W1349" s="83">
        <v>44465.379699074074</v>
      </c>
      <c r="X1349" s="89">
        <v>44465</v>
      </c>
      <c r="Y1349" s="86" t="s">
        <v>3632</v>
      </c>
      <c r="Z1349" s="84" t="str">
        <f>HYPERLINK("https://twitter.com/binbreacker/status/1442053020640899086")</f>
        <v>https://twitter.com/binbreacker/status/1442053020640899086</v>
      </c>
      <c r="AA1349" s="81"/>
      <c r="AB1349" s="81"/>
      <c r="AC1349" s="86" t="s">
        <v>5098</v>
      </c>
      <c r="AD1349" s="86" t="s">
        <v>6138</v>
      </c>
      <c r="AE1349" s="81" t="b">
        <v>0</v>
      </c>
      <c r="AF1349" s="81">
        <v>0</v>
      </c>
      <c r="AG1349" s="86" t="s">
        <v>6395</v>
      </c>
      <c r="AH1349" s="81" t="b">
        <v>0</v>
      </c>
      <c r="AI1349" s="81" t="s">
        <v>6478</v>
      </c>
      <c r="AJ1349" s="81"/>
      <c r="AK1349" s="86" t="s">
        <v>6240</v>
      </c>
      <c r="AL1349" s="81" t="b">
        <v>0</v>
      </c>
      <c r="AM1349" s="81">
        <v>0</v>
      </c>
      <c r="AN1349" s="86" t="s">
        <v>6240</v>
      </c>
      <c r="AO1349" s="86" t="s">
        <v>6507</v>
      </c>
      <c r="AP1349" s="81" t="b">
        <v>0</v>
      </c>
      <c r="AQ1349" s="86" t="s">
        <v>6138</v>
      </c>
      <c r="AR1349" s="81" t="s">
        <v>179</v>
      </c>
      <c r="AS1349" s="81">
        <v>0</v>
      </c>
      <c r="AT1349" s="81">
        <v>0</v>
      </c>
      <c r="AU1349" s="81"/>
      <c r="AV1349" s="81"/>
      <c r="AW1349" s="81"/>
      <c r="AX1349" s="81"/>
      <c r="AY1349" s="81"/>
      <c r="AZ1349" s="81"/>
      <c r="BA1349" s="81"/>
      <c r="BB1349" s="81"/>
    </row>
    <row r="1350" spans="1:54" x14ac:dyDescent="0.35">
      <c r="A1350" s="66" t="s">
        <v>981</v>
      </c>
      <c r="B1350" s="66" t="s">
        <v>1374</v>
      </c>
      <c r="C1350" s="67"/>
      <c r="D1350" s="68"/>
      <c r="E1350" s="69"/>
      <c r="F1350" s="70"/>
      <c r="G1350" s="67"/>
      <c r="H1350" s="71"/>
      <c r="I1350" s="72"/>
      <c r="J1350" s="72"/>
      <c r="K1350" s="36"/>
      <c r="L1350" s="79"/>
      <c r="M1350" s="79"/>
      <c r="N1350" s="74"/>
      <c r="O1350" s="81" t="s">
        <v>1534</v>
      </c>
      <c r="P1350" s="83">
        <v>44465.403078703705</v>
      </c>
      <c r="Q1350" s="81" t="s">
        <v>1996</v>
      </c>
      <c r="R1350" s="81"/>
      <c r="S1350" s="81"/>
      <c r="T1350" s="81"/>
      <c r="U1350" s="81"/>
      <c r="V1350" s="84" t="str">
        <f>HYPERLINK("https://pbs.twimg.com/profile_images/1440323824201863184/ke63J3qZ_normal.jpg")</f>
        <v>https://pbs.twimg.com/profile_images/1440323824201863184/ke63J3qZ_normal.jpg</v>
      </c>
      <c r="W1350" s="83">
        <v>44465.403078703705</v>
      </c>
      <c r="X1350" s="89">
        <v>44465</v>
      </c>
      <c r="Y1350" s="86" t="s">
        <v>3633</v>
      </c>
      <c r="Z1350" s="84" t="str">
        <f>HYPERLINK("https://twitter.com/hj7bkt20sgr3/status/1442061490966593536")</f>
        <v>https://twitter.com/hj7bkt20sgr3/status/1442061490966593536</v>
      </c>
      <c r="AA1350" s="81"/>
      <c r="AB1350" s="81"/>
      <c r="AC1350" s="86" t="s">
        <v>5099</v>
      </c>
      <c r="AD1350" s="86" t="s">
        <v>6139</v>
      </c>
      <c r="AE1350" s="81" t="b">
        <v>0</v>
      </c>
      <c r="AF1350" s="81">
        <v>0</v>
      </c>
      <c r="AG1350" s="86" t="s">
        <v>6335</v>
      </c>
      <c r="AH1350" s="81" t="b">
        <v>0</v>
      </c>
      <c r="AI1350" s="81" t="s">
        <v>6478</v>
      </c>
      <c r="AJ1350" s="81"/>
      <c r="AK1350" s="86" t="s">
        <v>6240</v>
      </c>
      <c r="AL1350" s="81" t="b">
        <v>0</v>
      </c>
      <c r="AM1350" s="81">
        <v>0</v>
      </c>
      <c r="AN1350" s="86" t="s">
        <v>6240</v>
      </c>
      <c r="AO1350" s="86" t="s">
        <v>6503</v>
      </c>
      <c r="AP1350" s="81" t="b">
        <v>0</v>
      </c>
      <c r="AQ1350" s="86" t="s">
        <v>6139</v>
      </c>
      <c r="AR1350" s="81" t="s">
        <v>179</v>
      </c>
      <c r="AS1350" s="81">
        <v>0</v>
      </c>
      <c r="AT1350" s="81">
        <v>0</v>
      </c>
      <c r="AU1350" s="81"/>
      <c r="AV1350" s="81"/>
      <c r="AW1350" s="81"/>
      <c r="AX1350" s="81"/>
      <c r="AY1350" s="81"/>
      <c r="AZ1350" s="81"/>
      <c r="BA1350" s="81"/>
      <c r="BB1350" s="81"/>
    </row>
    <row r="1351" spans="1:54" x14ac:dyDescent="0.35">
      <c r="A1351" s="66" t="s">
        <v>982</v>
      </c>
      <c r="B1351" s="66" t="s">
        <v>982</v>
      </c>
      <c r="C1351" s="67"/>
      <c r="D1351" s="68"/>
      <c r="E1351" s="69"/>
      <c r="F1351" s="70"/>
      <c r="G1351" s="67"/>
      <c r="H1351" s="71"/>
      <c r="I1351" s="72"/>
      <c r="J1351" s="72"/>
      <c r="K1351" s="36"/>
      <c r="L1351" s="79"/>
      <c r="M1351" s="79"/>
      <c r="N1351" s="74"/>
      <c r="O1351" s="81" t="s">
        <v>179</v>
      </c>
      <c r="P1351" s="83">
        <v>44465.421886574077</v>
      </c>
      <c r="Q1351" s="81" t="s">
        <v>1997</v>
      </c>
      <c r="R1351" s="81"/>
      <c r="S1351" s="81"/>
      <c r="T1351" s="81"/>
      <c r="U1351" s="81"/>
      <c r="V1351" s="84" t="str">
        <f>HYPERLINK("https://pbs.twimg.com/profile_images/1440683609686360064/-Txz3cig_normal.jpg")</f>
        <v>https://pbs.twimg.com/profile_images/1440683609686360064/-Txz3cig_normal.jpg</v>
      </c>
      <c r="W1351" s="83">
        <v>44465.421886574077</v>
      </c>
      <c r="X1351" s="89">
        <v>44465</v>
      </c>
      <c r="Y1351" s="86" t="s">
        <v>3634</v>
      </c>
      <c r="Z1351" s="84" t="str">
        <f>HYPERLINK("https://twitter.com/yojeong9196/status/1442068306798649347")</f>
        <v>https://twitter.com/yojeong9196/status/1442068306798649347</v>
      </c>
      <c r="AA1351" s="81"/>
      <c r="AB1351" s="81"/>
      <c r="AC1351" s="86" t="s">
        <v>5100</v>
      </c>
      <c r="AD1351" s="86" t="s">
        <v>6140</v>
      </c>
      <c r="AE1351" s="81" t="b">
        <v>0</v>
      </c>
      <c r="AF1351" s="81">
        <v>2</v>
      </c>
      <c r="AG1351" s="86" t="s">
        <v>6396</v>
      </c>
      <c r="AH1351" s="81" t="b">
        <v>0</v>
      </c>
      <c r="AI1351" s="81" t="s">
        <v>6478</v>
      </c>
      <c r="AJ1351" s="81"/>
      <c r="AK1351" s="86" t="s">
        <v>6240</v>
      </c>
      <c r="AL1351" s="81" t="b">
        <v>0</v>
      </c>
      <c r="AM1351" s="81">
        <v>0</v>
      </c>
      <c r="AN1351" s="86" t="s">
        <v>6240</v>
      </c>
      <c r="AO1351" s="86" t="s">
        <v>6505</v>
      </c>
      <c r="AP1351" s="81" t="b">
        <v>0</v>
      </c>
      <c r="AQ1351" s="86" t="s">
        <v>6140</v>
      </c>
      <c r="AR1351" s="81" t="s">
        <v>179</v>
      </c>
      <c r="AS1351" s="81">
        <v>0</v>
      </c>
      <c r="AT1351" s="81">
        <v>0</v>
      </c>
      <c r="AU1351" s="81"/>
      <c r="AV1351" s="81"/>
      <c r="AW1351" s="81"/>
      <c r="AX1351" s="81"/>
      <c r="AY1351" s="81"/>
      <c r="AZ1351" s="81"/>
      <c r="BA1351" s="81"/>
      <c r="BB1351" s="81"/>
    </row>
    <row r="1352" spans="1:54" x14ac:dyDescent="0.35">
      <c r="A1352" s="66" t="s">
        <v>983</v>
      </c>
      <c r="B1352" s="66" t="s">
        <v>983</v>
      </c>
      <c r="C1352" s="67"/>
      <c r="D1352" s="68"/>
      <c r="E1352" s="69"/>
      <c r="F1352" s="70"/>
      <c r="G1352" s="67"/>
      <c r="H1352" s="71"/>
      <c r="I1352" s="72"/>
      <c r="J1352" s="72"/>
      <c r="K1352" s="36"/>
      <c r="L1352" s="79"/>
      <c r="M1352" s="79"/>
      <c r="N1352" s="74"/>
      <c r="O1352" s="81" t="s">
        <v>179</v>
      </c>
      <c r="P1352" s="83">
        <v>44462.309016203704</v>
      </c>
      <c r="Q1352" s="81" t="s">
        <v>1998</v>
      </c>
      <c r="R1352" s="84" t="str">
        <f>HYPERLINK("https://www.portalkalbar.com/2021/09/lowongan-kerja-pt-pos-indonesia-persero_23.html")</f>
        <v>https://www.portalkalbar.com/2021/09/lowongan-kerja-pt-pos-indonesia-persero_23.html</v>
      </c>
      <c r="S1352" s="81" t="s">
        <v>2633</v>
      </c>
      <c r="T1352" s="81"/>
      <c r="U1352" s="84" t="str">
        <f>HYPERLINK("https://pbs.twimg.com/media/E_8_geIVcAcozom.jpg")</f>
        <v>https://pbs.twimg.com/media/E_8_geIVcAcozom.jpg</v>
      </c>
      <c r="V1352" s="84" t="str">
        <f>HYPERLINK("https://pbs.twimg.com/media/E_8_geIVcAcozom.jpg")</f>
        <v>https://pbs.twimg.com/media/E_8_geIVcAcozom.jpg</v>
      </c>
      <c r="W1352" s="83">
        <v>44462.309016203704</v>
      </c>
      <c r="X1352" s="89">
        <v>44462</v>
      </c>
      <c r="Y1352" s="86" t="s">
        <v>3635</v>
      </c>
      <c r="Z1352" s="84" t="str">
        <f>HYPERLINK("https://twitter.com/portalkalbar1/status/1440940240621891587")</f>
        <v>https://twitter.com/portalkalbar1/status/1440940240621891587</v>
      </c>
      <c r="AA1352" s="81"/>
      <c r="AB1352" s="81"/>
      <c r="AC1352" s="86" t="s">
        <v>5101</v>
      </c>
      <c r="AD1352" s="81"/>
      <c r="AE1352" s="81" t="b">
        <v>0</v>
      </c>
      <c r="AF1352" s="81">
        <v>0</v>
      </c>
      <c r="AG1352" s="86" t="s">
        <v>6240</v>
      </c>
      <c r="AH1352" s="81" t="b">
        <v>0</v>
      </c>
      <c r="AI1352" s="81" t="s">
        <v>6478</v>
      </c>
      <c r="AJ1352" s="81"/>
      <c r="AK1352" s="86" t="s">
        <v>6240</v>
      </c>
      <c r="AL1352" s="81" t="b">
        <v>0</v>
      </c>
      <c r="AM1352" s="81">
        <v>0</v>
      </c>
      <c r="AN1352" s="86" t="s">
        <v>6240</v>
      </c>
      <c r="AO1352" s="86" t="s">
        <v>6507</v>
      </c>
      <c r="AP1352" s="81" t="b">
        <v>0</v>
      </c>
      <c r="AQ1352" s="86" t="s">
        <v>5101</v>
      </c>
      <c r="AR1352" s="81" t="s">
        <v>179</v>
      </c>
      <c r="AS1352" s="81">
        <v>0</v>
      </c>
      <c r="AT1352" s="81">
        <v>0</v>
      </c>
      <c r="AU1352" s="81"/>
      <c r="AV1352" s="81"/>
      <c r="AW1352" s="81"/>
      <c r="AX1352" s="81"/>
      <c r="AY1352" s="81"/>
      <c r="AZ1352" s="81"/>
      <c r="BA1352" s="81"/>
      <c r="BB1352" s="81"/>
    </row>
    <row r="1353" spans="1:54" x14ac:dyDescent="0.35">
      <c r="A1353" s="66" t="s">
        <v>983</v>
      </c>
      <c r="B1353" s="66" t="s">
        <v>983</v>
      </c>
      <c r="C1353" s="67"/>
      <c r="D1353" s="68"/>
      <c r="E1353" s="69"/>
      <c r="F1353" s="70"/>
      <c r="G1353" s="67"/>
      <c r="H1353" s="71"/>
      <c r="I1353" s="72"/>
      <c r="J1353" s="72"/>
      <c r="K1353" s="36"/>
      <c r="L1353" s="79"/>
      <c r="M1353" s="79"/>
      <c r="N1353" s="74"/>
      <c r="O1353" s="81" t="s">
        <v>179</v>
      </c>
      <c r="P1353" s="83">
        <v>44465.435231481482</v>
      </c>
      <c r="Q1353" s="81" t="s">
        <v>1999</v>
      </c>
      <c r="R1353" s="84" t="str">
        <f>HYPERLINK("https://www.portalkalbar.com/2021/09/lowongan-kerja-pt-pos-indonesia-persero_26.html")</f>
        <v>https://www.portalkalbar.com/2021/09/lowongan-kerja-pt-pos-indonesia-persero_26.html</v>
      </c>
      <c r="S1353" s="81" t="s">
        <v>2633</v>
      </c>
      <c r="T1353" s="81"/>
      <c r="U1353" s="84" t="str">
        <f>HYPERLINK("https://pbs.twimg.com/media/FANF36kVIAkL-yI.jpg")</f>
        <v>https://pbs.twimg.com/media/FANF36kVIAkL-yI.jpg</v>
      </c>
      <c r="V1353" s="84" t="str">
        <f>HYPERLINK("https://pbs.twimg.com/media/FANF36kVIAkL-yI.jpg")</f>
        <v>https://pbs.twimg.com/media/FANF36kVIAkL-yI.jpg</v>
      </c>
      <c r="W1353" s="83">
        <v>44465.435231481482</v>
      </c>
      <c r="X1353" s="89">
        <v>44465</v>
      </c>
      <c r="Y1353" s="86" t="s">
        <v>3636</v>
      </c>
      <c r="Z1353" s="84" t="str">
        <f>HYPERLINK("https://twitter.com/portalkalbar1/status/1442073142558543878")</f>
        <v>https://twitter.com/portalkalbar1/status/1442073142558543878</v>
      </c>
      <c r="AA1353" s="81"/>
      <c r="AB1353" s="81"/>
      <c r="AC1353" s="86" t="s">
        <v>5102</v>
      </c>
      <c r="AD1353" s="81"/>
      <c r="AE1353" s="81" t="b">
        <v>0</v>
      </c>
      <c r="AF1353" s="81">
        <v>0</v>
      </c>
      <c r="AG1353" s="86" t="s">
        <v>6240</v>
      </c>
      <c r="AH1353" s="81" t="b">
        <v>0</v>
      </c>
      <c r="AI1353" s="81" t="s">
        <v>6478</v>
      </c>
      <c r="AJ1353" s="81"/>
      <c r="AK1353" s="86" t="s">
        <v>6240</v>
      </c>
      <c r="AL1353" s="81" t="b">
        <v>0</v>
      </c>
      <c r="AM1353" s="81">
        <v>0</v>
      </c>
      <c r="AN1353" s="86" t="s">
        <v>6240</v>
      </c>
      <c r="AO1353" s="86" t="s">
        <v>6507</v>
      </c>
      <c r="AP1353" s="81" t="b">
        <v>0</v>
      </c>
      <c r="AQ1353" s="86" t="s">
        <v>5102</v>
      </c>
      <c r="AR1353" s="81" t="s">
        <v>179</v>
      </c>
      <c r="AS1353" s="81">
        <v>0</v>
      </c>
      <c r="AT1353" s="81">
        <v>0</v>
      </c>
      <c r="AU1353" s="81"/>
      <c r="AV1353" s="81"/>
      <c r="AW1353" s="81"/>
      <c r="AX1353" s="81"/>
      <c r="AY1353" s="81"/>
      <c r="AZ1353" s="81"/>
      <c r="BA1353" s="81"/>
      <c r="BB1353" s="81"/>
    </row>
    <row r="1354" spans="1:54" x14ac:dyDescent="0.35">
      <c r="A1354" s="66" t="s">
        <v>984</v>
      </c>
      <c r="B1354" s="66" t="s">
        <v>1464</v>
      </c>
      <c r="C1354" s="67"/>
      <c r="D1354" s="68"/>
      <c r="E1354" s="69"/>
      <c r="F1354" s="70"/>
      <c r="G1354" s="67"/>
      <c r="H1354" s="71"/>
      <c r="I1354" s="72"/>
      <c r="J1354" s="72"/>
      <c r="K1354" s="36"/>
      <c r="L1354" s="79"/>
      <c r="M1354" s="79"/>
      <c r="N1354" s="74"/>
      <c r="O1354" s="81" t="s">
        <v>1534</v>
      </c>
      <c r="P1354" s="83">
        <v>44465.463310185187</v>
      </c>
      <c r="Q1354" s="81" t="s">
        <v>2000</v>
      </c>
      <c r="R1354" s="81"/>
      <c r="S1354" s="81"/>
      <c r="T1354" s="81"/>
      <c r="U1354" s="81"/>
      <c r="V1354" s="84" t="str">
        <f>HYPERLINK("https://pbs.twimg.com/profile_images/1439083317232484356/YYL9opNs_normal.png")</f>
        <v>https://pbs.twimg.com/profile_images/1439083317232484356/YYL9opNs_normal.png</v>
      </c>
      <c r="W1354" s="83">
        <v>44465.463310185187</v>
      </c>
      <c r="X1354" s="89">
        <v>44465</v>
      </c>
      <c r="Y1354" s="86" t="s">
        <v>3637</v>
      </c>
      <c r="Z1354" s="84" t="str">
        <f>HYPERLINK("https://twitter.com/cwecani/status/1442083318749483012")</f>
        <v>https://twitter.com/cwecani/status/1442083318749483012</v>
      </c>
      <c r="AA1354" s="81"/>
      <c r="AB1354" s="81"/>
      <c r="AC1354" s="86" t="s">
        <v>5103</v>
      </c>
      <c r="AD1354" s="86" t="s">
        <v>6141</v>
      </c>
      <c r="AE1354" s="81" t="b">
        <v>0</v>
      </c>
      <c r="AF1354" s="81">
        <v>0</v>
      </c>
      <c r="AG1354" s="86" t="s">
        <v>6397</v>
      </c>
      <c r="AH1354" s="81" t="b">
        <v>0</v>
      </c>
      <c r="AI1354" s="81" t="s">
        <v>6478</v>
      </c>
      <c r="AJ1354" s="81"/>
      <c r="AK1354" s="86" t="s">
        <v>6240</v>
      </c>
      <c r="AL1354" s="81" t="b">
        <v>0</v>
      </c>
      <c r="AM1354" s="81">
        <v>0</v>
      </c>
      <c r="AN1354" s="86" t="s">
        <v>6240</v>
      </c>
      <c r="AO1354" s="86" t="s">
        <v>6503</v>
      </c>
      <c r="AP1354" s="81" t="b">
        <v>0</v>
      </c>
      <c r="AQ1354" s="86" t="s">
        <v>6141</v>
      </c>
      <c r="AR1354" s="81" t="s">
        <v>179</v>
      </c>
      <c r="AS1354" s="81">
        <v>0</v>
      </c>
      <c r="AT1354" s="81">
        <v>0</v>
      </c>
      <c r="AU1354" s="81"/>
      <c r="AV1354" s="81"/>
      <c r="AW1354" s="81"/>
      <c r="AX1354" s="81"/>
      <c r="AY1354" s="81"/>
      <c r="AZ1354" s="81"/>
      <c r="BA1354" s="81"/>
      <c r="BB1354" s="81"/>
    </row>
    <row r="1355" spans="1:54" x14ac:dyDescent="0.35">
      <c r="A1355" s="66" t="s">
        <v>985</v>
      </c>
      <c r="B1355" s="66" t="s">
        <v>1291</v>
      </c>
      <c r="C1355" s="67"/>
      <c r="D1355" s="68"/>
      <c r="E1355" s="69"/>
      <c r="F1355" s="70"/>
      <c r="G1355" s="67"/>
      <c r="H1355" s="71"/>
      <c r="I1355" s="72"/>
      <c r="J1355" s="72"/>
      <c r="K1355" s="36"/>
      <c r="L1355" s="79"/>
      <c r="M1355" s="79"/>
      <c r="N1355" s="74"/>
      <c r="O1355" s="81" t="s">
        <v>1534</v>
      </c>
      <c r="P1355" s="83">
        <v>44465.464166666665</v>
      </c>
      <c r="Q1355" s="81" t="s">
        <v>2001</v>
      </c>
      <c r="R1355" s="81"/>
      <c r="S1355" s="81"/>
      <c r="T1355" s="81"/>
      <c r="U1355" s="81"/>
      <c r="V1355" s="84" t="str">
        <f>HYPERLINK("https://pbs.twimg.com/profile_images/1397013821705768960/Zc5WzBPV_normal.jpg")</f>
        <v>https://pbs.twimg.com/profile_images/1397013821705768960/Zc5WzBPV_normal.jpg</v>
      </c>
      <c r="W1355" s="83">
        <v>44465.464166666665</v>
      </c>
      <c r="X1355" s="89">
        <v>44465</v>
      </c>
      <c r="Y1355" s="86" t="s">
        <v>3638</v>
      </c>
      <c r="Z1355" s="84" t="str">
        <f>HYPERLINK("https://twitter.com/fluff__yunicorn/status/1442083627983007747")</f>
        <v>https://twitter.com/fluff__yunicorn/status/1442083627983007747</v>
      </c>
      <c r="AA1355" s="81"/>
      <c r="AB1355" s="81"/>
      <c r="AC1355" s="86" t="s">
        <v>5104</v>
      </c>
      <c r="AD1355" s="86" t="s">
        <v>6142</v>
      </c>
      <c r="AE1355" s="81" t="b">
        <v>0</v>
      </c>
      <c r="AF1355" s="81">
        <v>0</v>
      </c>
      <c r="AG1355" s="86" t="s">
        <v>6259</v>
      </c>
      <c r="AH1355" s="81" t="b">
        <v>0</v>
      </c>
      <c r="AI1355" s="81" t="s">
        <v>6478</v>
      </c>
      <c r="AJ1355" s="81"/>
      <c r="AK1355" s="86" t="s">
        <v>6240</v>
      </c>
      <c r="AL1355" s="81" t="b">
        <v>0</v>
      </c>
      <c r="AM1355" s="81">
        <v>0</v>
      </c>
      <c r="AN1355" s="86" t="s">
        <v>6240</v>
      </c>
      <c r="AO1355" s="86" t="s">
        <v>6505</v>
      </c>
      <c r="AP1355" s="81" t="b">
        <v>0</v>
      </c>
      <c r="AQ1355" s="86" t="s">
        <v>6142</v>
      </c>
      <c r="AR1355" s="81" t="s">
        <v>179</v>
      </c>
      <c r="AS1355" s="81">
        <v>0</v>
      </c>
      <c r="AT1355" s="81">
        <v>0</v>
      </c>
      <c r="AU1355" s="81"/>
      <c r="AV1355" s="81"/>
      <c r="AW1355" s="81"/>
      <c r="AX1355" s="81"/>
      <c r="AY1355" s="81"/>
      <c r="AZ1355" s="81"/>
      <c r="BA1355" s="81"/>
      <c r="BB1355" s="81"/>
    </row>
    <row r="1356" spans="1:54" x14ac:dyDescent="0.35">
      <c r="A1356" s="66" t="s">
        <v>986</v>
      </c>
      <c r="B1356" s="66" t="s">
        <v>986</v>
      </c>
      <c r="C1356" s="67"/>
      <c r="D1356" s="68"/>
      <c r="E1356" s="69"/>
      <c r="F1356" s="70"/>
      <c r="G1356" s="67"/>
      <c r="H1356" s="71"/>
      <c r="I1356" s="72"/>
      <c r="J1356" s="72"/>
      <c r="K1356" s="36"/>
      <c r="L1356" s="79"/>
      <c r="M1356" s="79"/>
      <c r="N1356" s="74"/>
      <c r="O1356" s="81" t="s">
        <v>179</v>
      </c>
      <c r="P1356" s="83">
        <v>44460.634432870371</v>
      </c>
      <c r="Q1356" s="81" t="s">
        <v>2002</v>
      </c>
      <c r="R1356" s="81"/>
      <c r="S1356" s="81"/>
      <c r="T1356" s="81"/>
      <c r="U1356" s="81"/>
      <c r="V1356" s="84" t="str">
        <f>HYPERLINK("https://pbs.twimg.com/profile_images/1438773004297666562/t85M4NGa_normal.jpg")</f>
        <v>https://pbs.twimg.com/profile_images/1438773004297666562/t85M4NGa_normal.jpg</v>
      </c>
      <c r="W1356" s="83">
        <v>44460.634432870371</v>
      </c>
      <c r="X1356" s="89">
        <v>44460</v>
      </c>
      <c r="Y1356" s="86" t="s">
        <v>3639</v>
      </c>
      <c r="Z1356" s="84" t="str">
        <f>HYPERLINK("https://twitter.com/bkipm_kkp/status/1440333391619002368")</f>
        <v>https://twitter.com/bkipm_kkp/status/1440333391619002368</v>
      </c>
      <c r="AA1356" s="81"/>
      <c r="AB1356" s="81"/>
      <c r="AC1356" s="86" t="s">
        <v>5105</v>
      </c>
      <c r="AD1356" s="86" t="s">
        <v>6143</v>
      </c>
      <c r="AE1356" s="81" t="b">
        <v>0</v>
      </c>
      <c r="AF1356" s="81">
        <v>5</v>
      </c>
      <c r="AG1356" s="86" t="s">
        <v>6398</v>
      </c>
      <c r="AH1356" s="81" t="b">
        <v>0</v>
      </c>
      <c r="AI1356" s="81" t="s">
        <v>6478</v>
      </c>
      <c r="AJ1356" s="81"/>
      <c r="AK1356" s="86" t="s">
        <v>6240</v>
      </c>
      <c r="AL1356" s="81" t="b">
        <v>0</v>
      </c>
      <c r="AM1356" s="81">
        <v>1</v>
      </c>
      <c r="AN1356" s="86" t="s">
        <v>6240</v>
      </c>
      <c r="AO1356" s="86" t="s">
        <v>6505</v>
      </c>
      <c r="AP1356" s="81" t="b">
        <v>0</v>
      </c>
      <c r="AQ1356" s="86" t="s">
        <v>6143</v>
      </c>
      <c r="AR1356" s="81" t="s">
        <v>179</v>
      </c>
      <c r="AS1356" s="81">
        <v>0</v>
      </c>
      <c r="AT1356" s="81">
        <v>0</v>
      </c>
      <c r="AU1356" s="81"/>
      <c r="AV1356" s="81"/>
      <c r="AW1356" s="81"/>
      <c r="AX1356" s="81"/>
      <c r="AY1356" s="81"/>
      <c r="AZ1356" s="81"/>
      <c r="BA1356" s="81"/>
      <c r="BB1356" s="81"/>
    </row>
    <row r="1357" spans="1:54" x14ac:dyDescent="0.35">
      <c r="A1357" s="66" t="s">
        <v>987</v>
      </c>
      <c r="B1357" s="66" t="s">
        <v>986</v>
      </c>
      <c r="C1357" s="67"/>
      <c r="D1357" s="68"/>
      <c r="E1357" s="69"/>
      <c r="F1357" s="70"/>
      <c r="G1357" s="67"/>
      <c r="H1357" s="71"/>
      <c r="I1357" s="72"/>
      <c r="J1357" s="72"/>
      <c r="K1357" s="36"/>
      <c r="L1357" s="79"/>
      <c r="M1357" s="79"/>
      <c r="N1357" s="74"/>
      <c r="O1357" s="81" t="s">
        <v>1532</v>
      </c>
      <c r="P1357" s="83">
        <v>44465.467291666668</v>
      </c>
      <c r="Q1357" s="81" t="s">
        <v>2002</v>
      </c>
      <c r="R1357" s="81"/>
      <c r="S1357" s="81"/>
      <c r="T1357" s="81"/>
      <c r="U1357" s="81"/>
      <c r="V1357" s="84" t="str">
        <f>HYPERLINK("https://pbs.twimg.com/profile_images/930818251390558208/5F8BKHd1_normal.jpg")</f>
        <v>https://pbs.twimg.com/profile_images/930818251390558208/5F8BKHd1_normal.jpg</v>
      </c>
      <c r="W1357" s="83">
        <v>44465.467291666668</v>
      </c>
      <c r="X1357" s="89">
        <v>44465</v>
      </c>
      <c r="Y1357" s="86" t="s">
        <v>3640</v>
      </c>
      <c r="Z1357" s="84" t="str">
        <f>HYPERLINK("https://twitter.com/wilkerjalaludin/status/1442084762512867332")</f>
        <v>https://twitter.com/wilkerjalaludin/status/1442084762512867332</v>
      </c>
      <c r="AA1357" s="81"/>
      <c r="AB1357" s="81"/>
      <c r="AC1357" s="86" t="s">
        <v>5106</v>
      </c>
      <c r="AD1357" s="81"/>
      <c r="AE1357" s="81" t="b">
        <v>0</v>
      </c>
      <c r="AF1357" s="81">
        <v>0</v>
      </c>
      <c r="AG1357" s="86" t="s">
        <v>6240</v>
      </c>
      <c r="AH1357" s="81" t="b">
        <v>0</v>
      </c>
      <c r="AI1357" s="81" t="s">
        <v>6478</v>
      </c>
      <c r="AJ1357" s="81"/>
      <c r="AK1357" s="86" t="s">
        <v>6240</v>
      </c>
      <c r="AL1357" s="81" t="b">
        <v>0</v>
      </c>
      <c r="AM1357" s="81">
        <v>1</v>
      </c>
      <c r="AN1357" s="86" t="s">
        <v>5105</v>
      </c>
      <c r="AO1357" s="86" t="s">
        <v>6503</v>
      </c>
      <c r="AP1357" s="81" t="b">
        <v>0</v>
      </c>
      <c r="AQ1357" s="86" t="s">
        <v>5105</v>
      </c>
      <c r="AR1357" s="81" t="s">
        <v>179</v>
      </c>
      <c r="AS1357" s="81">
        <v>0</v>
      </c>
      <c r="AT1357" s="81">
        <v>0</v>
      </c>
      <c r="AU1357" s="81"/>
      <c r="AV1357" s="81"/>
      <c r="AW1357" s="81"/>
      <c r="AX1357" s="81"/>
      <c r="AY1357" s="81"/>
      <c r="AZ1357" s="81"/>
      <c r="BA1357" s="81"/>
      <c r="BB1357" s="81"/>
    </row>
    <row r="1358" spans="1:54" x14ac:dyDescent="0.35">
      <c r="A1358" s="66" t="s">
        <v>988</v>
      </c>
      <c r="B1358" s="66" t="s">
        <v>1410</v>
      </c>
      <c r="C1358" s="67"/>
      <c r="D1358" s="68"/>
      <c r="E1358" s="69"/>
      <c r="F1358" s="70"/>
      <c r="G1358" s="67"/>
      <c r="H1358" s="71"/>
      <c r="I1358" s="72"/>
      <c r="J1358" s="72"/>
      <c r="K1358" s="36"/>
      <c r="L1358" s="79"/>
      <c r="M1358" s="79"/>
      <c r="N1358" s="74"/>
      <c r="O1358" s="81" t="s">
        <v>1533</v>
      </c>
      <c r="P1358" s="83">
        <v>44465.470416666663</v>
      </c>
      <c r="Q1358" s="81" t="s">
        <v>1909</v>
      </c>
      <c r="R1358" s="81"/>
      <c r="S1358" s="81"/>
      <c r="T1358" s="86" t="s">
        <v>1413</v>
      </c>
      <c r="U1358" s="84" t="str">
        <f>HYPERLINK("https://pbs.twimg.com/media/FAEa7dXVkAcjbKg.jpg")</f>
        <v>https://pbs.twimg.com/media/FAEa7dXVkAcjbKg.jpg</v>
      </c>
      <c r="V1358" s="84" t="str">
        <f>HYPERLINK("https://pbs.twimg.com/media/FAEa7dXVkAcjbKg.jpg")</f>
        <v>https://pbs.twimg.com/media/FAEa7dXVkAcjbKg.jpg</v>
      </c>
      <c r="W1358" s="83">
        <v>44465.470416666663</v>
      </c>
      <c r="X1358" s="89">
        <v>44465</v>
      </c>
      <c r="Y1358" s="86" t="s">
        <v>3641</v>
      </c>
      <c r="Z1358" s="84" t="str">
        <f>HYPERLINK("https://twitter.com/craemkoo/status/1442085894513590274")</f>
        <v>https://twitter.com/craemkoo/status/1442085894513590274</v>
      </c>
      <c r="AA1358" s="81"/>
      <c r="AB1358" s="81"/>
      <c r="AC1358" s="86" t="s">
        <v>5107</v>
      </c>
      <c r="AD1358" s="81"/>
      <c r="AE1358" s="81" t="b">
        <v>0</v>
      </c>
      <c r="AF1358" s="81">
        <v>0</v>
      </c>
      <c r="AG1358" s="86" t="s">
        <v>6240</v>
      </c>
      <c r="AH1358" s="81" t="b">
        <v>0</v>
      </c>
      <c r="AI1358" s="81" t="s">
        <v>6479</v>
      </c>
      <c r="AJ1358" s="81"/>
      <c r="AK1358" s="86" t="s">
        <v>6240</v>
      </c>
      <c r="AL1358" s="81" t="b">
        <v>0</v>
      </c>
      <c r="AM1358" s="81">
        <v>20</v>
      </c>
      <c r="AN1358" s="86" t="s">
        <v>5110</v>
      </c>
      <c r="AO1358" s="86" t="s">
        <v>6505</v>
      </c>
      <c r="AP1358" s="81" t="b">
        <v>0</v>
      </c>
      <c r="AQ1358" s="86" t="s">
        <v>5110</v>
      </c>
      <c r="AR1358" s="81" t="s">
        <v>179</v>
      </c>
      <c r="AS1358" s="81">
        <v>0</v>
      </c>
      <c r="AT1358" s="81">
        <v>0</v>
      </c>
      <c r="AU1358" s="81"/>
      <c r="AV1358" s="81"/>
      <c r="AW1358" s="81"/>
      <c r="AX1358" s="81"/>
      <c r="AY1358" s="81"/>
      <c r="AZ1358" s="81"/>
      <c r="BA1358" s="81"/>
      <c r="BB1358" s="81"/>
    </row>
    <row r="1359" spans="1:54" x14ac:dyDescent="0.35">
      <c r="A1359" s="66" t="s">
        <v>988</v>
      </c>
      <c r="B1359" s="66" t="s">
        <v>1411</v>
      </c>
      <c r="C1359" s="67"/>
      <c r="D1359" s="68"/>
      <c r="E1359" s="69"/>
      <c r="F1359" s="70"/>
      <c r="G1359" s="67"/>
      <c r="H1359" s="71"/>
      <c r="I1359" s="72"/>
      <c r="J1359" s="72"/>
      <c r="K1359" s="36"/>
      <c r="L1359" s="79"/>
      <c r="M1359" s="79"/>
      <c r="N1359" s="74"/>
      <c r="O1359" s="81" t="s">
        <v>1533</v>
      </c>
      <c r="P1359" s="83">
        <v>44465.470416666663</v>
      </c>
      <c r="Q1359" s="81" t="s">
        <v>1909</v>
      </c>
      <c r="R1359" s="81"/>
      <c r="S1359" s="81"/>
      <c r="T1359" s="86" t="s">
        <v>1413</v>
      </c>
      <c r="U1359" s="84" t="str">
        <f>HYPERLINK("https://pbs.twimg.com/media/FAEa7dXVkAcjbKg.jpg")</f>
        <v>https://pbs.twimg.com/media/FAEa7dXVkAcjbKg.jpg</v>
      </c>
      <c r="V1359" s="84" t="str">
        <f>HYPERLINK("https://pbs.twimg.com/media/FAEa7dXVkAcjbKg.jpg")</f>
        <v>https://pbs.twimg.com/media/FAEa7dXVkAcjbKg.jpg</v>
      </c>
      <c r="W1359" s="83">
        <v>44465.470416666663</v>
      </c>
      <c r="X1359" s="89">
        <v>44465</v>
      </c>
      <c r="Y1359" s="86" t="s">
        <v>3641</v>
      </c>
      <c r="Z1359" s="84" t="str">
        <f>HYPERLINK("https://twitter.com/craemkoo/status/1442085894513590274")</f>
        <v>https://twitter.com/craemkoo/status/1442085894513590274</v>
      </c>
      <c r="AA1359" s="81"/>
      <c r="AB1359" s="81"/>
      <c r="AC1359" s="86" t="s">
        <v>5107</v>
      </c>
      <c r="AD1359" s="81"/>
      <c r="AE1359" s="81" t="b">
        <v>0</v>
      </c>
      <c r="AF1359" s="81">
        <v>0</v>
      </c>
      <c r="AG1359" s="86" t="s">
        <v>6240</v>
      </c>
      <c r="AH1359" s="81" t="b">
        <v>0</v>
      </c>
      <c r="AI1359" s="81" t="s">
        <v>6479</v>
      </c>
      <c r="AJ1359" s="81"/>
      <c r="AK1359" s="86" t="s">
        <v>6240</v>
      </c>
      <c r="AL1359" s="81" t="b">
        <v>0</v>
      </c>
      <c r="AM1359" s="81">
        <v>20</v>
      </c>
      <c r="AN1359" s="86" t="s">
        <v>5110</v>
      </c>
      <c r="AO1359" s="86" t="s">
        <v>6505</v>
      </c>
      <c r="AP1359" s="81" t="b">
        <v>0</v>
      </c>
      <c r="AQ1359" s="86" t="s">
        <v>5110</v>
      </c>
      <c r="AR1359" s="81" t="s">
        <v>179</v>
      </c>
      <c r="AS1359" s="81">
        <v>0</v>
      </c>
      <c r="AT1359" s="81">
        <v>0</v>
      </c>
      <c r="AU1359" s="81"/>
      <c r="AV1359" s="81"/>
      <c r="AW1359" s="81"/>
      <c r="AX1359" s="81"/>
      <c r="AY1359" s="81"/>
      <c r="AZ1359" s="81"/>
      <c r="BA1359" s="81"/>
      <c r="BB1359" s="81"/>
    </row>
    <row r="1360" spans="1:54" x14ac:dyDescent="0.35">
      <c r="A1360" s="66" t="s">
        <v>988</v>
      </c>
      <c r="B1360" s="66" t="s">
        <v>1412</v>
      </c>
      <c r="C1360" s="67"/>
      <c r="D1360" s="68"/>
      <c r="E1360" s="69"/>
      <c r="F1360" s="70"/>
      <c r="G1360" s="67"/>
      <c r="H1360" s="71"/>
      <c r="I1360" s="72"/>
      <c r="J1360" s="72"/>
      <c r="K1360" s="36"/>
      <c r="L1360" s="79"/>
      <c r="M1360" s="79"/>
      <c r="N1360" s="74"/>
      <c r="O1360" s="81" t="s">
        <v>1533</v>
      </c>
      <c r="P1360" s="83">
        <v>44465.470416666663</v>
      </c>
      <c r="Q1360" s="81" t="s">
        <v>1909</v>
      </c>
      <c r="R1360" s="81"/>
      <c r="S1360" s="81"/>
      <c r="T1360" s="86" t="s">
        <v>1413</v>
      </c>
      <c r="U1360" s="84" t="str">
        <f>HYPERLINK("https://pbs.twimg.com/media/FAEa7dXVkAcjbKg.jpg")</f>
        <v>https://pbs.twimg.com/media/FAEa7dXVkAcjbKg.jpg</v>
      </c>
      <c r="V1360" s="84" t="str">
        <f>HYPERLINK("https://pbs.twimg.com/media/FAEa7dXVkAcjbKg.jpg")</f>
        <v>https://pbs.twimg.com/media/FAEa7dXVkAcjbKg.jpg</v>
      </c>
      <c r="W1360" s="83">
        <v>44465.470416666663</v>
      </c>
      <c r="X1360" s="89">
        <v>44465</v>
      </c>
      <c r="Y1360" s="86" t="s">
        <v>3641</v>
      </c>
      <c r="Z1360" s="84" t="str">
        <f>HYPERLINK("https://twitter.com/craemkoo/status/1442085894513590274")</f>
        <v>https://twitter.com/craemkoo/status/1442085894513590274</v>
      </c>
      <c r="AA1360" s="81"/>
      <c r="AB1360" s="81"/>
      <c r="AC1360" s="86" t="s">
        <v>5107</v>
      </c>
      <c r="AD1360" s="81"/>
      <c r="AE1360" s="81" t="b">
        <v>0</v>
      </c>
      <c r="AF1360" s="81">
        <v>0</v>
      </c>
      <c r="AG1360" s="86" t="s">
        <v>6240</v>
      </c>
      <c r="AH1360" s="81" t="b">
        <v>0</v>
      </c>
      <c r="AI1360" s="81" t="s">
        <v>6479</v>
      </c>
      <c r="AJ1360" s="81"/>
      <c r="AK1360" s="86" t="s">
        <v>6240</v>
      </c>
      <c r="AL1360" s="81" t="b">
        <v>0</v>
      </c>
      <c r="AM1360" s="81">
        <v>20</v>
      </c>
      <c r="AN1360" s="86" t="s">
        <v>5110</v>
      </c>
      <c r="AO1360" s="86" t="s">
        <v>6505</v>
      </c>
      <c r="AP1360" s="81" t="b">
        <v>0</v>
      </c>
      <c r="AQ1360" s="86" t="s">
        <v>5110</v>
      </c>
      <c r="AR1360" s="81" t="s">
        <v>179</v>
      </c>
      <c r="AS1360" s="81">
        <v>0</v>
      </c>
      <c r="AT1360" s="81">
        <v>0</v>
      </c>
      <c r="AU1360" s="81"/>
      <c r="AV1360" s="81"/>
      <c r="AW1360" s="81"/>
      <c r="AX1360" s="81"/>
      <c r="AY1360" s="81"/>
      <c r="AZ1360" s="81"/>
      <c r="BA1360" s="81"/>
      <c r="BB1360" s="81"/>
    </row>
    <row r="1361" spans="1:54" x14ac:dyDescent="0.35">
      <c r="A1361" s="66" t="s">
        <v>988</v>
      </c>
      <c r="B1361" s="66" t="s">
        <v>1413</v>
      </c>
      <c r="C1361" s="67"/>
      <c r="D1361" s="68"/>
      <c r="E1361" s="69"/>
      <c r="F1361" s="70"/>
      <c r="G1361" s="67"/>
      <c r="H1361" s="71"/>
      <c r="I1361" s="72"/>
      <c r="J1361" s="72"/>
      <c r="K1361" s="36"/>
      <c r="L1361" s="79"/>
      <c r="M1361" s="79"/>
      <c r="N1361" s="74"/>
      <c r="O1361" s="81" t="s">
        <v>1533</v>
      </c>
      <c r="P1361" s="83">
        <v>44465.470416666663</v>
      </c>
      <c r="Q1361" s="81" t="s">
        <v>1909</v>
      </c>
      <c r="R1361" s="81"/>
      <c r="S1361" s="81"/>
      <c r="T1361" s="86" t="s">
        <v>1413</v>
      </c>
      <c r="U1361" s="84" t="str">
        <f>HYPERLINK("https://pbs.twimg.com/media/FAEa7dXVkAcjbKg.jpg")</f>
        <v>https://pbs.twimg.com/media/FAEa7dXVkAcjbKg.jpg</v>
      </c>
      <c r="V1361" s="84" t="str">
        <f>HYPERLINK("https://pbs.twimg.com/media/FAEa7dXVkAcjbKg.jpg")</f>
        <v>https://pbs.twimg.com/media/FAEa7dXVkAcjbKg.jpg</v>
      </c>
      <c r="W1361" s="83">
        <v>44465.470416666663</v>
      </c>
      <c r="X1361" s="89">
        <v>44465</v>
      </c>
      <c r="Y1361" s="86" t="s">
        <v>3641</v>
      </c>
      <c r="Z1361" s="84" t="str">
        <f>HYPERLINK("https://twitter.com/craemkoo/status/1442085894513590274")</f>
        <v>https://twitter.com/craemkoo/status/1442085894513590274</v>
      </c>
      <c r="AA1361" s="81"/>
      <c r="AB1361" s="81"/>
      <c r="AC1361" s="86" t="s">
        <v>5107</v>
      </c>
      <c r="AD1361" s="81"/>
      <c r="AE1361" s="81" t="b">
        <v>0</v>
      </c>
      <c r="AF1361" s="81">
        <v>0</v>
      </c>
      <c r="AG1361" s="86" t="s">
        <v>6240</v>
      </c>
      <c r="AH1361" s="81" t="b">
        <v>0</v>
      </c>
      <c r="AI1361" s="81" t="s">
        <v>6479</v>
      </c>
      <c r="AJ1361" s="81"/>
      <c r="AK1361" s="86" t="s">
        <v>6240</v>
      </c>
      <c r="AL1361" s="81" t="b">
        <v>0</v>
      </c>
      <c r="AM1361" s="81">
        <v>20</v>
      </c>
      <c r="AN1361" s="86" t="s">
        <v>5110</v>
      </c>
      <c r="AO1361" s="86" t="s">
        <v>6505</v>
      </c>
      <c r="AP1361" s="81" t="b">
        <v>0</v>
      </c>
      <c r="AQ1361" s="86" t="s">
        <v>5110</v>
      </c>
      <c r="AR1361" s="81" t="s">
        <v>179</v>
      </c>
      <c r="AS1361" s="81">
        <v>0</v>
      </c>
      <c r="AT1361" s="81">
        <v>0</v>
      </c>
      <c r="AU1361" s="81"/>
      <c r="AV1361" s="81"/>
      <c r="AW1361" s="81"/>
      <c r="AX1361" s="81"/>
      <c r="AY1361" s="81"/>
      <c r="AZ1361" s="81"/>
      <c r="BA1361" s="81"/>
      <c r="BB1361" s="81"/>
    </row>
    <row r="1362" spans="1:54" x14ac:dyDescent="0.35">
      <c r="A1362" s="66" t="s">
        <v>988</v>
      </c>
      <c r="B1362" s="66" t="s">
        <v>990</v>
      </c>
      <c r="C1362" s="67"/>
      <c r="D1362" s="68"/>
      <c r="E1362" s="69"/>
      <c r="F1362" s="70"/>
      <c r="G1362" s="67"/>
      <c r="H1362" s="71"/>
      <c r="I1362" s="72"/>
      <c r="J1362" s="72"/>
      <c r="K1362" s="36"/>
      <c r="L1362" s="79"/>
      <c r="M1362" s="79"/>
      <c r="N1362" s="74"/>
      <c r="O1362" s="81" t="s">
        <v>1532</v>
      </c>
      <c r="P1362" s="83">
        <v>44465.470416666663</v>
      </c>
      <c r="Q1362" s="81" t="s">
        <v>1909</v>
      </c>
      <c r="R1362" s="81"/>
      <c r="S1362" s="81"/>
      <c r="T1362" s="86" t="s">
        <v>1413</v>
      </c>
      <c r="U1362" s="84" t="str">
        <f>HYPERLINK("https://pbs.twimg.com/media/FAEa7dXVkAcjbKg.jpg")</f>
        <v>https://pbs.twimg.com/media/FAEa7dXVkAcjbKg.jpg</v>
      </c>
      <c r="V1362" s="84" t="str">
        <f>HYPERLINK("https://pbs.twimg.com/media/FAEa7dXVkAcjbKg.jpg")</f>
        <v>https://pbs.twimg.com/media/FAEa7dXVkAcjbKg.jpg</v>
      </c>
      <c r="W1362" s="83">
        <v>44465.470416666663</v>
      </c>
      <c r="X1362" s="89">
        <v>44465</v>
      </c>
      <c r="Y1362" s="86" t="s">
        <v>3641</v>
      </c>
      <c r="Z1362" s="84" t="str">
        <f>HYPERLINK("https://twitter.com/craemkoo/status/1442085894513590274")</f>
        <v>https://twitter.com/craemkoo/status/1442085894513590274</v>
      </c>
      <c r="AA1362" s="81"/>
      <c r="AB1362" s="81"/>
      <c r="AC1362" s="86" t="s">
        <v>5107</v>
      </c>
      <c r="AD1362" s="81"/>
      <c r="AE1362" s="81" t="b">
        <v>0</v>
      </c>
      <c r="AF1362" s="81">
        <v>0</v>
      </c>
      <c r="AG1362" s="86" t="s">
        <v>6240</v>
      </c>
      <c r="AH1362" s="81" t="b">
        <v>0</v>
      </c>
      <c r="AI1362" s="81" t="s">
        <v>6479</v>
      </c>
      <c r="AJ1362" s="81"/>
      <c r="AK1362" s="86" t="s">
        <v>6240</v>
      </c>
      <c r="AL1362" s="81" t="b">
        <v>0</v>
      </c>
      <c r="AM1362" s="81">
        <v>20</v>
      </c>
      <c r="AN1362" s="86" t="s">
        <v>5110</v>
      </c>
      <c r="AO1362" s="86" t="s">
        <v>6505</v>
      </c>
      <c r="AP1362" s="81" t="b">
        <v>0</v>
      </c>
      <c r="AQ1362" s="86" t="s">
        <v>5110</v>
      </c>
      <c r="AR1362" s="81" t="s">
        <v>179</v>
      </c>
      <c r="AS1362" s="81">
        <v>0</v>
      </c>
      <c r="AT1362" s="81">
        <v>0</v>
      </c>
      <c r="AU1362" s="81"/>
      <c r="AV1362" s="81"/>
      <c r="AW1362" s="81"/>
      <c r="AX1362" s="81"/>
      <c r="AY1362" s="81"/>
      <c r="AZ1362" s="81"/>
      <c r="BA1362" s="81"/>
      <c r="BB1362" s="81"/>
    </row>
    <row r="1363" spans="1:54" x14ac:dyDescent="0.35">
      <c r="A1363" s="66" t="s">
        <v>989</v>
      </c>
      <c r="B1363" s="66" t="s">
        <v>1410</v>
      </c>
      <c r="C1363" s="67"/>
      <c r="D1363" s="68"/>
      <c r="E1363" s="69"/>
      <c r="F1363" s="70"/>
      <c r="G1363" s="67"/>
      <c r="H1363" s="71"/>
      <c r="I1363" s="72"/>
      <c r="J1363" s="72"/>
      <c r="K1363" s="36"/>
      <c r="L1363" s="79"/>
      <c r="M1363" s="79"/>
      <c r="N1363" s="74"/>
      <c r="O1363" s="81" t="s">
        <v>1533</v>
      </c>
      <c r="P1363" s="83">
        <v>44465.472615740742</v>
      </c>
      <c r="Q1363" s="81" t="s">
        <v>1909</v>
      </c>
      <c r="R1363" s="81"/>
      <c r="S1363" s="81"/>
      <c r="T1363" s="86" t="s">
        <v>1413</v>
      </c>
      <c r="U1363" s="84" t="str">
        <f>HYPERLINK("https://pbs.twimg.com/media/FAEa7dXVkAcjbKg.jpg")</f>
        <v>https://pbs.twimg.com/media/FAEa7dXVkAcjbKg.jpg</v>
      </c>
      <c r="V1363" s="84" t="str">
        <f>HYPERLINK("https://pbs.twimg.com/media/FAEa7dXVkAcjbKg.jpg")</f>
        <v>https://pbs.twimg.com/media/FAEa7dXVkAcjbKg.jpg</v>
      </c>
      <c r="W1363" s="83">
        <v>44465.472615740742</v>
      </c>
      <c r="X1363" s="89">
        <v>44465</v>
      </c>
      <c r="Y1363" s="86" t="s">
        <v>3642</v>
      </c>
      <c r="Z1363" s="84" t="str">
        <f>HYPERLINK("https://twitter.com/imanassrii/status/1442086691896918030")</f>
        <v>https://twitter.com/imanassrii/status/1442086691896918030</v>
      </c>
      <c r="AA1363" s="81"/>
      <c r="AB1363" s="81"/>
      <c r="AC1363" s="86" t="s">
        <v>5108</v>
      </c>
      <c r="AD1363" s="81"/>
      <c r="AE1363" s="81" t="b">
        <v>0</v>
      </c>
      <c r="AF1363" s="81">
        <v>0</v>
      </c>
      <c r="AG1363" s="86" t="s">
        <v>6240</v>
      </c>
      <c r="AH1363" s="81" t="b">
        <v>0</v>
      </c>
      <c r="AI1363" s="81" t="s">
        <v>6479</v>
      </c>
      <c r="AJ1363" s="81"/>
      <c r="AK1363" s="86" t="s">
        <v>6240</v>
      </c>
      <c r="AL1363" s="81" t="b">
        <v>0</v>
      </c>
      <c r="AM1363" s="81">
        <v>20</v>
      </c>
      <c r="AN1363" s="86" t="s">
        <v>5110</v>
      </c>
      <c r="AO1363" s="86" t="s">
        <v>6505</v>
      </c>
      <c r="AP1363" s="81" t="b">
        <v>0</v>
      </c>
      <c r="AQ1363" s="86" t="s">
        <v>5110</v>
      </c>
      <c r="AR1363" s="81" t="s">
        <v>179</v>
      </c>
      <c r="AS1363" s="81">
        <v>0</v>
      </c>
      <c r="AT1363" s="81">
        <v>0</v>
      </c>
      <c r="AU1363" s="81"/>
      <c r="AV1363" s="81"/>
      <c r="AW1363" s="81"/>
      <c r="AX1363" s="81"/>
      <c r="AY1363" s="81"/>
      <c r="AZ1363" s="81"/>
      <c r="BA1363" s="81"/>
      <c r="BB1363" s="81"/>
    </row>
    <row r="1364" spans="1:54" x14ac:dyDescent="0.35">
      <c r="A1364" s="66" t="s">
        <v>989</v>
      </c>
      <c r="B1364" s="66" t="s">
        <v>1411</v>
      </c>
      <c r="C1364" s="67"/>
      <c r="D1364" s="68"/>
      <c r="E1364" s="69"/>
      <c r="F1364" s="70"/>
      <c r="G1364" s="67"/>
      <c r="H1364" s="71"/>
      <c r="I1364" s="72"/>
      <c r="J1364" s="72"/>
      <c r="K1364" s="36"/>
      <c r="L1364" s="79"/>
      <c r="M1364" s="79"/>
      <c r="N1364" s="74"/>
      <c r="O1364" s="81" t="s">
        <v>1533</v>
      </c>
      <c r="P1364" s="83">
        <v>44465.472615740742</v>
      </c>
      <c r="Q1364" s="81" t="s">
        <v>1909</v>
      </c>
      <c r="R1364" s="81"/>
      <c r="S1364" s="81"/>
      <c r="T1364" s="86" t="s">
        <v>1413</v>
      </c>
      <c r="U1364" s="84" t="str">
        <f>HYPERLINK("https://pbs.twimg.com/media/FAEa7dXVkAcjbKg.jpg")</f>
        <v>https://pbs.twimg.com/media/FAEa7dXVkAcjbKg.jpg</v>
      </c>
      <c r="V1364" s="84" t="str">
        <f>HYPERLINK("https://pbs.twimg.com/media/FAEa7dXVkAcjbKg.jpg")</f>
        <v>https://pbs.twimg.com/media/FAEa7dXVkAcjbKg.jpg</v>
      </c>
      <c r="W1364" s="83">
        <v>44465.472615740742</v>
      </c>
      <c r="X1364" s="89">
        <v>44465</v>
      </c>
      <c r="Y1364" s="86" t="s">
        <v>3642</v>
      </c>
      <c r="Z1364" s="84" t="str">
        <f>HYPERLINK("https://twitter.com/imanassrii/status/1442086691896918030")</f>
        <v>https://twitter.com/imanassrii/status/1442086691896918030</v>
      </c>
      <c r="AA1364" s="81"/>
      <c r="AB1364" s="81"/>
      <c r="AC1364" s="86" t="s">
        <v>5108</v>
      </c>
      <c r="AD1364" s="81"/>
      <c r="AE1364" s="81" t="b">
        <v>0</v>
      </c>
      <c r="AF1364" s="81">
        <v>0</v>
      </c>
      <c r="AG1364" s="86" t="s">
        <v>6240</v>
      </c>
      <c r="AH1364" s="81" t="b">
        <v>0</v>
      </c>
      <c r="AI1364" s="81" t="s">
        <v>6479</v>
      </c>
      <c r="AJ1364" s="81"/>
      <c r="AK1364" s="86" t="s">
        <v>6240</v>
      </c>
      <c r="AL1364" s="81" t="b">
        <v>0</v>
      </c>
      <c r="AM1364" s="81">
        <v>20</v>
      </c>
      <c r="AN1364" s="86" t="s">
        <v>5110</v>
      </c>
      <c r="AO1364" s="86" t="s">
        <v>6505</v>
      </c>
      <c r="AP1364" s="81" t="b">
        <v>0</v>
      </c>
      <c r="AQ1364" s="86" t="s">
        <v>5110</v>
      </c>
      <c r="AR1364" s="81" t="s">
        <v>179</v>
      </c>
      <c r="AS1364" s="81">
        <v>0</v>
      </c>
      <c r="AT1364" s="81">
        <v>0</v>
      </c>
      <c r="AU1364" s="81"/>
      <c r="AV1364" s="81"/>
      <c r="AW1364" s="81"/>
      <c r="AX1364" s="81"/>
      <c r="AY1364" s="81"/>
      <c r="AZ1364" s="81"/>
      <c r="BA1364" s="81"/>
      <c r="BB1364" s="81"/>
    </row>
    <row r="1365" spans="1:54" x14ac:dyDescent="0.35">
      <c r="A1365" s="66" t="s">
        <v>989</v>
      </c>
      <c r="B1365" s="66" t="s">
        <v>1412</v>
      </c>
      <c r="C1365" s="67"/>
      <c r="D1365" s="68"/>
      <c r="E1365" s="69"/>
      <c r="F1365" s="70"/>
      <c r="G1365" s="67"/>
      <c r="H1365" s="71"/>
      <c r="I1365" s="72"/>
      <c r="J1365" s="72"/>
      <c r="K1365" s="36"/>
      <c r="L1365" s="79"/>
      <c r="M1365" s="79"/>
      <c r="N1365" s="74"/>
      <c r="O1365" s="81" t="s">
        <v>1533</v>
      </c>
      <c r="P1365" s="83">
        <v>44465.472615740742</v>
      </c>
      <c r="Q1365" s="81" t="s">
        <v>1909</v>
      </c>
      <c r="R1365" s="81"/>
      <c r="S1365" s="81"/>
      <c r="T1365" s="86" t="s">
        <v>1413</v>
      </c>
      <c r="U1365" s="84" t="str">
        <f>HYPERLINK("https://pbs.twimg.com/media/FAEa7dXVkAcjbKg.jpg")</f>
        <v>https://pbs.twimg.com/media/FAEa7dXVkAcjbKg.jpg</v>
      </c>
      <c r="V1365" s="84" t="str">
        <f>HYPERLINK("https://pbs.twimg.com/media/FAEa7dXVkAcjbKg.jpg")</f>
        <v>https://pbs.twimg.com/media/FAEa7dXVkAcjbKg.jpg</v>
      </c>
      <c r="W1365" s="83">
        <v>44465.472615740742</v>
      </c>
      <c r="X1365" s="89">
        <v>44465</v>
      </c>
      <c r="Y1365" s="86" t="s">
        <v>3642</v>
      </c>
      <c r="Z1365" s="84" t="str">
        <f>HYPERLINK("https://twitter.com/imanassrii/status/1442086691896918030")</f>
        <v>https://twitter.com/imanassrii/status/1442086691896918030</v>
      </c>
      <c r="AA1365" s="81"/>
      <c r="AB1365" s="81"/>
      <c r="AC1365" s="86" t="s">
        <v>5108</v>
      </c>
      <c r="AD1365" s="81"/>
      <c r="AE1365" s="81" t="b">
        <v>0</v>
      </c>
      <c r="AF1365" s="81">
        <v>0</v>
      </c>
      <c r="AG1365" s="86" t="s">
        <v>6240</v>
      </c>
      <c r="AH1365" s="81" t="b">
        <v>0</v>
      </c>
      <c r="AI1365" s="81" t="s">
        <v>6479</v>
      </c>
      <c r="AJ1365" s="81"/>
      <c r="AK1365" s="86" t="s">
        <v>6240</v>
      </c>
      <c r="AL1365" s="81" t="b">
        <v>0</v>
      </c>
      <c r="AM1365" s="81">
        <v>20</v>
      </c>
      <c r="AN1365" s="86" t="s">
        <v>5110</v>
      </c>
      <c r="AO1365" s="86" t="s">
        <v>6505</v>
      </c>
      <c r="AP1365" s="81" t="b">
        <v>0</v>
      </c>
      <c r="AQ1365" s="86" t="s">
        <v>5110</v>
      </c>
      <c r="AR1365" s="81" t="s">
        <v>179</v>
      </c>
      <c r="AS1365" s="81">
        <v>0</v>
      </c>
      <c r="AT1365" s="81">
        <v>0</v>
      </c>
      <c r="AU1365" s="81"/>
      <c r="AV1365" s="81"/>
      <c r="AW1365" s="81"/>
      <c r="AX1365" s="81"/>
      <c r="AY1365" s="81"/>
      <c r="AZ1365" s="81"/>
      <c r="BA1365" s="81"/>
      <c r="BB1365" s="81"/>
    </row>
    <row r="1366" spans="1:54" x14ac:dyDescent="0.35">
      <c r="A1366" s="66" t="s">
        <v>989</v>
      </c>
      <c r="B1366" s="66" t="s">
        <v>1413</v>
      </c>
      <c r="C1366" s="67"/>
      <c r="D1366" s="68"/>
      <c r="E1366" s="69"/>
      <c r="F1366" s="70"/>
      <c r="G1366" s="67"/>
      <c r="H1366" s="71"/>
      <c r="I1366" s="72"/>
      <c r="J1366" s="72"/>
      <c r="K1366" s="36"/>
      <c r="L1366" s="79"/>
      <c r="M1366" s="79"/>
      <c r="N1366" s="74"/>
      <c r="O1366" s="81" t="s">
        <v>1533</v>
      </c>
      <c r="P1366" s="83">
        <v>44465.472615740742</v>
      </c>
      <c r="Q1366" s="81" t="s">
        <v>1909</v>
      </c>
      <c r="R1366" s="81"/>
      <c r="S1366" s="81"/>
      <c r="T1366" s="86" t="s">
        <v>1413</v>
      </c>
      <c r="U1366" s="84" t="str">
        <f>HYPERLINK("https://pbs.twimg.com/media/FAEa7dXVkAcjbKg.jpg")</f>
        <v>https://pbs.twimg.com/media/FAEa7dXVkAcjbKg.jpg</v>
      </c>
      <c r="V1366" s="84" t="str">
        <f>HYPERLINK("https://pbs.twimg.com/media/FAEa7dXVkAcjbKg.jpg")</f>
        <v>https://pbs.twimg.com/media/FAEa7dXVkAcjbKg.jpg</v>
      </c>
      <c r="W1366" s="83">
        <v>44465.472615740742</v>
      </c>
      <c r="X1366" s="89">
        <v>44465</v>
      </c>
      <c r="Y1366" s="86" t="s">
        <v>3642</v>
      </c>
      <c r="Z1366" s="84" t="str">
        <f>HYPERLINK("https://twitter.com/imanassrii/status/1442086691896918030")</f>
        <v>https://twitter.com/imanassrii/status/1442086691896918030</v>
      </c>
      <c r="AA1366" s="81"/>
      <c r="AB1366" s="81"/>
      <c r="AC1366" s="86" t="s">
        <v>5108</v>
      </c>
      <c r="AD1366" s="81"/>
      <c r="AE1366" s="81" t="b">
        <v>0</v>
      </c>
      <c r="AF1366" s="81">
        <v>0</v>
      </c>
      <c r="AG1366" s="86" t="s">
        <v>6240</v>
      </c>
      <c r="AH1366" s="81" t="b">
        <v>0</v>
      </c>
      <c r="AI1366" s="81" t="s">
        <v>6479</v>
      </c>
      <c r="AJ1366" s="81"/>
      <c r="AK1366" s="86" t="s">
        <v>6240</v>
      </c>
      <c r="AL1366" s="81" t="b">
        <v>0</v>
      </c>
      <c r="AM1366" s="81">
        <v>20</v>
      </c>
      <c r="AN1366" s="86" t="s">
        <v>5110</v>
      </c>
      <c r="AO1366" s="86" t="s">
        <v>6505</v>
      </c>
      <c r="AP1366" s="81" t="b">
        <v>0</v>
      </c>
      <c r="AQ1366" s="86" t="s">
        <v>5110</v>
      </c>
      <c r="AR1366" s="81" t="s">
        <v>179</v>
      </c>
      <c r="AS1366" s="81">
        <v>0</v>
      </c>
      <c r="AT1366" s="81">
        <v>0</v>
      </c>
      <c r="AU1366" s="81"/>
      <c r="AV1366" s="81"/>
      <c r="AW1366" s="81"/>
      <c r="AX1366" s="81"/>
      <c r="AY1366" s="81"/>
      <c r="AZ1366" s="81"/>
      <c r="BA1366" s="81"/>
      <c r="BB1366" s="81"/>
    </row>
    <row r="1367" spans="1:54" x14ac:dyDescent="0.35">
      <c r="A1367" s="66" t="s">
        <v>989</v>
      </c>
      <c r="B1367" s="66" t="s">
        <v>990</v>
      </c>
      <c r="C1367" s="67"/>
      <c r="D1367" s="68"/>
      <c r="E1367" s="69"/>
      <c r="F1367" s="70"/>
      <c r="G1367" s="67"/>
      <c r="H1367" s="71"/>
      <c r="I1367" s="72"/>
      <c r="J1367" s="72"/>
      <c r="K1367" s="36"/>
      <c r="L1367" s="79"/>
      <c r="M1367" s="79"/>
      <c r="N1367" s="74"/>
      <c r="O1367" s="81" t="s">
        <v>1532</v>
      </c>
      <c r="P1367" s="83">
        <v>44465.472615740742</v>
      </c>
      <c r="Q1367" s="81" t="s">
        <v>1909</v>
      </c>
      <c r="R1367" s="81"/>
      <c r="S1367" s="81"/>
      <c r="T1367" s="86" t="s">
        <v>1413</v>
      </c>
      <c r="U1367" s="84" t="str">
        <f>HYPERLINK("https://pbs.twimg.com/media/FAEa7dXVkAcjbKg.jpg")</f>
        <v>https://pbs.twimg.com/media/FAEa7dXVkAcjbKg.jpg</v>
      </c>
      <c r="V1367" s="84" t="str">
        <f>HYPERLINK("https://pbs.twimg.com/media/FAEa7dXVkAcjbKg.jpg")</f>
        <v>https://pbs.twimg.com/media/FAEa7dXVkAcjbKg.jpg</v>
      </c>
      <c r="W1367" s="83">
        <v>44465.472615740742</v>
      </c>
      <c r="X1367" s="89">
        <v>44465</v>
      </c>
      <c r="Y1367" s="86" t="s">
        <v>3642</v>
      </c>
      <c r="Z1367" s="84" t="str">
        <f>HYPERLINK("https://twitter.com/imanassrii/status/1442086691896918030")</f>
        <v>https://twitter.com/imanassrii/status/1442086691896918030</v>
      </c>
      <c r="AA1367" s="81"/>
      <c r="AB1367" s="81"/>
      <c r="AC1367" s="86" t="s">
        <v>5108</v>
      </c>
      <c r="AD1367" s="81"/>
      <c r="AE1367" s="81" t="b">
        <v>0</v>
      </c>
      <c r="AF1367" s="81">
        <v>0</v>
      </c>
      <c r="AG1367" s="86" t="s">
        <v>6240</v>
      </c>
      <c r="AH1367" s="81" t="b">
        <v>0</v>
      </c>
      <c r="AI1367" s="81" t="s">
        <v>6479</v>
      </c>
      <c r="AJ1367" s="81"/>
      <c r="AK1367" s="86" t="s">
        <v>6240</v>
      </c>
      <c r="AL1367" s="81" t="b">
        <v>0</v>
      </c>
      <c r="AM1367" s="81">
        <v>20</v>
      </c>
      <c r="AN1367" s="86" t="s">
        <v>5110</v>
      </c>
      <c r="AO1367" s="86" t="s">
        <v>6505</v>
      </c>
      <c r="AP1367" s="81" t="b">
        <v>0</v>
      </c>
      <c r="AQ1367" s="86" t="s">
        <v>5110</v>
      </c>
      <c r="AR1367" s="81" t="s">
        <v>179</v>
      </c>
      <c r="AS1367" s="81">
        <v>0</v>
      </c>
      <c r="AT1367" s="81">
        <v>0</v>
      </c>
      <c r="AU1367" s="81"/>
      <c r="AV1367" s="81"/>
      <c r="AW1367" s="81"/>
      <c r="AX1367" s="81"/>
      <c r="AY1367" s="81"/>
      <c r="AZ1367" s="81"/>
      <c r="BA1367" s="81"/>
      <c r="BB1367" s="81"/>
    </row>
    <row r="1368" spans="1:54" x14ac:dyDescent="0.35">
      <c r="A1368" s="66" t="s">
        <v>990</v>
      </c>
      <c r="B1368" s="66" t="s">
        <v>1411</v>
      </c>
      <c r="C1368" s="67"/>
      <c r="D1368" s="68"/>
      <c r="E1368" s="69"/>
      <c r="F1368" s="70"/>
      <c r="G1368" s="67"/>
      <c r="H1368" s="71"/>
      <c r="I1368" s="72"/>
      <c r="J1368" s="72"/>
      <c r="K1368" s="36"/>
      <c r="L1368" s="79"/>
      <c r="M1368" s="79"/>
      <c r="N1368" s="74"/>
      <c r="O1368" s="81" t="s">
        <v>1535</v>
      </c>
      <c r="P1368" s="83">
        <v>44463.748692129629</v>
      </c>
      <c r="Q1368" s="81" t="s">
        <v>1910</v>
      </c>
      <c r="R1368" s="81"/>
      <c r="S1368" s="81"/>
      <c r="T1368" s="86" t="s">
        <v>1413</v>
      </c>
      <c r="U1368" s="84" t="str">
        <f>HYPERLINK("https://pbs.twimg.com/media/FAEaAdPVgAgaH2z.jpg")</f>
        <v>https://pbs.twimg.com/media/FAEaAdPVgAgaH2z.jpg</v>
      </c>
      <c r="V1368" s="84" t="str">
        <f>HYPERLINK("https://pbs.twimg.com/media/FAEaAdPVgAgaH2z.jpg")</f>
        <v>https://pbs.twimg.com/media/FAEaAdPVgAgaH2z.jpg</v>
      </c>
      <c r="W1368" s="83">
        <v>44463.748692129629</v>
      </c>
      <c r="X1368" s="89">
        <v>44463</v>
      </c>
      <c r="Y1368" s="86" t="s">
        <v>3643</v>
      </c>
      <c r="Z1368" s="84" t="str">
        <f>HYPERLINK("https://twitter.com/vointeuir/status/1441461960147488768")</f>
        <v>https://twitter.com/vointeuir/status/1441461960147488768</v>
      </c>
      <c r="AA1368" s="81"/>
      <c r="AB1368" s="81"/>
      <c r="AC1368" s="86" t="s">
        <v>5109</v>
      </c>
      <c r="AD1368" s="81"/>
      <c r="AE1368" s="81" t="b">
        <v>0</v>
      </c>
      <c r="AF1368" s="81">
        <v>10</v>
      </c>
      <c r="AG1368" s="86" t="s">
        <v>6240</v>
      </c>
      <c r="AH1368" s="81" t="b">
        <v>0</v>
      </c>
      <c r="AI1368" s="81" t="s">
        <v>6479</v>
      </c>
      <c r="AJ1368" s="81"/>
      <c r="AK1368" s="86" t="s">
        <v>6240</v>
      </c>
      <c r="AL1368" s="81" t="b">
        <v>0</v>
      </c>
      <c r="AM1368" s="81">
        <v>21</v>
      </c>
      <c r="AN1368" s="86" t="s">
        <v>6240</v>
      </c>
      <c r="AO1368" s="86" t="s">
        <v>6505</v>
      </c>
      <c r="AP1368" s="81" t="b">
        <v>0</v>
      </c>
      <c r="AQ1368" s="86" t="s">
        <v>5109</v>
      </c>
      <c r="AR1368" s="81" t="s">
        <v>179</v>
      </c>
      <c r="AS1368" s="81">
        <v>0</v>
      </c>
      <c r="AT1368" s="81">
        <v>0</v>
      </c>
      <c r="AU1368" s="81"/>
      <c r="AV1368" s="81"/>
      <c r="AW1368" s="81"/>
      <c r="AX1368" s="81"/>
      <c r="AY1368" s="81"/>
      <c r="AZ1368" s="81"/>
      <c r="BA1368" s="81"/>
      <c r="BB1368" s="81"/>
    </row>
    <row r="1369" spans="1:54" x14ac:dyDescent="0.35">
      <c r="A1369" s="66" t="s">
        <v>990</v>
      </c>
      <c r="B1369" s="66" t="s">
        <v>1411</v>
      </c>
      <c r="C1369" s="67"/>
      <c r="D1369" s="68"/>
      <c r="E1369" s="69"/>
      <c r="F1369" s="70"/>
      <c r="G1369" s="67"/>
      <c r="H1369" s="71"/>
      <c r="I1369" s="72"/>
      <c r="J1369" s="72"/>
      <c r="K1369" s="36"/>
      <c r="L1369" s="79"/>
      <c r="M1369" s="79"/>
      <c r="N1369" s="74"/>
      <c r="O1369" s="81" t="s">
        <v>1535</v>
      </c>
      <c r="P1369" s="83">
        <v>44463.751481481479</v>
      </c>
      <c r="Q1369" s="81" t="s">
        <v>1909</v>
      </c>
      <c r="R1369" s="81"/>
      <c r="S1369" s="81"/>
      <c r="T1369" s="86" t="s">
        <v>1413</v>
      </c>
      <c r="U1369" s="84" t="str">
        <f>HYPERLINK("https://pbs.twimg.com/media/FAEa7dXVkAcjbKg.jpg")</f>
        <v>https://pbs.twimg.com/media/FAEa7dXVkAcjbKg.jpg</v>
      </c>
      <c r="V1369" s="84" t="str">
        <f>HYPERLINK("https://pbs.twimg.com/media/FAEa7dXVkAcjbKg.jpg")</f>
        <v>https://pbs.twimg.com/media/FAEa7dXVkAcjbKg.jpg</v>
      </c>
      <c r="W1369" s="83">
        <v>44463.751481481479</v>
      </c>
      <c r="X1369" s="89">
        <v>44463</v>
      </c>
      <c r="Y1369" s="86" t="s">
        <v>3644</v>
      </c>
      <c r="Z1369" s="84" t="str">
        <f>HYPERLINK("https://twitter.com/vointeuir/status/1441462974925852681")</f>
        <v>https://twitter.com/vointeuir/status/1441462974925852681</v>
      </c>
      <c r="AA1369" s="81"/>
      <c r="AB1369" s="81"/>
      <c r="AC1369" s="86" t="s">
        <v>5110</v>
      </c>
      <c r="AD1369" s="81"/>
      <c r="AE1369" s="81" t="b">
        <v>0</v>
      </c>
      <c r="AF1369" s="81">
        <v>20</v>
      </c>
      <c r="AG1369" s="86" t="s">
        <v>6240</v>
      </c>
      <c r="AH1369" s="81" t="b">
        <v>0</v>
      </c>
      <c r="AI1369" s="81" t="s">
        <v>6479</v>
      </c>
      <c r="AJ1369" s="81"/>
      <c r="AK1369" s="86" t="s">
        <v>6240</v>
      </c>
      <c r="AL1369" s="81" t="b">
        <v>0</v>
      </c>
      <c r="AM1369" s="81">
        <v>20</v>
      </c>
      <c r="AN1369" s="86" t="s">
        <v>6240</v>
      </c>
      <c r="AO1369" s="86" t="s">
        <v>6505</v>
      </c>
      <c r="AP1369" s="81" t="b">
        <v>0</v>
      </c>
      <c r="AQ1369" s="86" t="s">
        <v>5110</v>
      </c>
      <c r="AR1369" s="81" t="s">
        <v>179</v>
      </c>
      <c r="AS1369" s="81">
        <v>0</v>
      </c>
      <c r="AT1369" s="81">
        <v>0</v>
      </c>
      <c r="AU1369" s="81"/>
      <c r="AV1369" s="81"/>
      <c r="AW1369" s="81"/>
      <c r="AX1369" s="81"/>
      <c r="AY1369" s="81"/>
      <c r="AZ1369" s="81"/>
      <c r="BA1369" s="81"/>
      <c r="BB1369" s="81"/>
    </row>
    <row r="1370" spans="1:54" x14ac:dyDescent="0.35">
      <c r="A1370" s="66" t="s">
        <v>990</v>
      </c>
      <c r="B1370" s="66" t="s">
        <v>1411</v>
      </c>
      <c r="C1370" s="67"/>
      <c r="D1370" s="68"/>
      <c r="E1370" s="69"/>
      <c r="F1370" s="70"/>
      <c r="G1370" s="67"/>
      <c r="H1370" s="71"/>
      <c r="I1370" s="72"/>
      <c r="J1370" s="72"/>
      <c r="K1370" s="36"/>
      <c r="L1370" s="79"/>
      <c r="M1370" s="79"/>
      <c r="N1370" s="74"/>
      <c r="O1370" s="81" t="s">
        <v>1535</v>
      </c>
      <c r="P1370" s="83">
        <v>44463.751666666663</v>
      </c>
      <c r="Q1370" s="81" t="s">
        <v>1908</v>
      </c>
      <c r="R1370" s="81"/>
      <c r="S1370" s="81"/>
      <c r="T1370" s="86" t="s">
        <v>1413</v>
      </c>
      <c r="U1370" s="84" t="str">
        <f>HYPERLINK("https://pbs.twimg.com/media/FAEa_mFUYAcoKUu.jpg")</f>
        <v>https://pbs.twimg.com/media/FAEa_mFUYAcoKUu.jpg</v>
      </c>
      <c r="V1370" s="84" t="str">
        <f>HYPERLINK("https://pbs.twimg.com/media/FAEa_mFUYAcoKUu.jpg")</f>
        <v>https://pbs.twimg.com/media/FAEa_mFUYAcoKUu.jpg</v>
      </c>
      <c r="W1370" s="83">
        <v>44463.751666666663</v>
      </c>
      <c r="X1370" s="89">
        <v>44463</v>
      </c>
      <c r="Y1370" s="86" t="s">
        <v>3645</v>
      </c>
      <c r="Z1370" s="84" t="str">
        <f>HYPERLINK("https://twitter.com/vointeuir/status/1441463042038910980")</f>
        <v>https://twitter.com/vointeuir/status/1441463042038910980</v>
      </c>
      <c r="AA1370" s="81"/>
      <c r="AB1370" s="81"/>
      <c r="AC1370" s="86" t="s">
        <v>5111</v>
      </c>
      <c r="AD1370" s="81"/>
      <c r="AE1370" s="81" t="b">
        <v>0</v>
      </c>
      <c r="AF1370" s="81">
        <v>14</v>
      </c>
      <c r="AG1370" s="86" t="s">
        <v>6240</v>
      </c>
      <c r="AH1370" s="81" t="b">
        <v>0</v>
      </c>
      <c r="AI1370" s="81" t="s">
        <v>6479</v>
      </c>
      <c r="AJ1370" s="81"/>
      <c r="AK1370" s="86" t="s">
        <v>6240</v>
      </c>
      <c r="AL1370" s="81" t="b">
        <v>0</v>
      </c>
      <c r="AM1370" s="81">
        <v>23</v>
      </c>
      <c r="AN1370" s="86" t="s">
        <v>6240</v>
      </c>
      <c r="AO1370" s="86" t="s">
        <v>6505</v>
      </c>
      <c r="AP1370" s="81" t="b">
        <v>0</v>
      </c>
      <c r="AQ1370" s="86" t="s">
        <v>5111</v>
      </c>
      <c r="AR1370" s="81" t="s">
        <v>179</v>
      </c>
      <c r="AS1370" s="81">
        <v>0</v>
      </c>
      <c r="AT1370" s="81">
        <v>0</v>
      </c>
      <c r="AU1370" s="81"/>
      <c r="AV1370" s="81"/>
      <c r="AW1370" s="81"/>
      <c r="AX1370" s="81"/>
      <c r="AY1370" s="81"/>
      <c r="AZ1370" s="81"/>
      <c r="BA1370" s="81"/>
      <c r="BB1370" s="81"/>
    </row>
    <row r="1371" spans="1:54" x14ac:dyDescent="0.35">
      <c r="A1371" s="66" t="s">
        <v>990</v>
      </c>
      <c r="B1371" s="66" t="s">
        <v>1411</v>
      </c>
      <c r="C1371" s="67"/>
      <c r="D1371" s="68"/>
      <c r="E1371" s="69"/>
      <c r="F1371" s="70"/>
      <c r="G1371" s="67"/>
      <c r="H1371" s="71"/>
      <c r="I1371" s="72"/>
      <c r="J1371" s="72"/>
      <c r="K1371" s="36"/>
      <c r="L1371" s="79"/>
      <c r="M1371" s="79"/>
      <c r="N1371" s="74"/>
      <c r="O1371" s="81" t="s">
        <v>1535</v>
      </c>
      <c r="P1371" s="83">
        <v>44463.751840277779</v>
      </c>
      <c r="Q1371" s="81" t="s">
        <v>1907</v>
      </c>
      <c r="R1371" s="81"/>
      <c r="S1371" s="81"/>
      <c r="T1371" s="86" t="s">
        <v>1413</v>
      </c>
      <c r="U1371" s="84" t="str">
        <f>HYPERLINK("https://pbs.twimg.com/media/FAEbDOhVUAIE92y.jpg")</f>
        <v>https://pbs.twimg.com/media/FAEbDOhVUAIE92y.jpg</v>
      </c>
      <c r="V1371" s="84" t="str">
        <f>HYPERLINK("https://pbs.twimg.com/media/FAEbDOhVUAIE92y.jpg")</f>
        <v>https://pbs.twimg.com/media/FAEbDOhVUAIE92y.jpg</v>
      </c>
      <c r="W1371" s="83">
        <v>44463.751840277779</v>
      </c>
      <c r="X1371" s="89">
        <v>44463</v>
      </c>
      <c r="Y1371" s="86" t="s">
        <v>3646</v>
      </c>
      <c r="Z1371" s="84" t="str">
        <f>HYPERLINK("https://twitter.com/vointeuir/status/1441463104949215232")</f>
        <v>https://twitter.com/vointeuir/status/1441463104949215232</v>
      </c>
      <c r="AA1371" s="81"/>
      <c r="AB1371" s="81"/>
      <c r="AC1371" s="86" t="s">
        <v>5112</v>
      </c>
      <c r="AD1371" s="81"/>
      <c r="AE1371" s="81" t="b">
        <v>0</v>
      </c>
      <c r="AF1371" s="81">
        <v>1</v>
      </c>
      <c r="AG1371" s="86" t="s">
        <v>6240</v>
      </c>
      <c r="AH1371" s="81" t="b">
        <v>0</v>
      </c>
      <c r="AI1371" s="81" t="s">
        <v>6479</v>
      </c>
      <c r="AJ1371" s="81"/>
      <c r="AK1371" s="86" t="s">
        <v>6240</v>
      </c>
      <c r="AL1371" s="81" t="b">
        <v>0</v>
      </c>
      <c r="AM1371" s="81">
        <v>5</v>
      </c>
      <c r="AN1371" s="86" t="s">
        <v>6240</v>
      </c>
      <c r="AO1371" s="86" t="s">
        <v>6505</v>
      </c>
      <c r="AP1371" s="81" t="b">
        <v>0</v>
      </c>
      <c r="AQ1371" s="86" t="s">
        <v>5112</v>
      </c>
      <c r="AR1371" s="81" t="s">
        <v>179</v>
      </c>
      <c r="AS1371" s="81">
        <v>0</v>
      </c>
      <c r="AT1371" s="81">
        <v>0</v>
      </c>
      <c r="AU1371" s="81"/>
      <c r="AV1371" s="81"/>
      <c r="AW1371" s="81"/>
      <c r="AX1371" s="81"/>
      <c r="AY1371" s="81"/>
      <c r="AZ1371" s="81"/>
      <c r="BA1371" s="81"/>
      <c r="BB1371" s="81"/>
    </row>
    <row r="1372" spans="1:54" x14ac:dyDescent="0.35">
      <c r="A1372" s="66" t="s">
        <v>990</v>
      </c>
      <c r="B1372" s="66" t="s">
        <v>1411</v>
      </c>
      <c r="C1372" s="67"/>
      <c r="D1372" s="68"/>
      <c r="E1372" s="69"/>
      <c r="F1372" s="70"/>
      <c r="G1372" s="67"/>
      <c r="H1372" s="71"/>
      <c r="I1372" s="72"/>
      <c r="J1372" s="72"/>
      <c r="K1372" s="36"/>
      <c r="L1372" s="79"/>
      <c r="M1372" s="79"/>
      <c r="N1372" s="74"/>
      <c r="O1372" s="81" t="s">
        <v>1535</v>
      </c>
      <c r="P1372" s="83">
        <v>44463.752025462964</v>
      </c>
      <c r="Q1372" s="81" t="s">
        <v>1906</v>
      </c>
      <c r="R1372" s="81"/>
      <c r="S1372" s="81"/>
      <c r="T1372" s="86" t="s">
        <v>1413</v>
      </c>
      <c r="U1372" s="84" t="str">
        <f>HYPERLINK("https://pbs.twimg.com/media/FAEbG8nUcA0oIOp.jpg")</f>
        <v>https://pbs.twimg.com/media/FAEbG8nUcA0oIOp.jpg</v>
      </c>
      <c r="V1372" s="84" t="str">
        <f>HYPERLINK("https://pbs.twimg.com/media/FAEbG8nUcA0oIOp.jpg")</f>
        <v>https://pbs.twimg.com/media/FAEbG8nUcA0oIOp.jpg</v>
      </c>
      <c r="W1372" s="83">
        <v>44463.752025462964</v>
      </c>
      <c r="X1372" s="89">
        <v>44463</v>
      </c>
      <c r="Y1372" s="86" t="s">
        <v>3647</v>
      </c>
      <c r="Z1372" s="84" t="str">
        <f>HYPERLINK("https://twitter.com/vointeuir/status/1441463169487028228")</f>
        <v>https://twitter.com/vointeuir/status/1441463169487028228</v>
      </c>
      <c r="AA1372" s="81"/>
      <c r="AB1372" s="81"/>
      <c r="AC1372" s="86" t="s">
        <v>5113</v>
      </c>
      <c r="AD1372" s="81"/>
      <c r="AE1372" s="81" t="b">
        <v>0</v>
      </c>
      <c r="AF1372" s="81">
        <v>1</v>
      </c>
      <c r="AG1372" s="86" t="s">
        <v>6240</v>
      </c>
      <c r="AH1372" s="81" t="b">
        <v>0</v>
      </c>
      <c r="AI1372" s="81" t="s">
        <v>6479</v>
      </c>
      <c r="AJ1372" s="81"/>
      <c r="AK1372" s="86" t="s">
        <v>6240</v>
      </c>
      <c r="AL1372" s="81" t="b">
        <v>0</v>
      </c>
      <c r="AM1372" s="81">
        <v>5</v>
      </c>
      <c r="AN1372" s="86" t="s">
        <v>6240</v>
      </c>
      <c r="AO1372" s="86" t="s">
        <v>6505</v>
      </c>
      <c r="AP1372" s="81" t="b">
        <v>0</v>
      </c>
      <c r="AQ1372" s="86" t="s">
        <v>5113</v>
      </c>
      <c r="AR1372" s="81" t="s">
        <v>179</v>
      </c>
      <c r="AS1372" s="81">
        <v>0</v>
      </c>
      <c r="AT1372" s="81">
        <v>0</v>
      </c>
      <c r="AU1372" s="81"/>
      <c r="AV1372" s="81"/>
      <c r="AW1372" s="81"/>
      <c r="AX1372" s="81"/>
      <c r="AY1372" s="81"/>
      <c r="AZ1372" s="81"/>
      <c r="BA1372" s="81"/>
      <c r="BB1372" s="81"/>
    </row>
    <row r="1373" spans="1:54" x14ac:dyDescent="0.35">
      <c r="A1373" s="66" t="s">
        <v>991</v>
      </c>
      <c r="B1373" s="66" t="s">
        <v>1411</v>
      </c>
      <c r="C1373" s="67"/>
      <c r="D1373" s="68"/>
      <c r="E1373" s="69"/>
      <c r="F1373" s="70"/>
      <c r="G1373" s="67"/>
      <c r="H1373" s="71"/>
      <c r="I1373" s="72"/>
      <c r="J1373" s="72"/>
      <c r="K1373" s="36"/>
      <c r="L1373" s="79"/>
      <c r="M1373" s="79"/>
      <c r="N1373" s="74"/>
      <c r="O1373" s="81" t="s">
        <v>1533</v>
      </c>
      <c r="P1373" s="83">
        <v>44465.478738425925</v>
      </c>
      <c r="Q1373" s="81" t="s">
        <v>1909</v>
      </c>
      <c r="R1373" s="81"/>
      <c r="S1373" s="81"/>
      <c r="T1373" s="86" t="s">
        <v>1413</v>
      </c>
      <c r="U1373" s="84" t="str">
        <f>HYPERLINK("https://pbs.twimg.com/media/FAEa7dXVkAcjbKg.jpg")</f>
        <v>https://pbs.twimg.com/media/FAEa7dXVkAcjbKg.jpg</v>
      </c>
      <c r="V1373" s="84" t="str">
        <f>HYPERLINK("https://pbs.twimg.com/media/FAEa7dXVkAcjbKg.jpg")</f>
        <v>https://pbs.twimg.com/media/FAEa7dXVkAcjbKg.jpg</v>
      </c>
      <c r="W1373" s="83">
        <v>44465.478738425925</v>
      </c>
      <c r="X1373" s="89">
        <v>44465</v>
      </c>
      <c r="Y1373" s="86" t="s">
        <v>3648</v>
      </c>
      <c r="Z1373" s="84" t="str">
        <f>HYPERLINK("https://twitter.com/yangf41ry/status/1442088909148594185")</f>
        <v>https://twitter.com/yangf41ry/status/1442088909148594185</v>
      </c>
      <c r="AA1373" s="81"/>
      <c r="AB1373" s="81"/>
      <c r="AC1373" s="86" t="s">
        <v>5114</v>
      </c>
      <c r="AD1373" s="81"/>
      <c r="AE1373" s="81" t="b">
        <v>0</v>
      </c>
      <c r="AF1373" s="81">
        <v>0</v>
      </c>
      <c r="AG1373" s="86" t="s">
        <v>6240</v>
      </c>
      <c r="AH1373" s="81" t="b">
        <v>0</v>
      </c>
      <c r="AI1373" s="81" t="s">
        <v>6479</v>
      </c>
      <c r="AJ1373" s="81"/>
      <c r="AK1373" s="86" t="s">
        <v>6240</v>
      </c>
      <c r="AL1373" s="81" t="b">
        <v>0</v>
      </c>
      <c r="AM1373" s="81">
        <v>20</v>
      </c>
      <c r="AN1373" s="86" t="s">
        <v>5110</v>
      </c>
      <c r="AO1373" s="86" t="s">
        <v>6505</v>
      </c>
      <c r="AP1373" s="81" t="b">
        <v>0</v>
      </c>
      <c r="AQ1373" s="86" t="s">
        <v>5110</v>
      </c>
      <c r="AR1373" s="81" t="s">
        <v>179</v>
      </c>
      <c r="AS1373" s="81">
        <v>0</v>
      </c>
      <c r="AT1373" s="81">
        <v>0</v>
      </c>
      <c r="AU1373" s="81"/>
      <c r="AV1373" s="81"/>
      <c r="AW1373" s="81"/>
      <c r="AX1373" s="81"/>
      <c r="AY1373" s="81"/>
      <c r="AZ1373" s="81"/>
      <c r="BA1373" s="81"/>
      <c r="BB1373" s="81"/>
    </row>
    <row r="1374" spans="1:54" x14ac:dyDescent="0.35">
      <c r="A1374" s="66" t="s">
        <v>990</v>
      </c>
      <c r="B1374" s="66" t="s">
        <v>1412</v>
      </c>
      <c r="C1374" s="67"/>
      <c r="D1374" s="68"/>
      <c r="E1374" s="69"/>
      <c r="F1374" s="70"/>
      <c r="G1374" s="67"/>
      <c r="H1374" s="71"/>
      <c r="I1374" s="72"/>
      <c r="J1374" s="72"/>
      <c r="K1374" s="36"/>
      <c r="L1374" s="79"/>
      <c r="M1374" s="79"/>
      <c r="N1374" s="74"/>
      <c r="O1374" s="81" t="s">
        <v>1535</v>
      </c>
      <c r="P1374" s="83">
        <v>44463.748692129629</v>
      </c>
      <c r="Q1374" s="81" t="s">
        <v>1910</v>
      </c>
      <c r="R1374" s="81"/>
      <c r="S1374" s="81"/>
      <c r="T1374" s="86" t="s">
        <v>1413</v>
      </c>
      <c r="U1374" s="84" t="str">
        <f>HYPERLINK("https://pbs.twimg.com/media/FAEaAdPVgAgaH2z.jpg")</f>
        <v>https://pbs.twimg.com/media/FAEaAdPVgAgaH2z.jpg</v>
      </c>
      <c r="V1374" s="84" t="str">
        <f>HYPERLINK("https://pbs.twimg.com/media/FAEaAdPVgAgaH2z.jpg")</f>
        <v>https://pbs.twimg.com/media/FAEaAdPVgAgaH2z.jpg</v>
      </c>
      <c r="W1374" s="83">
        <v>44463.748692129629</v>
      </c>
      <c r="X1374" s="89">
        <v>44463</v>
      </c>
      <c r="Y1374" s="86" t="s">
        <v>3643</v>
      </c>
      <c r="Z1374" s="84" t="str">
        <f>HYPERLINK("https://twitter.com/vointeuir/status/1441461960147488768")</f>
        <v>https://twitter.com/vointeuir/status/1441461960147488768</v>
      </c>
      <c r="AA1374" s="81"/>
      <c r="AB1374" s="81"/>
      <c r="AC1374" s="86" t="s">
        <v>5109</v>
      </c>
      <c r="AD1374" s="81"/>
      <c r="AE1374" s="81" t="b">
        <v>0</v>
      </c>
      <c r="AF1374" s="81">
        <v>10</v>
      </c>
      <c r="AG1374" s="86" t="s">
        <v>6240</v>
      </c>
      <c r="AH1374" s="81" t="b">
        <v>0</v>
      </c>
      <c r="AI1374" s="81" t="s">
        <v>6479</v>
      </c>
      <c r="AJ1374" s="81"/>
      <c r="AK1374" s="86" t="s">
        <v>6240</v>
      </c>
      <c r="AL1374" s="81" t="b">
        <v>0</v>
      </c>
      <c r="AM1374" s="81">
        <v>21</v>
      </c>
      <c r="AN1374" s="86" t="s">
        <v>6240</v>
      </c>
      <c r="AO1374" s="86" t="s">
        <v>6505</v>
      </c>
      <c r="AP1374" s="81" t="b">
        <v>0</v>
      </c>
      <c r="AQ1374" s="86" t="s">
        <v>5109</v>
      </c>
      <c r="AR1374" s="81" t="s">
        <v>179</v>
      </c>
      <c r="AS1374" s="81">
        <v>0</v>
      </c>
      <c r="AT1374" s="81">
        <v>0</v>
      </c>
      <c r="AU1374" s="81"/>
      <c r="AV1374" s="81"/>
      <c r="AW1374" s="81"/>
      <c r="AX1374" s="81"/>
      <c r="AY1374" s="81"/>
      <c r="AZ1374" s="81"/>
      <c r="BA1374" s="81"/>
      <c r="BB1374" s="81"/>
    </row>
    <row r="1375" spans="1:54" x14ac:dyDescent="0.35">
      <c r="A1375" s="66" t="s">
        <v>990</v>
      </c>
      <c r="B1375" s="66" t="s">
        <v>1412</v>
      </c>
      <c r="C1375" s="67"/>
      <c r="D1375" s="68"/>
      <c r="E1375" s="69"/>
      <c r="F1375" s="70"/>
      <c r="G1375" s="67"/>
      <c r="H1375" s="71"/>
      <c r="I1375" s="72"/>
      <c r="J1375" s="72"/>
      <c r="K1375" s="36"/>
      <c r="L1375" s="79"/>
      <c r="M1375" s="79"/>
      <c r="N1375" s="74"/>
      <c r="O1375" s="81" t="s">
        <v>1535</v>
      </c>
      <c r="P1375" s="83">
        <v>44463.751481481479</v>
      </c>
      <c r="Q1375" s="81" t="s">
        <v>1909</v>
      </c>
      <c r="R1375" s="81"/>
      <c r="S1375" s="81"/>
      <c r="T1375" s="86" t="s">
        <v>1413</v>
      </c>
      <c r="U1375" s="84" t="str">
        <f>HYPERLINK("https://pbs.twimg.com/media/FAEa7dXVkAcjbKg.jpg")</f>
        <v>https://pbs.twimg.com/media/FAEa7dXVkAcjbKg.jpg</v>
      </c>
      <c r="V1375" s="84" t="str">
        <f>HYPERLINK("https://pbs.twimg.com/media/FAEa7dXVkAcjbKg.jpg")</f>
        <v>https://pbs.twimg.com/media/FAEa7dXVkAcjbKg.jpg</v>
      </c>
      <c r="W1375" s="83">
        <v>44463.751481481479</v>
      </c>
      <c r="X1375" s="89">
        <v>44463</v>
      </c>
      <c r="Y1375" s="86" t="s">
        <v>3644</v>
      </c>
      <c r="Z1375" s="84" t="str">
        <f>HYPERLINK("https://twitter.com/vointeuir/status/1441462974925852681")</f>
        <v>https://twitter.com/vointeuir/status/1441462974925852681</v>
      </c>
      <c r="AA1375" s="81"/>
      <c r="AB1375" s="81"/>
      <c r="AC1375" s="86" t="s">
        <v>5110</v>
      </c>
      <c r="AD1375" s="81"/>
      <c r="AE1375" s="81" t="b">
        <v>0</v>
      </c>
      <c r="AF1375" s="81">
        <v>20</v>
      </c>
      <c r="AG1375" s="86" t="s">
        <v>6240</v>
      </c>
      <c r="AH1375" s="81" t="b">
        <v>0</v>
      </c>
      <c r="AI1375" s="81" t="s">
        <v>6479</v>
      </c>
      <c r="AJ1375" s="81"/>
      <c r="AK1375" s="86" t="s">
        <v>6240</v>
      </c>
      <c r="AL1375" s="81" t="b">
        <v>0</v>
      </c>
      <c r="AM1375" s="81">
        <v>20</v>
      </c>
      <c r="AN1375" s="86" t="s">
        <v>6240</v>
      </c>
      <c r="AO1375" s="86" t="s">
        <v>6505</v>
      </c>
      <c r="AP1375" s="81" t="b">
        <v>0</v>
      </c>
      <c r="AQ1375" s="86" t="s">
        <v>5110</v>
      </c>
      <c r="AR1375" s="81" t="s">
        <v>179</v>
      </c>
      <c r="AS1375" s="81">
        <v>0</v>
      </c>
      <c r="AT1375" s="81">
        <v>0</v>
      </c>
      <c r="AU1375" s="81"/>
      <c r="AV1375" s="81"/>
      <c r="AW1375" s="81"/>
      <c r="AX1375" s="81"/>
      <c r="AY1375" s="81"/>
      <c r="AZ1375" s="81"/>
      <c r="BA1375" s="81"/>
      <c r="BB1375" s="81"/>
    </row>
    <row r="1376" spans="1:54" x14ac:dyDescent="0.35">
      <c r="A1376" s="66" t="s">
        <v>990</v>
      </c>
      <c r="B1376" s="66" t="s">
        <v>1412</v>
      </c>
      <c r="C1376" s="67"/>
      <c r="D1376" s="68"/>
      <c r="E1376" s="69"/>
      <c r="F1376" s="70"/>
      <c r="G1376" s="67"/>
      <c r="H1376" s="71"/>
      <c r="I1376" s="72"/>
      <c r="J1376" s="72"/>
      <c r="K1376" s="36"/>
      <c r="L1376" s="79"/>
      <c r="M1376" s="79"/>
      <c r="N1376" s="74"/>
      <c r="O1376" s="81" t="s">
        <v>1535</v>
      </c>
      <c r="P1376" s="83">
        <v>44463.751666666663</v>
      </c>
      <c r="Q1376" s="81" t="s">
        <v>1908</v>
      </c>
      <c r="R1376" s="81"/>
      <c r="S1376" s="81"/>
      <c r="T1376" s="86" t="s">
        <v>1413</v>
      </c>
      <c r="U1376" s="84" t="str">
        <f>HYPERLINK("https://pbs.twimg.com/media/FAEa_mFUYAcoKUu.jpg")</f>
        <v>https://pbs.twimg.com/media/FAEa_mFUYAcoKUu.jpg</v>
      </c>
      <c r="V1376" s="84" t="str">
        <f>HYPERLINK("https://pbs.twimg.com/media/FAEa_mFUYAcoKUu.jpg")</f>
        <v>https://pbs.twimg.com/media/FAEa_mFUYAcoKUu.jpg</v>
      </c>
      <c r="W1376" s="83">
        <v>44463.751666666663</v>
      </c>
      <c r="X1376" s="89">
        <v>44463</v>
      </c>
      <c r="Y1376" s="86" t="s">
        <v>3645</v>
      </c>
      <c r="Z1376" s="84" t="str">
        <f>HYPERLINK("https://twitter.com/vointeuir/status/1441463042038910980")</f>
        <v>https://twitter.com/vointeuir/status/1441463042038910980</v>
      </c>
      <c r="AA1376" s="81"/>
      <c r="AB1376" s="81"/>
      <c r="AC1376" s="86" t="s">
        <v>5111</v>
      </c>
      <c r="AD1376" s="81"/>
      <c r="AE1376" s="81" t="b">
        <v>0</v>
      </c>
      <c r="AF1376" s="81">
        <v>14</v>
      </c>
      <c r="AG1376" s="86" t="s">
        <v>6240</v>
      </c>
      <c r="AH1376" s="81" t="b">
        <v>0</v>
      </c>
      <c r="AI1376" s="81" t="s">
        <v>6479</v>
      </c>
      <c r="AJ1376" s="81"/>
      <c r="AK1376" s="86" t="s">
        <v>6240</v>
      </c>
      <c r="AL1376" s="81" t="b">
        <v>0</v>
      </c>
      <c r="AM1376" s="81">
        <v>23</v>
      </c>
      <c r="AN1376" s="86" t="s">
        <v>6240</v>
      </c>
      <c r="AO1376" s="86" t="s">
        <v>6505</v>
      </c>
      <c r="AP1376" s="81" t="b">
        <v>0</v>
      </c>
      <c r="AQ1376" s="86" t="s">
        <v>5111</v>
      </c>
      <c r="AR1376" s="81" t="s">
        <v>179</v>
      </c>
      <c r="AS1376" s="81">
        <v>0</v>
      </c>
      <c r="AT1376" s="81">
        <v>0</v>
      </c>
      <c r="AU1376" s="81"/>
      <c r="AV1376" s="81"/>
      <c r="AW1376" s="81"/>
      <c r="AX1376" s="81"/>
      <c r="AY1376" s="81"/>
      <c r="AZ1376" s="81"/>
      <c r="BA1376" s="81"/>
      <c r="BB1376" s="81"/>
    </row>
    <row r="1377" spans="1:54" x14ac:dyDescent="0.35">
      <c r="A1377" s="66" t="s">
        <v>990</v>
      </c>
      <c r="B1377" s="66" t="s">
        <v>1412</v>
      </c>
      <c r="C1377" s="67"/>
      <c r="D1377" s="68"/>
      <c r="E1377" s="69"/>
      <c r="F1377" s="70"/>
      <c r="G1377" s="67"/>
      <c r="H1377" s="71"/>
      <c r="I1377" s="72"/>
      <c r="J1377" s="72"/>
      <c r="K1377" s="36"/>
      <c r="L1377" s="79"/>
      <c r="M1377" s="79"/>
      <c r="N1377" s="74"/>
      <c r="O1377" s="81" t="s">
        <v>1535</v>
      </c>
      <c r="P1377" s="83">
        <v>44463.751840277779</v>
      </c>
      <c r="Q1377" s="81" t="s">
        <v>1907</v>
      </c>
      <c r="R1377" s="81"/>
      <c r="S1377" s="81"/>
      <c r="T1377" s="86" t="s">
        <v>1413</v>
      </c>
      <c r="U1377" s="84" t="str">
        <f>HYPERLINK("https://pbs.twimg.com/media/FAEbDOhVUAIE92y.jpg")</f>
        <v>https://pbs.twimg.com/media/FAEbDOhVUAIE92y.jpg</v>
      </c>
      <c r="V1377" s="84" t="str">
        <f>HYPERLINK("https://pbs.twimg.com/media/FAEbDOhVUAIE92y.jpg")</f>
        <v>https://pbs.twimg.com/media/FAEbDOhVUAIE92y.jpg</v>
      </c>
      <c r="W1377" s="83">
        <v>44463.751840277779</v>
      </c>
      <c r="X1377" s="89">
        <v>44463</v>
      </c>
      <c r="Y1377" s="86" t="s">
        <v>3646</v>
      </c>
      <c r="Z1377" s="84" t="str">
        <f>HYPERLINK("https://twitter.com/vointeuir/status/1441463104949215232")</f>
        <v>https://twitter.com/vointeuir/status/1441463104949215232</v>
      </c>
      <c r="AA1377" s="81"/>
      <c r="AB1377" s="81"/>
      <c r="AC1377" s="86" t="s">
        <v>5112</v>
      </c>
      <c r="AD1377" s="81"/>
      <c r="AE1377" s="81" t="b">
        <v>0</v>
      </c>
      <c r="AF1377" s="81">
        <v>1</v>
      </c>
      <c r="AG1377" s="86" t="s">
        <v>6240</v>
      </c>
      <c r="AH1377" s="81" t="b">
        <v>0</v>
      </c>
      <c r="AI1377" s="81" t="s">
        <v>6479</v>
      </c>
      <c r="AJ1377" s="81"/>
      <c r="AK1377" s="86" t="s">
        <v>6240</v>
      </c>
      <c r="AL1377" s="81" t="b">
        <v>0</v>
      </c>
      <c r="AM1377" s="81">
        <v>5</v>
      </c>
      <c r="AN1377" s="86" t="s">
        <v>6240</v>
      </c>
      <c r="AO1377" s="86" t="s">
        <v>6505</v>
      </c>
      <c r="AP1377" s="81" t="b">
        <v>0</v>
      </c>
      <c r="AQ1377" s="86" t="s">
        <v>5112</v>
      </c>
      <c r="AR1377" s="81" t="s">
        <v>179</v>
      </c>
      <c r="AS1377" s="81">
        <v>0</v>
      </c>
      <c r="AT1377" s="81">
        <v>0</v>
      </c>
      <c r="AU1377" s="81"/>
      <c r="AV1377" s="81"/>
      <c r="AW1377" s="81"/>
      <c r="AX1377" s="81"/>
      <c r="AY1377" s="81"/>
      <c r="AZ1377" s="81"/>
      <c r="BA1377" s="81"/>
      <c r="BB1377" s="81"/>
    </row>
    <row r="1378" spans="1:54" x14ac:dyDescent="0.35">
      <c r="A1378" s="66" t="s">
        <v>990</v>
      </c>
      <c r="B1378" s="66" t="s">
        <v>1412</v>
      </c>
      <c r="C1378" s="67"/>
      <c r="D1378" s="68"/>
      <c r="E1378" s="69"/>
      <c r="F1378" s="70"/>
      <c r="G1378" s="67"/>
      <c r="H1378" s="71"/>
      <c r="I1378" s="72"/>
      <c r="J1378" s="72"/>
      <c r="K1378" s="36"/>
      <c r="L1378" s="79"/>
      <c r="M1378" s="79"/>
      <c r="N1378" s="74"/>
      <c r="O1378" s="81" t="s">
        <v>1535</v>
      </c>
      <c r="P1378" s="83">
        <v>44463.752025462964</v>
      </c>
      <c r="Q1378" s="81" t="s">
        <v>1906</v>
      </c>
      <c r="R1378" s="81"/>
      <c r="S1378" s="81"/>
      <c r="T1378" s="86" t="s">
        <v>1413</v>
      </c>
      <c r="U1378" s="84" t="str">
        <f>HYPERLINK("https://pbs.twimg.com/media/FAEbG8nUcA0oIOp.jpg")</f>
        <v>https://pbs.twimg.com/media/FAEbG8nUcA0oIOp.jpg</v>
      </c>
      <c r="V1378" s="84" t="str">
        <f>HYPERLINK("https://pbs.twimg.com/media/FAEbG8nUcA0oIOp.jpg")</f>
        <v>https://pbs.twimg.com/media/FAEbG8nUcA0oIOp.jpg</v>
      </c>
      <c r="W1378" s="83">
        <v>44463.752025462964</v>
      </c>
      <c r="X1378" s="89">
        <v>44463</v>
      </c>
      <c r="Y1378" s="86" t="s">
        <v>3647</v>
      </c>
      <c r="Z1378" s="84" t="str">
        <f>HYPERLINK("https://twitter.com/vointeuir/status/1441463169487028228")</f>
        <v>https://twitter.com/vointeuir/status/1441463169487028228</v>
      </c>
      <c r="AA1378" s="81"/>
      <c r="AB1378" s="81"/>
      <c r="AC1378" s="86" t="s">
        <v>5113</v>
      </c>
      <c r="AD1378" s="81"/>
      <c r="AE1378" s="81" t="b">
        <v>0</v>
      </c>
      <c r="AF1378" s="81">
        <v>1</v>
      </c>
      <c r="AG1378" s="86" t="s">
        <v>6240</v>
      </c>
      <c r="AH1378" s="81" t="b">
        <v>0</v>
      </c>
      <c r="AI1378" s="81" t="s">
        <v>6479</v>
      </c>
      <c r="AJ1378" s="81"/>
      <c r="AK1378" s="86" t="s">
        <v>6240</v>
      </c>
      <c r="AL1378" s="81" t="b">
        <v>0</v>
      </c>
      <c r="AM1378" s="81">
        <v>5</v>
      </c>
      <c r="AN1378" s="86" t="s">
        <v>6240</v>
      </c>
      <c r="AO1378" s="86" t="s">
        <v>6505</v>
      </c>
      <c r="AP1378" s="81" t="b">
        <v>0</v>
      </c>
      <c r="AQ1378" s="86" t="s">
        <v>5113</v>
      </c>
      <c r="AR1378" s="81" t="s">
        <v>179</v>
      </c>
      <c r="AS1378" s="81">
        <v>0</v>
      </c>
      <c r="AT1378" s="81">
        <v>0</v>
      </c>
      <c r="AU1378" s="81"/>
      <c r="AV1378" s="81"/>
      <c r="AW1378" s="81"/>
      <c r="AX1378" s="81"/>
      <c r="AY1378" s="81"/>
      <c r="AZ1378" s="81"/>
      <c r="BA1378" s="81"/>
      <c r="BB1378" s="81"/>
    </row>
    <row r="1379" spans="1:54" x14ac:dyDescent="0.35">
      <c r="A1379" s="66" t="s">
        <v>991</v>
      </c>
      <c r="B1379" s="66" t="s">
        <v>1412</v>
      </c>
      <c r="C1379" s="67"/>
      <c r="D1379" s="68"/>
      <c r="E1379" s="69"/>
      <c r="F1379" s="70"/>
      <c r="G1379" s="67"/>
      <c r="H1379" s="71"/>
      <c r="I1379" s="72"/>
      <c r="J1379" s="72"/>
      <c r="K1379" s="36"/>
      <c r="L1379" s="79"/>
      <c r="M1379" s="79"/>
      <c r="N1379" s="74"/>
      <c r="O1379" s="81" t="s">
        <v>1533</v>
      </c>
      <c r="P1379" s="83">
        <v>44465.478738425925</v>
      </c>
      <c r="Q1379" s="81" t="s">
        <v>1909</v>
      </c>
      <c r="R1379" s="81"/>
      <c r="S1379" s="81"/>
      <c r="T1379" s="86" t="s">
        <v>1413</v>
      </c>
      <c r="U1379" s="84" t="str">
        <f>HYPERLINK("https://pbs.twimg.com/media/FAEa7dXVkAcjbKg.jpg")</f>
        <v>https://pbs.twimg.com/media/FAEa7dXVkAcjbKg.jpg</v>
      </c>
      <c r="V1379" s="84" t="str">
        <f>HYPERLINK("https://pbs.twimg.com/media/FAEa7dXVkAcjbKg.jpg")</f>
        <v>https://pbs.twimg.com/media/FAEa7dXVkAcjbKg.jpg</v>
      </c>
      <c r="W1379" s="83">
        <v>44465.478738425925</v>
      </c>
      <c r="X1379" s="89">
        <v>44465</v>
      </c>
      <c r="Y1379" s="86" t="s">
        <v>3648</v>
      </c>
      <c r="Z1379" s="84" t="str">
        <f>HYPERLINK("https://twitter.com/yangf41ry/status/1442088909148594185")</f>
        <v>https://twitter.com/yangf41ry/status/1442088909148594185</v>
      </c>
      <c r="AA1379" s="81"/>
      <c r="AB1379" s="81"/>
      <c r="AC1379" s="86" t="s">
        <v>5114</v>
      </c>
      <c r="AD1379" s="81"/>
      <c r="AE1379" s="81" t="b">
        <v>0</v>
      </c>
      <c r="AF1379" s="81">
        <v>0</v>
      </c>
      <c r="AG1379" s="86" t="s">
        <v>6240</v>
      </c>
      <c r="AH1379" s="81" t="b">
        <v>0</v>
      </c>
      <c r="AI1379" s="81" t="s">
        <v>6479</v>
      </c>
      <c r="AJ1379" s="81"/>
      <c r="AK1379" s="86" t="s">
        <v>6240</v>
      </c>
      <c r="AL1379" s="81" t="b">
        <v>0</v>
      </c>
      <c r="AM1379" s="81">
        <v>20</v>
      </c>
      <c r="AN1379" s="86" t="s">
        <v>5110</v>
      </c>
      <c r="AO1379" s="86" t="s">
        <v>6505</v>
      </c>
      <c r="AP1379" s="81" t="b">
        <v>0</v>
      </c>
      <c r="AQ1379" s="86" t="s">
        <v>5110</v>
      </c>
      <c r="AR1379" s="81" t="s">
        <v>179</v>
      </c>
      <c r="AS1379" s="81">
        <v>0</v>
      </c>
      <c r="AT1379" s="81">
        <v>0</v>
      </c>
      <c r="AU1379" s="81"/>
      <c r="AV1379" s="81"/>
      <c r="AW1379" s="81"/>
      <c r="AX1379" s="81"/>
      <c r="AY1379" s="81"/>
      <c r="AZ1379" s="81"/>
      <c r="BA1379" s="81"/>
      <c r="BB1379" s="81"/>
    </row>
    <row r="1380" spans="1:54" x14ac:dyDescent="0.35">
      <c r="A1380" s="66" t="s">
        <v>990</v>
      </c>
      <c r="B1380" s="66" t="s">
        <v>1410</v>
      </c>
      <c r="C1380" s="67"/>
      <c r="D1380" s="68"/>
      <c r="E1380" s="69"/>
      <c r="F1380" s="70"/>
      <c r="G1380" s="67"/>
      <c r="H1380" s="71"/>
      <c r="I1380" s="72"/>
      <c r="J1380" s="72"/>
      <c r="K1380" s="36"/>
      <c r="L1380" s="79"/>
      <c r="M1380" s="79"/>
      <c r="N1380" s="74"/>
      <c r="O1380" s="81" t="s">
        <v>1535</v>
      </c>
      <c r="P1380" s="83">
        <v>44463.748692129629</v>
      </c>
      <c r="Q1380" s="81" t="s">
        <v>1910</v>
      </c>
      <c r="R1380" s="81"/>
      <c r="S1380" s="81"/>
      <c r="T1380" s="86" t="s">
        <v>1413</v>
      </c>
      <c r="U1380" s="84" t="str">
        <f>HYPERLINK("https://pbs.twimg.com/media/FAEaAdPVgAgaH2z.jpg")</f>
        <v>https://pbs.twimg.com/media/FAEaAdPVgAgaH2z.jpg</v>
      </c>
      <c r="V1380" s="84" t="str">
        <f>HYPERLINK("https://pbs.twimg.com/media/FAEaAdPVgAgaH2z.jpg")</f>
        <v>https://pbs.twimg.com/media/FAEaAdPVgAgaH2z.jpg</v>
      </c>
      <c r="W1380" s="83">
        <v>44463.748692129629</v>
      </c>
      <c r="X1380" s="89">
        <v>44463</v>
      </c>
      <c r="Y1380" s="86" t="s">
        <v>3643</v>
      </c>
      <c r="Z1380" s="84" t="str">
        <f>HYPERLINK("https://twitter.com/vointeuir/status/1441461960147488768")</f>
        <v>https://twitter.com/vointeuir/status/1441461960147488768</v>
      </c>
      <c r="AA1380" s="81"/>
      <c r="AB1380" s="81"/>
      <c r="AC1380" s="86" t="s">
        <v>5109</v>
      </c>
      <c r="AD1380" s="81"/>
      <c r="AE1380" s="81" t="b">
        <v>0</v>
      </c>
      <c r="AF1380" s="81">
        <v>10</v>
      </c>
      <c r="AG1380" s="86" t="s">
        <v>6240</v>
      </c>
      <c r="AH1380" s="81" t="b">
        <v>0</v>
      </c>
      <c r="AI1380" s="81" t="s">
        <v>6479</v>
      </c>
      <c r="AJ1380" s="81"/>
      <c r="AK1380" s="86" t="s">
        <v>6240</v>
      </c>
      <c r="AL1380" s="81" t="b">
        <v>0</v>
      </c>
      <c r="AM1380" s="81">
        <v>21</v>
      </c>
      <c r="AN1380" s="86" t="s">
        <v>6240</v>
      </c>
      <c r="AO1380" s="86" t="s">
        <v>6505</v>
      </c>
      <c r="AP1380" s="81" t="b">
        <v>0</v>
      </c>
      <c r="AQ1380" s="86" t="s">
        <v>5109</v>
      </c>
      <c r="AR1380" s="81" t="s">
        <v>179</v>
      </c>
      <c r="AS1380" s="81">
        <v>0</v>
      </c>
      <c r="AT1380" s="81">
        <v>0</v>
      </c>
      <c r="AU1380" s="81"/>
      <c r="AV1380" s="81"/>
      <c r="AW1380" s="81"/>
      <c r="AX1380" s="81"/>
      <c r="AY1380" s="81"/>
      <c r="AZ1380" s="81"/>
      <c r="BA1380" s="81"/>
      <c r="BB1380" s="81"/>
    </row>
    <row r="1381" spans="1:54" x14ac:dyDescent="0.35">
      <c r="A1381" s="66" t="s">
        <v>990</v>
      </c>
      <c r="B1381" s="66" t="s">
        <v>1413</v>
      </c>
      <c r="C1381" s="67"/>
      <c r="D1381" s="68"/>
      <c r="E1381" s="69"/>
      <c r="F1381" s="70"/>
      <c r="G1381" s="67"/>
      <c r="H1381" s="71"/>
      <c r="I1381" s="72"/>
      <c r="J1381" s="72"/>
      <c r="K1381" s="36"/>
      <c r="L1381" s="79"/>
      <c r="M1381" s="79"/>
      <c r="N1381" s="74"/>
      <c r="O1381" s="81" t="s">
        <v>1535</v>
      </c>
      <c r="P1381" s="83">
        <v>44463.748692129629</v>
      </c>
      <c r="Q1381" s="81" t="s">
        <v>1910</v>
      </c>
      <c r="R1381" s="81"/>
      <c r="S1381" s="81"/>
      <c r="T1381" s="86" t="s">
        <v>1413</v>
      </c>
      <c r="U1381" s="84" t="str">
        <f>HYPERLINK("https://pbs.twimg.com/media/FAEaAdPVgAgaH2z.jpg")</f>
        <v>https://pbs.twimg.com/media/FAEaAdPVgAgaH2z.jpg</v>
      </c>
      <c r="V1381" s="84" t="str">
        <f>HYPERLINK("https://pbs.twimg.com/media/FAEaAdPVgAgaH2z.jpg")</f>
        <v>https://pbs.twimg.com/media/FAEaAdPVgAgaH2z.jpg</v>
      </c>
      <c r="W1381" s="83">
        <v>44463.748692129629</v>
      </c>
      <c r="X1381" s="89">
        <v>44463</v>
      </c>
      <c r="Y1381" s="86" t="s">
        <v>3643</v>
      </c>
      <c r="Z1381" s="84" t="str">
        <f>HYPERLINK("https://twitter.com/vointeuir/status/1441461960147488768")</f>
        <v>https://twitter.com/vointeuir/status/1441461960147488768</v>
      </c>
      <c r="AA1381" s="81"/>
      <c r="AB1381" s="81"/>
      <c r="AC1381" s="86" t="s">
        <v>5109</v>
      </c>
      <c r="AD1381" s="81"/>
      <c r="AE1381" s="81" t="b">
        <v>0</v>
      </c>
      <c r="AF1381" s="81">
        <v>10</v>
      </c>
      <c r="AG1381" s="86" t="s">
        <v>6240</v>
      </c>
      <c r="AH1381" s="81" t="b">
        <v>0</v>
      </c>
      <c r="AI1381" s="81" t="s">
        <v>6479</v>
      </c>
      <c r="AJ1381" s="81"/>
      <c r="AK1381" s="86" t="s">
        <v>6240</v>
      </c>
      <c r="AL1381" s="81" t="b">
        <v>0</v>
      </c>
      <c r="AM1381" s="81">
        <v>21</v>
      </c>
      <c r="AN1381" s="86" t="s">
        <v>6240</v>
      </c>
      <c r="AO1381" s="86" t="s">
        <v>6505</v>
      </c>
      <c r="AP1381" s="81" t="b">
        <v>0</v>
      </c>
      <c r="AQ1381" s="86" t="s">
        <v>5109</v>
      </c>
      <c r="AR1381" s="81" t="s">
        <v>179</v>
      </c>
      <c r="AS1381" s="81">
        <v>0</v>
      </c>
      <c r="AT1381" s="81">
        <v>0</v>
      </c>
      <c r="AU1381" s="81"/>
      <c r="AV1381" s="81"/>
      <c r="AW1381" s="81"/>
      <c r="AX1381" s="81"/>
      <c r="AY1381" s="81"/>
      <c r="AZ1381" s="81"/>
      <c r="BA1381" s="81"/>
      <c r="BB1381" s="81"/>
    </row>
    <row r="1382" spans="1:54" x14ac:dyDescent="0.35">
      <c r="A1382" s="66" t="s">
        <v>990</v>
      </c>
      <c r="B1382" s="66" t="s">
        <v>1410</v>
      </c>
      <c r="C1382" s="67"/>
      <c r="D1382" s="68"/>
      <c r="E1382" s="69"/>
      <c r="F1382" s="70"/>
      <c r="G1382" s="67"/>
      <c r="H1382" s="71"/>
      <c r="I1382" s="72"/>
      <c r="J1382" s="72"/>
      <c r="K1382" s="36"/>
      <c r="L1382" s="79"/>
      <c r="M1382" s="79"/>
      <c r="N1382" s="74"/>
      <c r="O1382" s="81" t="s">
        <v>1535</v>
      </c>
      <c r="P1382" s="83">
        <v>44463.751481481479</v>
      </c>
      <c r="Q1382" s="81" t="s">
        <v>1909</v>
      </c>
      <c r="R1382" s="81"/>
      <c r="S1382" s="81"/>
      <c r="T1382" s="86" t="s">
        <v>1413</v>
      </c>
      <c r="U1382" s="84" t="str">
        <f>HYPERLINK("https://pbs.twimg.com/media/FAEa7dXVkAcjbKg.jpg")</f>
        <v>https://pbs.twimg.com/media/FAEa7dXVkAcjbKg.jpg</v>
      </c>
      <c r="V1382" s="84" t="str">
        <f>HYPERLINK("https://pbs.twimg.com/media/FAEa7dXVkAcjbKg.jpg")</f>
        <v>https://pbs.twimg.com/media/FAEa7dXVkAcjbKg.jpg</v>
      </c>
      <c r="W1382" s="83">
        <v>44463.751481481479</v>
      </c>
      <c r="X1382" s="89">
        <v>44463</v>
      </c>
      <c r="Y1382" s="86" t="s">
        <v>3644</v>
      </c>
      <c r="Z1382" s="84" t="str">
        <f>HYPERLINK("https://twitter.com/vointeuir/status/1441462974925852681")</f>
        <v>https://twitter.com/vointeuir/status/1441462974925852681</v>
      </c>
      <c r="AA1382" s="81"/>
      <c r="AB1382" s="81"/>
      <c r="AC1382" s="86" t="s">
        <v>5110</v>
      </c>
      <c r="AD1382" s="81"/>
      <c r="AE1382" s="81" t="b">
        <v>0</v>
      </c>
      <c r="AF1382" s="81">
        <v>20</v>
      </c>
      <c r="AG1382" s="86" t="s">
        <v>6240</v>
      </c>
      <c r="AH1382" s="81" t="b">
        <v>0</v>
      </c>
      <c r="AI1382" s="81" t="s">
        <v>6479</v>
      </c>
      <c r="AJ1382" s="81"/>
      <c r="AK1382" s="86" t="s">
        <v>6240</v>
      </c>
      <c r="AL1382" s="81" t="b">
        <v>0</v>
      </c>
      <c r="AM1382" s="81">
        <v>20</v>
      </c>
      <c r="AN1382" s="86" t="s">
        <v>6240</v>
      </c>
      <c r="AO1382" s="86" t="s">
        <v>6505</v>
      </c>
      <c r="AP1382" s="81" t="b">
        <v>0</v>
      </c>
      <c r="AQ1382" s="86" t="s">
        <v>5110</v>
      </c>
      <c r="AR1382" s="81" t="s">
        <v>179</v>
      </c>
      <c r="AS1382" s="81">
        <v>0</v>
      </c>
      <c r="AT1382" s="81">
        <v>0</v>
      </c>
      <c r="AU1382" s="81"/>
      <c r="AV1382" s="81"/>
      <c r="AW1382" s="81"/>
      <c r="AX1382" s="81"/>
      <c r="AY1382" s="81"/>
      <c r="AZ1382" s="81"/>
      <c r="BA1382" s="81"/>
      <c r="BB1382" s="81"/>
    </row>
    <row r="1383" spans="1:54" x14ac:dyDescent="0.35">
      <c r="A1383" s="66" t="s">
        <v>990</v>
      </c>
      <c r="B1383" s="66" t="s">
        <v>1413</v>
      </c>
      <c r="C1383" s="67"/>
      <c r="D1383" s="68"/>
      <c r="E1383" s="69"/>
      <c r="F1383" s="70"/>
      <c r="G1383" s="67"/>
      <c r="H1383" s="71"/>
      <c r="I1383" s="72"/>
      <c r="J1383" s="72"/>
      <c r="K1383" s="36"/>
      <c r="L1383" s="79"/>
      <c r="M1383" s="79"/>
      <c r="N1383" s="74"/>
      <c r="O1383" s="81" t="s">
        <v>1535</v>
      </c>
      <c r="P1383" s="83">
        <v>44463.751481481479</v>
      </c>
      <c r="Q1383" s="81" t="s">
        <v>1909</v>
      </c>
      <c r="R1383" s="81"/>
      <c r="S1383" s="81"/>
      <c r="T1383" s="86" t="s">
        <v>1413</v>
      </c>
      <c r="U1383" s="84" t="str">
        <f>HYPERLINK("https://pbs.twimg.com/media/FAEa7dXVkAcjbKg.jpg")</f>
        <v>https://pbs.twimg.com/media/FAEa7dXVkAcjbKg.jpg</v>
      </c>
      <c r="V1383" s="84" t="str">
        <f>HYPERLINK("https://pbs.twimg.com/media/FAEa7dXVkAcjbKg.jpg")</f>
        <v>https://pbs.twimg.com/media/FAEa7dXVkAcjbKg.jpg</v>
      </c>
      <c r="W1383" s="83">
        <v>44463.751481481479</v>
      </c>
      <c r="X1383" s="89">
        <v>44463</v>
      </c>
      <c r="Y1383" s="86" t="s">
        <v>3644</v>
      </c>
      <c r="Z1383" s="84" t="str">
        <f>HYPERLINK("https://twitter.com/vointeuir/status/1441462974925852681")</f>
        <v>https://twitter.com/vointeuir/status/1441462974925852681</v>
      </c>
      <c r="AA1383" s="81"/>
      <c r="AB1383" s="81"/>
      <c r="AC1383" s="86" t="s">
        <v>5110</v>
      </c>
      <c r="AD1383" s="81"/>
      <c r="AE1383" s="81" t="b">
        <v>0</v>
      </c>
      <c r="AF1383" s="81">
        <v>20</v>
      </c>
      <c r="AG1383" s="86" t="s">
        <v>6240</v>
      </c>
      <c r="AH1383" s="81" t="b">
        <v>0</v>
      </c>
      <c r="AI1383" s="81" t="s">
        <v>6479</v>
      </c>
      <c r="AJ1383" s="81"/>
      <c r="AK1383" s="86" t="s">
        <v>6240</v>
      </c>
      <c r="AL1383" s="81" t="b">
        <v>0</v>
      </c>
      <c r="AM1383" s="81">
        <v>20</v>
      </c>
      <c r="AN1383" s="86" t="s">
        <v>6240</v>
      </c>
      <c r="AO1383" s="86" t="s">
        <v>6505</v>
      </c>
      <c r="AP1383" s="81" t="b">
        <v>0</v>
      </c>
      <c r="AQ1383" s="86" t="s">
        <v>5110</v>
      </c>
      <c r="AR1383" s="81" t="s">
        <v>179</v>
      </c>
      <c r="AS1383" s="81">
        <v>0</v>
      </c>
      <c r="AT1383" s="81">
        <v>0</v>
      </c>
      <c r="AU1383" s="81"/>
      <c r="AV1383" s="81"/>
      <c r="AW1383" s="81"/>
      <c r="AX1383" s="81"/>
      <c r="AY1383" s="81"/>
      <c r="AZ1383" s="81"/>
      <c r="BA1383" s="81"/>
      <c r="BB1383" s="81"/>
    </row>
    <row r="1384" spans="1:54" x14ac:dyDescent="0.35">
      <c r="A1384" s="66" t="s">
        <v>990</v>
      </c>
      <c r="B1384" s="66" t="s">
        <v>1410</v>
      </c>
      <c r="C1384" s="67"/>
      <c r="D1384" s="68"/>
      <c r="E1384" s="69"/>
      <c r="F1384" s="70"/>
      <c r="G1384" s="67"/>
      <c r="H1384" s="71"/>
      <c r="I1384" s="72"/>
      <c r="J1384" s="72"/>
      <c r="K1384" s="36"/>
      <c r="L1384" s="79"/>
      <c r="M1384" s="79"/>
      <c r="N1384" s="74"/>
      <c r="O1384" s="81" t="s">
        <v>1535</v>
      </c>
      <c r="P1384" s="83">
        <v>44463.751666666663</v>
      </c>
      <c r="Q1384" s="81" t="s">
        <v>1908</v>
      </c>
      <c r="R1384" s="81"/>
      <c r="S1384" s="81"/>
      <c r="T1384" s="86" t="s">
        <v>1413</v>
      </c>
      <c r="U1384" s="84" t="str">
        <f>HYPERLINK("https://pbs.twimg.com/media/FAEa_mFUYAcoKUu.jpg")</f>
        <v>https://pbs.twimg.com/media/FAEa_mFUYAcoKUu.jpg</v>
      </c>
      <c r="V1384" s="84" t="str">
        <f>HYPERLINK("https://pbs.twimg.com/media/FAEa_mFUYAcoKUu.jpg")</f>
        <v>https://pbs.twimg.com/media/FAEa_mFUYAcoKUu.jpg</v>
      </c>
      <c r="W1384" s="83">
        <v>44463.751666666663</v>
      </c>
      <c r="X1384" s="89">
        <v>44463</v>
      </c>
      <c r="Y1384" s="86" t="s">
        <v>3645</v>
      </c>
      <c r="Z1384" s="84" t="str">
        <f>HYPERLINK("https://twitter.com/vointeuir/status/1441463042038910980")</f>
        <v>https://twitter.com/vointeuir/status/1441463042038910980</v>
      </c>
      <c r="AA1384" s="81"/>
      <c r="AB1384" s="81"/>
      <c r="AC1384" s="86" t="s">
        <v>5111</v>
      </c>
      <c r="AD1384" s="81"/>
      <c r="AE1384" s="81" t="b">
        <v>0</v>
      </c>
      <c r="AF1384" s="81">
        <v>14</v>
      </c>
      <c r="AG1384" s="86" t="s">
        <v>6240</v>
      </c>
      <c r="AH1384" s="81" t="b">
        <v>0</v>
      </c>
      <c r="AI1384" s="81" t="s">
        <v>6479</v>
      </c>
      <c r="AJ1384" s="81"/>
      <c r="AK1384" s="86" t="s">
        <v>6240</v>
      </c>
      <c r="AL1384" s="81" t="b">
        <v>0</v>
      </c>
      <c r="AM1384" s="81">
        <v>23</v>
      </c>
      <c r="AN1384" s="86" t="s">
        <v>6240</v>
      </c>
      <c r="AO1384" s="86" t="s">
        <v>6505</v>
      </c>
      <c r="AP1384" s="81" t="b">
        <v>0</v>
      </c>
      <c r="AQ1384" s="86" t="s">
        <v>5111</v>
      </c>
      <c r="AR1384" s="81" t="s">
        <v>179</v>
      </c>
      <c r="AS1384" s="81">
        <v>0</v>
      </c>
      <c r="AT1384" s="81">
        <v>0</v>
      </c>
      <c r="AU1384" s="81"/>
      <c r="AV1384" s="81"/>
      <c r="AW1384" s="81"/>
      <c r="AX1384" s="81"/>
      <c r="AY1384" s="81"/>
      <c r="AZ1384" s="81"/>
      <c r="BA1384" s="81"/>
      <c r="BB1384" s="81"/>
    </row>
    <row r="1385" spans="1:54" x14ac:dyDescent="0.35">
      <c r="A1385" s="66" t="s">
        <v>990</v>
      </c>
      <c r="B1385" s="66" t="s">
        <v>1413</v>
      </c>
      <c r="C1385" s="67"/>
      <c r="D1385" s="68"/>
      <c r="E1385" s="69"/>
      <c r="F1385" s="70"/>
      <c r="G1385" s="67"/>
      <c r="H1385" s="71"/>
      <c r="I1385" s="72"/>
      <c r="J1385" s="72"/>
      <c r="K1385" s="36"/>
      <c r="L1385" s="79"/>
      <c r="M1385" s="79"/>
      <c r="N1385" s="74"/>
      <c r="O1385" s="81" t="s">
        <v>1535</v>
      </c>
      <c r="P1385" s="83">
        <v>44463.751666666663</v>
      </c>
      <c r="Q1385" s="81" t="s">
        <v>1908</v>
      </c>
      <c r="R1385" s="81"/>
      <c r="S1385" s="81"/>
      <c r="T1385" s="86" t="s">
        <v>1413</v>
      </c>
      <c r="U1385" s="84" t="str">
        <f>HYPERLINK("https://pbs.twimg.com/media/FAEa_mFUYAcoKUu.jpg")</f>
        <v>https://pbs.twimg.com/media/FAEa_mFUYAcoKUu.jpg</v>
      </c>
      <c r="V1385" s="84" t="str">
        <f>HYPERLINK("https://pbs.twimg.com/media/FAEa_mFUYAcoKUu.jpg")</f>
        <v>https://pbs.twimg.com/media/FAEa_mFUYAcoKUu.jpg</v>
      </c>
      <c r="W1385" s="83">
        <v>44463.751666666663</v>
      </c>
      <c r="X1385" s="89">
        <v>44463</v>
      </c>
      <c r="Y1385" s="86" t="s">
        <v>3645</v>
      </c>
      <c r="Z1385" s="84" t="str">
        <f>HYPERLINK("https://twitter.com/vointeuir/status/1441463042038910980")</f>
        <v>https://twitter.com/vointeuir/status/1441463042038910980</v>
      </c>
      <c r="AA1385" s="81"/>
      <c r="AB1385" s="81"/>
      <c r="AC1385" s="86" t="s">
        <v>5111</v>
      </c>
      <c r="AD1385" s="81"/>
      <c r="AE1385" s="81" t="b">
        <v>0</v>
      </c>
      <c r="AF1385" s="81">
        <v>14</v>
      </c>
      <c r="AG1385" s="86" t="s">
        <v>6240</v>
      </c>
      <c r="AH1385" s="81" t="b">
        <v>0</v>
      </c>
      <c r="AI1385" s="81" t="s">
        <v>6479</v>
      </c>
      <c r="AJ1385" s="81"/>
      <c r="AK1385" s="86" t="s">
        <v>6240</v>
      </c>
      <c r="AL1385" s="81" t="b">
        <v>0</v>
      </c>
      <c r="AM1385" s="81">
        <v>23</v>
      </c>
      <c r="AN1385" s="86" t="s">
        <v>6240</v>
      </c>
      <c r="AO1385" s="86" t="s">
        <v>6505</v>
      </c>
      <c r="AP1385" s="81" t="b">
        <v>0</v>
      </c>
      <c r="AQ1385" s="86" t="s">
        <v>5111</v>
      </c>
      <c r="AR1385" s="81" t="s">
        <v>179</v>
      </c>
      <c r="AS1385" s="81">
        <v>0</v>
      </c>
      <c r="AT1385" s="81">
        <v>0</v>
      </c>
      <c r="AU1385" s="81"/>
      <c r="AV1385" s="81"/>
      <c r="AW1385" s="81"/>
      <c r="AX1385" s="81"/>
      <c r="AY1385" s="81"/>
      <c r="AZ1385" s="81"/>
      <c r="BA1385" s="81"/>
      <c r="BB1385" s="81"/>
    </row>
    <row r="1386" spans="1:54" x14ac:dyDescent="0.35">
      <c r="A1386" s="66" t="s">
        <v>990</v>
      </c>
      <c r="B1386" s="66" t="s">
        <v>1410</v>
      </c>
      <c r="C1386" s="67"/>
      <c r="D1386" s="68"/>
      <c r="E1386" s="69"/>
      <c r="F1386" s="70"/>
      <c r="G1386" s="67"/>
      <c r="H1386" s="71"/>
      <c r="I1386" s="72"/>
      <c r="J1386" s="72"/>
      <c r="K1386" s="36"/>
      <c r="L1386" s="79"/>
      <c r="M1386" s="79"/>
      <c r="N1386" s="74"/>
      <c r="O1386" s="81" t="s">
        <v>1535</v>
      </c>
      <c r="P1386" s="83">
        <v>44463.751840277779</v>
      </c>
      <c r="Q1386" s="81" t="s">
        <v>1907</v>
      </c>
      <c r="R1386" s="81"/>
      <c r="S1386" s="81"/>
      <c r="T1386" s="86" t="s">
        <v>1413</v>
      </c>
      <c r="U1386" s="84" t="str">
        <f>HYPERLINK("https://pbs.twimg.com/media/FAEbDOhVUAIE92y.jpg")</f>
        <v>https://pbs.twimg.com/media/FAEbDOhVUAIE92y.jpg</v>
      </c>
      <c r="V1386" s="84" t="str">
        <f>HYPERLINK("https://pbs.twimg.com/media/FAEbDOhVUAIE92y.jpg")</f>
        <v>https://pbs.twimg.com/media/FAEbDOhVUAIE92y.jpg</v>
      </c>
      <c r="W1386" s="83">
        <v>44463.751840277779</v>
      </c>
      <c r="X1386" s="89">
        <v>44463</v>
      </c>
      <c r="Y1386" s="86" t="s">
        <v>3646</v>
      </c>
      <c r="Z1386" s="84" t="str">
        <f>HYPERLINK("https://twitter.com/vointeuir/status/1441463104949215232")</f>
        <v>https://twitter.com/vointeuir/status/1441463104949215232</v>
      </c>
      <c r="AA1386" s="81"/>
      <c r="AB1386" s="81"/>
      <c r="AC1386" s="86" t="s">
        <v>5112</v>
      </c>
      <c r="AD1386" s="81"/>
      <c r="AE1386" s="81" t="b">
        <v>0</v>
      </c>
      <c r="AF1386" s="81">
        <v>1</v>
      </c>
      <c r="AG1386" s="86" t="s">
        <v>6240</v>
      </c>
      <c r="AH1386" s="81" t="b">
        <v>0</v>
      </c>
      <c r="AI1386" s="81" t="s">
        <v>6479</v>
      </c>
      <c r="AJ1386" s="81"/>
      <c r="AK1386" s="86" t="s">
        <v>6240</v>
      </c>
      <c r="AL1386" s="81" t="b">
        <v>0</v>
      </c>
      <c r="AM1386" s="81">
        <v>5</v>
      </c>
      <c r="AN1386" s="86" t="s">
        <v>6240</v>
      </c>
      <c r="AO1386" s="86" t="s">
        <v>6505</v>
      </c>
      <c r="AP1386" s="81" t="b">
        <v>0</v>
      </c>
      <c r="AQ1386" s="86" t="s">
        <v>5112</v>
      </c>
      <c r="AR1386" s="81" t="s">
        <v>179</v>
      </c>
      <c r="AS1386" s="81">
        <v>0</v>
      </c>
      <c r="AT1386" s="81">
        <v>0</v>
      </c>
      <c r="AU1386" s="81"/>
      <c r="AV1386" s="81"/>
      <c r="AW1386" s="81"/>
      <c r="AX1386" s="81"/>
      <c r="AY1386" s="81"/>
      <c r="AZ1386" s="81"/>
      <c r="BA1386" s="81"/>
      <c r="BB1386" s="81"/>
    </row>
    <row r="1387" spans="1:54" x14ac:dyDescent="0.35">
      <c r="A1387" s="66" t="s">
        <v>990</v>
      </c>
      <c r="B1387" s="66" t="s">
        <v>1413</v>
      </c>
      <c r="C1387" s="67"/>
      <c r="D1387" s="68"/>
      <c r="E1387" s="69"/>
      <c r="F1387" s="70"/>
      <c r="G1387" s="67"/>
      <c r="H1387" s="71"/>
      <c r="I1387" s="72"/>
      <c r="J1387" s="72"/>
      <c r="K1387" s="36"/>
      <c r="L1387" s="79"/>
      <c r="M1387" s="79"/>
      <c r="N1387" s="74"/>
      <c r="O1387" s="81" t="s">
        <v>1535</v>
      </c>
      <c r="P1387" s="83">
        <v>44463.751840277779</v>
      </c>
      <c r="Q1387" s="81" t="s">
        <v>1907</v>
      </c>
      <c r="R1387" s="81"/>
      <c r="S1387" s="81"/>
      <c r="T1387" s="86" t="s">
        <v>1413</v>
      </c>
      <c r="U1387" s="84" t="str">
        <f>HYPERLINK("https://pbs.twimg.com/media/FAEbDOhVUAIE92y.jpg")</f>
        <v>https://pbs.twimg.com/media/FAEbDOhVUAIE92y.jpg</v>
      </c>
      <c r="V1387" s="84" t="str">
        <f>HYPERLINK("https://pbs.twimg.com/media/FAEbDOhVUAIE92y.jpg")</f>
        <v>https://pbs.twimg.com/media/FAEbDOhVUAIE92y.jpg</v>
      </c>
      <c r="W1387" s="83">
        <v>44463.751840277779</v>
      </c>
      <c r="X1387" s="89">
        <v>44463</v>
      </c>
      <c r="Y1387" s="86" t="s">
        <v>3646</v>
      </c>
      <c r="Z1387" s="84" t="str">
        <f>HYPERLINK("https://twitter.com/vointeuir/status/1441463104949215232")</f>
        <v>https://twitter.com/vointeuir/status/1441463104949215232</v>
      </c>
      <c r="AA1387" s="81"/>
      <c r="AB1387" s="81"/>
      <c r="AC1387" s="86" t="s">
        <v>5112</v>
      </c>
      <c r="AD1387" s="81"/>
      <c r="AE1387" s="81" t="b">
        <v>0</v>
      </c>
      <c r="AF1387" s="81">
        <v>1</v>
      </c>
      <c r="AG1387" s="86" t="s">
        <v>6240</v>
      </c>
      <c r="AH1387" s="81" t="b">
        <v>0</v>
      </c>
      <c r="AI1387" s="81" t="s">
        <v>6479</v>
      </c>
      <c r="AJ1387" s="81"/>
      <c r="AK1387" s="86" t="s">
        <v>6240</v>
      </c>
      <c r="AL1387" s="81" t="b">
        <v>0</v>
      </c>
      <c r="AM1387" s="81">
        <v>5</v>
      </c>
      <c r="AN1387" s="86" t="s">
        <v>6240</v>
      </c>
      <c r="AO1387" s="86" t="s">
        <v>6505</v>
      </c>
      <c r="AP1387" s="81" t="b">
        <v>0</v>
      </c>
      <c r="AQ1387" s="86" t="s">
        <v>5112</v>
      </c>
      <c r="AR1387" s="81" t="s">
        <v>179</v>
      </c>
      <c r="AS1387" s="81">
        <v>0</v>
      </c>
      <c r="AT1387" s="81">
        <v>0</v>
      </c>
      <c r="AU1387" s="81"/>
      <c r="AV1387" s="81"/>
      <c r="AW1387" s="81"/>
      <c r="AX1387" s="81"/>
      <c r="AY1387" s="81"/>
      <c r="AZ1387" s="81"/>
      <c r="BA1387" s="81"/>
      <c r="BB1387" s="81"/>
    </row>
    <row r="1388" spans="1:54" x14ac:dyDescent="0.35">
      <c r="A1388" s="66" t="s">
        <v>990</v>
      </c>
      <c r="B1388" s="66" t="s">
        <v>1410</v>
      </c>
      <c r="C1388" s="67"/>
      <c r="D1388" s="68"/>
      <c r="E1388" s="69"/>
      <c r="F1388" s="70"/>
      <c r="G1388" s="67"/>
      <c r="H1388" s="71"/>
      <c r="I1388" s="72"/>
      <c r="J1388" s="72"/>
      <c r="K1388" s="36"/>
      <c r="L1388" s="79"/>
      <c r="M1388" s="79"/>
      <c r="N1388" s="74"/>
      <c r="O1388" s="81" t="s">
        <v>1535</v>
      </c>
      <c r="P1388" s="83">
        <v>44463.752025462964</v>
      </c>
      <c r="Q1388" s="81" t="s">
        <v>1906</v>
      </c>
      <c r="R1388" s="81"/>
      <c r="S1388" s="81"/>
      <c r="T1388" s="86" t="s">
        <v>1413</v>
      </c>
      <c r="U1388" s="84" t="str">
        <f>HYPERLINK("https://pbs.twimg.com/media/FAEbG8nUcA0oIOp.jpg")</f>
        <v>https://pbs.twimg.com/media/FAEbG8nUcA0oIOp.jpg</v>
      </c>
      <c r="V1388" s="84" t="str">
        <f>HYPERLINK("https://pbs.twimg.com/media/FAEbG8nUcA0oIOp.jpg")</f>
        <v>https://pbs.twimg.com/media/FAEbG8nUcA0oIOp.jpg</v>
      </c>
      <c r="W1388" s="83">
        <v>44463.752025462964</v>
      </c>
      <c r="X1388" s="89">
        <v>44463</v>
      </c>
      <c r="Y1388" s="86" t="s">
        <v>3647</v>
      </c>
      <c r="Z1388" s="84" t="str">
        <f>HYPERLINK("https://twitter.com/vointeuir/status/1441463169487028228")</f>
        <v>https://twitter.com/vointeuir/status/1441463169487028228</v>
      </c>
      <c r="AA1388" s="81"/>
      <c r="AB1388" s="81"/>
      <c r="AC1388" s="86" t="s">
        <v>5113</v>
      </c>
      <c r="AD1388" s="81"/>
      <c r="AE1388" s="81" t="b">
        <v>0</v>
      </c>
      <c r="AF1388" s="81">
        <v>1</v>
      </c>
      <c r="AG1388" s="86" t="s">
        <v>6240</v>
      </c>
      <c r="AH1388" s="81" t="b">
        <v>0</v>
      </c>
      <c r="AI1388" s="81" t="s">
        <v>6479</v>
      </c>
      <c r="AJ1388" s="81"/>
      <c r="AK1388" s="86" t="s">
        <v>6240</v>
      </c>
      <c r="AL1388" s="81" t="b">
        <v>0</v>
      </c>
      <c r="AM1388" s="81">
        <v>5</v>
      </c>
      <c r="AN1388" s="86" t="s">
        <v>6240</v>
      </c>
      <c r="AO1388" s="86" t="s">
        <v>6505</v>
      </c>
      <c r="AP1388" s="81" t="b">
        <v>0</v>
      </c>
      <c r="AQ1388" s="86" t="s">
        <v>5113</v>
      </c>
      <c r="AR1388" s="81" t="s">
        <v>179</v>
      </c>
      <c r="AS1388" s="81">
        <v>0</v>
      </c>
      <c r="AT1388" s="81">
        <v>0</v>
      </c>
      <c r="AU1388" s="81"/>
      <c r="AV1388" s="81"/>
      <c r="AW1388" s="81"/>
      <c r="AX1388" s="81"/>
      <c r="AY1388" s="81"/>
      <c r="AZ1388" s="81"/>
      <c r="BA1388" s="81"/>
      <c r="BB1388" s="81"/>
    </row>
    <row r="1389" spans="1:54" x14ac:dyDescent="0.35">
      <c r="A1389" s="66" t="s">
        <v>990</v>
      </c>
      <c r="B1389" s="66" t="s">
        <v>1413</v>
      </c>
      <c r="C1389" s="67"/>
      <c r="D1389" s="68"/>
      <c r="E1389" s="69"/>
      <c r="F1389" s="70"/>
      <c r="G1389" s="67"/>
      <c r="H1389" s="71"/>
      <c r="I1389" s="72"/>
      <c r="J1389" s="72"/>
      <c r="K1389" s="36"/>
      <c r="L1389" s="79"/>
      <c r="M1389" s="79"/>
      <c r="N1389" s="74"/>
      <c r="O1389" s="81" t="s">
        <v>1535</v>
      </c>
      <c r="P1389" s="83">
        <v>44463.752025462964</v>
      </c>
      <c r="Q1389" s="81" t="s">
        <v>1906</v>
      </c>
      <c r="R1389" s="81"/>
      <c r="S1389" s="81"/>
      <c r="T1389" s="86" t="s">
        <v>1413</v>
      </c>
      <c r="U1389" s="84" t="str">
        <f>HYPERLINK("https://pbs.twimg.com/media/FAEbG8nUcA0oIOp.jpg")</f>
        <v>https://pbs.twimg.com/media/FAEbG8nUcA0oIOp.jpg</v>
      </c>
      <c r="V1389" s="84" t="str">
        <f>HYPERLINK("https://pbs.twimg.com/media/FAEbG8nUcA0oIOp.jpg")</f>
        <v>https://pbs.twimg.com/media/FAEbG8nUcA0oIOp.jpg</v>
      </c>
      <c r="W1389" s="83">
        <v>44463.752025462964</v>
      </c>
      <c r="X1389" s="89">
        <v>44463</v>
      </c>
      <c r="Y1389" s="86" t="s">
        <v>3647</v>
      </c>
      <c r="Z1389" s="84" t="str">
        <f>HYPERLINK("https://twitter.com/vointeuir/status/1441463169487028228")</f>
        <v>https://twitter.com/vointeuir/status/1441463169487028228</v>
      </c>
      <c r="AA1389" s="81"/>
      <c r="AB1389" s="81"/>
      <c r="AC1389" s="86" t="s">
        <v>5113</v>
      </c>
      <c r="AD1389" s="81"/>
      <c r="AE1389" s="81" t="b">
        <v>0</v>
      </c>
      <c r="AF1389" s="81">
        <v>1</v>
      </c>
      <c r="AG1389" s="86" t="s">
        <v>6240</v>
      </c>
      <c r="AH1389" s="81" t="b">
        <v>0</v>
      </c>
      <c r="AI1389" s="81" t="s">
        <v>6479</v>
      </c>
      <c r="AJ1389" s="81"/>
      <c r="AK1389" s="86" t="s">
        <v>6240</v>
      </c>
      <c r="AL1389" s="81" t="b">
        <v>0</v>
      </c>
      <c r="AM1389" s="81">
        <v>5</v>
      </c>
      <c r="AN1389" s="86" t="s">
        <v>6240</v>
      </c>
      <c r="AO1389" s="86" t="s">
        <v>6505</v>
      </c>
      <c r="AP1389" s="81" t="b">
        <v>0</v>
      </c>
      <c r="AQ1389" s="86" t="s">
        <v>5113</v>
      </c>
      <c r="AR1389" s="81" t="s">
        <v>179</v>
      </c>
      <c r="AS1389" s="81">
        <v>0</v>
      </c>
      <c r="AT1389" s="81">
        <v>0</v>
      </c>
      <c r="AU1389" s="81"/>
      <c r="AV1389" s="81"/>
      <c r="AW1389" s="81"/>
      <c r="AX1389" s="81"/>
      <c r="AY1389" s="81"/>
      <c r="AZ1389" s="81"/>
      <c r="BA1389" s="81"/>
      <c r="BB1389" s="81"/>
    </row>
    <row r="1390" spans="1:54" x14ac:dyDescent="0.35">
      <c r="A1390" s="66" t="s">
        <v>991</v>
      </c>
      <c r="B1390" s="66" t="s">
        <v>990</v>
      </c>
      <c r="C1390" s="67"/>
      <c r="D1390" s="68"/>
      <c r="E1390" s="69"/>
      <c r="F1390" s="70"/>
      <c r="G1390" s="67"/>
      <c r="H1390" s="71"/>
      <c r="I1390" s="72"/>
      <c r="J1390" s="72"/>
      <c r="K1390" s="36"/>
      <c r="L1390" s="79"/>
      <c r="M1390" s="79"/>
      <c r="N1390" s="74"/>
      <c r="O1390" s="81" t="s">
        <v>1532</v>
      </c>
      <c r="P1390" s="83">
        <v>44465.478738425925</v>
      </c>
      <c r="Q1390" s="81" t="s">
        <v>1909</v>
      </c>
      <c r="R1390" s="81"/>
      <c r="S1390" s="81"/>
      <c r="T1390" s="86" t="s">
        <v>1413</v>
      </c>
      <c r="U1390" s="84" t="str">
        <f>HYPERLINK("https://pbs.twimg.com/media/FAEa7dXVkAcjbKg.jpg")</f>
        <v>https://pbs.twimg.com/media/FAEa7dXVkAcjbKg.jpg</v>
      </c>
      <c r="V1390" s="84" t="str">
        <f>HYPERLINK("https://pbs.twimg.com/media/FAEa7dXVkAcjbKg.jpg")</f>
        <v>https://pbs.twimg.com/media/FAEa7dXVkAcjbKg.jpg</v>
      </c>
      <c r="W1390" s="83">
        <v>44465.478738425925</v>
      </c>
      <c r="X1390" s="89">
        <v>44465</v>
      </c>
      <c r="Y1390" s="86" t="s">
        <v>3648</v>
      </c>
      <c r="Z1390" s="84" t="str">
        <f>HYPERLINK("https://twitter.com/yangf41ry/status/1442088909148594185")</f>
        <v>https://twitter.com/yangf41ry/status/1442088909148594185</v>
      </c>
      <c r="AA1390" s="81"/>
      <c r="AB1390" s="81"/>
      <c r="AC1390" s="86" t="s">
        <v>5114</v>
      </c>
      <c r="AD1390" s="81"/>
      <c r="AE1390" s="81" t="b">
        <v>0</v>
      </c>
      <c r="AF1390" s="81">
        <v>0</v>
      </c>
      <c r="AG1390" s="86" t="s">
        <v>6240</v>
      </c>
      <c r="AH1390" s="81" t="b">
        <v>0</v>
      </c>
      <c r="AI1390" s="81" t="s">
        <v>6479</v>
      </c>
      <c r="AJ1390" s="81"/>
      <c r="AK1390" s="86" t="s">
        <v>6240</v>
      </c>
      <c r="AL1390" s="81" t="b">
        <v>0</v>
      </c>
      <c r="AM1390" s="81">
        <v>20</v>
      </c>
      <c r="AN1390" s="86" t="s">
        <v>5110</v>
      </c>
      <c r="AO1390" s="86" t="s">
        <v>6505</v>
      </c>
      <c r="AP1390" s="81" t="b">
        <v>0</v>
      </c>
      <c r="AQ1390" s="86" t="s">
        <v>5110</v>
      </c>
      <c r="AR1390" s="81" t="s">
        <v>179</v>
      </c>
      <c r="AS1390" s="81">
        <v>0</v>
      </c>
      <c r="AT1390" s="81">
        <v>0</v>
      </c>
      <c r="AU1390" s="81"/>
      <c r="AV1390" s="81"/>
      <c r="AW1390" s="81"/>
      <c r="AX1390" s="81"/>
      <c r="AY1390" s="81"/>
      <c r="AZ1390" s="81"/>
      <c r="BA1390" s="81"/>
      <c r="BB1390" s="81"/>
    </row>
    <row r="1391" spans="1:54" x14ac:dyDescent="0.35">
      <c r="A1391" s="66" t="s">
        <v>991</v>
      </c>
      <c r="B1391" s="66" t="s">
        <v>1410</v>
      </c>
      <c r="C1391" s="67"/>
      <c r="D1391" s="68"/>
      <c r="E1391" s="69"/>
      <c r="F1391" s="70"/>
      <c r="G1391" s="67"/>
      <c r="H1391" s="71"/>
      <c r="I1391" s="72"/>
      <c r="J1391" s="72"/>
      <c r="K1391" s="36"/>
      <c r="L1391" s="79"/>
      <c r="M1391" s="79"/>
      <c r="N1391" s="74"/>
      <c r="O1391" s="81" t="s">
        <v>1533</v>
      </c>
      <c r="P1391" s="83">
        <v>44465.478738425925</v>
      </c>
      <c r="Q1391" s="81" t="s">
        <v>1909</v>
      </c>
      <c r="R1391" s="81"/>
      <c r="S1391" s="81"/>
      <c r="T1391" s="86" t="s">
        <v>1413</v>
      </c>
      <c r="U1391" s="84" t="str">
        <f>HYPERLINK("https://pbs.twimg.com/media/FAEa7dXVkAcjbKg.jpg")</f>
        <v>https://pbs.twimg.com/media/FAEa7dXVkAcjbKg.jpg</v>
      </c>
      <c r="V1391" s="84" t="str">
        <f>HYPERLINK("https://pbs.twimg.com/media/FAEa7dXVkAcjbKg.jpg")</f>
        <v>https://pbs.twimg.com/media/FAEa7dXVkAcjbKg.jpg</v>
      </c>
      <c r="W1391" s="83">
        <v>44465.478738425925</v>
      </c>
      <c r="X1391" s="89">
        <v>44465</v>
      </c>
      <c r="Y1391" s="86" t="s">
        <v>3648</v>
      </c>
      <c r="Z1391" s="84" t="str">
        <f>HYPERLINK("https://twitter.com/yangf41ry/status/1442088909148594185")</f>
        <v>https://twitter.com/yangf41ry/status/1442088909148594185</v>
      </c>
      <c r="AA1391" s="81"/>
      <c r="AB1391" s="81"/>
      <c r="AC1391" s="86" t="s">
        <v>5114</v>
      </c>
      <c r="AD1391" s="81"/>
      <c r="AE1391" s="81" t="b">
        <v>0</v>
      </c>
      <c r="AF1391" s="81">
        <v>0</v>
      </c>
      <c r="AG1391" s="86" t="s">
        <v>6240</v>
      </c>
      <c r="AH1391" s="81" t="b">
        <v>0</v>
      </c>
      <c r="AI1391" s="81" t="s">
        <v>6479</v>
      </c>
      <c r="AJ1391" s="81"/>
      <c r="AK1391" s="86" t="s">
        <v>6240</v>
      </c>
      <c r="AL1391" s="81" t="b">
        <v>0</v>
      </c>
      <c r="AM1391" s="81">
        <v>20</v>
      </c>
      <c r="AN1391" s="86" t="s">
        <v>5110</v>
      </c>
      <c r="AO1391" s="86" t="s">
        <v>6505</v>
      </c>
      <c r="AP1391" s="81" t="b">
        <v>0</v>
      </c>
      <c r="AQ1391" s="86" t="s">
        <v>5110</v>
      </c>
      <c r="AR1391" s="81" t="s">
        <v>179</v>
      </c>
      <c r="AS1391" s="81">
        <v>0</v>
      </c>
      <c r="AT1391" s="81">
        <v>0</v>
      </c>
      <c r="AU1391" s="81"/>
      <c r="AV1391" s="81"/>
      <c r="AW1391" s="81"/>
      <c r="AX1391" s="81"/>
      <c r="AY1391" s="81"/>
      <c r="AZ1391" s="81"/>
      <c r="BA1391" s="81"/>
      <c r="BB1391" s="81"/>
    </row>
    <row r="1392" spans="1:54" x14ac:dyDescent="0.35">
      <c r="A1392" s="66" t="s">
        <v>991</v>
      </c>
      <c r="B1392" s="66" t="s">
        <v>1413</v>
      </c>
      <c r="C1392" s="67"/>
      <c r="D1392" s="68"/>
      <c r="E1392" s="69"/>
      <c r="F1392" s="70"/>
      <c r="G1392" s="67"/>
      <c r="H1392" s="71"/>
      <c r="I1392" s="72"/>
      <c r="J1392" s="72"/>
      <c r="K1392" s="36"/>
      <c r="L1392" s="79"/>
      <c r="M1392" s="79"/>
      <c r="N1392" s="74"/>
      <c r="O1392" s="81" t="s">
        <v>1533</v>
      </c>
      <c r="P1392" s="83">
        <v>44465.478738425925</v>
      </c>
      <c r="Q1392" s="81" t="s">
        <v>1909</v>
      </c>
      <c r="R1392" s="81"/>
      <c r="S1392" s="81"/>
      <c r="T1392" s="86" t="s">
        <v>1413</v>
      </c>
      <c r="U1392" s="84" t="str">
        <f>HYPERLINK("https://pbs.twimg.com/media/FAEa7dXVkAcjbKg.jpg")</f>
        <v>https://pbs.twimg.com/media/FAEa7dXVkAcjbKg.jpg</v>
      </c>
      <c r="V1392" s="84" t="str">
        <f>HYPERLINK("https://pbs.twimg.com/media/FAEa7dXVkAcjbKg.jpg")</f>
        <v>https://pbs.twimg.com/media/FAEa7dXVkAcjbKg.jpg</v>
      </c>
      <c r="W1392" s="83">
        <v>44465.478738425925</v>
      </c>
      <c r="X1392" s="89">
        <v>44465</v>
      </c>
      <c r="Y1392" s="86" t="s">
        <v>3648</v>
      </c>
      <c r="Z1392" s="84" t="str">
        <f>HYPERLINK("https://twitter.com/yangf41ry/status/1442088909148594185")</f>
        <v>https://twitter.com/yangf41ry/status/1442088909148594185</v>
      </c>
      <c r="AA1392" s="81"/>
      <c r="AB1392" s="81"/>
      <c r="AC1392" s="86" t="s">
        <v>5114</v>
      </c>
      <c r="AD1392" s="81"/>
      <c r="AE1392" s="81" t="b">
        <v>0</v>
      </c>
      <c r="AF1392" s="81">
        <v>0</v>
      </c>
      <c r="AG1392" s="86" t="s">
        <v>6240</v>
      </c>
      <c r="AH1392" s="81" t="b">
        <v>0</v>
      </c>
      <c r="AI1392" s="81" t="s">
        <v>6479</v>
      </c>
      <c r="AJ1392" s="81"/>
      <c r="AK1392" s="86" t="s">
        <v>6240</v>
      </c>
      <c r="AL1392" s="81" t="b">
        <v>0</v>
      </c>
      <c r="AM1392" s="81">
        <v>20</v>
      </c>
      <c r="AN1392" s="86" t="s">
        <v>5110</v>
      </c>
      <c r="AO1392" s="86" t="s">
        <v>6505</v>
      </c>
      <c r="AP1392" s="81" t="b">
        <v>0</v>
      </c>
      <c r="AQ1392" s="86" t="s">
        <v>5110</v>
      </c>
      <c r="AR1392" s="81" t="s">
        <v>179</v>
      </c>
      <c r="AS1392" s="81">
        <v>0</v>
      </c>
      <c r="AT1392" s="81">
        <v>0</v>
      </c>
      <c r="AU1392" s="81"/>
      <c r="AV1392" s="81"/>
      <c r="AW1392" s="81"/>
      <c r="AX1392" s="81"/>
      <c r="AY1392" s="81"/>
      <c r="AZ1392" s="81"/>
      <c r="BA1392" s="81"/>
      <c r="BB1392" s="81"/>
    </row>
    <row r="1393" spans="1:54" x14ac:dyDescent="0.35">
      <c r="A1393" s="66" t="s">
        <v>992</v>
      </c>
      <c r="B1393" s="66" t="s">
        <v>992</v>
      </c>
      <c r="C1393" s="67"/>
      <c r="D1393" s="68"/>
      <c r="E1393" s="69"/>
      <c r="F1393" s="70"/>
      <c r="G1393" s="67"/>
      <c r="H1393" s="71"/>
      <c r="I1393" s="72"/>
      <c r="J1393" s="72"/>
      <c r="K1393" s="36"/>
      <c r="L1393" s="79"/>
      <c r="M1393" s="79"/>
      <c r="N1393" s="74"/>
      <c r="O1393" s="81" t="s">
        <v>179</v>
      </c>
      <c r="P1393" s="83">
        <v>44465.479895833334</v>
      </c>
      <c r="Q1393" s="81" t="s">
        <v>2003</v>
      </c>
      <c r="R1393" s="81"/>
      <c r="S1393" s="81"/>
      <c r="T1393" s="81"/>
      <c r="U1393" s="81"/>
      <c r="V1393" s="84" t="str">
        <f>HYPERLINK("https://pbs.twimg.com/profile_images/1441757792235253768/JKjsucSE_normal.png")</f>
        <v>https://pbs.twimg.com/profile_images/1441757792235253768/JKjsucSE_normal.png</v>
      </c>
      <c r="W1393" s="83">
        <v>44465.479895833334</v>
      </c>
      <c r="X1393" s="89">
        <v>44465</v>
      </c>
      <c r="Y1393" s="86" t="s">
        <v>3649</v>
      </c>
      <c r="Z1393" s="84" t="str">
        <f>HYPERLINK("https://twitter.com/occeanview/status/1442089330923622409")</f>
        <v>https://twitter.com/occeanview/status/1442089330923622409</v>
      </c>
      <c r="AA1393" s="81"/>
      <c r="AB1393" s="81"/>
      <c r="AC1393" s="86" t="s">
        <v>5115</v>
      </c>
      <c r="AD1393" s="81"/>
      <c r="AE1393" s="81" t="b">
        <v>0</v>
      </c>
      <c r="AF1393" s="81">
        <v>0</v>
      </c>
      <c r="AG1393" s="86" t="s">
        <v>6240</v>
      </c>
      <c r="AH1393" s="81" t="b">
        <v>0</v>
      </c>
      <c r="AI1393" s="81" t="s">
        <v>6478</v>
      </c>
      <c r="AJ1393" s="81"/>
      <c r="AK1393" s="86" t="s">
        <v>6240</v>
      </c>
      <c r="AL1393" s="81" t="b">
        <v>0</v>
      </c>
      <c r="AM1393" s="81">
        <v>0</v>
      </c>
      <c r="AN1393" s="86" t="s">
        <v>6240</v>
      </c>
      <c r="AO1393" s="86" t="s">
        <v>6503</v>
      </c>
      <c r="AP1393" s="81" t="b">
        <v>0</v>
      </c>
      <c r="AQ1393" s="86" t="s">
        <v>5115</v>
      </c>
      <c r="AR1393" s="81" t="s">
        <v>179</v>
      </c>
      <c r="AS1393" s="81">
        <v>0</v>
      </c>
      <c r="AT1393" s="81">
        <v>0</v>
      </c>
      <c r="AU1393" s="81"/>
      <c r="AV1393" s="81"/>
      <c r="AW1393" s="81"/>
      <c r="AX1393" s="81"/>
      <c r="AY1393" s="81"/>
      <c r="AZ1393" s="81"/>
      <c r="BA1393" s="81"/>
      <c r="BB1393" s="81"/>
    </row>
    <row r="1394" spans="1:54" x14ac:dyDescent="0.35">
      <c r="A1394" s="66" t="s">
        <v>993</v>
      </c>
      <c r="B1394" s="66" t="s">
        <v>1465</v>
      </c>
      <c r="C1394" s="67"/>
      <c r="D1394" s="68"/>
      <c r="E1394" s="69"/>
      <c r="F1394" s="70"/>
      <c r="G1394" s="67"/>
      <c r="H1394" s="71"/>
      <c r="I1394" s="72"/>
      <c r="J1394" s="72"/>
      <c r="K1394" s="36"/>
      <c r="L1394" s="79"/>
      <c r="M1394" s="79"/>
      <c r="N1394" s="74"/>
      <c r="O1394" s="81" t="s">
        <v>1534</v>
      </c>
      <c r="P1394" s="83">
        <v>44465.557199074072</v>
      </c>
      <c r="Q1394" s="81" t="s">
        <v>2004</v>
      </c>
      <c r="R1394" s="81"/>
      <c r="S1394" s="81"/>
      <c r="T1394" s="81"/>
      <c r="U1394" s="81"/>
      <c r="V1394" s="84" t="str">
        <f>HYPERLINK("https://pbs.twimg.com/profile_images/1408015822912585728/rOHIyfTL_normal.jpg")</f>
        <v>https://pbs.twimg.com/profile_images/1408015822912585728/rOHIyfTL_normal.jpg</v>
      </c>
      <c r="W1394" s="83">
        <v>44465.557199074072</v>
      </c>
      <c r="X1394" s="89">
        <v>44465</v>
      </c>
      <c r="Y1394" s="86" t="s">
        <v>3650</v>
      </c>
      <c r="Z1394" s="84" t="str">
        <f>HYPERLINK("https://twitter.com/tariprinsa/status/1442117343392399363")</f>
        <v>https://twitter.com/tariprinsa/status/1442117343392399363</v>
      </c>
      <c r="AA1394" s="81"/>
      <c r="AB1394" s="81"/>
      <c r="AC1394" s="86" t="s">
        <v>5116</v>
      </c>
      <c r="AD1394" s="86" t="s">
        <v>6144</v>
      </c>
      <c r="AE1394" s="81" t="b">
        <v>0</v>
      </c>
      <c r="AF1394" s="81">
        <v>0</v>
      </c>
      <c r="AG1394" s="86" t="s">
        <v>6399</v>
      </c>
      <c r="AH1394" s="81" t="b">
        <v>0</v>
      </c>
      <c r="AI1394" s="81" t="s">
        <v>6479</v>
      </c>
      <c r="AJ1394" s="81"/>
      <c r="AK1394" s="86" t="s">
        <v>6240</v>
      </c>
      <c r="AL1394" s="81" t="b">
        <v>0</v>
      </c>
      <c r="AM1394" s="81">
        <v>0</v>
      </c>
      <c r="AN1394" s="86" t="s">
        <v>6240</v>
      </c>
      <c r="AO1394" s="86" t="s">
        <v>6503</v>
      </c>
      <c r="AP1394" s="81" t="b">
        <v>0</v>
      </c>
      <c r="AQ1394" s="86" t="s">
        <v>6144</v>
      </c>
      <c r="AR1394" s="81" t="s">
        <v>179</v>
      </c>
      <c r="AS1394" s="81">
        <v>0</v>
      </c>
      <c r="AT1394" s="81">
        <v>0</v>
      </c>
      <c r="AU1394" s="81"/>
      <c r="AV1394" s="81"/>
      <c r="AW1394" s="81"/>
      <c r="AX1394" s="81"/>
      <c r="AY1394" s="81"/>
      <c r="AZ1394" s="81"/>
      <c r="BA1394" s="81"/>
      <c r="BB1394" s="81"/>
    </row>
    <row r="1395" spans="1:54" x14ac:dyDescent="0.35">
      <c r="A1395" s="66" t="s">
        <v>994</v>
      </c>
      <c r="B1395" s="66" t="s">
        <v>994</v>
      </c>
      <c r="C1395" s="67"/>
      <c r="D1395" s="68"/>
      <c r="E1395" s="69"/>
      <c r="F1395" s="70"/>
      <c r="G1395" s="67"/>
      <c r="H1395" s="71"/>
      <c r="I1395" s="72"/>
      <c r="J1395" s="72"/>
      <c r="K1395" s="36"/>
      <c r="L1395" s="79"/>
      <c r="M1395" s="79"/>
      <c r="N1395" s="74"/>
      <c r="O1395" s="81" t="s">
        <v>179</v>
      </c>
      <c r="P1395" s="83">
        <v>44465.607592592591</v>
      </c>
      <c r="Q1395" s="81" t="s">
        <v>2005</v>
      </c>
      <c r="R1395" s="81"/>
      <c r="S1395" s="81"/>
      <c r="T1395" s="81"/>
      <c r="U1395" s="81"/>
      <c r="V1395" s="84" t="str">
        <f>HYPERLINK("https://pbs.twimg.com/profile_images/1439883605015105540/r1Iy5DhT_normal.jpg")</f>
        <v>https://pbs.twimg.com/profile_images/1439883605015105540/r1Iy5DhT_normal.jpg</v>
      </c>
      <c r="W1395" s="83">
        <v>44465.607592592591</v>
      </c>
      <c r="X1395" s="89">
        <v>44465</v>
      </c>
      <c r="Y1395" s="86" t="s">
        <v>3651</v>
      </c>
      <c r="Z1395" s="84" t="str">
        <f>HYPERLINK("https://twitter.com/lcadies/status/1442135605610123274")</f>
        <v>https://twitter.com/lcadies/status/1442135605610123274</v>
      </c>
      <c r="AA1395" s="81"/>
      <c r="AB1395" s="81"/>
      <c r="AC1395" s="86" t="s">
        <v>5117</v>
      </c>
      <c r="AD1395" s="81"/>
      <c r="AE1395" s="81" t="b">
        <v>0</v>
      </c>
      <c r="AF1395" s="81">
        <v>0</v>
      </c>
      <c r="AG1395" s="86" t="s">
        <v>6240</v>
      </c>
      <c r="AH1395" s="81" t="b">
        <v>0</v>
      </c>
      <c r="AI1395" s="81" t="s">
        <v>6478</v>
      </c>
      <c r="AJ1395" s="81"/>
      <c r="AK1395" s="86" t="s">
        <v>6240</v>
      </c>
      <c r="AL1395" s="81" t="b">
        <v>0</v>
      </c>
      <c r="AM1395" s="81">
        <v>0</v>
      </c>
      <c r="AN1395" s="86" t="s">
        <v>6240</v>
      </c>
      <c r="AO1395" s="86" t="s">
        <v>6503</v>
      </c>
      <c r="AP1395" s="81" t="b">
        <v>0</v>
      </c>
      <c r="AQ1395" s="86" t="s">
        <v>5117</v>
      </c>
      <c r="AR1395" s="81" t="s">
        <v>179</v>
      </c>
      <c r="AS1395" s="81">
        <v>0</v>
      </c>
      <c r="AT1395" s="81">
        <v>0</v>
      </c>
      <c r="AU1395" s="81"/>
      <c r="AV1395" s="81"/>
      <c r="AW1395" s="81"/>
      <c r="AX1395" s="81"/>
      <c r="AY1395" s="81"/>
      <c r="AZ1395" s="81"/>
      <c r="BA1395" s="81"/>
      <c r="BB1395" s="81"/>
    </row>
    <row r="1396" spans="1:54" x14ac:dyDescent="0.35">
      <c r="A1396" s="66" t="s">
        <v>995</v>
      </c>
      <c r="B1396" s="66" t="s">
        <v>995</v>
      </c>
      <c r="C1396" s="67"/>
      <c r="D1396" s="68"/>
      <c r="E1396" s="69"/>
      <c r="F1396" s="70"/>
      <c r="G1396" s="67"/>
      <c r="H1396" s="71"/>
      <c r="I1396" s="72"/>
      <c r="J1396" s="72"/>
      <c r="K1396" s="36"/>
      <c r="L1396" s="79"/>
      <c r="M1396" s="79"/>
      <c r="N1396" s="74"/>
      <c r="O1396" s="81" t="s">
        <v>179</v>
      </c>
      <c r="P1396" s="83">
        <v>44465.626388888886</v>
      </c>
      <c r="Q1396" s="81" t="s">
        <v>2006</v>
      </c>
      <c r="R1396" s="81"/>
      <c r="S1396" s="81"/>
      <c r="T1396" s="86" t="s">
        <v>2692</v>
      </c>
      <c r="U1396" s="84" t="str">
        <f>HYPERLINK("https://pbs.twimg.com/media/FAOE4fVVkAYmCUC.jpg")</f>
        <v>https://pbs.twimg.com/media/FAOE4fVVkAYmCUC.jpg</v>
      </c>
      <c r="V1396" s="84" t="str">
        <f>HYPERLINK("https://pbs.twimg.com/media/FAOE4fVVkAYmCUC.jpg")</f>
        <v>https://pbs.twimg.com/media/FAOE4fVVkAYmCUC.jpg</v>
      </c>
      <c r="W1396" s="83">
        <v>44465.626388888886</v>
      </c>
      <c r="X1396" s="89">
        <v>44465</v>
      </c>
      <c r="Y1396" s="86" t="s">
        <v>3652</v>
      </c>
      <c r="Z1396" s="84" t="str">
        <f>HYPERLINK("https://twitter.com/bnnksleman/status/1442142418074173446")</f>
        <v>https://twitter.com/bnnksleman/status/1442142418074173446</v>
      </c>
      <c r="AA1396" s="81"/>
      <c r="AB1396" s="81"/>
      <c r="AC1396" s="86" t="s">
        <v>5118</v>
      </c>
      <c r="AD1396" s="81"/>
      <c r="AE1396" s="81" t="b">
        <v>0</v>
      </c>
      <c r="AF1396" s="81">
        <v>11</v>
      </c>
      <c r="AG1396" s="86" t="s">
        <v>6240</v>
      </c>
      <c r="AH1396" s="81" t="b">
        <v>0</v>
      </c>
      <c r="AI1396" s="81" t="s">
        <v>6478</v>
      </c>
      <c r="AJ1396" s="81"/>
      <c r="AK1396" s="86" t="s">
        <v>6240</v>
      </c>
      <c r="AL1396" s="81" t="b">
        <v>0</v>
      </c>
      <c r="AM1396" s="81">
        <v>0</v>
      </c>
      <c r="AN1396" s="86" t="s">
        <v>6240</v>
      </c>
      <c r="AO1396" s="86" t="s">
        <v>6503</v>
      </c>
      <c r="AP1396" s="81" t="b">
        <v>0</v>
      </c>
      <c r="AQ1396" s="86" t="s">
        <v>5118</v>
      </c>
      <c r="AR1396" s="81" t="s">
        <v>179</v>
      </c>
      <c r="AS1396" s="81">
        <v>0</v>
      </c>
      <c r="AT1396" s="81">
        <v>0</v>
      </c>
      <c r="AU1396" s="81"/>
      <c r="AV1396" s="81"/>
      <c r="AW1396" s="81"/>
      <c r="AX1396" s="81"/>
      <c r="AY1396" s="81"/>
      <c r="AZ1396" s="81"/>
      <c r="BA1396" s="81"/>
      <c r="BB1396" s="81"/>
    </row>
    <row r="1397" spans="1:54" x14ac:dyDescent="0.35">
      <c r="A1397" s="66" t="s">
        <v>996</v>
      </c>
      <c r="B1397" s="66" t="s">
        <v>1466</v>
      </c>
      <c r="C1397" s="67"/>
      <c r="D1397" s="68"/>
      <c r="E1397" s="69"/>
      <c r="F1397" s="70"/>
      <c r="G1397" s="67"/>
      <c r="H1397" s="71"/>
      <c r="I1397" s="72"/>
      <c r="J1397" s="72"/>
      <c r="K1397" s="36"/>
      <c r="L1397" s="79"/>
      <c r="M1397" s="79"/>
      <c r="N1397" s="74"/>
      <c r="O1397" s="81" t="s">
        <v>1534</v>
      </c>
      <c r="P1397" s="83">
        <v>44465.640659722223</v>
      </c>
      <c r="Q1397" s="81" t="s">
        <v>2007</v>
      </c>
      <c r="R1397" s="81"/>
      <c r="S1397" s="81"/>
      <c r="T1397" s="81"/>
      <c r="U1397" s="81"/>
      <c r="V1397" s="84" t="str">
        <f>HYPERLINK("https://pbs.twimg.com/profile_images/1275777160213524482/ummI5RSO_normal.jpg")</f>
        <v>https://pbs.twimg.com/profile_images/1275777160213524482/ummI5RSO_normal.jpg</v>
      </c>
      <c r="W1397" s="83">
        <v>44465.640659722223</v>
      </c>
      <c r="X1397" s="89">
        <v>44465</v>
      </c>
      <c r="Y1397" s="86" t="s">
        <v>3653</v>
      </c>
      <c r="Z1397" s="84" t="str">
        <f>HYPERLINK("https://twitter.com/dyanahr/status/1442147586996011009")</f>
        <v>https://twitter.com/dyanahr/status/1442147586996011009</v>
      </c>
      <c r="AA1397" s="81"/>
      <c r="AB1397" s="81"/>
      <c r="AC1397" s="86" t="s">
        <v>5119</v>
      </c>
      <c r="AD1397" s="86" t="s">
        <v>6145</v>
      </c>
      <c r="AE1397" s="81" t="b">
        <v>0</v>
      </c>
      <c r="AF1397" s="81">
        <v>0</v>
      </c>
      <c r="AG1397" s="86" t="s">
        <v>6400</v>
      </c>
      <c r="AH1397" s="81" t="b">
        <v>0</v>
      </c>
      <c r="AI1397" s="81" t="s">
        <v>6478</v>
      </c>
      <c r="AJ1397" s="81"/>
      <c r="AK1397" s="86" t="s">
        <v>6240</v>
      </c>
      <c r="AL1397" s="81" t="b">
        <v>0</v>
      </c>
      <c r="AM1397" s="81">
        <v>0</v>
      </c>
      <c r="AN1397" s="86" t="s">
        <v>6240</v>
      </c>
      <c r="AO1397" s="86" t="s">
        <v>6505</v>
      </c>
      <c r="AP1397" s="81" t="b">
        <v>0</v>
      </c>
      <c r="AQ1397" s="86" t="s">
        <v>6145</v>
      </c>
      <c r="AR1397" s="81" t="s">
        <v>179</v>
      </c>
      <c r="AS1397" s="81">
        <v>0</v>
      </c>
      <c r="AT1397" s="81">
        <v>0</v>
      </c>
      <c r="AU1397" s="81"/>
      <c r="AV1397" s="81"/>
      <c r="AW1397" s="81"/>
      <c r="AX1397" s="81"/>
      <c r="AY1397" s="81"/>
      <c r="AZ1397" s="81"/>
      <c r="BA1397" s="81"/>
      <c r="BB1397" s="81"/>
    </row>
    <row r="1398" spans="1:54" x14ac:dyDescent="0.35">
      <c r="A1398" s="66" t="s">
        <v>997</v>
      </c>
      <c r="B1398" s="66" t="s">
        <v>997</v>
      </c>
      <c r="C1398" s="67"/>
      <c r="D1398" s="68"/>
      <c r="E1398" s="69"/>
      <c r="F1398" s="70"/>
      <c r="G1398" s="67"/>
      <c r="H1398" s="71"/>
      <c r="I1398" s="72"/>
      <c r="J1398" s="72"/>
      <c r="K1398" s="36"/>
      <c r="L1398" s="79"/>
      <c r="M1398" s="79"/>
      <c r="N1398" s="74"/>
      <c r="O1398" s="81" t="s">
        <v>179</v>
      </c>
      <c r="P1398" s="83">
        <v>44465.645416666666</v>
      </c>
      <c r="Q1398" s="81" t="s">
        <v>2008</v>
      </c>
      <c r="R1398" s="81"/>
      <c r="S1398" s="81"/>
      <c r="T1398" s="81"/>
      <c r="U1398" s="81"/>
      <c r="V1398" s="84" t="str">
        <f>HYPERLINK("https://pbs.twimg.com/profile_images/1434816067323367427/blv2ecKY_normal.jpg")</f>
        <v>https://pbs.twimg.com/profile_images/1434816067323367427/blv2ecKY_normal.jpg</v>
      </c>
      <c r="W1398" s="83">
        <v>44465.645416666666</v>
      </c>
      <c r="X1398" s="89">
        <v>44465</v>
      </c>
      <c r="Y1398" s="86" t="s">
        <v>3654</v>
      </c>
      <c r="Z1398" s="84" t="str">
        <f>HYPERLINK("https://twitter.com/orchidpoison/status/1442149312360685568")</f>
        <v>https://twitter.com/orchidpoison/status/1442149312360685568</v>
      </c>
      <c r="AA1398" s="81"/>
      <c r="AB1398" s="81"/>
      <c r="AC1398" s="86" t="s">
        <v>5120</v>
      </c>
      <c r="AD1398" s="86" t="s">
        <v>6146</v>
      </c>
      <c r="AE1398" s="81" t="b">
        <v>0</v>
      </c>
      <c r="AF1398" s="81">
        <v>0</v>
      </c>
      <c r="AG1398" s="86" t="s">
        <v>6401</v>
      </c>
      <c r="AH1398" s="81" t="b">
        <v>0</v>
      </c>
      <c r="AI1398" s="81" t="s">
        <v>6478</v>
      </c>
      <c r="AJ1398" s="81"/>
      <c r="AK1398" s="86" t="s">
        <v>6240</v>
      </c>
      <c r="AL1398" s="81" t="b">
        <v>0</v>
      </c>
      <c r="AM1398" s="81">
        <v>0</v>
      </c>
      <c r="AN1398" s="86" t="s">
        <v>6240</v>
      </c>
      <c r="AO1398" s="86" t="s">
        <v>6505</v>
      </c>
      <c r="AP1398" s="81" t="b">
        <v>0</v>
      </c>
      <c r="AQ1398" s="86" t="s">
        <v>6146</v>
      </c>
      <c r="AR1398" s="81" t="s">
        <v>179</v>
      </c>
      <c r="AS1398" s="81">
        <v>0</v>
      </c>
      <c r="AT1398" s="81">
        <v>0</v>
      </c>
      <c r="AU1398" s="81"/>
      <c r="AV1398" s="81"/>
      <c r="AW1398" s="81"/>
      <c r="AX1398" s="81"/>
      <c r="AY1398" s="81"/>
      <c r="AZ1398" s="81"/>
      <c r="BA1398" s="81"/>
      <c r="BB1398" s="81"/>
    </row>
    <row r="1399" spans="1:54" x14ac:dyDescent="0.35">
      <c r="A1399" s="66" t="s">
        <v>998</v>
      </c>
      <c r="B1399" s="66" t="s">
        <v>998</v>
      </c>
      <c r="C1399" s="67"/>
      <c r="D1399" s="68"/>
      <c r="E1399" s="69"/>
      <c r="F1399" s="70"/>
      <c r="G1399" s="67"/>
      <c r="H1399" s="71"/>
      <c r="I1399" s="72"/>
      <c r="J1399" s="72"/>
      <c r="K1399" s="36"/>
      <c r="L1399" s="79"/>
      <c r="M1399" s="79"/>
      <c r="N1399" s="74"/>
      <c r="O1399" s="81" t="s">
        <v>179</v>
      </c>
      <c r="P1399" s="83">
        <v>44465.653483796297</v>
      </c>
      <c r="Q1399" s="81" t="s">
        <v>2009</v>
      </c>
      <c r="R1399" s="84" t="str">
        <f>HYPERLINK("https://www.fokussatu.id/nasional/pr-951281124/politeknik-pos-indonesia-dan-kemenlu-ri-teken-mou-pusat-studi-asean")</f>
        <v>https://www.fokussatu.id/nasional/pr-951281124/politeknik-pos-indonesia-dan-kemenlu-ri-teken-mou-pusat-studi-asean</v>
      </c>
      <c r="S1399" s="81" t="s">
        <v>2634</v>
      </c>
      <c r="T1399" s="81"/>
      <c r="U1399" s="81"/>
      <c r="V1399" s="84" t="str">
        <f>HYPERLINK("https://pbs.twimg.com/profile_images/1434897306730463234/43-XSpMM_normal.jpg")</f>
        <v>https://pbs.twimg.com/profile_images/1434897306730463234/43-XSpMM_normal.jpg</v>
      </c>
      <c r="W1399" s="83">
        <v>44465.653483796297</v>
      </c>
      <c r="X1399" s="89">
        <v>44465</v>
      </c>
      <c r="Y1399" s="86" t="s">
        <v>3655</v>
      </c>
      <c r="Z1399" s="84" t="str">
        <f>HYPERLINK("https://twitter.com/fokus_satu/status/1442152234972680197")</f>
        <v>https://twitter.com/fokus_satu/status/1442152234972680197</v>
      </c>
      <c r="AA1399" s="81"/>
      <c r="AB1399" s="81"/>
      <c r="AC1399" s="86" t="s">
        <v>5121</v>
      </c>
      <c r="AD1399" s="81"/>
      <c r="AE1399" s="81" t="b">
        <v>0</v>
      </c>
      <c r="AF1399" s="81">
        <v>0</v>
      </c>
      <c r="AG1399" s="86" t="s">
        <v>6240</v>
      </c>
      <c r="AH1399" s="81" t="b">
        <v>0</v>
      </c>
      <c r="AI1399" s="81" t="s">
        <v>6478</v>
      </c>
      <c r="AJ1399" s="81"/>
      <c r="AK1399" s="86" t="s">
        <v>6240</v>
      </c>
      <c r="AL1399" s="81" t="b">
        <v>0</v>
      </c>
      <c r="AM1399" s="81">
        <v>0</v>
      </c>
      <c r="AN1399" s="86" t="s">
        <v>6240</v>
      </c>
      <c r="AO1399" s="86" t="s">
        <v>6503</v>
      </c>
      <c r="AP1399" s="81" t="b">
        <v>0</v>
      </c>
      <c r="AQ1399" s="86" t="s">
        <v>5121</v>
      </c>
      <c r="AR1399" s="81" t="s">
        <v>179</v>
      </c>
      <c r="AS1399" s="81">
        <v>0</v>
      </c>
      <c r="AT1399" s="81">
        <v>0</v>
      </c>
      <c r="AU1399" s="81"/>
      <c r="AV1399" s="81"/>
      <c r="AW1399" s="81"/>
      <c r="AX1399" s="81"/>
      <c r="AY1399" s="81"/>
      <c r="AZ1399" s="81"/>
      <c r="BA1399" s="81"/>
      <c r="BB1399" s="81"/>
    </row>
    <row r="1400" spans="1:54" x14ac:dyDescent="0.35">
      <c r="A1400" s="66" t="s">
        <v>999</v>
      </c>
      <c r="B1400" s="66" t="s">
        <v>1466</v>
      </c>
      <c r="C1400" s="67"/>
      <c r="D1400" s="68"/>
      <c r="E1400" s="69"/>
      <c r="F1400" s="70"/>
      <c r="G1400" s="67"/>
      <c r="H1400" s="71"/>
      <c r="I1400" s="72"/>
      <c r="J1400" s="72"/>
      <c r="K1400" s="36"/>
      <c r="L1400" s="79"/>
      <c r="M1400" s="79"/>
      <c r="N1400" s="74"/>
      <c r="O1400" s="81" t="s">
        <v>1534</v>
      </c>
      <c r="P1400" s="83">
        <v>44465.656087962961</v>
      </c>
      <c r="Q1400" s="81" t="s">
        <v>2010</v>
      </c>
      <c r="R1400" s="81"/>
      <c r="S1400" s="81"/>
      <c r="T1400" s="81"/>
      <c r="U1400" s="81"/>
      <c r="V1400" s="84" t="str">
        <f>HYPERLINK("https://pbs.twimg.com/profile_images/914798666367475712/FrpfZMrS_normal.jpg")</f>
        <v>https://pbs.twimg.com/profile_images/914798666367475712/FrpfZMrS_normal.jpg</v>
      </c>
      <c r="W1400" s="83">
        <v>44465.656087962961</v>
      </c>
      <c r="X1400" s="89">
        <v>44465</v>
      </c>
      <c r="Y1400" s="86" t="s">
        <v>3656</v>
      </c>
      <c r="Z1400" s="84" t="str">
        <f>HYPERLINK("https://twitter.com/sapepulakni/status/1442153177827069976")</f>
        <v>https://twitter.com/sapepulakni/status/1442153177827069976</v>
      </c>
      <c r="AA1400" s="81"/>
      <c r="AB1400" s="81"/>
      <c r="AC1400" s="86" t="s">
        <v>5122</v>
      </c>
      <c r="AD1400" s="86" t="s">
        <v>6145</v>
      </c>
      <c r="AE1400" s="81" t="b">
        <v>0</v>
      </c>
      <c r="AF1400" s="81">
        <v>0</v>
      </c>
      <c r="AG1400" s="86" t="s">
        <v>6400</v>
      </c>
      <c r="AH1400" s="81" t="b">
        <v>0</v>
      </c>
      <c r="AI1400" s="81" t="s">
        <v>6478</v>
      </c>
      <c r="AJ1400" s="81"/>
      <c r="AK1400" s="86" t="s">
        <v>6240</v>
      </c>
      <c r="AL1400" s="81" t="b">
        <v>0</v>
      </c>
      <c r="AM1400" s="81">
        <v>0</v>
      </c>
      <c r="AN1400" s="86" t="s">
        <v>6240</v>
      </c>
      <c r="AO1400" s="86" t="s">
        <v>6505</v>
      </c>
      <c r="AP1400" s="81" t="b">
        <v>0</v>
      </c>
      <c r="AQ1400" s="86" t="s">
        <v>6145</v>
      </c>
      <c r="AR1400" s="81" t="s">
        <v>179</v>
      </c>
      <c r="AS1400" s="81">
        <v>0</v>
      </c>
      <c r="AT1400" s="81">
        <v>0</v>
      </c>
      <c r="AU1400" s="81"/>
      <c r="AV1400" s="81"/>
      <c r="AW1400" s="81"/>
      <c r="AX1400" s="81"/>
      <c r="AY1400" s="81"/>
      <c r="AZ1400" s="81"/>
      <c r="BA1400" s="81"/>
      <c r="BB1400" s="81"/>
    </row>
    <row r="1401" spans="1:54" x14ac:dyDescent="0.35">
      <c r="A1401" s="66" t="s">
        <v>1000</v>
      </c>
      <c r="B1401" s="66" t="s">
        <v>1467</v>
      </c>
      <c r="C1401" s="67"/>
      <c r="D1401" s="68"/>
      <c r="E1401" s="69"/>
      <c r="F1401" s="70"/>
      <c r="G1401" s="67"/>
      <c r="H1401" s="71"/>
      <c r="I1401" s="72"/>
      <c r="J1401" s="72"/>
      <c r="K1401" s="36"/>
      <c r="L1401" s="79"/>
      <c r="M1401" s="79"/>
      <c r="N1401" s="74"/>
      <c r="O1401" s="81" t="s">
        <v>1535</v>
      </c>
      <c r="P1401" s="83">
        <v>44465.682175925926</v>
      </c>
      <c r="Q1401" s="81" t="s">
        <v>2011</v>
      </c>
      <c r="R1401" s="81"/>
      <c r="S1401" s="81"/>
      <c r="T1401" s="81"/>
      <c r="U1401" s="81"/>
      <c r="V1401" s="84" t="str">
        <f>HYPERLINK("https://pbs.twimg.com/profile_images/1426679799313960960/uc_0K0z5_normal.jpg")</f>
        <v>https://pbs.twimg.com/profile_images/1426679799313960960/uc_0K0z5_normal.jpg</v>
      </c>
      <c r="W1401" s="83">
        <v>44465.682175925926</v>
      </c>
      <c r="X1401" s="89">
        <v>44465</v>
      </c>
      <c r="Y1401" s="86" t="s">
        <v>3657</v>
      </c>
      <c r="Z1401" s="84" t="str">
        <f>HYPERLINK("https://twitter.com/khairudinzack07/status/1442162631968624646")</f>
        <v>https://twitter.com/khairudinzack07/status/1442162631968624646</v>
      </c>
      <c r="AA1401" s="81"/>
      <c r="AB1401" s="81"/>
      <c r="AC1401" s="86" t="s">
        <v>5123</v>
      </c>
      <c r="AD1401" s="86" t="s">
        <v>6147</v>
      </c>
      <c r="AE1401" s="81" t="b">
        <v>0</v>
      </c>
      <c r="AF1401" s="81">
        <v>0</v>
      </c>
      <c r="AG1401" s="86" t="s">
        <v>6402</v>
      </c>
      <c r="AH1401" s="81" t="b">
        <v>0</v>
      </c>
      <c r="AI1401" s="81" t="s">
        <v>6478</v>
      </c>
      <c r="AJ1401" s="81"/>
      <c r="AK1401" s="86" t="s">
        <v>6240</v>
      </c>
      <c r="AL1401" s="81" t="b">
        <v>0</v>
      </c>
      <c r="AM1401" s="81">
        <v>0</v>
      </c>
      <c r="AN1401" s="86" t="s">
        <v>6240</v>
      </c>
      <c r="AO1401" s="86" t="s">
        <v>6505</v>
      </c>
      <c r="AP1401" s="81" t="b">
        <v>0</v>
      </c>
      <c r="AQ1401" s="86" t="s">
        <v>6147</v>
      </c>
      <c r="AR1401" s="81" t="s">
        <v>179</v>
      </c>
      <c r="AS1401" s="81">
        <v>0</v>
      </c>
      <c r="AT1401" s="81">
        <v>0</v>
      </c>
      <c r="AU1401" s="81"/>
      <c r="AV1401" s="81"/>
      <c r="AW1401" s="81"/>
      <c r="AX1401" s="81"/>
      <c r="AY1401" s="81"/>
      <c r="AZ1401" s="81"/>
      <c r="BA1401" s="81"/>
      <c r="BB1401" s="81"/>
    </row>
    <row r="1402" spans="1:54" x14ac:dyDescent="0.35">
      <c r="A1402" s="66" t="s">
        <v>1000</v>
      </c>
      <c r="B1402" s="66" t="s">
        <v>1467</v>
      </c>
      <c r="C1402" s="67"/>
      <c r="D1402" s="68"/>
      <c r="E1402" s="69"/>
      <c r="F1402" s="70"/>
      <c r="G1402" s="67"/>
      <c r="H1402" s="71"/>
      <c r="I1402" s="72"/>
      <c r="J1402" s="72"/>
      <c r="K1402" s="36"/>
      <c r="L1402" s="79"/>
      <c r="M1402" s="79"/>
      <c r="N1402" s="74"/>
      <c r="O1402" s="81" t="s">
        <v>1535</v>
      </c>
      <c r="P1402" s="83">
        <v>44465.684675925928</v>
      </c>
      <c r="Q1402" s="81" t="s">
        <v>2012</v>
      </c>
      <c r="R1402" s="81"/>
      <c r="S1402" s="81"/>
      <c r="T1402" s="81"/>
      <c r="U1402" s="81"/>
      <c r="V1402" s="84" t="str">
        <f>HYPERLINK("https://pbs.twimg.com/profile_images/1426679799313960960/uc_0K0z5_normal.jpg")</f>
        <v>https://pbs.twimg.com/profile_images/1426679799313960960/uc_0K0z5_normal.jpg</v>
      </c>
      <c r="W1402" s="83">
        <v>44465.684675925928</v>
      </c>
      <c r="X1402" s="89">
        <v>44465</v>
      </c>
      <c r="Y1402" s="86" t="s">
        <v>3658</v>
      </c>
      <c r="Z1402" s="84" t="str">
        <f>HYPERLINK("https://twitter.com/khairudinzack07/status/1442163541050462215")</f>
        <v>https://twitter.com/khairudinzack07/status/1442163541050462215</v>
      </c>
      <c r="AA1402" s="81"/>
      <c r="AB1402" s="81"/>
      <c r="AC1402" s="86" t="s">
        <v>5124</v>
      </c>
      <c r="AD1402" s="86" t="s">
        <v>6148</v>
      </c>
      <c r="AE1402" s="81" t="b">
        <v>0</v>
      </c>
      <c r="AF1402" s="81">
        <v>0</v>
      </c>
      <c r="AG1402" s="86" t="s">
        <v>6402</v>
      </c>
      <c r="AH1402" s="81" t="b">
        <v>0</v>
      </c>
      <c r="AI1402" s="81" t="s">
        <v>6478</v>
      </c>
      <c r="AJ1402" s="81"/>
      <c r="AK1402" s="86" t="s">
        <v>6240</v>
      </c>
      <c r="AL1402" s="81" t="b">
        <v>0</v>
      </c>
      <c r="AM1402" s="81">
        <v>0</v>
      </c>
      <c r="AN1402" s="86" t="s">
        <v>6240</v>
      </c>
      <c r="AO1402" s="86" t="s">
        <v>6505</v>
      </c>
      <c r="AP1402" s="81" t="b">
        <v>0</v>
      </c>
      <c r="AQ1402" s="86" t="s">
        <v>6148</v>
      </c>
      <c r="AR1402" s="81" t="s">
        <v>179</v>
      </c>
      <c r="AS1402" s="81">
        <v>0</v>
      </c>
      <c r="AT1402" s="81">
        <v>0</v>
      </c>
      <c r="AU1402" s="81"/>
      <c r="AV1402" s="81"/>
      <c r="AW1402" s="81"/>
      <c r="AX1402" s="81"/>
      <c r="AY1402" s="81"/>
      <c r="AZ1402" s="81"/>
      <c r="BA1402" s="81"/>
      <c r="BB1402" s="81"/>
    </row>
    <row r="1403" spans="1:54" x14ac:dyDescent="0.35">
      <c r="A1403" s="66" t="s">
        <v>1000</v>
      </c>
      <c r="B1403" s="66" t="s">
        <v>1468</v>
      </c>
      <c r="C1403" s="67"/>
      <c r="D1403" s="68"/>
      <c r="E1403" s="69"/>
      <c r="F1403" s="70"/>
      <c r="G1403" s="67"/>
      <c r="H1403" s="71"/>
      <c r="I1403" s="72"/>
      <c r="J1403" s="72"/>
      <c r="K1403" s="36"/>
      <c r="L1403" s="79"/>
      <c r="M1403" s="79"/>
      <c r="N1403" s="74"/>
      <c r="O1403" s="81" t="s">
        <v>1534</v>
      </c>
      <c r="P1403" s="83">
        <v>44465.682175925926</v>
      </c>
      <c r="Q1403" s="81" t="s">
        <v>2011</v>
      </c>
      <c r="R1403" s="81"/>
      <c r="S1403" s="81"/>
      <c r="T1403" s="81"/>
      <c r="U1403" s="81"/>
      <c r="V1403" s="84" t="str">
        <f>HYPERLINK("https://pbs.twimg.com/profile_images/1426679799313960960/uc_0K0z5_normal.jpg")</f>
        <v>https://pbs.twimg.com/profile_images/1426679799313960960/uc_0K0z5_normal.jpg</v>
      </c>
      <c r="W1403" s="83">
        <v>44465.682175925926</v>
      </c>
      <c r="X1403" s="89">
        <v>44465</v>
      </c>
      <c r="Y1403" s="86" t="s">
        <v>3657</v>
      </c>
      <c r="Z1403" s="84" t="str">
        <f>HYPERLINK("https://twitter.com/khairudinzack07/status/1442162631968624646")</f>
        <v>https://twitter.com/khairudinzack07/status/1442162631968624646</v>
      </c>
      <c r="AA1403" s="81"/>
      <c r="AB1403" s="81"/>
      <c r="AC1403" s="86" t="s">
        <v>5123</v>
      </c>
      <c r="AD1403" s="86" t="s">
        <v>6147</v>
      </c>
      <c r="AE1403" s="81" t="b">
        <v>0</v>
      </c>
      <c r="AF1403" s="81">
        <v>0</v>
      </c>
      <c r="AG1403" s="86" t="s">
        <v>6402</v>
      </c>
      <c r="AH1403" s="81" t="b">
        <v>0</v>
      </c>
      <c r="AI1403" s="81" t="s">
        <v>6478</v>
      </c>
      <c r="AJ1403" s="81"/>
      <c r="AK1403" s="86" t="s">
        <v>6240</v>
      </c>
      <c r="AL1403" s="81" t="b">
        <v>0</v>
      </c>
      <c r="AM1403" s="81">
        <v>0</v>
      </c>
      <c r="AN1403" s="86" t="s">
        <v>6240</v>
      </c>
      <c r="AO1403" s="86" t="s">
        <v>6505</v>
      </c>
      <c r="AP1403" s="81" t="b">
        <v>0</v>
      </c>
      <c r="AQ1403" s="86" t="s">
        <v>6147</v>
      </c>
      <c r="AR1403" s="81" t="s">
        <v>179</v>
      </c>
      <c r="AS1403" s="81">
        <v>0</v>
      </c>
      <c r="AT1403" s="81">
        <v>0</v>
      </c>
      <c r="AU1403" s="81"/>
      <c r="AV1403" s="81"/>
      <c r="AW1403" s="81"/>
      <c r="AX1403" s="81"/>
      <c r="AY1403" s="81"/>
      <c r="AZ1403" s="81"/>
      <c r="BA1403" s="81"/>
      <c r="BB1403" s="81"/>
    </row>
    <row r="1404" spans="1:54" x14ac:dyDescent="0.35">
      <c r="A1404" s="66" t="s">
        <v>1000</v>
      </c>
      <c r="B1404" s="66" t="s">
        <v>1468</v>
      </c>
      <c r="C1404" s="67"/>
      <c r="D1404" s="68"/>
      <c r="E1404" s="69"/>
      <c r="F1404" s="70"/>
      <c r="G1404" s="67"/>
      <c r="H1404" s="71"/>
      <c r="I1404" s="72"/>
      <c r="J1404" s="72"/>
      <c r="K1404" s="36"/>
      <c r="L1404" s="79"/>
      <c r="M1404" s="79"/>
      <c r="N1404" s="74"/>
      <c r="O1404" s="81" t="s">
        <v>1534</v>
      </c>
      <c r="P1404" s="83">
        <v>44465.684675925928</v>
      </c>
      <c r="Q1404" s="81" t="s">
        <v>2012</v>
      </c>
      <c r="R1404" s="81"/>
      <c r="S1404" s="81"/>
      <c r="T1404" s="81"/>
      <c r="U1404" s="81"/>
      <c r="V1404" s="84" t="str">
        <f>HYPERLINK("https://pbs.twimg.com/profile_images/1426679799313960960/uc_0K0z5_normal.jpg")</f>
        <v>https://pbs.twimg.com/profile_images/1426679799313960960/uc_0K0z5_normal.jpg</v>
      </c>
      <c r="W1404" s="83">
        <v>44465.684675925928</v>
      </c>
      <c r="X1404" s="89">
        <v>44465</v>
      </c>
      <c r="Y1404" s="86" t="s">
        <v>3658</v>
      </c>
      <c r="Z1404" s="84" t="str">
        <f>HYPERLINK("https://twitter.com/khairudinzack07/status/1442163541050462215")</f>
        <v>https://twitter.com/khairudinzack07/status/1442163541050462215</v>
      </c>
      <c r="AA1404" s="81"/>
      <c r="AB1404" s="81"/>
      <c r="AC1404" s="86" t="s">
        <v>5124</v>
      </c>
      <c r="AD1404" s="86" t="s">
        <v>6148</v>
      </c>
      <c r="AE1404" s="81" t="b">
        <v>0</v>
      </c>
      <c r="AF1404" s="81">
        <v>0</v>
      </c>
      <c r="AG1404" s="86" t="s">
        <v>6402</v>
      </c>
      <c r="AH1404" s="81" t="b">
        <v>0</v>
      </c>
      <c r="AI1404" s="81" t="s">
        <v>6478</v>
      </c>
      <c r="AJ1404" s="81"/>
      <c r="AK1404" s="86" t="s">
        <v>6240</v>
      </c>
      <c r="AL1404" s="81" t="b">
        <v>0</v>
      </c>
      <c r="AM1404" s="81">
        <v>0</v>
      </c>
      <c r="AN1404" s="86" t="s">
        <v>6240</v>
      </c>
      <c r="AO1404" s="86" t="s">
        <v>6505</v>
      </c>
      <c r="AP1404" s="81" t="b">
        <v>0</v>
      </c>
      <c r="AQ1404" s="86" t="s">
        <v>6148</v>
      </c>
      <c r="AR1404" s="81" t="s">
        <v>179</v>
      </c>
      <c r="AS1404" s="81">
        <v>0</v>
      </c>
      <c r="AT1404" s="81">
        <v>0</v>
      </c>
      <c r="AU1404" s="81"/>
      <c r="AV1404" s="81"/>
      <c r="AW1404" s="81"/>
      <c r="AX1404" s="81"/>
      <c r="AY1404" s="81"/>
      <c r="AZ1404" s="81"/>
      <c r="BA1404" s="81"/>
      <c r="BB1404" s="81"/>
    </row>
    <row r="1405" spans="1:54" x14ac:dyDescent="0.35">
      <c r="A1405" s="66" t="s">
        <v>1001</v>
      </c>
      <c r="B1405" s="66" t="s">
        <v>1001</v>
      </c>
      <c r="C1405" s="67"/>
      <c r="D1405" s="68"/>
      <c r="E1405" s="69"/>
      <c r="F1405" s="70"/>
      <c r="G1405" s="67"/>
      <c r="H1405" s="71"/>
      <c r="I1405" s="72"/>
      <c r="J1405" s="72"/>
      <c r="K1405" s="36"/>
      <c r="L1405" s="79"/>
      <c r="M1405" s="79"/>
      <c r="N1405" s="74"/>
      <c r="O1405" s="81" t="s">
        <v>179</v>
      </c>
      <c r="P1405" s="83">
        <v>44465.739178240743</v>
      </c>
      <c r="Q1405" s="81" t="s">
        <v>2013</v>
      </c>
      <c r="R1405" s="81"/>
      <c r="S1405" s="81"/>
      <c r="T1405" s="81"/>
      <c r="U1405" s="81"/>
      <c r="V1405" s="84" t="str">
        <f>HYPERLINK("https://pbs.twimg.com/profile_images/1418975032668196865/GYPK3gsY_normal.jpg")</f>
        <v>https://pbs.twimg.com/profile_images/1418975032668196865/GYPK3gsY_normal.jpg</v>
      </c>
      <c r="W1405" s="83">
        <v>44465.739178240743</v>
      </c>
      <c r="X1405" s="89">
        <v>44465</v>
      </c>
      <c r="Y1405" s="86" t="s">
        <v>3659</v>
      </c>
      <c r="Z1405" s="84" t="str">
        <f>HYPERLINK("https://twitter.com/bobahyuck/status/1442183290971062274")</f>
        <v>https://twitter.com/bobahyuck/status/1442183290971062274</v>
      </c>
      <c r="AA1405" s="81"/>
      <c r="AB1405" s="81"/>
      <c r="AC1405" s="86" t="s">
        <v>5125</v>
      </c>
      <c r="AD1405" s="81"/>
      <c r="AE1405" s="81" t="b">
        <v>0</v>
      </c>
      <c r="AF1405" s="81">
        <v>0</v>
      </c>
      <c r="AG1405" s="86" t="s">
        <v>6240</v>
      </c>
      <c r="AH1405" s="81" t="b">
        <v>0</v>
      </c>
      <c r="AI1405" s="81" t="s">
        <v>6478</v>
      </c>
      <c r="AJ1405" s="81"/>
      <c r="AK1405" s="86" t="s">
        <v>6240</v>
      </c>
      <c r="AL1405" s="81" t="b">
        <v>0</v>
      </c>
      <c r="AM1405" s="81">
        <v>0</v>
      </c>
      <c r="AN1405" s="86" t="s">
        <v>6240</v>
      </c>
      <c r="AO1405" s="86" t="s">
        <v>6503</v>
      </c>
      <c r="AP1405" s="81" t="b">
        <v>0</v>
      </c>
      <c r="AQ1405" s="86" t="s">
        <v>5125</v>
      </c>
      <c r="AR1405" s="81" t="s">
        <v>179</v>
      </c>
      <c r="AS1405" s="81">
        <v>0</v>
      </c>
      <c r="AT1405" s="81">
        <v>0</v>
      </c>
      <c r="AU1405" s="81"/>
      <c r="AV1405" s="81"/>
      <c r="AW1405" s="81"/>
      <c r="AX1405" s="81"/>
      <c r="AY1405" s="81"/>
      <c r="AZ1405" s="81"/>
      <c r="BA1405" s="81"/>
      <c r="BB1405" s="81"/>
    </row>
    <row r="1406" spans="1:54" x14ac:dyDescent="0.35">
      <c r="A1406" s="66" t="s">
        <v>1002</v>
      </c>
      <c r="B1406" s="66" t="s">
        <v>1002</v>
      </c>
      <c r="C1406" s="67"/>
      <c r="D1406" s="68"/>
      <c r="E1406" s="69"/>
      <c r="F1406" s="70"/>
      <c r="G1406" s="67"/>
      <c r="H1406" s="71"/>
      <c r="I1406" s="72"/>
      <c r="J1406" s="72"/>
      <c r="K1406" s="36"/>
      <c r="L1406" s="79"/>
      <c r="M1406" s="79"/>
      <c r="N1406" s="74"/>
      <c r="O1406" s="81" t="s">
        <v>179</v>
      </c>
      <c r="P1406" s="83">
        <v>44465.765439814815</v>
      </c>
      <c r="Q1406" s="81" t="s">
        <v>2014</v>
      </c>
      <c r="R1406" s="81"/>
      <c r="S1406" s="81"/>
      <c r="T1406" s="81"/>
      <c r="U1406" s="81"/>
      <c r="V1406" s="84" t="str">
        <f>HYPERLINK("https://pbs.twimg.com/profile_images/1021661104932511744/L1OZvNpI_normal.jpg")</f>
        <v>https://pbs.twimg.com/profile_images/1021661104932511744/L1OZvNpI_normal.jpg</v>
      </c>
      <c r="W1406" s="83">
        <v>44465.765439814815</v>
      </c>
      <c r="X1406" s="89">
        <v>44465</v>
      </c>
      <c r="Y1406" s="86" t="s">
        <v>3660</v>
      </c>
      <c r="Z1406" s="84" t="str">
        <f>HYPERLINK("https://twitter.com/putrirahmayln/status/1442192805007216640")</f>
        <v>https://twitter.com/putrirahmayln/status/1442192805007216640</v>
      </c>
      <c r="AA1406" s="81"/>
      <c r="AB1406" s="81"/>
      <c r="AC1406" s="86" t="s">
        <v>5126</v>
      </c>
      <c r="AD1406" s="86" t="s">
        <v>6149</v>
      </c>
      <c r="AE1406" s="81" t="b">
        <v>0</v>
      </c>
      <c r="AF1406" s="81">
        <v>0</v>
      </c>
      <c r="AG1406" s="86" t="s">
        <v>6403</v>
      </c>
      <c r="AH1406" s="81" t="b">
        <v>0</v>
      </c>
      <c r="AI1406" s="81" t="s">
        <v>6478</v>
      </c>
      <c r="AJ1406" s="81"/>
      <c r="AK1406" s="86" t="s">
        <v>6240</v>
      </c>
      <c r="AL1406" s="81" t="b">
        <v>0</v>
      </c>
      <c r="AM1406" s="81">
        <v>0</v>
      </c>
      <c r="AN1406" s="86" t="s">
        <v>6240</v>
      </c>
      <c r="AO1406" s="86" t="s">
        <v>6505</v>
      </c>
      <c r="AP1406" s="81" t="b">
        <v>0</v>
      </c>
      <c r="AQ1406" s="86" t="s">
        <v>6149</v>
      </c>
      <c r="AR1406" s="81" t="s">
        <v>179</v>
      </c>
      <c r="AS1406" s="81">
        <v>0</v>
      </c>
      <c r="AT1406" s="81">
        <v>0</v>
      </c>
      <c r="AU1406" s="81"/>
      <c r="AV1406" s="81"/>
      <c r="AW1406" s="81"/>
      <c r="AX1406" s="81"/>
      <c r="AY1406" s="81"/>
      <c r="AZ1406" s="81"/>
      <c r="BA1406" s="81"/>
      <c r="BB1406" s="81"/>
    </row>
    <row r="1407" spans="1:54" x14ac:dyDescent="0.35">
      <c r="A1407" s="66" t="s">
        <v>1003</v>
      </c>
      <c r="B1407" s="66" t="s">
        <v>1003</v>
      </c>
      <c r="C1407" s="67"/>
      <c r="D1407" s="68"/>
      <c r="E1407" s="69"/>
      <c r="F1407" s="70"/>
      <c r="G1407" s="67"/>
      <c r="H1407" s="71"/>
      <c r="I1407" s="72"/>
      <c r="J1407" s="72"/>
      <c r="K1407" s="36"/>
      <c r="L1407" s="79"/>
      <c r="M1407" s="79"/>
      <c r="N1407" s="74"/>
      <c r="O1407" s="81" t="s">
        <v>179</v>
      </c>
      <c r="P1407" s="83">
        <v>44465.966770833336</v>
      </c>
      <c r="Q1407" s="81" t="s">
        <v>2015</v>
      </c>
      <c r="R1407" s="81"/>
      <c r="S1407" s="81"/>
      <c r="T1407" s="81"/>
      <c r="U1407" s="81"/>
      <c r="V1407" s="84" t="str">
        <f>HYPERLINK("https://pbs.twimg.com/profile_images/1107535346634358784/kDsTTDG1_normal.jpg")</f>
        <v>https://pbs.twimg.com/profile_images/1107535346634358784/kDsTTDG1_normal.jpg</v>
      </c>
      <c r="W1407" s="83">
        <v>44465.966770833336</v>
      </c>
      <c r="X1407" s="89">
        <v>44465</v>
      </c>
      <c r="Y1407" s="86" t="s">
        <v>3661</v>
      </c>
      <c r="Z1407" s="84" t="str">
        <f>HYPERLINK("https://twitter.com/himasurautm/status/1442265768448512007")</f>
        <v>https://twitter.com/himasurautm/status/1442265768448512007</v>
      </c>
      <c r="AA1407" s="81"/>
      <c r="AB1407" s="81"/>
      <c r="AC1407" s="86" t="s">
        <v>5127</v>
      </c>
      <c r="AD1407" s="86" t="s">
        <v>6150</v>
      </c>
      <c r="AE1407" s="81" t="b">
        <v>0</v>
      </c>
      <c r="AF1407" s="81">
        <v>0</v>
      </c>
      <c r="AG1407" s="86" t="s">
        <v>6404</v>
      </c>
      <c r="AH1407" s="81" t="b">
        <v>0</v>
      </c>
      <c r="AI1407" s="81" t="s">
        <v>6478</v>
      </c>
      <c r="AJ1407" s="81"/>
      <c r="AK1407" s="86" t="s">
        <v>6240</v>
      </c>
      <c r="AL1407" s="81" t="b">
        <v>0</v>
      </c>
      <c r="AM1407" s="81">
        <v>0</v>
      </c>
      <c r="AN1407" s="86" t="s">
        <v>6240</v>
      </c>
      <c r="AO1407" s="86" t="s">
        <v>6503</v>
      </c>
      <c r="AP1407" s="81" t="b">
        <v>0</v>
      </c>
      <c r="AQ1407" s="86" t="s">
        <v>6150</v>
      </c>
      <c r="AR1407" s="81" t="s">
        <v>179</v>
      </c>
      <c r="AS1407" s="81">
        <v>0</v>
      </c>
      <c r="AT1407" s="81">
        <v>0</v>
      </c>
      <c r="AU1407" s="81"/>
      <c r="AV1407" s="81"/>
      <c r="AW1407" s="81"/>
      <c r="AX1407" s="81"/>
      <c r="AY1407" s="81"/>
      <c r="AZ1407" s="81"/>
      <c r="BA1407" s="81"/>
      <c r="BB1407" s="81"/>
    </row>
    <row r="1408" spans="1:54" x14ac:dyDescent="0.35">
      <c r="A1408" s="66" t="s">
        <v>1003</v>
      </c>
      <c r="B1408" s="66" t="s">
        <v>1003</v>
      </c>
      <c r="C1408" s="67"/>
      <c r="D1408" s="68"/>
      <c r="E1408" s="69"/>
      <c r="F1408" s="70"/>
      <c r="G1408" s="67"/>
      <c r="H1408" s="71"/>
      <c r="I1408" s="72"/>
      <c r="J1408" s="72"/>
      <c r="K1408" s="36"/>
      <c r="L1408" s="79"/>
      <c r="M1408" s="79"/>
      <c r="N1408" s="74"/>
      <c r="O1408" s="81" t="s">
        <v>179</v>
      </c>
      <c r="P1408" s="83">
        <v>44465.966979166667</v>
      </c>
      <c r="Q1408" s="81" t="s">
        <v>2016</v>
      </c>
      <c r="R1408" s="81"/>
      <c r="S1408" s="81"/>
      <c r="T1408" s="81"/>
      <c r="U1408" s="81"/>
      <c r="V1408" s="84" t="str">
        <f>HYPERLINK("https://pbs.twimg.com/profile_images/1107535346634358784/kDsTTDG1_normal.jpg")</f>
        <v>https://pbs.twimg.com/profile_images/1107535346634358784/kDsTTDG1_normal.jpg</v>
      </c>
      <c r="W1408" s="83">
        <v>44465.966979166667</v>
      </c>
      <c r="X1408" s="89">
        <v>44465</v>
      </c>
      <c r="Y1408" s="86" t="s">
        <v>3662</v>
      </c>
      <c r="Z1408" s="84" t="str">
        <f>HYPERLINK("https://twitter.com/himasurautm/status/1442265843379806210")</f>
        <v>https://twitter.com/himasurautm/status/1442265843379806210</v>
      </c>
      <c r="AA1408" s="81"/>
      <c r="AB1408" s="81"/>
      <c r="AC1408" s="86" t="s">
        <v>5128</v>
      </c>
      <c r="AD1408" s="86" t="s">
        <v>5127</v>
      </c>
      <c r="AE1408" s="81" t="b">
        <v>0</v>
      </c>
      <c r="AF1408" s="81">
        <v>0</v>
      </c>
      <c r="AG1408" s="86" t="s">
        <v>6404</v>
      </c>
      <c r="AH1408" s="81" t="b">
        <v>0</v>
      </c>
      <c r="AI1408" s="81" t="s">
        <v>6478</v>
      </c>
      <c r="AJ1408" s="81"/>
      <c r="AK1408" s="86" t="s">
        <v>6240</v>
      </c>
      <c r="AL1408" s="81" t="b">
        <v>0</v>
      </c>
      <c r="AM1408" s="81">
        <v>0</v>
      </c>
      <c r="AN1408" s="86" t="s">
        <v>6240</v>
      </c>
      <c r="AO1408" s="86" t="s">
        <v>6503</v>
      </c>
      <c r="AP1408" s="81" t="b">
        <v>0</v>
      </c>
      <c r="AQ1408" s="86" t="s">
        <v>5127</v>
      </c>
      <c r="AR1408" s="81" t="s">
        <v>179</v>
      </c>
      <c r="AS1408" s="81">
        <v>0</v>
      </c>
      <c r="AT1408" s="81">
        <v>0</v>
      </c>
      <c r="AU1408" s="81"/>
      <c r="AV1408" s="81"/>
      <c r="AW1408" s="81"/>
      <c r="AX1408" s="81"/>
      <c r="AY1408" s="81"/>
      <c r="AZ1408" s="81"/>
      <c r="BA1408" s="81"/>
      <c r="BB1408" s="81"/>
    </row>
    <row r="1409" spans="1:54" x14ac:dyDescent="0.35">
      <c r="A1409" s="66" t="s">
        <v>1004</v>
      </c>
      <c r="B1409" s="66" t="s">
        <v>1004</v>
      </c>
      <c r="C1409" s="67"/>
      <c r="D1409" s="68"/>
      <c r="E1409" s="69"/>
      <c r="F1409" s="70"/>
      <c r="G1409" s="67"/>
      <c r="H1409" s="71"/>
      <c r="I1409" s="72"/>
      <c r="J1409" s="72"/>
      <c r="K1409" s="36"/>
      <c r="L1409" s="79"/>
      <c r="M1409" s="79"/>
      <c r="N1409" s="74"/>
      <c r="O1409" s="81" t="s">
        <v>179</v>
      </c>
      <c r="P1409" s="83">
        <v>44465.982974537037</v>
      </c>
      <c r="Q1409" s="81" t="s">
        <v>2017</v>
      </c>
      <c r="R1409" s="81" t="s">
        <v>2575</v>
      </c>
      <c r="S1409" s="81" t="s">
        <v>2635</v>
      </c>
      <c r="T1409" s="81"/>
      <c r="U1409" s="84" t="str">
        <f>HYPERLINK("https://pbs.twimg.com/media/FAP6aRnVcAAbgNl.jpg")</f>
        <v>https://pbs.twimg.com/media/FAP6aRnVcAAbgNl.jpg</v>
      </c>
      <c r="V1409" s="84" t="str">
        <f>HYPERLINK("https://pbs.twimg.com/media/FAP6aRnVcAAbgNl.jpg")</f>
        <v>https://pbs.twimg.com/media/FAP6aRnVcAAbgNl.jpg</v>
      </c>
      <c r="W1409" s="83">
        <v>44465.982974537037</v>
      </c>
      <c r="X1409" s="89">
        <v>44465</v>
      </c>
      <c r="Y1409" s="86" t="s">
        <v>3663</v>
      </c>
      <c r="Z1409" s="84" t="str">
        <f>HYPERLINK("https://twitter.com/helloindonesian/status/1442271637156417540")</f>
        <v>https://twitter.com/helloindonesian/status/1442271637156417540</v>
      </c>
      <c r="AA1409" s="81"/>
      <c r="AB1409" s="81"/>
      <c r="AC1409" s="86" t="s">
        <v>5129</v>
      </c>
      <c r="AD1409" s="81"/>
      <c r="AE1409" s="81" t="b">
        <v>0</v>
      </c>
      <c r="AF1409" s="81">
        <v>0</v>
      </c>
      <c r="AG1409" s="86" t="s">
        <v>6240</v>
      </c>
      <c r="AH1409" s="81" t="b">
        <v>0</v>
      </c>
      <c r="AI1409" s="81" t="s">
        <v>6479</v>
      </c>
      <c r="AJ1409" s="81"/>
      <c r="AK1409" s="86" t="s">
        <v>6240</v>
      </c>
      <c r="AL1409" s="81" t="b">
        <v>0</v>
      </c>
      <c r="AM1409" s="81">
        <v>0</v>
      </c>
      <c r="AN1409" s="86" t="s">
        <v>6240</v>
      </c>
      <c r="AO1409" s="86" t="s">
        <v>6525</v>
      </c>
      <c r="AP1409" s="81" t="b">
        <v>0</v>
      </c>
      <c r="AQ1409" s="86" t="s">
        <v>5129</v>
      </c>
      <c r="AR1409" s="81" t="s">
        <v>179</v>
      </c>
      <c r="AS1409" s="81">
        <v>0</v>
      </c>
      <c r="AT1409" s="81">
        <v>0</v>
      </c>
      <c r="AU1409" s="81"/>
      <c r="AV1409" s="81"/>
      <c r="AW1409" s="81"/>
      <c r="AX1409" s="81"/>
      <c r="AY1409" s="81"/>
      <c r="AZ1409" s="81"/>
      <c r="BA1409" s="81"/>
      <c r="BB1409" s="81"/>
    </row>
    <row r="1410" spans="1:54" x14ac:dyDescent="0.35">
      <c r="A1410" s="66" t="s">
        <v>1005</v>
      </c>
      <c r="B1410" s="66" t="s">
        <v>1005</v>
      </c>
      <c r="C1410" s="67"/>
      <c r="D1410" s="68"/>
      <c r="E1410" s="69"/>
      <c r="F1410" s="70"/>
      <c r="G1410" s="67"/>
      <c r="H1410" s="71"/>
      <c r="I1410" s="72"/>
      <c r="J1410" s="72"/>
      <c r="K1410" s="36"/>
      <c r="L1410" s="79"/>
      <c r="M1410" s="79"/>
      <c r="N1410" s="74"/>
      <c r="O1410" s="81" t="s">
        <v>179</v>
      </c>
      <c r="P1410" s="83">
        <v>44465.997118055559</v>
      </c>
      <c r="Q1410" s="81" t="s">
        <v>2018</v>
      </c>
      <c r="R1410" s="81"/>
      <c r="S1410" s="81"/>
      <c r="T1410" s="86" t="s">
        <v>2693</v>
      </c>
      <c r="U1410" s="81"/>
      <c r="V1410" s="84" t="str">
        <f>HYPERLINK("https://pbs.twimg.com/profile_images/1442319845077372931/tjV1s_kR_normal.jpg")</f>
        <v>https://pbs.twimg.com/profile_images/1442319845077372931/tjV1s_kR_normal.jpg</v>
      </c>
      <c r="W1410" s="83">
        <v>44465.997118055559</v>
      </c>
      <c r="X1410" s="89">
        <v>44465</v>
      </c>
      <c r="Y1410" s="86" t="s">
        <v>3664</v>
      </c>
      <c r="Z1410" s="84" t="str">
        <f>HYPERLINK("https://twitter.com/rsupelitahusada/status/1442276766349856770")</f>
        <v>https://twitter.com/rsupelitahusada/status/1442276766349856770</v>
      </c>
      <c r="AA1410" s="81"/>
      <c r="AB1410" s="81"/>
      <c r="AC1410" s="86" t="s">
        <v>5130</v>
      </c>
      <c r="AD1410" s="86" t="s">
        <v>6151</v>
      </c>
      <c r="AE1410" s="81" t="b">
        <v>0</v>
      </c>
      <c r="AF1410" s="81">
        <v>1</v>
      </c>
      <c r="AG1410" s="86" t="s">
        <v>6405</v>
      </c>
      <c r="AH1410" s="81" t="b">
        <v>0</v>
      </c>
      <c r="AI1410" s="81" t="s">
        <v>6478</v>
      </c>
      <c r="AJ1410" s="81"/>
      <c r="AK1410" s="86" t="s">
        <v>6240</v>
      </c>
      <c r="AL1410" s="81" t="b">
        <v>0</v>
      </c>
      <c r="AM1410" s="81">
        <v>0</v>
      </c>
      <c r="AN1410" s="86" t="s">
        <v>6240</v>
      </c>
      <c r="AO1410" s="86" t="s">
        <v>6503</v>
      </c>
      <c r="AP1410" s="81" t="b">
        <v>0</v>
      </c>
      <c r="AQ1410" s="86" t="s">
        <v>6151</v>
      </c>
      <c r="AR1410" s="81" t="s">
        <v>179</v>
      </c>
      <c r="AS1410" s="81">
        <v>0</v>
      </c>
      <c r="AT1410" s="81">
        <v>0</v>
      </c>
      <c r="AU1410" s="81" t="s">
        <v>6539</v>
      </c>
      <c r="AV1410" s="81" t="s">
        <v>6543</v>
      </c>
      <c r="AW1410" s="81" t="s">
        <v>12</v>
      </c>
      <c r="AX1410" s="81" t="s">
        <v>6547</v>
      </c>
      <c r="AY1410" s="81" t="s">
        <v>6554</v>
      </c>
      <c r="AZ1410" s="81" t="s">
        <v>6561</v>
      </c>
      <c r="BA1410" s="81" t="s">
        <v>6565</v>
      </c>
      <c r="BB1410" s="84" t="str">
        <f>HYPERLINK("https://api.twitter.com/1.1/geo/id/0101781eef585ee9.json")</f>
        <v>https://api.twitter.com/1.1/geo/id/0101781eef585ee9.json</v>
      </c>
    </row>
    <row r="1411" spans="1:54" x14ac:dyDescent="0.35">
      <c r="A1411" s="66" t="s">
        <v>1006</v>
      </c>
      <c r="B1411" s="66" t="s">
        <v>1191</v>
      </c>
      <c r="C1411" s="67"/>
      <c r="D1411" s="68"/>
      <c r="E1411" s="69"/>
      <c r="F1411" s="70"/>
      <c r="G1411" s="67"/>
      <c r="H1411" s="71"/>
      <c r="I1411" s="72"/>
      <c r="J1411" s="72"/>
      <c r="K1411" s="36"/>
      <c r="L1411" s="79"/>
      <c r="M1411" s="79"/>
      <c r="N1411" s="74"/>
      <c r="O1411" s="81" t="s">
        <v>1532</v>
      </c>
      <c r="P1411" s="83">
        <v>44466.045543981483</v>
      </c>
      <c r="Q1411" s="81" t="s">
        <v>2019</v>
      </c>
      <c r="R1411" s="81"/>
      <c r="S1411" s="81"/>
      <c r="T1411" s="81"/>
      <c r="U1411" s="84" t="str">
        <f>HYPERLINK("https://pbs.twimg.com/media/FAQNEUJVQAotLIN.jpg")</f>
        <v>https://pbs.twimg.com/media/FAQNEUJVQAotLIN.jpg</v>
      </c>
      <c r="V1411" s="84" t="str">
        <f>HYPERLINK("https://pbs.twimg.com/media/FAQNEUJVQAotLIN.jpg")</f>
        <v>https://pbs.twimg.com/media/FAQNEUJVQAotLIN.jpg</v>
      </c>
      <c r="W1411" s="83">
        <v>44466.045543981483</v>
      </c>
      <c r="X1411" s="89">
        <v>44466</v>
      </c>
      <c r="Y1411" s="86" t="s">
        <v>3665</v>
      </c>
      <c r="Z1411" s="84" t="str">
        <f>HYPERLINK("https://twitter.com/karanganyarkab/status/1442294313292079105")</f>
        <v>https://twitter.com/karanganyarkab/status/1442294313292079105</v>
      </c>
      <c r="AA1411" s="81"/>
      <c r="AB1411" s="81"/>
      <c r="AC1411" s="86" t="s">
        <v>5131</v>
      </c>
      <c r="AD1411" s="81"/>
      <c r="AE1411" s="81" t="b">
        <v>0</v>
      </c>
      <c r="AF1411" s="81">
        <v>0</v>
      </c>
      <c r="AG1411" s="86" t="s">
        <v>6240</v>
      </c>
      <c r="AH1411" s="81" t="b">
        <v>0</v>
      </c>
      <c r="AI1411" s="81" t="s">
        <v>6478</v>
      </c>
      <c r="AJ1411" s="81"/>
      <c r="AK1411" s="86" t="s">
        <v>6240</v>
      </c>
      <c r="AL1411" s="81" t="b">
        <v>0</v>
      </c>
      <c r="AM1411" s="81">
        <v>8</v>
      </c>
      <c r="AN1411" s="86" t="s">
        <v>5384</v>
      </c>
      <c r="AO1411" s="86" t="s">
        <v>6507</v>
      </c>
      <c r="AP1411" s="81" t="b">
        <v>0</v>
      </c>
      <c r="AQ1411" s="86" t="s">
        <v>5384</v>
      </c>
      <c r="AR1411" s="81" t="s">
        <v>179</v>
      </c>
      <c r="AS1411" s="81">
        <v>0</v>
      </c>
      <c r="AT1411" s="81">
        <v>0</v>
      </c>
      <c r="AU1411" s="81"/>
      <c r="AV1411" s="81"/>
      <c r="AW1411" s="81"/>
      <c r="AX1411" s="81"/>
      <c r="AY1411" s="81"/>
      <c r="AZ1411" s="81"/>
      <c r="BA1411" s="81"/>
      <c r="BB1411" s="81"/>
    </row>
    <row r="1412" spans="1:54" x14ac:dyDescent="0.35">
      <c r="A1412" s="66" t="s">
        <v>1007</v>
      </c>
      <c r="B1412" s="66" t="s">
        <v>1191</v>
      </c>
      <c r="C1412" s="67"/>
      <c r="D1412" s="68"/>
      <c r="E1412" s="69"/>
      <c r="F1412" s="70"/>
      <c r="G1412" s="67"/>
      <c r="H1412" s="71"/>
      <c r="I1412" s="72"/>
      <c r="J1412" s="72"/>
      <c r="K1412" s="36"/>
      <c r="L1412" s="79"/>
      <c r="M1412" s="79"/>
      <c r="N1412" s="74"/>
      <c r="O1412" s="81" t="s">
        <v>1532</v>
      </c>
      <c r="P1412" s="83">
        <v>44466.061145833337</v>
      </c>
      <c r="Q1412" s="81" t="s">
        <v>2019</v>
      </c>
      <c r="R1412" s="81"/>
      <c r="S1412" s="81"/>
      <c r="T1412" s="81"/>
      <c r="U1412" s="84" t="str">
        <f>HYPERLINK("https://pbs.twimg.com/media/FAQNEUJVQAotLIN.jpg")</f>
        <v>https://pbs.twimg.com/media/FAQNEUJVQAotLIN.jpg</v>
      </c>
      <c r="V1412" s="84" t="str">
        <f>HYPERLINK("https://pbs.twimg.com/media/FAQNEUJVQAotLIN.jpg")</f>
        <v>https://pbs.twimg.com/media/FAQNEUJVQAotLIN.jpg</v>
      </c>
      <c r="W1412" s="83">
        <v>44466.061145833337</v>
      </c>
      <c r="X1412" s="89">
        <v>44466</v>
      </c>
      <c r="Y1412" s="86" t="s">
        <v>3666</v>
      </c>
      <c r="Z1412" s="84" t="str">
        <f>HYPERLINK("https://twitter.com/writerwkamah/status/1442299966295183360")</f>
        <v>https://twitter.com/writerwkamah/status/1442299966295183360</v>
      </c>
      <c r="AA1412" s="81"/>
      <c r="AB1412" s="81"/>
      <c r="AC1412" s="86" t="s">
        <v>5132</v>
      </c>
      <c r="AD1412" s="81"/>
      <c r="AE1412" s="81" t="b">
        <v>0</v>
      </c>
      <c r="AF1412" s="81">
        <v>0</v>
      </c>
      <c r="AG1412" s="86" t="s">
        <v>6240</v>
      </c>
      <c r="AH1412" s="81" t="b">
        <v>0</v>
      </c>
      <c r="AI1412" s="81" t="s">
        <v>6478</v>
      </c>
      <c r="AJ1412" s="81"/>
      <c r="AK1412" s="86" t="s">
        <v>6240</v>
      </c>
      <c r="AL1412" s="81" t="b">
        <v>0</v>
      </c>
      <c r="AM1412" s="81">
        <v>8</v>
      </c>
      <c r="AN1412" s="86" t="s">
        <v>5384</v>
      </c>
      <c r="AO1412" s="86" t="s">
        <v>6507</v>
      </c>
      <c r="AP1412" s="81" t="b">
        <v>0</v>
      </c>
      <c r="AQ1412" s="86" t="s">
        <v>5384</v>
      </c>
      <c r="AR1412" s="81" t="s">
        <v>179</v>
      </c>
      <c r="AS1412" s="81">
        <v>0</v>
      </c>
      <c r="AT1412" s="81">
        <v>0</v>
      </c>
      <c r="AU1412" s="81"/>
      <c r="AV1412" s="81"/>
      <c r="AW1412" s="81"/>
      <c r="AX1412" s="81"/>
      <c r="AY1412" s="81"/>
      <c r="AZ1412" s="81"/>
      <c r="BA1412" s="81"/>
      <c r="BB1412" s="81"/>
    </row>
    <row r="1413" spans="1:54" x14ac:dyDescent="0.35">
      <c r="A1413" s="66" t="s">
        <v>1008</v>
      </c>
      <c r="B1413" s="66" t="s">
        <v>1008</v>
      </c>
      <c r="C1413" s="67"/>
      <c r="D1413" s="68"/>
      <c r="E1413" s="69"/>
      <c r="F1413" s="70"/>
      <c r="G1413" s="67"/>
      <c r="H1413" s="71"/>
      <c r="I1413" s="72"/>
      <c r="J1413" s="72"/>
      <c r="K1413" s="36"/>
      <c r="L1413" s="79"/>
      <c r="M1413" s="79"/>
      <c r="N1413" s="74"/>
      <c r="O1413" s="81" t="s">
        <v>179</v>
      </c>
      <c r="P1413" s="83">
        <v>44466.0465625</v>
      </c>
      <c r="Q1413" s="81" t="s">
        <v>2020</v>
      </c>
      <c r="R1413" s="81"/>
      <c r="S1413" s="81"/>
      <c r="T1413" s="86" t="s">
        <v>2694</v>
      </c>
      <c r="U1413" s="84" t="str">
        <f>HYPERLINK("https://pbs.twimg.com/media/FAQPXZIVQAEMFBc.jpg")</f>
        <v>https://pbs.twimg.com/media/FAQPXZIVQAEMFBc.jpg</v>
      </c>
      <c r="V1413" s="84" t="str">
        <f>HYPERLINK("https://pbs.twimg.com/media/FAQPXZIVQAEMFBc.jpg")</f>
        <v>https://pbs.twimg.com/media/FAQPXZIVQAEMFBc.jpg</v>
      </c>
      <c r="W1413" s="83">
        <v>44466.0465625</v>
      </c>
      <c r="X1413" s="89">
        <v>44466</v>
      </c>
      <c r="Y1413" s="86" t="s">
        <v>3667</v>
      </c>
      <c r="Z1413" s="84" t="str">
        <f>HYPERLINK("https://twitter.com/infomjkt/status/1442294682671726596")</f>
        <v>https://twitter.com/infomjkt/status/1442294682671726596</v>
      </c>
      <c r="AA1413" s="81"/>
      <c r="AB1413" s="81"/>
      <c r="AC1413" s="86" t="s">
        <v>5133</v>
      </c>
      <c r="AD1413" s="81"/>
      <c r="AE1413" s="81" t="b">
        <v>0</v>
      </c>
      <c r="AF1413" s="81">
        <v>2</v>
      </c>
      <c r="AG1413" s="86" t="s">
        <v>6240</v>
      </c>
      <c r="AH1413" s="81" t="b">
        <v>0</v>
      </c>
      <c r="AI1413" s="81" t="s">
        <v>6478</v>
      </c>
      <c r="AJ1413" s="81"/>
      <c r="AK1413" s="86" t="s">
        <v>6240</v>
      </c>
      <c r="AL1413" s="81" t="b">
        <v>0</v>
      </c>
      <c r="AM1413" s="81">
        <v>1</v>
      </c>
      <c r="AN1413" s="86" t="s">
        <v>6240</v>
      </c>
      <c r="AO1413" s="86" t="s">
        <v>6503</v>
      </c>
      <c r="AP1413" s="81" t="b">
        <v>0</v>
      </c>
      <c r="AQ1413" s="86" t="s">
        <v>5133</v>
      </c>
      <c r="AR1413" s="81" t="s">
        <v>179</v>
      </c>
      <c r="AS1413" s="81">
        <v>0</v>
      </c>
      <c r="AT1413" s="81">
        <v>0</v>
      </c>
      <c r="AU1413" s="81"/>
      <c r="AV1413" s="81"/>
      <c r="AW1413" s="81"/>
      <c r="AX1413" s="81"/>
      <c r="AY1413" s="81"/>
      <c r="AZ1413" s="81"/>
      <c r="BA1413" s="81"/>
      <c r="BB1413" s="81"/>
    </row>
    <row r="1414" spans="1:54" x14ac:dyDescent="0.35">
      <c r="A1414" s="66" t="s">
        <v>1009</v>
      </c>
      <c r="B1414" s="66" t="s">
        <v>1008</v>
      </c>
      <c r="C1414" s="67"/>
      <c r="D1414" s="68"/>
      <c r="E1414" s="69"/>
      <c r="F1414" s="70"/>
      <c r="G1414" s="67"/>
      <c r="H1414" s="71"/>
      <c r="I1414" s="72"/>
      <c r="J1414" s="72"/>
      <c r="K1414" s="36"/>
      <c r="L1414" s="79"/>
      <c r="M1414" s="79"/>
      <c r="N1414" s="74"/>
      <c r="O1414" s="81" t="s">
        <v>1532</v>
      </c>
      <c r="P1414" s="83">
        <v>44466.062696759262</v>
      </c>
      <c r="Q1414" s="81" t="s">
        <v>2020</v>
      </c>
      <c r="R1414" s="81"/>
      <c r="S1414" s="81"/>
      <c r="T1414" s="86" t="s">
        <v>2694</v>
      </c>
      <c r="U1414" s="84" t="str">
        <f>HYPERLINK("https://pbs.twimg.com/media/FAQPXZIVQAEMFBc.jpg")</f>
        <v>https://pbs.twimg.com/media/FAQPXZIVQAEMFBc.jpg</v>
      </c>
      <c r="V1414" s="84" t="str">
        <f>HYPERLINK("https://pbs.twimg.com/media/FAQPXZIVQAEMFBc.jpg")</f>
        <v>https://pbs.twimg.com/media/FAQPXZIVQAEMFBc.jpg</v>
      </c>
      <c r="W1414" s="83">
        <v>44466.062696759262</v>
      </c>
      <c r="X1414" s="89">
        <v>44466</v>
      </c>
      <c r="Y1414" s="86" t="s">
        <v>3668</v>
      </c>
      <c r="Z1414" s="84" t="str">
        <f>HYPERLINK("https://twitter.com/masdoddd/status/1442300530416521218")</f>
        <v>https://twitter.com/masdoddd/status/1442300530416521218</v>
      </c>
      <c r="AA1414" s="81"/>
      <c r="AB1414" s="81"/>
      <c r="AC1414" s="86" t="s">
        <v>5134</v>
      </c>
      <c r="AD1414" s="81"/>
      <c r="AE1414" s="81" t="b">
        <v>0</v>
      </c>
      <c r="AF1414" s="81">
        <v>0</v>
      </c>
      <c r="AG1414" s="86" t="s">
        <v>6240</v>
      </c>
      <c r="AH1414" s="81" t="b">
        <v>0</v>
      </c>
      <c r="AI1414" s="81" t="s">
        <v>6478</v>
      </c>
      <c r="AJ1414" s="81"/>
      <c r="AK1414" s="86" t="s">
        <v>6240</v>
      </c>
      <c r="AL1414" s="81" t="b">
        <v>0</v>
      </c>
      <c r="AM1414" s="81">
        <v>1</v>
      </c>
      <c r="AN1414" s="86" t="s">
        <v>5133</v>
      </c>
      <c r="AO1414" s="86" t="s">
        <v>6503</v>
      </c>
      <c r="AP1414" s="81" t="b">
        <v>0</v>
      </c>
      <c r="AQ1414" s="86" t="s">
        <v>5133</v>
      </c>
      <c r="AR1414" s="81" t="s">
        <v>179</v>
      </c>
      <c r="AS1414" s="81">
        <v>0</v>
      </c>
      <c r="AT1414" s="81">
        <v>0</v>
      </c>
      <c r="AU1414" s="81"/>
      <c r="AV1414" s="81"/>
      <c r="AW1414" s="81"/>
      <c r="AX1414" s="81"/>
      <c r="AY1414" s="81"/>
      <c r="AZ1414" s="81"/>
      <c r="BA1414" s="81"/>
      <c r="BB1414" s="81"/>
    </row>
    <row r="1415" spans="1:54" x14ac:dyDescent="0.35">
      <c r="A1415" s="66" t="s">
        <v>1010</v>
      </c>
      <c r="B1415" s="66" t="s">
        <v>1010</v>
      </c>
      <c r="C1415" s="67"/>
      <c r="D1415" s="68"/>
      <c r="E1415" s="69"/>
      <c r="F1415" s="70"/>
      <c r="G1415" s="67"/>
      <c r="H1415" s="71"/>
      <c r="I1415" s="72"/>
      <c r="J1415" s="72"/>
      <c r="K1415" s="36"/>
      <c r="L1415" s="79"/>
      <c r="M1415" s="79"/>
      <c r="N1415" s="74"/>
      <c r="O1415" s="81" t="s">
        <v>179</v>
      </c>
      <c r="P1415" s="83">
        <v>44466.06863425926</v>
      </c>
      <c r="Q1415" s="81" t="s">
        <v>2021</v>
      </c>
      <c r="R1415" s="81"/>
      <c r="S1415" s="81"/>
      <c r="T1415" s="86" t="s">
        <v>2695</v>
      </c>
      <c r="U1415" s="84" t="str">
        <f>HYPERLINK("https://pbs.twimg.com/media/FAQWpWOVUAAWu0S.jpg")</f>
        <v>https://pbs.twimg.com/media/FAQWpWOVUAAWu0S.jpg</v>
      </c>
      <c r="V1415" s="84" t="str">
        <f>HYPERLINK("https://pbs.twimg.com/media/FAQWpWOVUAAWu0S.jpg")</f>
        <v>https://pbs.twimg.com/media/FAQWpWOVUAAWu0S.jpg</v>
      </c>
      <c r="W1415" s="83">
        <v>44466.06863425926</v>
      </c>
      <c r="X1415" s="89">
        <v>44466</v>
      </c>
      <c r="Y1415" s="86" t="s">
        <v>3669</v>
      </c>
      <c r="Z1415" s="84" t="str">
        <f>HYPERLINK("https://twitter.com/bawaslutator/status/1442302682635534336")</f>
        <v>https://twitter.com/bawaslutator/status/1442302682635534336</v>
      </c>
      <c r="AA1415" s="81"/>
      <c r="AB1415" s="81"/>
      <c r="AC1415" s="86" t="s">
        <v>5135</v>
      </c>
      <c r="AD1415" s="81"/>
      <c r="AE1415" s="81" t="b">
        <v>0</v>
      </c>
      <c r="AF1415" s="81">
        <v>0</v>
      </c>
      <c r="AG1415" s="86" t="s">
        <v>6240</v>
      </c>
      <c r="AH1415" s="81" t="b">
        <v>0</v>
      </c>
      <c r="AI1415" s="81" t="s">
        <v>6478</v>
      </c>
      <c r="AJ1415" s="81"/>
      <c r="AK1415" s="86" t="s">
        <v>6240</v>
      </c>
      <c r="AL1415" s="81" t="b">
        <v>0</v>
      </c>
      <c r="AM1415" s="81">
        <v>0</v>
      </c>
      <c r="AN1415" s="86" t="s">
        <v>6240</v>
      </c>
      <c r="AO1415" s="86" t="s">
        <v>6503</v>
      </c>
      <c r="AP1415" s="81" t="b">
        <v>0</v>
      </c>
      <c r="AQ1415" s="86" t="s">
        <v>5135</v>
      </c>
      <c r="AR1415" s="81" t="s">
        <v>179</v>
      </c>
      <c r="AS1415" s="81">
        <v>0</v>
      </c>
      <c r="AT1415" s="81">
        <v>0</v>
      </c>
      <c r="AU1415" s="81"/>
      <c r="AV1415" s="81"/>
      <c r="AW1415" s="81"/>
      <c r="AX1415" s="81"/>
      <c r="AY1415" s="81"/>
      <c r="AZ1415" s="81"/>
      <c r="BA1415" s="81"/>
      <c r="BB1415" s="81"/>
    </row>
    <row r="1416" spans="1:54" x14ac:dyDescent="0.35">
      <c r="A1416" s="66" t="s">
        <v>1011</v>
      </c>
      <c r="B1416" s="66" t="s">
        <v>1469</v>
      </c>
      <c r="C1416" s="67"/>
      <c r="D1416" s="68"/>
      <c r="E1416" s="69"/>
      <c r="F1416" s="70"/>
      <c r="G1416" s="67"/>
      <c r="H1416" s="71"/>
      <c r="I1416" s="72"/>
      <c r="J1416" s="72"/>
      <c r="K1416" s="36"/>
      <c r="L1416" s="79"/>
      <c r="M1416" s="79"/>
      <c r="N1416" s="74"/>
      <c r="O1416" s="81" t="s">
        <v>1535</v>
      </c>
      <c r="P1416" s="83">
        <v>44460.584236111114</v>
      </c>
      <c r="Q1416" s="81" t="s">
        <v>2022</v>
      </c>
      <c r="R1416" s="81"/>
      <c r="S1416" s="81"/>
      <c r="T1416" s="81"/>
      <c r="U1416" s="81"/>
      <c r="V1416" s="84" t="str">
        <f>HYPERLINK("https://pbs.twimg.com/profile_images/1258369905016975361/BuhU3A0Q_normal.jpg")</f>
        <v>https://pbs.twimg.com/profile_images/1258369905016975361/BuhU3A0Q_normal.jpg</v>
      </c>
      <c r="W1416" s="83">
        <v>44460.584236111114</v>
      </c>
      <c r="X1416" s="89">
        <v>44460</v>
      </c>
      <c r="Y1416" s="86" t="s">
        <v>3670</v>
      </c>
      <c r="Z1416" s="84" t="str">
        <f>HYPERLINK("https://twitter.com/along_pura/status/1440315201350344704")</f>
        <v>https://twitter.com/along_pura/status/1440315201350344704</v>
      </c>
      <c r="AA1416" s="81"/>
      <c r="AB1416" s="81"/>
      <c r="AC1416" s="86" t="s">
        <v>5136</v>
      </c>
      <c r="AD1416" s="86" t="s">
        <v>6152</v>
      </c>
      <c r="AE1416" s="81" t="b">
        <v>0</v>
      </c>
      <c r="AF1416" s="81">
        <v>0</v>
      </c>
      <c r="AG1416" s="86" t="s">
        <v>6358</v>
      </c>
      <c r="AH1416" s="81" t="b">
        <v>0</v>
      </c>
      <c r="AI1416" s="81" t="s">
        <v>6478</v>
      </c>
      <c r="AJ1416" s="81"/>
      <c r="AK1416" s="86" t="s">
        <v>6240</v>
      </c>
      <c r="AL1416" s="81" t="b">
        <v>0</v>
      </c>
      <c r="AM1416" s="81">
        <v>0</v>
      </c>
      <c r="AN1416" s="86" t="s">
        <v>6240</v>
      </c>
      <c r="AO1416" s="86" t="s">
        <v>6503</v>
      </c>
      <c r="AP1416" s="81" t="b">
        <v>0</v>
      </c>
      <c r="AQ1416" s="86" t="s">
        <v>6152</v>
      </c>
      <c r="AR1416" s="81" t="s">
        <v>179</v>
      </c>
      <c r="AS1416" s="81">
        <v>0</v>
      </c>
      <c r="AT1416" s="81">
        <v>0</v>
      </c>
      <c r="AU1416" s="81"/>
      <c r="AV1416" s="81"/>
      <c r="AW1416" s="81"/>
      <c r="AX1416" s="81"/>
      <c r="AY1416" s="81"/>
      <c r="AZ1416" s="81"/>
      <c r="BA1416" s="81"/>
      <c r="BB1416" s="81"/>
    </row>
    <row r="1417" spans="1:54" x14ac:dyDescent="0.35">
      <c r="A1417" s="66" t="s">
        <v>1011</v>
      </c>
      <c r="B1417" s="66" t="s">
        <v>1405</v>
      </c>
      <c r="C1417" s="67"/>
      <c r="D1417" s="68"/>
      <c r="E1417" s="69"/>
      <c r="F1417" s="70"/>
      <c r="G1417" s="67"/>
      <c r="H1417" s="71"/>
      <c r="I1417" s="72"/>
      <c r="J1417" s="72"/>
      <c r="K1417" s="36"/>
      <c r="L1417" s="79"/>
      <c r="M1417" s="79"/>
      <c r="N1417" s="74"/>
      <c r="O1417" s="81" t="s">
        <v>1534</v>
      </c>
      <c r="P1417" s="83">
        <v>44460.584236111114</v>
      </c>
      <c r="Q1417" s="81" t="s">
        <v>2022</v>
      </c>
      <c r="R1417" s="81"/>
      <c r="S1417" s="81"/>
      <c r="T1417" s="81"/>
      <c r="U1417" s="81"/>
      <c r="V1417" s="84" t="str">
        <f>HYPERLINK("https://pbs.twimg.com/profile_images/1258369905016975361/BuhU3A0Q_normal.jpg")</f>
        <v>https://pbs.twimg.com/profile_images/1258369905016975361/BuhU3A0Q_normal.jpg</v>
      </c>
      <c r="W1417" s="83">
        <v>44460.584236111114</v>
      </c>
      <c r="X1417" s="89">
        <v>44460</v>
      </c>
      <c r="Y1417" s="86" t="s">
        <v>3670</v>
      </c>
      <c r="Z1417" s="84" t="str">
        <f>HYPERLINK("https://twitter.com/along_pura/status/1440315201350344704")</f>
        <v>https://twitter.com/along_pura/status/1440315201350344704</v>
      </c>
      <c r="AA1417" s="81"/>
      <c r="AB1417" s="81"/>
      <c r="AC1417" s="86" t="s">
        <v>5136</v>
      </c>
      <c r="AD1417" s="86" t="s">
        <v>6152</v>
      </c>
      <c r="AE1417" s="81" t="b">
        <v>0</v>
      </c>
      <c r="AF1417" s="81">
        <v>0</v>
      </c>
      <c r="AG1417" s="86" t="s">
        <v>6358</v>
      </c>
      <c r="AH1417" s="81" t="b">
        <v>0</v>
      </c>
      <c r="AI1417" s="81" t="s">
        <v>6478</v>
      </c>
      <c r="AJ1417" s="81"/>
      <c r="AK1417" s="86" t="s">
        <v>6240</v>
      </c>
      <c r="AL1417" s="81" t="b">
        <v>0</v>
      </c>
      <c r="AM1417" s="81">
        <v>0</v>
      </c>
      <c r="AN1417" s="86" t="s">
        <v>6240</v>
      </c>
      <c r="AO1417" s="86" t="s">
        <v>6503</v>
      </c>
      <c r="AP1417" s="81" t="b">
        <v>0</v>
      </c>
      <c r="AQ1417" s="86" t="s">
        <v>6152</v>
      </c>
      <c r="AR1417" s="81" t="s">
        <v>179</v>
      </c>
      <c r="AS1417" s="81">
        <v>0</v>
      </c>
      <c r="AT1417" s="81">
        <v>0</v>
      </c>
      <c r="AU1417" s="81"/>
      <c r="AV1417" s="81"/>
      <c r="AW1417" s="81"/>
      <c r="AX1417" s="81"/>
      <c r="AY1417" s="81"/>
      <c r="AZ1417" s="81"/>
      <c r="BA1417" s="81"/>
      <c r="BB1417" s="81"/>
    </row>
    <row r="1418" spans="1:54" x14ac:dyDescent="0.35">
      <c r="A1418" s="66" t="s">
        <v>1011</v>
      </c>
      <c r="B1418" s="66" t="s">
        <v>1440</v>
      </c>
      <c r="C1418" s="67"/>
      <c r="D1418" s="68"/>
      <c r="E1418" s="69"/>
      <c r="F1418" s="70"/>
      <c r="G1418" s="67"/>
      <c r="H1418" s="71"/>
      <c r="I1418" s="72"/>
      <c r="J1418" s="72"/>
      <c r="K1418" s="36"/>
      <c r="L1418" s="79"/>
      <c r="M1418" s="79"/>
      <c r="N1418" s="74"/>
      <c r="O1418" s="81" t="s">
        <v>1534</v>
      </c>
      <c r="P1418" s="83">
        <v>44460.584166666667</v>
      </c>
      <c r="Q1418" s="81" t="s">
        <v>2023</v>
      </c>
      <c r="R1418" s="81"/>
      <c r="S1418" s="81"/>
      <c r="T1418" s="81"/>
      <c r="U1418" s="81"/>
      <c r="V1418" s="84" t="str">
        <f>HYPERLINK("https://pbs.twimg.com/profile_images/1258369905016975361/BuhU3A0Q_normal.jpg")</f>
        <v>https://pbs.twimg.com/profile_images/1258369905016975361/BuhU3A0Q_normal.jpg</v>
      </c>
      <c r="W1418" s="83">
        <v>44460.584166666667</v>
      </c>
      <c r="X1418" s="89">
        <v>44460</v>
      </c>
      <c r="Y1418" s="86" t="s">
        <v>3671</v>
      </c>
      <c r="Z1418" s="84" t="str">
        <f>HYPERLINK("https://twitter.com/along_pura/status/1440315175375032332")</f>
        <v>https://twitter.com/along_pura/status/1440315175375032332</v>
      </c>
      <c r="AA1418" s="81"/>
      <c r="AB1418" s="81"/>
      <c r="AC1418" s="86" t="s">
        <v>5137</v>
      </c>
      <c r="AD1418" s="86" t="s">
        <v>6153</v>
      </c>
      <c r="AE1418" s="81" t="b">
        <v>0</v>
      </c>
      <c r="AF1418" s="81">
        <v>0</v>
      </c>
      <c r="AG1418" s="86" t="s">
        <v>6372</v>
      </c>
      <c r="AH1418" s="81" t="b">
        <v>0</v>
      </c>
      <c r="AI1418" s="81" t="s">
        <v>6478</v>
      </c>
      <c r="AJ1418" s="81"/>
      <c r="AK1418" s="86" t="s">
        <v>6240</v>
      </c>
      <c r="AL1418" s="81" t="b">
        <v>0</v>
      </c>
      <c r="AM1418" s="81">
        <v>0</v>
      </c>
      <c r="AN1418" s="86" t="s">
        <v>6240</v>
      </c>
      <c r="AO1418" s="86" t="s">
        <v>6503</v>
      </c>
      <c r="AP1418" s="81" t="b">
        <v>0</v>
      </c>
      <c r="AQ1418" s="86" t="s">
        <v>6153</v>
      </c>
      <c r="AR1418" s="81" t="s">
        <v>179</v>
      </c>
      <c r="AS1418" s="81">
        <v>0</v>
      </c>
      <c r="AT1418" s="81">
        <v>0</v>
      </c>
      <c r="AU1418" s="81"/>
      <c r="AV1418" s="81"/>
      <c r="AW1418" s="81"/>
      <c r="AX1418" s="81"/>
      <c r="AY1418" s="81"/>
      <c r="AZ1418" s="81"/>
      <c r="BA1418" s="81"/>
      <c r="BB1418" s="81"/>
    </row>
    <row r="1419" spans="1:54" x14ac:dyDescent="0.35">
      <c r="A1419" s="66" t="s">
        <v>1011</v>
      </c>
      <c r="B1419" s="66" t="s">
        <v>1440</v>
      </c>
      <c r="C1419" s="67"/>
      <c r="D1419" s="68"/>
      <c r="E1419" s="69"/>
      <c r="F1419" s="70"/>
      <c r="G1419" s="67"/>
      <c r="H1419" s="71"/>
      <c r="I1419" s="72"/>
      <c r="J1419" s="72"/>
      <c r="K1419" s="36"/>
      <c r="L1419" s="79"/>
      <c r="M1419" s="79"/>
      <c r="N1419" s="74"/>
      <c r="O1419" s="81" t="s">
        <v>1534</v>
      </c>
      <c r="P1419" s="83">
        <v>44462.042858796296</v>
      </c>
      <c r="Q1419" s="81" t="s">
        <v>2023</v>
      </c>
      <c r="R1419" s="81"/>
      <c r="S1419" s="81"/>
      <c r="T1419" s="81"/>
      <c r="U1419" s="81"/>
      <c r="V1419" s="84" t="str">
        <f>HYPERLINK("https://pbs.twimg.com/profile_images/1258369905016975361/BuhU3A0Q_normal.jpg")</f>
        <v>https://pbs.twimg.com/profile_images/1258369905016975361/BuhU3A0Q_normal.jpg</v>
      </c>
      <c r="W1419" s="83">
        <v>44462.042858796296</v>
      </c>
      <c r="X1419" s="89">
        <v>44462</v>
      </c>
      <c r="Y1419" s="86" t="s">
        <v>3380</v>
      </c>
      <c r="Z1419" s="84" t="str">
        <f>HYPERLINK("https://twitter.com/along_pura/status/1440843788021161992")</f>
        <v>https://twitter.com/along_pura/status/1440843788021161992</v>
      </c>
      <c r="AA1419" s="81"/>
      <c r="AB1419" s="81"/>
      <c r="AC1419" s="86" t="s">
        <v>5138</v>
      </c>
      <c r="AD1419" s="86" t="s">
        <v>6154</v>
      </c>
      <c r="AE1419" s="81" t="b">
        <v>0</v>
      </c>
      <c r="AF1419" s="81">
        <v>0</v>
      </c>
      <c r="AG1419" s="86" t="s">
        <v>6372</v>
      </c>
      <c r="AH1419" s="81" t="b">
        <v>0</v>
      </c>
      <c r="AI1419" s="81" t="s">
        <v>6478</v>
      </c>
      <c r="AJ1419" s="81"/>
      <c r="AK1419" s="86" t="s">
        <v>6240</v>
      </c>
      <c r="AL1419" s="81" t="b">
        <v>0</v>
      </c>
      <c r="AM1419" s="81">
        <v>0</v>
      </c>
      <c r="AN1419" s="86" t="s">
        <v>6240</v>
      </c>
      <c r="AO1419" s="86" t="s">
        <v>6503</v>
      </c>
      <c r="AP1419" s="81" t="b">
        <v>0</v>
      </c>
      <c r="AQ1419" s="86" t="s">
        <v>6154</v>
      </c>
      <c r="AR1419" s="81" t="s">
        <v>179</v>
      </c>
      <c r="AS1419" s="81">
        <v>0</v>
      </c>
      <c r="AT1419" s="81">
        <v>0</v>
      </c>
      <c r="AU1419" s="81"/>
      <c r="AV1419" s="81"/>
      <c r="AW1419" s="81"/>
      <c r="AX1419" s="81"/>
      <c r="AY1419" s="81"/>
      <c r="AZ1419" s="81"/>
      <c r="BA1419" s="81"/>
      <c r="BB1419" s="81"/>
    </row>
    <row r="1420" spans="1:54" x14ac:dyDescent="0.35">
      <c r="A1420" s="66" t="s">
        <v>1011</v>
      </c>
      <c r="B1420" s="66" t="s">
        <v>1470</v>
      </c>
      <c r="C1420" s="67"/>
      <c r="D1420" s="68"/>
      <c r="E1420" s="69"/>
      <c r="F1420" s="70"/>
      <c r="G1420" s="67"/>
      <c r="H1420" s="71"/>
      <c r="I1420" s="72"/>
      <c r="J1420" s="72"/>
      <c r="K1420" s="36"/>
      <c r="L1420" s="79"/>
      <c r="M1420" s="79"/>
      <c r="N1420" s="74"/>
      <c r="O1420" s="81" t="s">
        <v>1534</v>
      </c>
      <c r="P1420" s="83">
        <v>44465.005925925929</v>
      </c>
      <c r="Q1420" s="81" t="s">
        <v>2024</v>
      </c>
      <c r="R1420" s="81"/>
      <c r="S1420" s="81"/>
      <c r="T1420" s="81"/>
      <c r="U1420" s="81"/>
      <c r="V1420" s="84" t="str">
        <f>HYPERLINK("https://pbs.twimg.com/profile_images/1258369905016975361/BuhU3A0Q_normal.jpg")</f>
        <v>https://pbs.twimg.com/profile_images/1258369905016975361/BuhU3A0Q_normal.jpg</v>
      </c>
      <c r="W1420" s="83">
        <v>44465.005925925929</v>
      </c>
      <c r="X1420" s="89">
        <v>44465</v>
      </c>
      <c r="Y1420" s="86" t="s">
        <v>3672</v>
      </c>
      <c r="Z1420" s="84" t="str">
        <f>HYPERLINK("https://twitter.com/along_pura/status/1441917570374799362")</f>
        <v>https://twitter.com/along_pura/status/1441917570374799362</v>
      </c>
      <c r="AA1420" s="81"/>
      <c r="AB1420" s="81"/>
      <c r="AC1420" s="86" t="s">
        <v>5139</v>
      </c>
      <c r="AD1420" s="86" t="s">
        <v>6155</v>
      </c>
      <c r="AE1420" s="81" t="b">
        <v>0</v>
      </c>
      <c r="AF1420" s="81">
        <v>0</v>
      </c>
      <c r="AG1420" s="86" t="s">
        <v>6406</v>
      </c>
      <c r="AH1420" s="81" t="b">
        <v>0</v>
      </c>
      <c r="AI1420" s="81" t="s">
        <v>6478</v>
      </c>
      <c r="AJ1420" s="81"/>
      <c r="AK1420" s="86" t="s">
        <v>6240</v>
      </c>
      <c r="AL1420" s="81" t="b">
        <v>0</v>
      </c>
      <c r="AM1420" s="81">
        <v>0</v>
      </c>
      <c r="AN1420" s="86" t="s">
        <v>6240</v>
      </c>
      <c r="AO1420" s="86" t="s">
        <v>6503</v>
      </c>
      <c r="AP1420" s="81" t="b">
        <v>0</v>
      </c>
      <c r="AQ1420" s="86" t="s">
        <v>6155</v>
      </c>
      <c r="AR1420" s="81" t="s">
        <v>179</v>
      </c>
      <c r="AS1420" s="81">
        <v>0</v>
      </c>
      <c r="AT1420" s="81">
        <v>0</v>
      </c>
      <c r="AU1420" s="81"/>
      <c r="AV1420" s="81"/>
      <c r="AW1420" s="81"/>
      <c r="AX1420" s="81"/>
      <c r="AY1420" s="81"/>
      <c r="AZ1420" s="81"/>
      <c r="BA1420" s="81"/>
      <c r="BB1420" s="81"/>
    </row>
    <row r="1421" spans="1:54" x14ac:dyDescent="0.35">
      <c r="A1421" s="66" t="s">
        <v>1011</v>
      </c>
      <c r="B1421" s="66" t="s">
        <v>1471</v>
      </c>
      <c r="C1421" s="67"/>
      <c r="D1421" s="68"/>
      <c r="E1421" s="69"/>
      <c r="F1421" s="70"/>
      <c r="G1421" s="67"/>
      <c r="H1421" s="71"/>
      <c r="I1421" s="72"/>
      <c r="J1421" s="72"/>
      <c r="K1421" s="36"/>
      <c r="L1421" s="79"/>
      <c r="M1421" s="79"/>
      <c r="N1421" s="74"/>
      <c r="O1421" s="81" t="s">
        <v>1534</v>
      </c>
      <c r="P1421" s="83">
        <v>44465.006006944444</v>
      </c>
      <c r="Q1421" s="81" t="s">
        <v>2025</v>
      </c>
      <c r="R1421" s="81"/>
      <c r="S1421" s="81"/>
      <c r="T1421" s="81"/>
      <c r="U1421" s="81"/>
      <c r="V1421" s="84" t="str">
        <f>HYPERLINK("https://pbs.twimg.com/profile_images/1258369905016975361/BuhU3A0Q_normal.jpg")</f>
        <v>https://pbs.twimg.com/profile_images/1258369905016975361/BuhU3A0Q_normal.jpg</v>
      </c>
      <c r="W1421" s="83">
        <v>44465.006006944444</v>
      </c>
      <c r="X1421" s="89">
        <v>44465</v>
      </c>
      <c r="Y1421" s="86" t="s">
        <v>3673</v>
      </c>
      <c r="Z1421" s="84" t="str">
        <f>HYPERLINK("https://twitter.com/along_pura/status/1441917599248379908")</f>
        <v>https://twitter.com/along_pura/status/1441917599248379908</v>
      </c>
      <c r="AA1421" s="81"/>
      <c r="AB1421" s="81"/>
      <c r="AC1421" s="86" t="s">
        <v>5140</v>
      </c>
      <c r="AD1421" s="86" t="s">
        <v>6156</v>
      </c>
      <c r="AE1421" s="81" t="b">
        <v>0</v>
      </c>
      <c r="AF1421" s="81">
        <v>0</v>
      </c>
      <c r="AG1421" s="86" t="s">
        <v>6407</v>
      </c>
      <c r="AH1421" s="81" t="b">
        <v>0</v>
      </c>
      <c r="AI1421" s="81" t="s">
        <v>6478</v>
      </c>
      <c r="AJ1421" s="81"/>
      <c r="AK1421" s="86" t="s">
        <v>6240</v>
      </c>
      <c r="AL1421" s="81" t="b">
        <v>0</v>
      </c>
      <c r="AM1421" s="81">
        <v>0</v>
      </c>
      <c r="AN1421" s="86" t="s">
        <v>6240</v>
      </c>
      <c r="AO1421" s="86" t="s">
        <v>6503</v>
      </c>
      <c r="AP1421" s="81" t="b">
        <v>0</v>
      </c>
      <c r="AQ1421" s="86" t="s">
        <v>6156</v>
      </c>
      <c r="AR1421" s="81" t="s">
        <v>179</v>
      </c>
      <c r="AS1421" s="81">
        <v>0</v>
      </c>
      <c r="AT1421" s="81">
        <v>0</v>
      </c>
      <c r="AU1421" s="81"/>
      <c r="AV1421" s="81"/>
      <c r="AW1421" s="81"/>
      <c r="AX1421" s="81"/>
      <c r="AY1421" s="81"/>
      <c r="AZ1421" s="81"/>
      <c r="BA1421" s="81"/>
      <c r="BB1421" s="81"/>
    </row>
    <row r="1422" spans="1:54" x14ac:dyDescent="0.35">
      <c r="A1422" s="66" t="s">
        <v>1011</v>
      </c>
      <c r="B1422" s="66" t="s">
        <v>1472</v>
      </c>
      <c r="C1422" s="67"/>
      <c r="D1422" s="68"/>
      <c r="E1422" s="69"/>
      <c r="F1422" s="70"/>
      <c r="G1422" s="67"/>
      <c r="H1422" s="71"/>
      <c r="I1422" s="72"/>
      <c r="J1422" s="72"/>
      <c r="K1422" s="36"/>
      <c r="L1422" s="79"/>
      <c r="M1422" s="79"/>
      <c r="N1422" s="74"/>
      <c r="O1422" s="81" t="s">
        <v>1534</v>
      </c>
      <c r="P1422" s="83">
        <v>44465.006944444445</v>
      </c>
      <c r="Q1422" s="81" t="s">
        <v>2026</v>
      </c>
      <c r="R1422" s="81"/>
      <c r="S1422" s="81"/>
      <c r="T1422" s="81"/>
      <c r="U1422" s="81"/>
      <c r="V1422" s="84" t="str">
        <f>HYPERLINK("https://pbs.twimg.com/profile_images/1258369905016975361/BuhU3A0Q_normal.jpg")</f>
        <v>https://pbs.twimg.com/profile_images/1258369905016975361/BuhU3A0Q_normal.jpg</v>
      </c>
      <c r="W1422" s="83">
        <v>44465.006944444445</v>
      </c>
      <c r="X1422" s="89">
        <v>44465</v>
      </c>
      <c r="Y1422" s="86" t="s">
        <v>3674</v>
      </c>
      <c r="Z1422" s="84" t="str">
        <f>HYPERLINK("https://twitter.com/along_pura/status/1441917938039099393")</f>
        <v>https://twitter.com/along_pura/status/1441917938039099393</v>
      </c>
      <c r="AA1422" s="81"/>
      <c r="AB1422" s="81"/>
      <c r="AC1422" s="86" t="s">
        <v>5141</v>
      </c>
      <c r="AD1422" s="86" t="s">
        <v>6157</v>
      </c>
      <c r="AE1422" s="81" t="b">
        <v>0</v>
      </c>
      <c r="AF1422" s="81">
        <v>0</v>
      </c>
      <c r="AG1422" s="86" t="s">
        <v>6408</v>
      </c>
      <c r="AH1422" s="81" t="b">
        <v>0</v>
      </c>
      <c r="AI1422" s="81" t="s">
        <v>6478</v>
      </c>
      <c r="AJ1422" s="81"/>
      <c r="AK1422" s="86" t="s">
        <v>6240</v>
      </c>
      <c r="AL1422" s="81" t="b">
        <v>0</v>
      </c>
      <c r="AM1422" s="81">
        <v>0</v>
      </c>
      <c r="AN1422" s="86" t="s">
        <v>6240</v>
      </c>
      <c r="AO1422" s="86" t="s">
        <v>6503</v>
      </c>
      <c r="AP1422" s="81" t="b">
        <v>0</v>
      </c>
      <c r="AQ1422" s="86" t="s">
        <v>6157</v>
      </c>
      <c r="AR1422" s="81" t="s">
        <v>179</v>
      </c>
      <c r="AS1422" s="81">
        <v>0</v>
      </c>
      <c r="AT1422" s="81">
        <v>0</v>
      </c>
      <c r="AU1422" s="81"/>
      <c r="AV1422" s="81"/>
      <c r="AW1422" s="81"/>
      <c r="AX1422" s="81"/>
      <c r="AY1422" s="81"/>
      <c r="AZ1422" s="81"/>
      <c r="BA1422" s="81"/>
      <c r="BB1422" s="81"/>
    </row>
    <row r="1423" spans="1:54" x14ac:dyDescent="0.35">
      <c r="A1423" s="66" t="s">
        <v>1011</v>
      </c>
      <c r="B1423" s="66" t="s">
        <v>1473</v>
      </c>
      <c r="C1423" s="67"/>
      <c r="D1423" s="68"/>
      <c r="E1423" s="69"/>
      <c r="F1423" s="70"/>
      <c r="G1423" s="67"/>
      <c r="H1423" s="71"/>
      <c r="I1423" s="72"/>
      <c r="J1423" s="72"/>
      <c r="K1423" s="36"/>
      <c r="L1423" s="79"/>
      <c r="M1423" s="79"/>
      <c r="N1423" s="74"/>
      <c r="O1423" s="81" t="s">
        <v>1534</v>
      </c>
      <c r="P1423" s="83">
        <v>44465.4997337963</v>
      </c>
      <c r="Q1423" s="81" t="s">
        <v>2027</v>
      </c>
      <c r="R1423" s="81"/>
      <c r="S1423" s="81"/>
      <c r="T1423" s="81"/>
      <c r="U1423" s="81"/>
      <c r="V1423" s="84" t="str">
        <f>HYPERLINK("https://pbs.twimg.com/profile_images/1258369905016975361/BuhU3A0Q_normal.jpg")</f>
        <v>https://pbs.twimg.com/profile_images/1258369905016975361/BuhU3A0Q_normal.jpg</v>
      </c>
      <c r="W1423" s="83">
        <v>44465.4997337963</v>
      </c>
      <c r="X1423" s="89">
        <v>44465</v>
      </c>
      <c r="Y1423" s="86" t="s">
        <v>3675</v>
      </c>
      <c r="Z1423" s="84" t="str">
        <f>HYPERLINK("https://twitter.com/along_pura/status/1442096516647194629")</f>
        <v>https://twitter.com/along_pura/status/1442096516647194629</v>
      </c>
      <c r="AA1423" s="81"/>
      <c r="AB1423" s="81"/>
      <c r="AC1423" s="86" t="s">
        <v>5142</v>
      </c>
      <c r="AD1423" s="86" t="s">
        <v>6158</v>
      </c>
      <c r="AE1423" s="81" t="b">
        <v>0</v>
      </c>
      <c r="AF1423" s="81">
        <v>0</v>
      </c>
      <c r="AG1423" s="86" t="s">
        <v>6409</v>
      </c>
      <c r="AH1423" s="81" t="b">
        <v>0</v>
      </c>
      <c r="AI1423" s="81" t="s">
        <v>6478</v>
      </c>
      <c r="AJ1423" s="81"/>
      <c r="AK1423" s="86" t="s">
        <v>6240</v>
      </c>
      <c r="AL1423" s="81" t="b">
        <v>0</v>
      </c>
      <c r="AM1423" s="81">
        <v>0</v>
      </c>
      <c r="AN1423" s="86" t="s">
        <v>6240</v>
      </c>
      <c r="AO1423" s="86" t="s">
        <v>6503</v>
      </c>
      <c r="AP1423" s="81" t="b">
        <v>0</v>
      </c>
      <c r="AQ1423" s="86" t="s">
        <v>6158</v>
      </c>
      <c r="AR1423" s="81" t="s">
        <v>179</v>
      </c>
      <c r="AS1423" s="81">
        <v>0</v>
      </c>
      <c r="AT1423" s="81">
        <v>0</v>
      </c>
      <c r="AU1423" s="81"/>
      <c r="AV1423" s="81"/>
      <c r="AW1423" s="81"/>
      <c r="AX1423" s="81"/>
      <c r="AY1423" s="81"/>
      <c r="AZ1423" s="81"/>
      <c r="BA1423" s="81"/>
      <c r="BB1423" s="81"/>
    </row>
    <row r="1424" spans="1:54" x14ac:dyDescent="0.35">
      <c r="A1424" s="66" t="s">
        <v>1011</v>
      </c>
      <c r="B1424" s="66" t="s">
        <v>1473</v>
      </c>
      <c r="C1424" s="67"/>
      <c r="D1424" s="68"/>
      <c r="E1424" s="69"/>
      <c r="F1424" s="70"/>
      <c r="G1424" s="67"/>
      <c r="H1424" s="71"/>
      <c r="I1424" s="72"/>
      <c r="J1424" s="72"/>
      <c r="K1424" s="36"/>
      <c r="L1424" s="79"/>
      <c r="M1424" s="79"/>
      <c r="N1424" s="74"/>
      <c r="O1424" s="81" t="s">
        <v>1534</v>
      </c>
      <c r="P1424" s="83">
        <v>44466.067395833335</v>
      </c>
      <c r="Q1424" s="81" t="s">
        <v>2027</v>
      </c>
      <c r="R1424" s="81"/>
      <c r="S1424" s="81"/>
      <c r="T1424" s="81"/>
      <c r="U1424" s="81"/>
      <c r="V1424" s="84" t="str">
        <f>HYPERLINK("https://pbs.twimg.com/profile_images/1258369905016975361/BuhU3A0Q_normal.jpg")</f>
        <v>https://pbs.twimg.com/profile_images/1258369905016975361/BuhU3A0Q_normal.jpg</v>
      </c>
      <c r="W1424" s="83">
        <v>44466.067395833335</v>
      </c>
      <c r="X1424" s="89">
        <v>44466</v>
      </c>
      <c r="Y1424" s="86" t="s">
        <v>3676</v>
      </c>
      <c r="Z1424" s="84" t="str">
        <f>HYPERLINK("https://twitter.com/along_pura/status/1442302230770552834")</f>
        <v>https://twitter.com/along_pura/status/1442302230770552834</v>
      </c>
      <c r="AA1424" s="81"/>
      <c r="AB1424" s="81"/>
      <c r="AC1424" s="86" t="s">
        <v>5143</v>
      </c>
      <c r="AD1424" s="86" t="s">
        <v>6158</v>
      </c>
      <c r="AE1424" s="81" t="b">
        <v>0</v>
      </c>
      <c r="AF1424" s="81">
        <v>0</v>
      </c>
      <c r="AG1424" s="86" t="s">
        <v>6409</v>
      </c>
      <c r="AH1424" s="81" t="b">
        <v>0</v>
      </c>
      <c r="AI1424" s="81" t="s">
        <v>6478</v>
      </c>
      <c r="AJ1424" s="81"/>
      <c r="AK1424" s="86" t="s">
        <v>6240</v>
      </c>
      <c r="AL1424" s="81" t="b">
        <v>0</v>
      </c>
      <c r="AM1424" s="81">
        <v>0</v>
      </c>
      <c r="AN1424" s="86" t="s">
        <v>6240</v>
      </c>
      <c r="AO1424" s="86" t="s">
        <v>6503</v>
      </c>
      <c r="AP1424" s="81" t="b">
        <v>0</v>
      </c>
      <c r="AQ1424" s="86" t="s">
        <v>6158</v>
      </c>
      <c r="AR1424" s="81" t="s">
        <v>179</v>
      </c>
      <c r="AS1424" s="81">
        <v>0</v>
      </c>
      <c r="AT1424" s="81">
        <v>0</v>
      </c>
      <c r="AU1424" s="81"/>
      <c r="AV1424" s="81"/>
      <c r="AW1424" s="81"/>
      <c r="AX1424" s="81"/>
      <c r="AY1424" s="81"/>
      <c r="AZ1424" s="81"/>
      <c r="BA1424" s="81"/>
      <c r="BB1424" s="81"/>
    </row>
    <row r="1425" spans="1:54" x14ac:dyDescent="0.35">
      <c r="A1425" s="66" t="s">
        <v>1011</v>
      </c>
      <c r="B1425" s="66" t="s">
        <v>1294</v>
      </c>
      <c r="C1425" s="67"/>
      <c r="D1425" s="68"/>
      <c r="E1425" s="69"/>
      <c r="F1425" s="70"/>
      <c r="G1425" s="67"/>
      <c r="H1425" s="71"/>
      <c r="I1425" s="72"/>
      <c r="J1425" s="72"/>
      <c r="K1425" s="36"/>
      <c r="L1425" s="79"/>
      <c r="M1425" s="79"/>
      <c r="N1425" s="74"/>
      <c r="O1425" s="81" t="s">
        <v>1534</v>
      </c>
      <c r="P1425" s="83">
        <v>44466.068483796298</v>
      </c>
      <c r="Q1425" s="81" t="s">
        <v>2028</v>
      </c>
      <c r="R1425" s="81"/>
      <c r="S1425" s="81"/>
      <c r="T1425" s="81"/>
      <c r="U1425" s="81"/>
      <c r="V1425" s="84" t="str">
        <f>HYPERLINK("https://pbs.twimg.com/profile_images/1258369905016975361/BuhU3A0Q_normal.jpg")</f>
        <v>https://pbs.twimg.com/profile_images/1258369905016975361/BuhU3A0Q_normal.jpg</v>
      </c>
      <c r="W1425" s="83">
        <v>44466.068483796298</v>
      </c>
      <c r="X1425" s="89">
        <v>44466</v>
      </c>
      <c r="Y1425" s="86" t="s">
        <v>3677</v>
      </c>
      <c r="Z1425" s="84" t="str">
        <f>HYPERLINK("https://twitter.com/along_pura/status/1442302624749932554")</f>
        <v>https://twitter.com/along_pura/status/1442302624749932554</v>
      </c>
      <c r="AA1425" s="81"/>
      <c r="AB1425" s="81"/>
      <c r="AC1425" s="86" t="s">
        <v>5144</v>
      </c>
      <c r="AD1425" s="86" t="s">
        <v>6159</v>
      </c>
      <c r="AE1425" s="81" t="b">
        <v>0</v>
      </c>
      <c r="AF1425" s="81">
        <v>0</v>
      </c>
      <c r="AG1425" s="86" t="s">
        <v>6263</v>
      </c>
      <c r="AH1425" s="81" t="b">
        <v>0</v>
      </c>
      <c r="AI1425" s="81" t="s">
        <v>6478</v>
      </c>
      <c r="AJ1425" s="81"/>
      <c r="AK1425" s="86" t="s">
        <v>6240</v>
      </c>
      <c r="AL1425" s="81" t="b">
        <v>0</v>
      </c>
      <c r="AM1425" s="81">
        <v>0</v>
      </c>
      <c r="AN1425" s="86" t="s">
        <v>6240</v>
      </c>
      <c r="AO1425" s="86" t="s">
        <v>6503</v>
      </c>
      <c r="AP1425" s="81" t="b">
        <v>0</v>
      </c>
      <c r="AQ1425" s="86" t="s">
        <v>6159</v>
      </c>
      <c r="AR1425" s="81" t="s">
        <v>179</v>
      </c>
      <c r="AS1425" s="81">
        <v>0</v>
      </c>
      <c r="AT1425" s="81">
        <v>0</v>
      </c>
      <c r="AU1425" s="81"/>
      <c r="AV1425" s="81"/>
      <c r="AW1425" s="81"/>
      <c r="AX1425" s="81"/>
      <c r="AY1425" s="81"/>
      <c r="AZ1425" s="81"/>
      <c r="BA1425" s="81"/>
      <c r="BB1425" s="81"/>
    </row>
    <row r="1426" spans="1:54" x14ac:dyDescent="0.35">
      <c r="A1426" s="66" t="s">
        <v>1011</v>
      </c>
      <c r="B1426" s="66" t="s">
        <v>1474</v>
      </c>
      <c r="C1426" s="67"/>
      <c r="D1426" s="68"/>
      <c r="E1426" s="69"/>
      <c r="F1426" s="70"/>
      <c r="G1426" s="67"/>
      <c r="H1426" s="71"/>
      <c r="I1426" s="72"/>
      <c r="J1426" s="72"/>
      <c r="K1426" s="36"/>
      <c r="L1426" s="79"/>
      <c r="M1426" s="79"/>
      <c r="N1426" s="74"/>
      <c r="O1426" s="81" t="s">
        <v>1534</v>
      </c>
      <c r="P1426" s="83">
        <v>44466.071504629632</v>
      </c>
      <c r="Q1426" s="81" t="s">
        <v>2029</v>
      </c>
      <c r="R1426" s="81"/>
      <c r="S1426" s="81"/>
      <c r="T1426" s="81"/>
      <c r="U1426" s="81"/>
      <c r="V1426" s="84" t="str">
        <f>HYPERLINK("https://pbs.twimg.com/profile_images/1258369905016975361/BuhU3A0Q_normal.jpg")</f>
        <v>https://pbs.twimg.com/profile_images/1258369905016975361/BuhU3A0Q_normal.jpg</v>
      </c>
      <c r="W1426" s="83">
        <v>44466.071504629632</v>
      </c>
      <c r="X1426" s="89">
        <v>44466</v>
      </c>
      <c r="Y1426" s="86" t="s">
        <v>3678</v>
      </c>
      <c r="Z1426" s="84" t="str">
        <f>HYPERLINK("https://twitter.com/along_pura/status/1442303722105688066")</f>
        <v>https://twitter.com/along_pura/status/1442303722105688066</v>
      </c>
      <c r="AA1426" s="81"/>
      <c r="AB1426" s="81"/>
      <c r="AC1426" s="86" t="s">
        <v>5145</v>
      </c>
      <c r="AD1426" s="86" t="s">
        <v>6160</v>
      </c>
      <c r="AE1426" s="81" t="b">
        <v>0</v>
      </c>
      <c r="AF1426" s="81">
        <v>0</v>
      </c>
      <c r="AG1426" s="86" t="s">
        <v>6410</v>
      </c>
      <c r="AH1426" s="81" t="b">
        <v>0</v>
      </c>
      <c r="AI1426" s="81" t="s">
        <v>6478</v>
      </c>
      <c r="AJ1426" s="81"/>
      <c r="AK1426" s="86" t="s">
        <v>6240</v>
      </c>
      <c r="AL1426" s="81" t="b">
        <v>0</v>
      </c>
      <c r="AM1426" s="81">
        <v>0</v>
      </c>
      <c r="AN1426" s="86" t="s">
        <v>6240</v>
      </c>
      <c r="AO1426" s="86" t="s">
        <v>6503</v>
      </c>
      <c r="AP1426" s="81" t="b">
        <v>0</v>
      </c>
      <c r="AQ1426" s="86" t="s">
        <v>6160</v>
      </c>
      <c r="AR1426" s="81" t="s">
        <v>179</v>
      </c>
      <c r="AS1426" s="81">
        <v>0</v>
      </c>
      <c r="AT1426" s="81">
        <v>0</v>
      </c>
      <c r="AU1426" s="81"/>
      <c r="AV1426" s="81"/>
      <c r="AW1426" s="81"/>
      <c r="AX1426" s="81"/>
      <c r="AY1426" s="81"/>
      <c r="AZ1426" s="81"/>
      <c r="BA1426" s="81"/>
      <c r="BB1426" s="81"/>
    </row>
    <row r="1427" spans="1:54" x14ac:dyDescent="0.35">
      <c r="A1427" s="66" t="s">
        <v>1011</v>
      </c>
      <c r="B1427" s="66" t="s">
        <v>1475</v>
      </c>
      <c r="C1427" s="67"/>
      <c r="D1427" s="68"/>
      <c r="E1427" s="69"/>
      <c r="F1427" s="70"/>
      <c r="G1427" s="67"/>
      <c r="H1427" s="71"/>
      <c r="I1427" s="72"/>
      <c r="J1427" s="72"/>
      <c r="K1427" s="36"/>
      <c r="L1427" s="79"/>
      <c r="M1427" s="79"/>
      <c r="N1427" s="74"/>
      <c r="O1427" s="81" t="s">
        <v>1534</v>
      </c>
      <c r="P1427" s="83">
        <v>44466.071956018517</v>
      </c>
      <c r="Q1427" s="81" t="s">
        <v>2030</v>
      </c>
      <c r="R1427" s="81"/>
      <c r="S1427" s="81"/>
      <c r="T1427" s="81"/>
      <c r="U1427" s="81"/>
      <c r="V1427" s="84" t="str">
        <f>HYPERLINK("https://pbs.twimg.com/profile_images/1258369905016975361/BuhU3A0Q_normal.jpg")</f>
        <v>https://pbs.twimg.com/profile_images/1258369905016975361/BuhU3A0Q_normal.jpg</v>
      </c>
      <c r="W1427" s="83">
        <v>44466.071956018517</v>
      </c>
      <c r="X1427" s="89">
        <v>44466</v>
      </c>
      <c r="Y1427" s="86" t="s">
        <v>3679</v>
      </c>
      <c r="Z1427" s="84" t="str">
        <f>HYPERLINK("https://twitter.com/along_pura/status/1442303884714655745")</f>
        <v>https://twitter.com/along_pura/status/1442303884714655745</v>
      </c>
      <c r="AA1427" s="81"/>
      <c r="AB1427" s="81"/>
      <c r="AC1427" s="86" t="s">
        <v>5146</v>
      </c>
      <c r="AD1427" s="86" t="s">
        <v>6161</v>
      </c>
      <c r="AE1427" s="81" t="b">
        <v>0</v>
      </c>
      <c r="AF1427" s="81">
        <v>0</v>
      </c>
      <c r="AG1427" s="86" t="s">
        <v>6411</v>
      </c>
      <c r="AH1427" s="81" t="b">
        <v>0</v>
      </c>
      <c r="AI1427" s="81" t="s">
        <v>6478</v>
      </c>
      <c r="AJ1427" s="81"/>
      <c r="AK1427" s="86" t="s">
        <v>6240</v>
      </c>
      <c r="AL1427" s="81" t="b">
        <v>0</v>
      </c>
      <c r="AM1427" s="81">
        <v>0</v>
      </c>
      <c r="AN1427" s="86" t="s">
        <v>6240</v>
      </c>
      <c r="AO1427" s="86" t="s">
        <v>6503</v>
      </c>
      <c r="AP1427" s="81" t="b">
        <v>0</v>
      </c>
      <c r="AQ1427" s="86" t="s">
        <v>6161</v>
      </c>
      <c r="AR1427" s="81" t="s">
        <v>179</v>
      </c>
      <c r="AS1427" s="81">
        <v>0</v>
      </c>
      <c r="AT1427" s="81">
        <v>0</v>
      </c>
      <c r="AU1427" s="81"/>
      <c r="AV1427" s="81"/>
      <c r="AW1427" s="81"/>
      <c r="AX1427" s="81"/>
      <c r="AY1427" s="81"/>
      <c r="AZ1427" s="81"/>
      <c r="BA1427" s="81"/>
      <c r="BB1427" s="81"/>
    </row>
    <row r="1428" spans="1:54" x14ac:dyDescent="0.35">
      <c r="A1428" s="66" t="s">
        <v>1011</v>
      </c>
      <c r="B1428" s="66" t="s">
        <v>1476</v>
      </c>
      <c r="C1428" s="67"/>
      <c r="D1428" s="68"/>
      <c r="E1428" s="69"/>
      <c r="F1428" s="70"/>
      <c r="G1428" s="67"/>
      <c r="H1428" s="71"/>
      <c r="I1428" s="72"/>
      <c r="J1428" s="72"/>
      <c r="K1428" s="36"/>
      <c r="L1428" s="79"/>
      <c r="M1428" s="79"/>
      <c r="N1428" s="74"/>
      <c r="O1428" s="81" t="s">
        <v>1534</v>
      </c>
      <c r="P1428" s="83">
        <v>44466.072141203702</v>
      </c>
      <c r="Q1428" s="81" t="s">
        <v>2031</v>
      </c>
      <c r="R1428" s="81"/>
      <c r="S1428" s="81"/>
      <c r="T1428" s="81"/>
      <c r="U1428" s="81"/>
      <c r="V1428" s="84" t="str">
        <f>HYPERLINK("https://pbs.twimg.com/profile_images/1258369905016975361/BuhU3A0Q_normal.jpg")</f>
        <v>https://pbs.twimg.com/profile_images/1258369905016975361/BuhU3A0Q_normal.jpg</v>
      </c>
      <c r="W1428" s="83">
        <v>44466.072141203702</v>
      </c>
      <c r="X1428" s="89">
        <v>44466</v>
      </c>
      <c r="Y1428" s="86" t="s">
        <v>3680</v>
      </c>
      <c r="Z1428" s="84" t="str">
        <f>HYPERLINK("https://twitter.com/along_pura/status/1442303950221312001")</f>
        <v>https://twitter.com/along_pura/status/1442303950221312001</v>
      </c>
      <c r="AA1428" s="81"/>
      <c r="AB1428" s="81"/>
      <c r="AC1428" s="86" t="s">
        <v>5147</v>
      </c>
      <c r="AD1428" s="86" t="s">
        <v>6162</v>
      </c>
      <c r="AE1428" s="81" t="b">
        <v>0</v>
      </c>
      <c r="AF1428" s="81">
        <v>0</v>
      </c>
      <c r="AG1428" s="86" t="s">
        <v>6412</v>
      </c>
      <c r="AH1428" s="81" t="b">
        <v>0</v>
      </c>
      <c r="AI1428" s="81" t="s">
        <v>6478</v>
      </c>
      <c r="AJ1428" s="81"/>
      <c r="AK1428" s="86" t="s">
        <v>6240</v>
      </c>
      <c r="AL1428" s="81" t="b">
        <v>0</v>
      </c>
      <c r="AM1428" s="81">
        <v>0</v>
      </c>
      <c r="AN1428" s="86" t="s">
        <v>6240</v>
      </c>
      <c r="AO1428" s="86" t="s">
        <v>6503</v>
      </c>
      <c r="AP1428" s="81" t="b">
        <v>0</v>
      </c>
      <c r="AQ1428" s="86" t="s">
        <v>6162</v>
      </c>
      <c r="AR1428" s="81" t="s">
        <v>179</v>
      </c>
      <c r="AS1428" s="81">
        <v>0</v>
      </c>
      <c r="AT1428" s="81">
        <v>0</v>
      </c>
      <c r="AU1428" s="81"/>
      <c r="AV1428" s="81"/>
      <c r="AW1428" s="81"/>
      <c r="AX1428" s="81"/>
      <c r="AY1428" s="81"/>
      <c r="AZ1428" s="81"/>
      <c r="BA1428" s="81"/>
      <c r="BB1428" s="81"/>
    </row>
    <row r="1429" spans="1:54" x14ac:dyDescent="0.35">
      <c r="A1429" s="66" t="s">
        <v>1011</v>
      </c>
      <c r="B1429" s="66" t="s">
        <v>1477</v>
      </c>
      <c r="C1429" s="67"/>
      <c r="D1429" s="68"/>
      <c r="E1429" s="69"/>
      <c r="F1429" s="70"/>
      <c r="G1429" s="67"/>
      <c r="H1429" s="71"/>
      <c r="I1429" s="72"/>
      <c r="J1429" s="72"/>
      <c r="K1429" s="36"/>
      <c r="L1429" s="79"/>
      <c r="M1429" s="79"/>
      <c r="N1429" s="74"/>
      <c r="O1429" s="81" t="s">
        <v>1535</v>
      </c>
      <c r="P1429" s="83">
        <v>44466.072939814818</v>
      </c>
      <c r="Q1429" s="81" t="s">
        <v>2032</v>
      </c>
      <c r="R1429" s="81"/>
      <c r="S1429" s="81"/>
      <c r="T1429" s="81"/>
      <c r="U1429" s="81"/>
      <c r="V1429" s="84" t="str">
        <f>HYPERLINK("https://pbs.twimg.com/profile_images/1258369905016975361/BuhU3A0Q_normal.jpg")</f>
        <v>https://pbs.twimg.com/profile_images/1258369905016975361/BuhU3A0Q_normal.jpg</v>
      </c>
      <c r="W1429" s="83">
        <v>44466.072939814818</v>
      </c>
      <c r="X1429" s="89">
        <v>44466</v>
      </c>
      <c r="Y1429" s="86" t="s">
        <v>3681</v>
      </c>
      <c r="Z1429" s="84" t="str">
        <f>HYPERLINK("https://twitter.com/along_pura/status/1442304240706154497")</f>
        <v>https://twitter.com/along_pura/status/1442304240706154497</v>
      </c>
      <c r="AA1429" s="81"/>
      <c r="AB1429" s="81"/>
      <c r="AC1429" s="86" t="s">
        <v>5148</v>
      </c>
      <c r="AD1429" s="86" t="s">
        <v>6163</v>
      </c>
      <c r="AE1429" s="81" t="b">
        <v>0</v>
      </c>
      <c r="AF1429" s="81">
        <v>0</v>
      </c>
      <c r="AG1429" s="86" t="s">
        <v>6413</v>
      </c>
      <c r="AH1429" s="81" t="b">
        <v>0</v>
      </c>
      <c r="AI1429" s="81" t="s">
        <v>6478</v>
      </c>
      <c r="AJ1429" s="81"/>
      <c r="AK1429" s="86" t="s">
        <v>6240</v>
      </c>
      <c r="AL1429" s="81" t="b">
        <v>0</v>
      </c>
      <c r="AM1429" s="81">
        <v>0</v>
      </c>
      <c r="AN1429" s="86" t="s">
        <v>6240</v>
      </c>
      <c r="AO1429" s="86" t="s">
        <v>6503</v>
      </c>
      <c r="AP1429" s="81" t="b">
        <v>0</v>
      </c>
      <c r="AQ1429" s="86" t="s">
        <v>6163</v>
      </c>
      <c r="AR1429" s="81" t="s">
        <v>179</v>
      </c>
      <c r="AS1429" s="81">
        <v>0</v>
      </c>
      <c r="AT1429" s="81">
        <v>0</v>
      </c>
      <c r="AU1429" s="81"/>
      <c r="AV1429" s="81"/>
      <c r="AW1429" s="81"/>
      <c r="AX1429" s="81"/>
      <c r="AY1429" s="81"/>
      <c r="AZ1429" s="81"/>
      <c r="BA1429" s="81"/>
      <c r="BB1429" s="81"/>
    </row>
    <row r="1430" spans="1:54" x14ac:dyDescent="0.35">
      <c r="A1430" s="66" t="s">
        <v>1011</v>
      </c>
      <c r="B1430" s="66" t="s">
        <v>1478</v>
      </c>
      <c r="C1430" s="67"/>
      <c r="D1430" s="68"/>
      <c r="E1430" s="69"/>
      <c r="F1430" s="70"/>
      <c r="G1430" s="67"/>
      <c r="H1430" s="71"/>
      <c r="I1430" s="72"/>
      <c r="J1430" s="72"/>
      <c r="K1430" s="36"/>
      <c r="L1430" s="79"/>
      <c r="M1430" s="79"/>
      <c r="N1430" s="74"/>
      <c r="O1430" s="81" t="s">
        <v>1534</v>
      </c>
      <c r="P1430" s="83">
        <v>44466.072939814818</v>
      </c>
      <c r="Q1430" s="81" t="s">
        <v>2032</v>
      </c>
      <c r="R1430" s="81"/>
      <c r="S1430" s="81"/>
      <c r="T1430" s="81"/>
      <c r="U1430" s="81"/>
      <c r="V1430" s="84" t="str">
        <f>HYPERLINK("https://pbs.twimg.com/profile_images/1258369905016975361/BuhU3A0Q_normal.jpg")</f>
        <v>https://pbs.twimg.com/profile_images/1258369905016975361/BuhU3A0Q_normal.jpg</v>
      </c>
      <c r="W1430" s="83">
        <v>44466.072939814818</v>
      </c>
      <c r="X1430" s="89">
        <v>44466</v>
      </c>
      <c r="Y1430" s="86" t="s">
        <v>3681</v>
      </c>
      <c r="Z1430" s="84" t="str">
        <f>HYPERLINK("https://twitter.com/along_pura/status/1442304240706154497")</f>
        <v>https://twitter.com/along_pura/status/1442304240706154497</v>
      </c>
      <c r="AA1430" s="81"/>
      <c r="AB1430" s="81"/>
      <c r="AC1430" s="86" t="s">
        <v>5148</v>
      </c>
      <c r="AD1430" s="86" t="s">
        <v>6163</v>
      </c>
      <c r="AE1430" s="81" t="b">
        <v>0</v>
      </c>
      <c r="AF1430" s="81">
        <v>0</v>
      </c>
      <c r="AG1430" s="86" t="s">
        <v>6413</v>
      </c>
      <c r="AH1430" s="81" t="b">
        <v>0</v>
      </c>
      <c r="AI1430" s="81" t="s">
        <v>6478</v>
      </c>
      <c r="AJ1430" s="81"/>
      <c r="AK1430" s="86" t="s">
        <v>6240</v>
      </c>
      <c r="AL1430" s="81" t="b">
        <v>0</v>
      </c>
      <c r="AM1430" s="81">
        <v>0</v>
      </c>
      <c r="AN1430" s="86" t="s">
        <v>6240</v>
      </c>
      <c r="AO1430" s="86" t="s">
        <v>6503</v>
      </c>
      <c r="AP1430" s="81" t="b">
        <v>0</v>
      </c>
      <c r="AQ1430" s="86" t="s">
        <v>6163</v>
      </c>
      <c r="AR1430" s="81" t="s">
        <v>179</v>
      </c>
      <c r="AS1430" s="81">
        <v>0</v>
      </c>
      <c r="AT1430" s="81">
        <v>0</v>
      </c>
      <c r="AU1430" s="81"/>
      <c r="AV1430" s="81"/>
      <c r="AW1430" s="81"/>
      <c r="AX1430" s="81"/>
      <c r="AY1430" s="81"/>
      <c r="AZ1430" s="81"/>
      <c r="BA1430" s="81"/>
      <c r="BB1430" s="81"/>
    </row>
    <row r="1431" spans="1:54" x14ac:dyDescent="0.35">
      <c r="A1431" s="66" t="s">
        <v>1011</v>
      </c>
      <c r="B1431" s="66" t="s">
        <v>1479</v>
      </c>
      <c r="C1431" s="67"/>
      <c r="D1431" s="68"/>
      <c r="E1431" s="69"/>
      <c r="F1431" s="70"/>
      <c r="G1431" s="67"/>
      <c r="H1431" s="71"/>
      <c r="I1431" s="72"/>
      <c r="J1431" s="72"/>
      <c r="K1431" s="36"/>
      <c r="L1431" s="79"/>
      <c r="M1431" s="79"/>
      <c r="N1431" s="74"/>
      <c r="O1431" s="81" t="s">
        <v>1534</v>
      </c>
      <c r="P1431" s="83">
        <v>44466.073182870372</v>
      </c>
      <c r="Q1431" s="81" t="s">
        <v>2033</v>
      </c>
      <c r="R1431" s="81"/>
      <c r="S1431" s="81"/>
      <c r="T1431" s="81"/>
      <c r="U1431" s="81"/>
      <c r="V1431" s="84" t="str">
        <f>HYPERLINK("https://pbs.twimg.com/profile_images/1258369905016975361/BuhU3A0Q_normal.jpg")</f>
        <v>https://pbs.twimg.com/profile_images/1258369905016975361/BuhU3A0Q_normal.jpg</v>
      </c>
      <c r="W1431" s="83">
        <v>44466.073182870372</v>
      </c>
      <c r="X1431" s="89">
        <v>44466</v>
      </c>
      <c r="Y1431" s="86" t="s">
        <v>3682</v>
      </c>
      <c r="Z1431" s="84" t="str">
        <f>HYPERLINK("https://twitter.com/along_pura/status/1442304331286417411")</f>
        <v>https://twitter.com/along_pura/status/1442304331286417411</v>
      </c>
      <c r="AA1431" s="81"/>
      <c r="AB1431" s="81"/>
      <c r="AC1431" s="86" t="s">
        <v>5149</v>
      </c>
      <c r="AD1431" s="86" t="s">
        <v>6164</v>
      </c>
      <c r="AE1431" s="81" t="b">
        <v>0</v>
      </c>
      <c r="AF1431" s="81">
        <v>0</v>
      </c>
      <c r="AG1431" s="86" t="s">
        <v>6414</v>
      </c>
      <c r="AH1431" s="81" t="b">
        <v>0</v>
      </c>
      <c r="AI1431" s="81" t="s">
        <v>6478</v>
      </c>
      <c r="AJ1431" s="81"/>
      <c r="AK1431" s="86" t="s">
        <v>6240</v>
      </c>
      <c r="AL1431" s="81" t="b">
        <v>0</v>
      </c>
      <c r="AM1431" s="81">
        <v>0</v>
      </c>
      <c r="AN1431" s="86" t="s">
        <v>6240</v>
      </c>
      <c r="AO1431" s="86" t="s">
        <v>6503</v>
      </c>
      <c r="AP1431" s="81" t="b">
        <v>0</v>
      </c>
      <c r="AQ1431" s="86" t="s">
        <v>6164</v>
      </c>
      <c r="AR1431" s="81" t="s">
        <v>179</v>
      </c>
      <c r="AS1431" s="81">
        <v>0</v>
      </c>
      <c r="AT1431" s="81">
        <v>0</v>
      </c>
      <c r="AU1431" s="81"/>
      <c r="AV1431" s="81"/>
      <c r="AW1431" s="81"/>
      <c r="AX1431" s="81"/>
      <c r="AY1431" s="81"/>
      <c r="AZ1431" s="81"/>
      <c r="BA1431" s="81"/>
      <c r="BB1431" s="81"/>
    </row>
    <row r="1432" spans="1:54" x14ac:dyDescent="0.35">
      <c r="A1432" s="66" t="s">
        <v>1011</v>
      </c>
      <c r="B1432" s="66" t="s">
        <v>1480</v>
      </c>
      <c r="C1432" s="67"/>
      <c r="D1432" s="68"/>
      <c r="E1432" s="69"/>
      <c r="F1432" s="70"/>
      <c r="G1432" s="67"/>
      <c r="H1432" s="71"/>
      <c r="I1432" s="72"/>
      <c r="J1432" s="72"/>
      <c r="K1432" s="36"/>
      <c r="L1432" s="79"/>
      <c r="M1432" s="79"/>
      <c r="N1432" s="74"/>
      <c r="O1432" s="81" t="s">
        <v>1535</v>
      </c>
      <c r="P1432" s="83">
        <v>44466.074131944442</v>
      </c>
      <c r="Q1432" s="81" t="s">
        <v>2034</v>
      </c>
      <c r="R1432" s="81"/>
      <c r="S1432" s="81"/>
      <c r="T1432" s="81"/>
      <c r="U1432" s="81"/>
      <c r="V1432" s="84" t="str">
        <f>HYPERLINK("https://pbs.twimg.com/profile_images/1258369905016975361/BuhU3A0Q_normal.jpg")</f>
        <v>https://pbs.twimg.com/profile_images/1258369905016975361/BuhU3A0Q_normal.jpg</v>
      </c>
      <c r="W1432" s="83">
        <v>44466.074131944442</v>
      </c>
      <c r="X1432" s="89">
        <v>44466</v>
      </c>
      <c r="Y1432" s="86" t="s">
        <v>3683</v>
      </c>
      <c r="Z1432" s="84" t="str">
        <f>HYPERLINK("https://twitter.com/along_pura/status/1442304671318614018")</f>
        <v>https://twitter.com/along_pura/status/1442304671318614018</v>
      </c>
      <c r="AA1432" s="81"/>
      <c r="AB1432" s="81"/>
      <c r="AC1432" s="86" t="s">
        <v>5150</v>
      </c>
      <c r="AD1432" s="86" t="s">
        <v>6165</v>
      </c>
      <c r="AE1432" s="81" t="b">
        <v>0</v>
      </c>
      <c r="AF1432" s="81">
        <v>0</v>
      </c>
      <c r="AG1432" s="86" t="s">
        <v>6415</v>
      </c>
      <c r="AH1432" s="81" t="b">
        <v>0</v>
      </c>
      <c r="AI1432" s="81" t="s">
        <v>6478</v>
      </c>
      <c r="AJ1432" s="81"/>
      <c r="AK1432" s="86" t="s">
        <v>6240</v>
      </c>
      <c r="AL1432" s="81" t="b">
        <v>0</v>
      </c>
      <c r="AM1432" s="81">
        <v>0</v>
      </c>
      <c r="AN1432" s="86" t="s">
        <v>6240</v>
      </c>
      <c r="AO1432" s="86" t="s">
        <v>6503</v>
      </c>
      <c r="AP1432" s="81" t="b">
        <v>0</v>
      </c>
      <c r="AQ1432" s="86" t="s">
        <v>6165</v>
      </c>
      <c r="AR1432" s="81" t="s">
        <v>179</v>
      </c>
      <c r="AS1432" s="81">
        <v>0</v>
      </c>
      <c r="AT1432" s="81">
        <v>0</v>
      </c>
      <c r="AU1432" s="81"/>
      <c r="AV1432" s="81"/>
      <c r="AW1432" s="81"/>
      <c r="AX1432" s="81"/>
      <c r="AY1432" s="81"/>
      <c r="AZ1432" s="81"/>
      <c r="BA1432" s="81"/>
      <c r="BB1432" s="81"/>
    </row>
    <row r="1433" spans="1:54" x14ac:dyDescent="0.35">
      <c r="A1433" s="66" t="s">
        <v>1011</v>
      </c>
      <c r="B1433" s="66" t="s">
        <v>1481</v>
      </c>
      <c r="C1433" s="67"/>
      <c r="D1433" s="68"/>
      <c r="E1433" s="69"/>
      <c r="F1433" s="70"/>
      <c r="G1433" s="67"/>
      <c r="H1433" s="71"/>
      <c r="I1433" s="72"/>
      <c r="J1433" s="72"/>
      <c r="K1433" s="36"/>
      <c r="L1433" s="79"/>
      <c r="M1433" s="79"/>
      <c r="N1433" s="74"/>
      <c r="O1433" s="81" t="s">
        <v>1535</v>
      </c>
      <c r="P1433" s="83">
        <v>44466.074131944442</v>
      </c>
      <c r="Q1433" s="81" t="s">
        <v>2034</v>
      </c>
      <c r="R1433" s="81"/>
      <c r="S1433" s="81"/>
      <c r="T1433" s="81"/>
      <c r="U1433" s="81"/>
      <c r="V1433" s="84" t="str">
        <f>HYPERLINK("https://pbs.twimg.com/profile_images/1258369905016975361/BuhU3A0Q_normal.jpg")</f>
        <v>https://pbs.twimg.com/profile_images/1258369905016975361/BuhU3A0Q_normal.jpg</v>
      </c>
      <c r="W1433" s="83">
        <v>44466.074131944442</v>
      </c>
      <c r="X1433" s="89">
        <v>44466</v>
      </c>
      <c r="Y1433" s="86" t="s">
        <v>3683</v>
      </c>
      <c r="Z1433" s="84" t="str">
        <f>HYPERLINK("https://twitter.com/along_pura/status/1442304671318614018")</f>
        <v>https://twitter.com/along_pura/status/1442304671318614018</v>
      </c>
      <c r="AA1433" s="81"/>
      <c r="AB1433" s="81"/>
      <c r="AC1433" s="86" t="s">
        <v>5150</v>
      </c>
      <c r="AD1433" s="86" t="s">
        <v>6165</v>
      </c>
      <c r="AE1433" s="81" t="b">
        <v>0</v>
      </c>
      <c r="AF1433" s="81">
        <v>0</v>
      </c>
      <c r="AG1433" s="86" t="s">
        <v>6415</v>
      </c>
      <c r="AH1433" s="81" t="b">
        <v>0</v>
      </c>
      <c r="AI1433" s="81" t="s">
        <v>6478</v>
      </c>
      <c r="AJ1433" s="81"/>
      <c r="AK1433" s="86" t="s">
        <v>6240</v>
      </c>
      <c r="AL1433" s="81" t="b">
        <v>0</v>
      </c>
      <c r="AM1433" s="81">
        <v>0</v>
      </c>
      <c r="AN1433" s="86" t="s">
        <v>6240</v>
      </c>
      <c r="AO1433" s="86" t="s">
        <v>6503</v>
      </c>
      <c r="AP1433" s="81" t="b">
        <v>0</v>
      </c>
      <c r="AQ1433" s="86" t="s">
        <v>6165</v>
      </c>
      <c r="AR1433" s="81" t="s">
        <v>179</v>
      </c>
      <c r="AS1433" s="81">
        <v>0</v>
      </c>
      <c r="AT1433" s="81">
        <v>0</v>
      </c>
      <c r="AU1433" s="81"/>
      <c r="AV1433" s="81"/>
      <c r="AW1433" s="81"/>
      <c r="AX1433" s="81"/>
      <c r="AY1433" s="81"/>
      <c r="AZ1433" s="81"/>
      <c r="BA1433" s="81"/>
      <c r="BB1433" s="81"/>
    </row>
    <row r="1434" spans="1:54" x14ac:dyDescent="0.35">
      <c r="A1434" s="66" t="s">
        <v>1011</v>
      </c>
      <c r="B1434" s="66" t="s">
        <v>1482</v>
      </c>
      <c r="C1434" s="67"/>
      <c r="D1434" s="68"/>
      <c r="E1434" s="69"/>
      <c r="F1434" s="70"/>
      <c r="G1434" s="67"/>
      <c r="H1434" s="71"/>
      <c r="I1434" s="72"/>
      <c r="J1434" s="72"/>
      <c r="K1434" s="36"/>
      <c r="L1434" s="79"/>
      <c r="M1434" s="79"/>
      <c r="N1434" s="74"/>
      <c r="O1434" s="81" t="s">
        <v>1534</v>
      </c>
      <c r="P1434" s="83">
        <v>44466.074131944442</v>
      </c>
      <c r="Q1434" s="81" t="s">
        <v>2034</v>
      </c>
      <c r="R1434" s="81"/>
      <c r="S1434" s="81"/>
      <c r="T1434" s="81"/>
      <c r="U1434" s="81"/>
      <c r="V1434" s="84" t="str">
        <f>HYPERLINK("https://pbs.twimg.com/profile_images/1258369905016975361/BuhU3A0Q_normal.jpg")</f>
        <v>https://pbs.twimg.com/profile_images/1258369905016975361/BuhU3A0Q_normal.jpg</v>
      </c>
      <c r="W1434" s="83">
        <v>44466.074131944442</v>
      </c>
      <c r="X1434" s="89">
        <v>44466</v>
      </c>
      <c r="Y1434" s="86" t="s">
        <v>3683</v>
      </c>
      <c r="Z1434" s="84" t="str">
        <f>HYPERLINK("https://twitter.com/along_pura/status/1442304671318614018")</f>
        <v>https://twitter.com/along_pura/status/1442304671318614018</v>
      </c>
      <c r="AA1434" s="81"/>
      <c r="AB1434" s="81"/>
      <c r="AC1434" s="86" t="s">
        <v>5150</v>
      </c>
      <c r="AD1434" s="86" t="s">
        <v>6165</v>
      </c>
      <c r="AE1434" s="81" t="b">
        <v>0</v>
      </c>
      <c r="AF1434" s="81">
        <v>0</v>
      </c>
      <c r="AG1434" s="86" t="s">
        <v>6415</v>
      </c>
      <c r="AH1434" s="81" t="b">
        <v>0</v>
      </c>
      <c r="AI1434" s="81" t="s">
        <v>6478</v>
      </c>
      <c r="AJ1434" s="81"/>
      <c r="AK1434" s="86" t="s">
        <v>6240</v>
      </c>
      <c r="AL1434" s="81" t="b">
        <v>0</v>
      </c>
      <c r="AM1434" s="81">
        <v>0</v>
      </c>
      <c r="AN1434" s="86" t="s">
        <v>6240</v>
      </c>
      <c r="AO1434" s="86" t="s">
        <v>6503</v>
      </c>
      <c r="AP1434" s="81" t="b">
        <v>0</v>
      </c>
      <c r="AQ1434" s="86" t="s">
        <v>6165</v>
      </c>
      <c r="AR1434" s="81" t="s">
        <v>179</v>
      </c>
      <c r="AS1434" s="81">
        <v>0</v>
      </c>
      <c r="AT1434" s="81">
        <v>0</v>
      </c>
      <c r="AU1434" s="81"/>
      <c r="AV1434" s="81"/>
      <c r="AW1434" s="81"/>
      <c r="AX1434" s="81"/>
      <c r="AY1434" s="81"/>
      <c r="AZ1434" s="81"/>
      <c r="BA1434" s="81"/>
      <c r="BB1434" s="81"/>
    </row>
    <row r="1435" spans="1:54" x14ac:dyDescent="0.35">
      <c r="A1435" s="66" t="s">
        <v>1011</v>
      </c>
      <c r="B1435" s="66" t="s">
        <v>1483</v>
      </c>
      <c r="C1435" s="67"/>
      <c r="D1435" s="68"/>
      <c r="E1435" s="69"/>
      <c r="F1435" s="70"/>
      <c r="G1435" s="67"/>
      <c r="H1435" s="71"/>
      <c r="I1435" s="72"/>
      <c r="J1435" s="72"/>
      <c r="K1435" s="36"/>
      <c r="L1435" s="79"/>
      <c r="M1435" s="79"/>
      <c r="N1435" s="74"/>
      <c r="O1435" s="81" t="s">
        <v>1534</v>
      </c>
      <c r="P1435" s="83">
        <v>44466.074131944442</v>
      </c>
      <c r="Q1435" s="81" t="s">
        <v>2035</v>
      </c>
      <c r="R1435" s="81"/>
      <c r="S1435" s="81"/>
      <c r="T1435" s="81"/>
      <c r="U1435" s="81"/>
      <c r="V1435" s="84" t="str">
        <f>HYPERLINK("https://pbs.twimg.com/profile_images/1258369905016975361/BuhU3A0Q_normal.jpg")</f>
        <v>https://pbs.twimg.com/profile_images/1258369905016975361/BuhU3A0Q_normal.jpg</v>
      </c>
      <c r="W1435" s="83">
        <v>44466.074131944442</v>
      </c>
      <c r="X1435" s="89">
        <v>44466</v>
      </c>
      <c r="Y1435" s="86" t="s">
        <v>3683</v>
      </c>
      <c r="Z1435" s="84" t="str">
        <f>HYPERLINK("https://twitter.com/along_pura/status/1442304672123867136")</f>
        <v>https://twitter.com/along_pura/status/1442304672123867136</v>
      </c>
      <c r="AA1435" s="81"/>
      <c r="AB1435" s="81"/>
      <c r="AC1435" s="86" t="s">
        <v>5151</v>
      </c>
      <c r="AD1435" s="86" t="s">
        <v>6166</v>
      </c>
      <c r="AE1435" s="81" t="b">
        <v>0</v>
      </c>
      <c r="AF1435" s="81">
        <v>0</v>
      </c>
      <c r="AG1435" s="86" t="s">
        <v>6416</v>
      </c>
      <c r="AH1435" s="81" t="b">
        <v>0</v>
      </c>
      <c r="AI1435" s="81" t="s">
        <v>6478</v>
      </c>
      <c r="AJ1435" s="81"/>
      <c r="AK1435" s="86" t="s">
        <v>6240</v>
      </c>
      <c r="AL1435" s="81" t="b">
        <v>0</v>
      </c>
      <c r="AM1435" s="81">
        <v>0</v>
      </c>
      <c r="AN1435" s="86" t="s">
        <v>6240</v>
      </c>
      <c r="AO1435" s="86" t="s">
        <v>6503</v>
      </c>
      <c r="AP1435" s="81" t="b">
        <v>0</v>
      </c>
      <c r="AQ1435" s="86" t="s">
        <v>6166</v>
      </c>
      <c r="AR1435" s="81" t="s">
        <v>179</v>
      </c>
      <c r="AS1435" s="81">
        <v>0</v>
      </c>
      <c r="AT1435" s="81">
        <v>0</v>
      </c>
      <c r="AU1435" s="81"/>
      <c r="AV1435" s="81"/>
      <c r="AW1435" s="81"/>
      <c r="AX1435" s="81"/>
      <c r="AY1435" s="81"/>
      <c r="AZ1435" s="81"/>
      <c r="BA1435" s="81"/>
      <c r="BB1435" s="81"/>
    </row>
    <row r="1436" spans="1:54" x14ac:dyDescent="0.35">
      <c r="A1436" s="66" t="s">
        <v>1011</v>
      </c>
      <c r="B1436" s="66" t="s">
        <v>1484</v>
      </c>
      <c r="C1436" s="67"/>
      <c r="D1436" s="68"/>
      <c r="E1436" s="69"/>
      <c r="F1436" s="70"/>
      <c r="G1436" s="67"/>
      <c r="H1436" s="71"/>
      <c r="I1436" s="72"/>
      <c r="J1436" s="72"/>
      <c r="K1436" s="36"/>
      <c r="L1436" s="79"/>
      <c r="M1436" s="79"/>
      <c r="N1436" s="74"/>
      <c r="O1436" s="81" t="s">
        <v>1534</v>
      </c>
      <c r="P1436" s="83">
        <v>44466.07435185185</v>
      </c>
      <c r="Q1436" s="81" t="s">
        <v>2036</v>
      </c>
      <c r="R1436" s="81"/>
      <c r="S1436" s="81"/>
      <c r="T1436" s="81"/>
      <c r="U1436" s="81"/>
      <c r="V1436" s="84" t="str">
        <f>HYPERLINK("https://pbs.twimg.com/profile_images/1258369905016975361/BuhU3A0Q_normal.jpg")</f>
        <v>https://pbs.twimg.com/profile_images/1258369905016975361/BuhU3A0Q_normal.jpg</v>
      </c>
      <c r="W1436" s="83">
        <v>44466.07435185185</v>
      </c>
      <c r="X1436" s="89">
        <v>44466</v>
      </c>
      <c r="Y1436" s="86" t="s">
        <v>3684</v>
      </c>
      <c r="Z1436" s="84" t="str">
        <f>HYPERLINK("https://twitter.com/along_pura/status/1442304751937282049")</f>
        <v>https://twitter.com/along_pura/status/1442304751937282049</v>
      </c>
      <c r="AA1436" s="81"/>
      <c r="AB1436" s="81"/>
      <c r="AC1436" s="86" t="s">
        <v>5152</v>
      </c>
      <c r="AD1436" s="86" t="s">
        <v>6167</v>
      </c>
      <c r="AE1436" s="81" t="b">
        <v>0</v>
      </c>
      <c r="AF1436" s="81">
        <v>0</v>
      </c>
      <c r="AG1436" s="86" t="s">
        <v>6417</v>
      </c>
      <c r="AH1436" s="81" t="b">
        <v>0</v>
      </c>
      <c r="AI1436" s="81" t="s">
        <v>6478</v>
      </c>
      <c r="AJ1436" s="81"/>
      <c r="AK1436" s="86" t="s">
        <v>6240</v>
      </c>
      <c r="AL1436" s="81" t="b">
        <v>0</v>
      </c>
      <c r="AM1436" s="81">
        <v>0</v>
      </c>
      <c r="AN1436" s="86" t="s">
        <v>6240</v>
      </c>
      <c r="AO1436" s="86" t="s">
        <v>6503</v>
      </c>
      <c r="AP1436" s="81" t="b">
        <v>0</v>
      </c>
      <c r="AQ1436" s="86" t="s">
        <v>6167</v>
      </c>
      <c r="AR1436" s="81" t="s">
        <v>179</v>
      </c>
      <c r="AS1436" s="81">
        <v>0</v>
      </c>
      <c r="AT1436" s="81">
        <v>0</v>
      </c>
      <c r="AU1436" s="81"/>
      <c r="AV1436" s="81"/>
      <c r="AW1436" s="81"/>
      <c r="AX1436" s="81"/>
      <c r="AY1436" s="81"/>
      <c r="AZ1436" s="81"/>
      <c r="BA1436" s="81"/>
      <c r="BB1436" s="81"/>
    </row>
    <row r="1437" spans="1:54" x14ac:dyDescent="0.35">
      <c r="A1437" s="66" t="s">
        <v>1012</v>
      </c>
      <c r="B1437" s="66" t="s">
        <v>1191</v>
      </c>
      <c r="C1437" s="67"/>
      <c r="D1437" s="68"/>
      <c r="E1437" s="69"/>
      <c r="F1437" s="70"/>
      <c r="G1437" s="67"/>
      <c r="H1437" s="71"/>
      <c r="I1437" s="72"/>
      <c r="J1437" s="72"/>
      <c r="K1437" s="36"/>
      <c r="L1437" s="79"/>
      <c r="M1437" s="79"/>
      <c r="N1437" s="74"/>
      <c r="O1437" s="81" t="s">
        <v>1532</v>
      </c>
      <c r="P1437" s="83">
        <v>44466.081828703704</v>
      </c>
      <c r="Q1437" s="81" t="s">
        <v>2019</v>
      </c>
      <c r="R1437" s="81"/>
      <c r="S1437" s="81"/>
      <c r="T1437" s="81"/>
      <c r="U1437" s="84" t="str">
        <f>HYPERLINK("https://pbs.twimg.com/media/FAQNEUJVQAotLIN.jpg")</f>
        <v>https://pbs.twimg.com/media/FAQNEUJVQAotLIN.jpg</v>
      </c>
      <c r="V1437" s="84" t="str">
        <f>HYPERLINK("https://pbs.twimg.com/media/FAQNEUJVQAotLIN.jpg")</f>
        <v>https://pbs.twimg.com/media/FAQNEUJVQAotLIN.jpg</v>
      </c>
      <c r="W1437" s="83">
        <v>44466.081828703704</v>
      </c>
      <c r="X1437" s="89">
        <v>44466</v>
      </c>
      <c r="Y1437" s="86" t="s">
        <v>3685</v>
      </c>
      <c r="Z1437" s="84" t="str">
        <f>HYPERLINK("https://twitter.com/sur_dchuvalier/status/1442307462694985728")</f>
        <v>https://twitter.com/sur_dchuvalier/status/1442307462694985728</v>
      </c>
      <c r="AA1437" s="81"/>
      <c r="AB1437" s="81"/>
      <c r="AC1437" s="86" t="s">
        <v>5153</v>
      </c>
      <c r="AD1437" s="81"/>
      <c r="AE1437" s="81" t="b">
        <v>0</v>
      </c>
      <c r="AF1437" s="81">
        <v>0</v>
      </c>
      <c r="AG1437" s="86" t="s">
        <v>6240</v>
      </c>
      <c r="AH1437" s="81" t="b">
        <v>0</v>
      </c>
      <c r="AI1437" s="81" t="s">
        <v>6478</v>
      </c>
      <c r="AJ1437" s="81"/>
      <c r="AK1437" s="86" t="s">
        <v>6240</v>
      </c>
      <c r="AL1437" s="81" t="b">
        <v>0</v>
      </c>
      <c r="AM1437" s="81">
        <v>8</v>
      </c>
      <c r="AN1437" s="86" t="s">
        <v>5384</v>
      </c>
      <c r="AO1437" s="86" t="s">
        <v>6503</v>
      </c>
      <c r="AP1437" s="81" t="b">
        <v>0</v>
      </c>
      <c r="AQ1437" s="86" t="s">
        <v>5384</v>
      </c>
      <c r="AR1437" s="81" t="s">
        <v>179</v>
      </c>
      <c r="AS1437" s="81">
        <v>0</v>
      </c>
      <c r="AT1437" s="81">
        <v>0</v>
      </c>
      <c r="AU1437" s="81"/>
      <c r="AV1437" s="81"/>
      <c r="AW1437" s="81"/>
      <c r="AX1437" s="81"/>
      <c r="AY1437" s="81"/>
      <c r="AZ1437" s="81"/>
      <c r="BA1437" s="81"/>
      <c r="BB1437" s="81"/>
    </row>
    <row r="1438" spans="1:54" x14ac:dyDescent="0.35">
      <c r="A1438" s="66" t="s">
        <v>1013</v>
      </c>
      <c r="B1438" s="66" t="s">
        <v>1191</v>
      </c>
      <c r="C1438" s="67"/>
      <c r="D1438" s="68"/>
      <c r="E1438" s="69"/>
      <c r="F1438" s="70"/>
      <c r="G1438" s="67"/>
      <c r="H1438" s="71"/>
      <c r="I1438" s="72"/>
      <c r="J1438" s="72"/>
      <c r="K1438" s="36"/>
      <c r="L1438" s="79"/>
      <c r="M1438" s="79"/>
      <c r="N1438" s="74"/>
      <c r="O1438" s="81" t="s">
        <v>1532</v>
      </c>
      <c r="P1438" s="83">
        <v>44466.096886574072</v>
      </c>
      <c r="Q1438" s="81" t="s">
        <v>2019</v>
      </c>
      <c r="R1438" s="81"/>
      <c r="S1438" s="81"/>
      <c r="T1438" s="81"/>
      <c r="U1438" s="84" t="str">
        <f>HYPERLINK("https://pbs.twimg.com/media/FAQNEUJVQAotLIN.jpg")</f>
        <v>https://pbs.twimg.com/media/FAQNEUJVQAotLIN.jpg</v>
      </c>
      <c r="V1438" s="84" t="str">
        <f>HYPERLINK("https://pbs.twimg.com/media/FAQNEUJVQAotLIN.jpg")</f>
        <v>https://pbs.twimg.com/media/FAQNEUJVQAotLIN.jpg</v>
      </c>
      <c r="W1438" s="83">
        <v>44466.096886574072</v>
      </c>
      <c r="X1438" s="89">
        <v>44466</v>
      </c>
      <c r="Y1438" s="86" t="s">
        <v>3686</v>
      </c>
      <c r="Z1438" s="84" t="str">
        <f>HYPERLINK("https://twitter.com/kominfosumbar/status/1442312919526510594")</f>
        <v>https://twitter.com/kominfosumbar/status/1442312919526510594</v>
      </c>
      <c r="AA1438" s="81"/>
      <c r="AB1438" s="81"/>
      <c r="AC1438" s="86" t="s">
        <v>5154</v>
      </c>
      <c r="AD1438" s="81"/>
      <c r="AE1438" s="81" t="b">
        <v>0</v>
      </c>
      <c r="AF1438" s="81">
        <v>0</v>
      </c>
      <c r="AG1438" s="86" t="s">
        <v>6240</v>
      </c>
      <c r="AH1438" s="81" t="b">
        <v>0</v>
      </c>
      <c r="AI1438" s="81" t="s">
        <v>6478</v>
      </c>
      <c r="AJ1438" s="81"/>
      <c r="AK1438" s="86" t="s">
        <v>6240</v>
      </c>
      <c r="AL1438" s="81" t="b">
        <v>0</v>
      </c>
      <c r="AM1438" s="81">
        <v>8</v>
      </c>
      <c r="AN1438" s="86" t="s">
        <v>5384</v>
      </c>
      <c r="AO1438" s="86" t="s">
        <v>6503</v>
      </c>
      <c r="AP1438" s="81" t="b">
        <v>0</v>
      </c>
      <c r="AQ1438" s="86" t="s">
        <v>5384</v>
      </c>
      <c r="AR1438" s="81" t="s">
        <v>179</v>
      </c>
      <c r="AS1438" s="81">
        <v>0</v>
      </c>
      <c r="AT1438" s="81">
        <v>0</v>
      </c>
      <c r="AU1438" s="81"/>
      <c r="AV1438" s="81"/>
      <c r="AW1438" s="81"/>
      <c r="AX1438" s="81"/>
      <c r="AY1438" s="81"/>
      <c r="AZ1438" s="81"/>
      <c r="BA1438" s="81"/>
      <c r="BB1438" s="81"/>
    </row>
    <row r="1439" spans="1:54" x14ac:dyDescent="0.35">
      <c r="A1439" s="66" t="s">
        <v>1014</v>
      </c>
      <c r="B1439" s="66" t="s">
        <v>1014</v>
      </c>
      <c r="C1439" s="67"/>
      <c r="D1439" s="68"/>
      <c r="E1439" s="69"/>
      <c r="F1439" s="70"/>
      <c r="G1439" s="67"/>
      <c r="H1439" s="71"/>
      <c r="I1439" s="72"/>
      <c r="J1439" s="72"/>
      <c r="K1439" s="36"/>
      <c r="L1439" s="79"/>
      <c r="M1439" s="79"/>
      <c r="N1439" s="74"/>
      <c r="O1439" s="81" t="s">
        <v>179</v>
      </c>
      <c r="P1439" s="83">
        <v>44466.111111111109</v>
      </c>
      <c r="Q1439" s="81" t="s">
        <v>2037</v>
      </c>
      <c r="R1439" s="81"/>
      <c r="S1439" s="81"/>
      <c r="T1439" s="81"/>
      <c r="U1439" s="81"/>
      <c r="V1439" s="84" t="str">
        <f>HYPERLINK("https://pbs.twimg.com/profile_images/1367266149524631553/ImCMaUMu_normal.jpg")</f>
        <v>https://pbs.twimg.com/profile_images/1367266149524631553/ImCMaUMu_normal.jpg</v>
      </c>
      <c r="W1439" s="83">
        <v>44466.111111111109</v>
      </c>
      <c r="X1439" s="89">
        <v>44466</v>
      </c>
      <c r="Y1439" s="86" t="s">
        <v>3687</v>
      </c>
      <c r="Z1439" s="84" t="str">
        <f>HYPERLINK("https://twitter.com/rumahkipkunsil/status/1442318075525623810")</f>
        <v>https://twitter.com/rumahkipkunsil/status/1442318075525623810</v>
      </c>
      <c r="AA1439" s="81"/>
      <c r="AB1439" s="81"/>
      <c r="AC1439" s="86" t="s">
        <v>5155</v>
      </c>
      <c r="AD1439" s="86" t="s">
        <v>6168</v>
      </c>
      <c r="AE1439" s="81" t="b">
        <v>0</v>
      </c>
      <c r="AF1439" s="81">
        <v>0</v>
      </c>
      <c r="AG1439" s="86" t="s">
        <v>6418</v>
      </c>
      <c r="AH1439" s="81" t="b">
        <v>0</v>
      </c>
      <c r="AI1439" s="81" t="s">
        <v>6478</v>
      </c>
      <c r="AJ1439" s="81"/>
      <c r="AK1439" s="86" t="s">
        <v>6240</v>
      </c>
      <c r="AL1439" s="81" t="b">
        <v>0</v>
      </c>
      <c r="AM1439" s="81">
        <v>0</v>
      </c>
      <c r="AN1439" s="86" t="s">
        <v>6240</v>
      </c>
      <c r="AO1439" s="86" t="s">
        <v>6503</v>
      </c>
      <c r="AP1439" s="81" t="b">
        <v>0</v>
      </c>
      <c r="AQ1439" s="86" t="s">
        <v>6168</v>
      </c>
      <c r="AR1439" s="81" t="s">
        <v>179</v>
      </c>
      <c r="AS1439" s="81">
        <v>0</v>
      </c>
      <c r="AT1439" s="81">
        <v>0</v>
      </c>
      <c r="AU1439" s="81"/>
      <c r="AV1439" s="81"/>
      <c r="AW1439" s="81"/>
      <c r="AX1439" s="81"/>
      <c r="AY1439" s="81"/>
      <c r="AZ1439" s="81"/>
      <c r="BA1439" s="81"/>
      <c r="BB1439" s="81"/>
    </row>
    <row r="1440" spans="1:54" x14ac:dyDescent="0.35">
      <c r="A1440" s="66" t="s">
        <v>1015</v>
      </c>
      <c r="B1440" s="66" t="s">
        <v>1015</v>
      </c>
      <c r="C1440" s="67"/>
      <c r="D1440" s="68"/>
      <c r="E1440" s="69"/>
      <c r="F1440" s="70"/>
      <c r="G1440" s="67"/>
      <c r="H1440" s="71"/>
      <c r="I1440" s="72"/>
      <c r="J1440" s="72"/>
      <c r="K1440" s="36"/>
      <c r="L1440" s="79"/>
      <c r="M1440" s="79"/>
      <c r="N1440" s="74"/>
      <c r="O1440" s="81" t="s">
        <v>179</v>
      </c>
      <c r="P1440" s="83">
        <v>44466.111435185187</v>
      </c>
      <c r="Q1440" s="81" t="s">
        <v>2038</v>
      </c>
      <c r="R1440" s="81"/>
      <c r="S1440" s="81"/>
      <c r="T1440" s="86" t="s">
        <v>2696</v>
      </c>
      <c r="U1440" s="84" t="str">
        <f>HYPERLINK("https://pbs.twimg.com/media/FAQkaYOVcAUmLgM.jpg")</f>
        <v>https://pbs.twimg.com/media/FAQkaYOVcAUmLgM.jpg</v>
      </c>
      <c r="V1440" s="84" t="str">
        <f>HYPERLINK("https://pbs.twimg.com/media/FAQkaYOVcAUmLgM.jpg")</f>
        <v>https://pbs.twimg.com/media/FAQkaYOVcAUmLgM.jpg</v>
      </c>
      <c r="W1440" s="83">
        <v>44466.111435185187</v>
      </c>
      <c r="X1440" s="89">
        <v>44466</v>
      </c>
      <c r="Y1440" s="86" t="s">
        <v>3688</v>
      </c>
      <c r="Z1440" s="84" t="str">
        <f>HYPERLINK("https://twitter.com/lib1_alfawy/status/1442318191183548418")</f>
        <v>https://twitter.com/lib1_alfawy/status/1442318191183548418</v>
      </c>
      <c r="AA1440" s="81"/>
      <c r="AB1440" s="81"/>
      <c r="AC1440" s="86" t="s">
        <v>5156</v>
      </c>
      <c r="AD1440" s="81"/>
      <c r="AE1440" s="81" t="b">
        <v>0</v>
      </c>
      <c r="AF1440" s="81">
        <v>1</v>
      </c>
      <c r="AG1440" s="86" t="s">
        <v>6240</v>
      </c>
      <c r="AH1440" s="81" t="b">
        <v>0</v>
      </c>
      <c r="AI1440" s="81" t="s">
        <v>6478</v>
      </c>
      <c r="AJ1440" s="81"/>
      <c r="AK1440" s="86" t="s">
        <v>6240</v>
      </c>
      <c r="AL1440" s="81" t="b">
        <v>0</v>
      </c>
      <c r="AM1440" s="81">
        <v>0</v>
      </c>
      <c r="AN1440" s="86" t="s">
        <v>6240</v>
      </c>
      <c r="AO1440" s="86" t="s">
        <v>6507</v>
      </c>
      <c r="AP1440" s="81" t="b">
        <v>0</v>
      </c>
      <c r="AQ1440" s="86" t="s">
        <v>5156</v>
      </c>
      <c r="AR1440" s="81" t="s">
        <v>179</v>
      </c>
      <c r="AS1440" s="81">
        <v>0</v>
      </c>
      <c r="AT1440" s="81">
        <v>0</v>
      </c>
      <c r="AU1440" s="81"/>
      <c r="AV1440" s="81"/>
      <c r="AW1440" s="81"/>
      <c r="AX1440" s="81"/>
      <c r="AY1440" s="81"/>
      <c r="AZ1440" s="81"/>
      <c r="BA1440" s="81"/>
      <c r="BB1440" s="81"/>
    </row>
    <row r="1441" spans="1:54" x14ac:dyDescent="0.35">
      <c r="A1441" s="66" t="s">
        <v>1016</v>
      </c>
      <c r="B1441" s="66" t="s">
        <v>1016</v>
      </c>
      <c r="C1441" s="67"/>
      <c r="D1441" s="68"/>
      <c r="E1441" s="69"/>
      <c r="F1441" s="70"/>
      <c r="G1441" s="67"/>
      <c r="H1441" s="71"/>
      <c r="I1441" s="72"/>
      <c r="J1441" s="72"/>
      <c r="K1441" s="36"/>
      <c r="L1441" s="79"/>
      <c r="M1441" s="79"/>
      <c r="N1441" s="74"/>
      <c r="O1441" s="81" t="s">
        <v>179</v>
      </c>
      <c r="P1441" s="83">
        <v>44466.118437500001</v>
      </c>
      <c r="Q1441" s="81" t="s">
        <v>2039</v>
      </c>
      <c r="R1441" s="81"/>
      <c r="S1441" s="81"/>
      <c r="T1441" s="81"/>
      <c r="U1441" s="81"/>
      <c r="V1441" s="84" t="str">
        <f>HYPERLINK("https://pbs.twimg.com/profile_images/1399209896063553539/kyTMl7Ye_normal.jpg")</f>
        <v>https://pbs.twimg.com/profile_images/1399209896063553539/kyTMl7Ye_normal.jpg</v>
      </c>
      <c r="W1441" s="83">
        <v>44466.118437500001</v>
      </c>
      <c r="X1441" s="89">
        <v>44466</v>
      </c>
      <c r="Y1441" s="86" t="s">
        <v>3689</v>
      </c>
      <c r="Z1441" s="84" t="str">
        <f>HYPERLINK("https://twitter.com/kominfodiy/status/1442320727772782593")</f>
        <v>https://twitter.com/kominfodiy/status/1442320727772782593</v>
      </c>
      <c r="AA1441" s="81"/>
      <c r="AB1441" s="81"/>
      <c r="AC1441" s="86" t="s">
        <v>5157</v>
      </c>
      <c r="AD1441" s="86" t="s">
        <v>6169</v>
      </c>
      <c r="AE1441" s="81" t="b">
        <v>0</v>
      </c>
      <c r="AF1441" s="81">
        <v>1</v>
      </c>
      <c r="AG1441" s="86" t="s">
        <v>6419</v>
      </c>
      <c r="AH1441" s="81" t="b">
        <v>0</v>
      </c>
      <c r="AI1441" s="81" t="s">
        <v>6478</v>
      </c>
      <c r="AJ1441" s="81"/>
      <c r="AK1441" s="86" t="s">
        <v>6240</v>
      </c>
      <c r="AL1441" s="81" t="b">
        <v>0</v>
      </c>
      <c r="AM1441" s="81">
        <v>0</v>
      </c>
      <c r="AN1441" s="86" t="s">
        <v>6240</v>
      </c>
      <c r="AO1441" s="86" t="s">
        <v>6507</v>
      </c>
      <c r="AP1441" s="81" t="b">
        <v>0</v>
      </c>
      <c r="AQ1441" s="86" t="s">
        <v>6169</v>
      </c>
      <c r="AR1441" s="81" t="s">
        <v>179</v>
      </c>
      <c r="AS1441" s="81">
        <v>0</v>
      </c>
      <c r="AT1441" s="81">
        <v>0</v>
      </c>
      <c r="AU1441" s="81"/>
      <c r="AV1441" s="81"/>
      <c r="AW1441" s="81"/>
      <c r="AX1441" s="81"/>
      <c r="AY1441" s="81"/>
      <c r="AZ1441" s="81"/>
      <c r="BA1441" s="81"/>
      <c r="BB1441" s="81"/>
    </row>
    <row r="1442" spans="1:54" x14ac:dyDescent="0.35">
      <c r="A1442" s="66" t="s">
        <v>1017</v>
      </c>
      <c r="B1442" s="66" t="s">
        <v>1017</v>
      </c>
      <c r="C1442" s="67"/>
      <c r="D1442" s="68"/>
      <c r="E1442" s="69"/>
      <c r="F1442" s="70"/>
      <c r="G1442" s="67"/>
      <c r="H1442" s="71"/>
      <c r="I1442" s="72"/>
      <c r="J1442" s="72"/>
      <c r="K1442" s="36"/>
      <c r="L1442" s="79"/>
      <c r="M1442" s="79"/>
      <c r="N1442" s="74"/>
      <c r="O1442" s="81" t="s">
        <v>179</v>
      </c>
      <c r="P1442" s="83">
        <v>44466.125173611108</v>
      </c>
      <c r="Q1442" s="81" t="s">
        <v>2040</v>
      </c>
      <c r="R1442" s="81"/>
      <c r="S1442" s="81"/>
      <c r="T1442" s="81"/>
      <c r="U1442" s="84" t="str">
        <f>HYPERLINK("https://pbs.twimg.com/ext_tw_video_thumb/1442323057889071108/pu/img/Vgx8aOriKPO96wdY.jpg")</f>
        <v>https://pbs.twimg.com/ext_tw_video_thumb/1442323057889071108/pu/img/Vgx8aOriKPO96wdY.jpg</v>
      </c>
      <c r="V1442" s="84" t="str">
        <f>HYPERLINK("https://pbs.twimg.com/ext_tw_video_thumb/1442323057889071108/pu/img/Vgx8aOriKPO96wdY.jpg")</f>
        <v>https://pbs.twimg.com/ext_tw_video_thumb/1442323057889071108/pu/img/Vgx8aOriKPO96wdY.jpg</v>
      </c>
      <c r="W1442" s="83">
        <v>44466.125173611108</v>
      </c>
      <c r="X1442" s="89">
        <v>44466</v>
      </c>
      <c r="Y1442" s="86" t="s">
        <v>3690</v>
      </c>
      <c r="Z1442" s="84" t="str">
        <f>HYPERLINK("https://twitter.com/himafifmipaunri/status/1442323168463450122")</f>
        <v>https://twitter.com/himafifmipaunri/status/1442323168463450122</v>
      </c>
      <c r="AA1442" s="81"/>
      <c r="AB1442" s="81"/>
      <c r="AC1442" s="86" t="s">
        <v>5158</v>
      </c>
      <c r="AD1442" s="81"/>
      <c r="AE1442" s="81" t="b">
        <v>0</v>
      </c>
      <c r="AF1442" s="81">
        <v>0</v>
      </c>
      <c r="AG1442" s="86" t="s">
        <v>6240</v>
      </c>
      <c r="AH1442" s="81" t="b">
        <v>0</v>
      </c>
      <c r="AI1442" s="81" t="s">
        <v>6485</v>
      </c>
      <c r="AJ1442" s="81"/>
      <c r="AK1442" s="86" t="s">
        <v>6240</v>
      </c>
      <c r="AL1442" s="81" t="b">
        <v>0</v>
      </c>
      <c r="AM1442" s="81">
        <v>0</v>
      </c>
      <c r="AN1442" s="86" t="s">
        <v>6240</v>
      </c>
      <c r="AO1442" s="86" t="s">
        <v>6503</v>
      </c>
      <c r="AP1442" s="81" t="b">
        <v>0</v>
      </c>
      <c r="AQ1442" s="86" t="s">
        <v>5158</v>
      </c>
      <c r="AR1442" s="81" t="s">
        <v>179</v>
      </c>
      <c r="AS1442" s="81">
        <v>0</v>
      </c>
      <c r="AT1442" s="81">
        <v>0</v>
      </c>
      <c r="AU1442" s="81"/>
      <c r="AV1442" s="81"/>
      <c r="AW1442" s="81"/>
      <c r="AX1442" s="81"/>
      <c r="AY1442" s="81"/>
      <c r="AZ1442" s="81"/>
      <c r="BA1442" s="81"/>
      <c r="BB1442" s="81"/>
    </row>
    <row r="1443" spans="1:54" x14ac:dyDescent="0.35">
      <c r="A1443" s="66" t="s">
        <v>1017</v>
      </c>
      <c r="B1443" s="66" t="s">
        <v>1017</v>
      </c>
      <c r="C1443" s="67"/>
      <c r="D1443" s="68"/>
      <c r="E1443" s="69"/>
      <c r="F1443" s="70"/>
      <c r="G1443" s="67"/>
      <c r="H1443" s="71"/>
      <c r="I1443" s="72"/>
      <c r="J1443" s="72"/>
      <c r="K1443" s="36"/>
      <c r="L1443" s="79"/>
      <c r="M1443" s="79"/>
      <c r="N1443" s="74"/>
      <c r="O1443" s="81" t="s">
        <v>179</v>
      </c>
      <c r="P1443" s="83">
        <v>44466.125196759262</v>
      </c>
      <c r="Q1443" s="81" t="s">
        <v>2041</v>
      </c>
      <c r="R1443" s="81"/>
      <c r="S1443" s="81"/>
      <c r="T1443" s="81"/>
      <c r="U1443" s="81"/>
      <c r="V1443" s="84" t="str">
        <f>HYPERLINK("https://pbs.twimg.com/profile_images/1321791301872803840/j7W_f3i3_normal.jpg")</f>
        <v>https://pbs.twimg.com/profile_images/1321791301872803840/j7W_f3i3_normal.jpg</v>
      </c>
      <c r="W1443" s="83">
        <v>44466.125196759262</v>
      </c>
      <c r="X1443" s="89">
        <v>44466</v>
      </c>
      <c r="Y1443" s="86" t="s">
        <v>3691</v>
      </c>
      <c r="Z1443" s="84" t="str">
        <f>HYPERLINK("https://twitter.com/himafifmipaunri/status/1442323179699986439")</f>
        <v>https://twitter.com/himafifmipaunri/status/1442323179699986439</v>
      </c>
      <c r="AA1443" s="81"/>
      <c r="AB1443" s="81"/>
      <c r="AC1443" s="86" t="s">
        <v>5159</v>
      </c>
      <c r="AD1443" s="86" t="s">
        <v>6170</v>
      </c>
      <c r="AE1443" s="81" t="b">
        <v>0</v>
      </c>
      <c r="AF1443" s="81">
        <v>0</v>
      </c>
      <c r="AG1443" s="86" t="s">
        <v>6420</v>
      </c>
      <c r="AH1443" s="81" t="b">
        <v>0</v>
      </c>
      <c r="AI1443" s="81" t="s">
        <v>6478</v>
      </c>
      <c r="AJ1443" s="81"/>
      <c r="AK1443" s="86" t="s">
        <v>6240</v>
      </c>
      <c r="AL1443" s="81" t="b">
        <v>0</v>
      </c>
      <c r="AM1443" s="81">
        <v>0</v>
      </c>
      <c r="AN1443" s="86" t="s">
        <v>6240</v>
      </c>
      <c r="AO1443" s="86" t="s">
        <v>6503</v>
      </c>
      <c r="AP1443" s="81" t="b">
        <v>0</v>
      </c>
      <c r="AQ1443" s="86" t="s">
        <v>6170</v>
      </c>
      <c r="AR1443" s="81" t="s">
        <v>179</v>
      </c>
      <c r="AS1443" s="81">
        <v>0</v>
      </c>
      <c r="AT1443" s="81">
        <v>0</v>
      </c>
      <c r="AU1443" s="81"/>
      <c r="AV1443" s="81"/>
      <c r="AW1443" s="81"/>
      <c r="AX1443" s="81"/>
      <c r="AY1443" s="81"/>
      <c r="AZ1443" s="81"/>
      <c r="BA1443" s="81"/>
      <c r="BB1443" s="81"/>
    </row>
    <row r="1444" spans="1:54" x14ac:dyDescent="0.35">
      <c r="A1444" s="66" t="s">
        <v>1017</v>
      </c>
      <c r="B1444" s="66" t="s">
        <v>1017</v>
      </c>
      <c r="C1444" s="67"/>
      <c r="D1444" s="68"/>
      <c r="E1444" s="69"/>
      <c r="F1444" s="70"/>
      <c r="G1444" s="67"/>
      <c r="H1444" s="71"/>
      <c r="I1444" s="72"/>
      <c r="J1444" s="72"/>
      <c r="K1444" s="36"/>
      <c r="L1444" s="79"/>
      <c r="M1444" s="79"/>
      <c r="N1444" s="74"/>
      <c r="O1444" s="81" t="s">
        <v>179</v>
      </c>
      <c r="P1444" s="83">
        <v>44466.125208333331</v>
      </c>
      <c r="Q1444" s="81" t="s">
        <v>2037</v>
      </c>
      <c r="R1444" s="81"/>
      <c r="S1444" s="81"/>
      <c r="T1444" s="81"/>
      <c r="U1444" s="81"/>
      <c r="V1444" s="84" t="str">
        <f>HYPERLINK("https://pbs.twimg.com/profile_images/1321791301872803840/j7W_f3i3_normal.jpg")</f>
        <v>https://pbs.twimg.com/profile_images/1321791301872803840/j7W_f3i3_normal.jpg</v>
      </c>
      <c r="W1444" s="83">
        <v>44466.125208333331</v>
      </c>
      <c r="X1444" s="89">
        <v>44466</v>
      </c>
      <c r="Y1444" s="86" t="s">
        <v>3692</v>
      </c>
      <c r="Z1444" s="84" t="str">
        <f>HYPERLINK("https://twitter.com/himafifmipaunri/status/1442323182749290503")</f>
        <v>https://twitter.com/himafifmipaunri/status/1442323182749290503</v>
      </c>
      <c r="AA1444" s="81"/>
      <c r="AB1444" s="81"/>
      <c r="AC1444" s="86" t="s">
        <v>5160</v>
      </c>
      <c r="AD1444" s="86" t="s">
        <v>5159</v>
      </c>
      <c r="AE1444" s="81" t="b">
        <v>0</v>
      </c>
      <c r="AF1444" s="81">
        <v>0</v>
      </c>
      <c r="AG1444" s="86" t="s">
        <v>6420</v>
      </c>
      <c r="AH1444" s="81" t="b">
        <v>0</v>
      </c>
      <c r="AI1444" s="81" t="s">
        <v>6478</v>
      </c>
      <c r="AJ1444" s="81"/>
      <c r="AK1444" s="86" t="s">
        <v>6240</v>
      </c>
      <c r="AL1444" s="81" t="b">
        <v>0</v>
      </c>
      <c r="AM1444" s="81">
        <v>0</v>
      </c>
      <c r="AN1444" s="86" t="s">
        <v>6240</v>
      </c>
      <c r="AO1444" s="86" t="s">
        <v>6503</v>
      </c>
      <c r="AP1444" s="81" t="b">
        <v>0</v>
      </c>
      <c r="AQ1444" s="86" t="s">
        <v>5159</v>
      </c>
      <c r="AR1444" s="81" t="s">
        <v>179</v>
      </c>
      <c r="AS1444" s="81">
        <v>0</v>
      </c>
      <c r="AT1444" s="81">
        <v>0</v>
      </c>
      <c r="AU1444" s="81"/>
      <c r="AV1444" s="81"/>
      <c r="AW1444" s="81"/>
      <c r="AX1444" s="81"/>
      <c r="AY1444" s="81"/>
      <c r="AZ1444" s="81"/>
      <c r="BA1444" s="81"/>
      <c r="BB1444" s="81"/>
    </row>
    <row r="1445" spans="1:54" x14ac:dyDescent="0.35">
      <c r="A1445" s="66" t="s">
        <v>1018</v>
      </c>
      <c r="B1445" s="66" t="s">
        <v>1018</v>
      </c>
      <c r="C1445" s="67"/>
      <c r="D1445" s="68"/>
      <c r="E1445" s="69"/>
      <c r="F1445" s="70"/>
      <c r="G1445" s="67"/>
      <c r="H1445" s="71"/>
      <c r="I1445" s="72"/>
      <c r="J1445" s="72"/>
      <c r="K1445" s="36"/>
      <c r="L1445" s="79"/>
      <c r="M1445" s="79"/>
      <c r="N1445" s="74"/>
      <c r="O1445" s="81" t="s">
        <v>179</v>
      </c>
      <c r="P1445" s="83">
        <v>44466.125613425924</v>
      </c>
      <c r="Q1445" s="81" t="s">
        <v>2042</v>
      </c>
      <c r="R1445" s="81"/>
      <c r="S1445" s="81"/>
      <c r="T1445" s="86" t="s">
        <v>2697</v>
      </c>
      <c r="U1445" s="84" t="str">
        <f>HYPERLINK("https://pbs.twimg.com/media/FAQpbCQVQAEV-OP.jpg")</f>
        <v>https://pbs.twimg.com/media/FAQpbCQVQAEV-OP.jpg</v>
      </c>
      <c r="V1445" s="84" t="str">
        <f>HYPERLINK("https://pbs.twimg.com/media/FAQpbCQVQAEV-OP.jpg")</f>
        <v>https://pbs.twimg.com/media/FAQpbCQVQAEV-OP.jpg</v>
      </c>
      <c r="W1445" s="83">
        <v>44466.125613425924</v>
      </c>
      <c r="X1445" s="89">
        <v>44466</v>
      </c>
      <c r="Y1445" s="86" t="s">
        <v>3693</v>
      </c>
      <c r="Z1445" s="84" t="str">
        <f>HYPERLINK("https://twitter.com/coklatkita/status/1442323328010625025")</f>
        <v>https://twitter.com/coklatkita/status/1442323328010625025</v>
      </c>
      <c r="AA1445" s="81"/>
      <c r="AB1445" s="81"/>
      <c r="AC1445" s="86" t="s">
        <v>5161</v>
      </c>
      <c r="AD1445" s="81"/>
      <c r="AE1445" s="81" t="b">
        <v>0</v>
      </c>
      <c r="AF1445" s="81">
        <v>0</v>
      </c>
      <c r="AG1445" s="86" t="s">
        <v>6240</v>
      </c>
      <c r="AH1445" s="81" t="b">
        <v>0</v>
      </c>
      <c r="AI1445" s="81" t="s">
        <v>6478</v>
      </c>
      <c r="AJ1445" s="81"/>
      <c r="AK1445" s="86" t="s">
        <v>6240</v>
      </c>
      <c r="AL1445" s="81" t="b">
        <v>0</v>
      </c>
      <c r="AM1445" s="81">
        <v>0</v>
      </c>
      <c r="AN1445" s="86" t="s">
        <v>6240</v>
      </c>
      <c r="AO1445" s="86" t="s">
        <v>6503</v>
      </c>
      <c r="AP1445" s="81" t="b">
        <v>0</v>
      </c>
      <c r="AQ1445" s="86" t="s">
        <v>5161</v>
      </c>
      <c r="AR1445" s="81" t="s">
        <v>179</v>
      </c>
      <c r="AS1445" s="81">
        <v>0</v>
      </c>
      <c r="AT1445" s="81">
        <v>0</v>
      </c>
      <c r="AU1445" s="81"/>
      <c r="AV1445" s="81"/>
      <c r="AW1445" s="81"/>
      <c r="AX1445" s="81"/>
      <c r="AY1445" s="81"/>
      <c r="AZ1445" s="81"/>
      <c r="BA1445" s="81"/>
      <c r="BB1445" s="81"/>
    </row>
    <row r="1446" spans="1:54" x14ac:dyDescent="0.35">
      <c r="A1446" s="66" t="s">
        <v>1019</v>
      </c>
      <c r="B1446" s="66" t="s">
        <v>1315</v>
      </c>
      <c r="C1446" s="67"/>
      <c r="D1446" s="68"/>
      <c r="E1446" s="69"/>
      <c r="F1446" s="70"/>
      <c r="G1446" s="67"/>
      <c r="H1446" s="71"/>
      <c r="I1446" s="72"/>
      <c r="J1446" s="72"/>
      <c r="K1446" s="36"/>
      <c r="L1446" s="79"/>
      <c r="M1446" s="79"/>
      <c r="N1446" s="74"/>
      <c r="O1446" s="81" t="s">
        <v>1535</v>
      </c>
      <c r="P1446" s="83">
        <v>44466.128032407411</v>
      </c>
      <c r="Q1446" s="81" t="s">
        <v>2043</v>
      </c>
      <c r="R1446" s="84" t="str">
        <f>HYPERLINK("https://www.instagram.com/p/CUTy-FxpS3WTTkSXQfS4G_EZPjVN2PDm_k0KPE0")</f>
        <v>https://www.instagram.com/p/CUTy-FxpS3WTTkSXQfS4G_EZPjVN2PDm_k0KPE0</v>
      </c>
      <c r="S1446" s="81" t="s">
        <v>2626</v>
      </c>
      <c r="T1446" s="86" t="s">
        <v>1019</v>
      </c>
      <c r="U1446" s="81"/>
      <c r="V1446" s="84" t="str">
        <f>HYPERLINK("https://pbs.twimg.com/profile_images/1399869317907292186/HZoGTX0__normal.jpg")</f>
        <v>https://pbs.twimg.com/profile_images/1399869317907292186/HZoGTX0__normal.jpg</v>
      </c>
      <c r="W1446" s="83">
        <v>44466.128032407411</v>
      </c>
      <c r="X1446" s="89">
        <v>44466</v>
      </c>
      <c r="Y1446" s="86" t="s">
        <v>3694</v>
      </c>
      <c r="Z1446" s="84" t="str">
        <f>HYPERLINK("https://twitter.com/d4mbpoltekpos/status/1442324204112711680")</f>
        <v>https://twitter.com/d4mbpoltekpos/status/1442324204112711680</v>
      </c>
      <c r="AA1446" s="81"/>
      <c r="AB1446" s="81"/>
      <c r="AC1446" s="86" t="s">
        <v>5162</v>
      </c>
      <c r="AD1446" s="81"/>
      <c r="AE1446" s="81" t="b">
        <v>0</v>
      </c>
      <c r="AF1446" s="81">
        <v>0</v>
      </c>
      <c r="AG1446" s="86" t="s">
        <v>6240</v>
      </c>
      <c r="AH1446" s="81" t="b">
        <v>0</v>
      </c>
      <c r="AI1446" s="81" t="s">
        <v>6478</v>
      </c>
      <c r="AJ1446" s="81"/>
      <c r="AK1446" s="86" t="s">
        <v>6240</v>
      </c>
      <c r="AL1446" s="81" t="b">
        <v>0</v>
      </c>
      <c r="AM1446" s="81">
        <v>0</v>
      </c>
      <c r="AN1446" s="86" t="s">
        <v>6240</v>
      </c>
      <c r="AO1446" s="86" t="s">
        <v>6523</v>
      </c>
      <c r="AP1446" s="81" t="b">
        <v>0</v>
      </c>
      <c r="AQ1446" s="86" t="s">
        <v>5162</v>
      </c>
      <c r="AR1446" s="81" t="s">
        <v>179</v>
      </c>
      <c r="AS1446" s="81">
        <v>0</v>
      </c>
      <c r="AT1446" s="81">
        <v>0</v>
      </c>
      <c r="AU1446" s="81"/>
      <c r="AV1446" s="81"/>
      <c r="AW1446" s="81"/>
      <c r="AX1446" s="81"/>
      <c r="AY1446" s="81"/>
      <c r="AZ1446" s="81"/>
      <c r="BA1446" s="81"/>
      <c r="BB1446" s="81"/>
    </row>
    <row r="1447" spans="1:54" x14ac:dyDescent="0.35">
      <c r="A1447" s="66" t="s">
        <v>1020</v>
      </c>
      <c r="B1447" s="66" t="s">
        <v>1020</v>
      </c>
      <c r="C1447" s="67"/>
      <c r="D1447" s="68"/>
      <c r="E1447" s="69"/>
      <c r="F1447" s="70"/>
      <c r="G1447" s="67"/>
      <c r="H1447" s="71"/>
      <c r="I1447" s="72"/>
      <c r="J1447" s="72"/>
      <c r="K1447" s="36"/>
      <c r="L1447" s="79"/>
      <c r="M1447" s="79"/>
      <c r="N1447" s="74"/>
      <c r="O1447" s="81" t="s">
        <v>179</v>
      </c>
      <c r="P1447" s="83">
        <v>44458.304745370369</v>
      </c>
      <c r="Q1447" s="81" t="s">
        <v>2044</v>
      </c>
      <c r="R1447" s="81" t="s">
        <v>2576</v>
      </c>
      <c r="S1447" s="81" t="s">
        <v>2636</v>
      </c>
      <c r="T1447" s="81"/>
      <c r="U1447" s="81"/>
      <c r="V1447" s="84" t="str">
        <f>HYPERLINK("https://pbs.twimg.com/profile_images/2418591123/images_normal.jpg")</f>
        <v>https://pbs.twimg.com/profile_images/2418591123/images_normal.jpg</v>
      </c>
      <c r="W1447" s="83">
        <v>44458.304745370369</v>
      </c>
      <c r="X1447" s="89">
        <v>44458</v>
      </c>
      <c r="Y1447" s="86" t="s">
        <v>3695</v>
      </c>
      <c r="Z1447" s="84" t="str">
        <f>HYPERLINK("https://twitter.com/lowongankerjalu/status/1439489143269040128")</f>
        <v>https://twitter.com/lowongankerjalu/status/1439489143269040128</v>
      </c>
      <c r="AA1447" s="81"/>
      <c r="AB1447" s="81"/>
      <c r="AC1447" s="86" t="s">
        <v>5163</v>
      </c>
      <c r="AD1447" s="81"/>
      <c r="AE1447" s="81" t="b">
        <v>0</v>
      </c>
      <c r="AF1447" s="81">
        <v>0</v>
      </c>
      <c r="AG1447" s="86" t="s">
        <v>6240</v>
      </c>
      <c r="AH1447" s="81" t="b">
        <v>0</v>
      </c>
      <c r="AI1447" s="81" t="s">
        <v>6478</v>
      </c>
      <c r="AJ1447" s="81"/>
      <c r="AK1447" s="86" t="s">
        <v>6240</v>
      </c>
      <c r="AL1447" s="81" t="b">
        <v>0</v>
      </c>
      <c r="AM1447" s="81">
        <v>0</v>
      </c>
      <c r="AN1447" s="86" t="s">
        <v>6240</v>
      </c>
      <c r="AO1447" s="86" t="s">
        <v>6526</v>
      </c>
      <c r="AP1447" s="81" t="b">
        <v>0</v>
      </c>
      <c r="AQ1447" s="86" t="s">
        <v>5163</v>
      </c>
      <c r="AR1447" s="81" t="s">
        <v>179</v>
      </c>
      <c r="AS1447" s="81">
        <v>0</v>
      </c>
      <c r="AT1447" s="81">
        <v>0</v>
      </c>
      <c r="AU1447" s="81"/>
      <c r="AV1447" s="81"/>
      <c r="AW1447" s="81"/>
      <c r="AX1447" s="81"/>
      <c r="AY1447" s="81"/>
      <c r="AZ1447" s="81"/>
      <c r="BA1447" s="81"/>
      <c r="BB1447" s="81"/>
    </row>
    <row r="1448" spans="1:54" x14ac:dyDescent="0.35">
      <c r="A1448" s="66" t="s">
        <v>1020</v>
      </c>
      <c r="B1448" s="66" t="s">
        <v>1020</v>
      </c>
      <c r="C1448" s="67"/>
      <c r="D1448" s="68"/>
      <c r="E1448" s="69"/>
      <c r="F1448" s="70"/>
      <c r="G1448" s="67"/>
      <c r="H1448" s="71"/>
      <c r="I1448" s="72"/>
      <c r="J1448" s="72"/>
      <c r="K1448" s="36"/>
      <c r="L1448" s="79"/>
      <c r="M1448" s="79"/>
      <c r="N1448" s="74"/>
      <c r="O1448" s="81" t="s">
        <v>179</v>
      </c>
      <c r="P1448" s="83">
        <v>44459.339502314811</v>
      </c>
      <c r="Q1448" s="81" t="s">
        <v>2045</v>
      </c>
      <c r="R1448" s="81" t="s">
        <v>2577</v>
      </c>
      <c r="S1448" s="81" t="s">
        <v>2636</v>
      </c>
      <c r="T1448" s="81"/>
      <c r="U1448" s="81"/>
      <c r="V1448" s="84" t="str">
        <f>HYPERLINK("https://pbs.twimg.com/profile_images/2418591123/images_normal.jpg")</f>
        <v>https://pbs.twimg.com/profile_images/2418591123/images_normal.jpg</v>
      </c>
      <c r="W1448" s="83">
        <v>44459.339502314811</v>
      </c>
      <c r="X1448" s="89">
        <v>44459</v>
      </c>
      <c r="Y1448" s="86" t="s">
        <v>3696</v>
      </c>
      <c r="Z1448" s="84" t="str">
        <f>HYPERLINK("https://twitter.com/lowongankerjalu/status/1439864123571929097")</f>
        <v>https://twitter.com/lowongankerjalu/status/1439864123571929097</v>
      </c>
      <c r="AA1448" s="81"/>
      <c r="AB1448" s="81"/>
      <c r="AC1448" s="86" t="s">
        <v>5164</v>
      </c>
      <c r="AD1448" s="81"/>
      <c r="AE1448" s="81" t="b">
        <v>0</v>
      </c>
      <c r="AF1448" s="81">
        <v>0</v>
      </c>
      <c r="AG1448" s="86" t="s">
        <v>6240</v>
      </c>
      <c r="AH1448" s="81" t="b">
        <v>0</v>
      </c>
      <c r="AI1448" s="81" t="s">
        <v>6478</v>
      </c>
      <c r="AJ1448" s="81"/>
      <c r="AK1448" s="86" t="s">
        <v>6240</v>
      </c>
      <c r="AL1448" s="81" t="b">
        <v>0</v>
      </c>
      <c r="AM1448" s="81">
        <v>0</v>
      </c>
      <c r="AN1448" s="86" t="s">
        <v>6240</v>
      </c>
      <c r="AO1448" s="86" t="s">
        <v>6526</v>
      </c>
      <c r="AP1448" s="81" t="b">
        <v>0</v>
      </c>
      <c r="AQ1448" s="86" t="s">
        <v>5164</v>
      </c>
      <c r="AR1448" s="81" t="s">
        <v>179</v>
      </c>
      <c r="AS1448" s="81">
        <v>0</v>
      </c>
      <c r="AT1448" s="81">
        <v>0</v>
      </c>
      <c r="AU1448" s="81"/>
      <c r="AV1448" s="81"/>
      <c r="AW1448" s="81"/>
      <c r="AX1448" s="81"/>
      <c r="AY1448" s="81"/>
      <c r="AZ1448" s="81"/>
      <c r="BA1448" s="81"/>
      <c r="BB1448" s="81"/>
    </row>
    <row r="1449" spans="1:54" x14ac:dyDescent="0.35">
      <c r="A1449" s="66" t="s">
        <v>1020</v>
      </c>
      <c r="B1449" s="66" t="s">
        <v>1020</v>
      </c>
      <c r="C1449" s="67"/>
      <c r="D1449" s="68"/>
      <c r="E1449" s="69"/>
      <c r="F1449" s="70"/>
      <c r="G1449" s="67"/>
      <c r="H1449" s="71"/>
      <c r="I1449" s="72"/>
      <c r="J1449" s="72"/>
      <c r="K1449" s="36"/>
      <c r="L1449" s="79"/>
      <c r="M1449" s="79"/>
      <c r="N1449" s="74"/>
      <c r="O1449" s="81" t="s">
        <v>179</v>
      </c>
      <c r="P1449" s="83">
        <v>44460.249212962961</v>
      </c>
      <c r="Q1449" s="81" t="s">
        <v>2046</v>
      </c>
      <c r="R1449" s="81" t="s">
        <v>2578</v>
      </c>
      <c r="S1449" s="81" t="s">
        <v>2636</v>
      </c>
      <c r="T1449" s="81"/>
      <c r="U1449" s="81"/>
      <c r="V1449" s="84" t="str">
        <f>HYPERLINK("https://pbs.twimg.com/profile_images/2418591123/images_normal.jpg")</f>
        <v>https://pbs.twimg.com/profile_images/2418591123/images_normal.jpg</v>
      </c>
      <c r="W1449" s="83">
        <v>44460.249212962961</v>
      </c>
      <c r="X1449" s="89">
        <v>44460</v>
      </c>
      <c r="Y1449" s="86" t="s">
        <v>3697</v>
      </c>
      <c r="Z1449" s="84" t="str">
        <f>HYPERLINK("https://twitter.com/lowongankerjalu/status/1440193793010008067")</f>
        <v>https://twitter.com/lowongankerjalu/status/1440193793010008067</v>
      </c>
      <c r="AA1449" s="81"/>
      <c r="AB1449" s="81"/>
      <c r="AC1449" s="86" t="s">
        <v>5165</v>
      </c>
      <c r="AD1449" s="81"/>
      <c r="AE1449" s="81" t="b">
        <v>0</v>
      </c>
      <c r="AF1449" s="81">
        <v>0</v>
      </c>
      <c r="AG1449" s="86" t="s">
        <v>6240</v>
      </c>
      <c r="AH1449" s="81" t="b">
        <v>0</v>
      </c>
      <c r="AI1449" s="81" t="s">
        <v>6478</v>
      </c>
      <c r="AJ1449" s="81"/>
      <c r="AK1449" s="86" t="s">
        <v>6240</v>
      </c>
      <c r="AL1449" s="81" t="b">
        <v>0</v>
      </c>
      <c r="AM1449" s="81">
        <v>0</v>
      </c>
      <c r="AN1449" s="86" t="s">
        <v>6240</v>
      </c>
      <c r="AO1449" s="86" t="s">
        <v>6526</v>
      </c>
      <c r="AP1449" s="81" t="b">
        <v>0</v>
      </c>
      <c r="AQ1449" s="86" t="s">
        <v>5165</v>
      </c>
      <c r="AR1449" s="81" t="s">
        <v>179</v>
      </c>
      <c r="AS1449" s="81">
        <v>0</v>
      </c>
      <c r="AT1449" s="81">
        <v>0</v>
      </c>
      <c r="AU1449" s="81"/>
      <c r="AV1449" s="81"/>
      <c r="AW1449" s="81"/>
      <c r="AX1449" s="81"/>
      <c r="AY1449" s="81"/>
      <c r="AZ1449" s="81"/>
      <c r="BA1449" s="81"/>
      <c r="BB1449" s="81"/>
    </row>
    <row r="1450" spans="1:54" x14ac:dyDescent="0.35">
      <c r="A1450" s="66" t="s">
        <v>1020</v>
      </c>
      <c r="B1450" s="66" t="s">
        <v>1020</v>
      </c>
      <c r="C1450" s="67"/>
      <c r="D1450" s="68"/>
      <c r="E1450" s="69"/>
      <c r="F1450" s="70"/>
      <c r="G1450" s="67"/>
      <c r="H1450" s="71"/>
      <c r="I1450" s="72"/>
      <c r="J1450" s="72"/>
      <c r="K1450" s="36"/>
      <c r="L1450" s="79"/>
      <c r="M1450" s="79"/>
      <c r="N1450" s="74"/>
      <c r="O1450" s="81" t="s">
        <v>179</v>
      </c>
      <c r="P1450" s="83">
        <v>44461.198298611111</v>
      </c>
      <c r="Q1450" s="81" t="s">
        <v>2047</v>
      </c>
      <c r="R1450" s="81" t="s">
        <v>2579</v>
      </c>
      <c r="S1450" s="81" t="s">
        <v>2636</v>
      </c>
      <c r="T1450" s="81"/>
      <c r="U1450" s="81"/>
      <c r="V1450" s="84" t="str">
        <f>HYPERLINK("https://pbs.twimg.com/profile_images/2418591123/images_normal.jpg")</f>
        <v>https://pbs.twimg.com/profile_images/2418591123/images_normal.jpg</v>
      </c>
      <c r="W1450" s="83">
        <v>44461.198298611111</v>
      </c>
      <c r="X1450" s="89">
        <v>44461</v>
      </c>
      <c r="Y1450" s="86" t="s">
        <v>3698</v>
      </c>
      <c r="Z1450" s="84" t="str">
        <f>HYPERLINK("https://twitter.com/lowongankerjalu/status/1440537729675059206")</f>
        <v>https://twitter.com/lowongankerjalu/status/1440537729675059206</v>
      </c>
      <c r="AA1450" s="81"/>
      <c r="AB1450" s="81"/>
      <c r="AC1450" s="86" t="s">
        <v>5166</v>
      </c>
      <c r="AD1450" s="81"/>
      <c r="AE1450" s="81" t="b">
        <v>0</v>
      </c>
      <c r="AF1450" s="81">
        <v>0</v>
      </c>
      <c r="AG1450" s="86" t="s">
        <v>6240</v>
      </c>
      <c r="AH1450" s="81" t="b">
        <v>0</v>
      </c>
      <c r="AI1450" s="81" t="s">
        <v>6478</v>
      </c>
      <c r="AJ1450" s="81"/>
      <c r="AK1450" s="86" t="s">
        <v>6240</v>
      </c>
      <c r="AL1450" s="81" t="b">
        <v>0</v>
      </c>
      <c r="AM1450" s="81">
        <v>0</v>
      </c>
      <c r="AN1450" s="86" t="s">
        <v>6240</v>
      </c>
      <c r="AO1450" s="86" t="s">
        <v>6526</v>
      </c>
      <c r="AP1450" s="81" t="b">
        <v>0</v>
      </c>
      <c r="AQ1450" s="86" t="s">
        <v>5166</v>
      </c>
      <c r="AR1450" s="81" t="s">
        <v>179</v>
      </c>
      <c r="AS1450" s="81">
        <v>0</v>
      </c>
      <c r="AT1450" s="81">
        <v>0</v>
      </c>
      <c r="AU1450" s="81"/>
      <c r="AV1450" s="81"/>
      <c r="AW1450" s="81"/>
      <c r="AX1450" s="81"/>
      <c r="AY1450" s="81"/>
      <c r="AZ1450" s="81"/>
      <c r="BA1450" s="81"/>
      <c r="BB1450" s="81"/>
    </row>
    <row r="1451" spans="1:54" x14ac:dyDescent="0.35">
      <c r="A1451" s="66" t="s">
        <v>1020</v>
      </c>
      <c r="B1451" s="66" t="s">
        <v>1020</v>
      </c>
      <c r="C1451" s="67"/>
      <c r="D1451" s="68"/>
      <c r="E1451" s="69"/>
      <c r="F1451" s="70"/>
      <c r="G1451" s="67"/>
      <c r="H1451" s="71"/>
      <c r="I1451" s="72"/>
      <c r="J1451" s="72"/>
      <c r="K1451" s="36"/>
      <c r="L1451" s="79"/>
      <c r="M1451" s="79"/>
      <c r="N1451" s="74"/>
      <c r="O1451" s="81" t="s">
        <v>179</v>
      </c>
      <c r="P1451" s="83">
        <v>44461.461145833331</v>
      </c>
      <c r="Q1451" s="81" t="s">
        <v>2048</v>
      </c>
      <c r="R1451" s="81" t="s">
        <v>2580</v>
      </c>
      <c r="S1451" s="81" t="s">
        <v>2636</v>
      </c>
      <c r="T1451" s="81"/>
      <c r="U1451" s="81"/>
      <c r="V1451" s="84" t="str">
        <f>HYPERLINK("https://pbs.twimg.com/profile_images/2418591123/images_normal.jpg")</f>
        <v>https://pbs.twimg.com/profile_images/2418591123/images_normal.jpg</v>
      </c>
      <c r="W1451" s="83">
        <v>44461.461145833331</v>
      </c>
      <c r="X1451" s="89">
        <v>44461</v>
      </c>
      <c r="Y1451" s="86" t="s">
        <v>3699</v>
      </c>
      <c r="Z1451" s="84" t="str">
        <f>HYPERLINK("https://twitter.com/lowongankerjalu/status/1440632981551345669")</f>
        <v>https://twitter.com/lowongankerjalu/status/1440632981551345669</v>
      </c>
      <c r="AA1451" s="81"/>
      <c r="AB1451" s="81"/>
      <c r="AC1451" s="86" t="s">
        <v>5167</v>
      </c>
      <c r="AD1451" s="81"/>
      <c r="AE1451" s="81" t="b">
        <v>0</v>
      </c>
      <c r="AF1451" s="81">
        <v>0</v>
      </c>
      <c r="AG1451" s="86" t="s">
        <v>6240</v>
      </c>
      <c r="AH1451" s="81" t="b">
        <v>0</v>
      </c>
      <c r="AI1451" s="81" t="s">
        <v>6478</v>
      </c>
      <c r="AJ1451" s="81"/>
      <c r="AK1451" s="86" t="s">
        <v>6240</v>
      </c>
      <c r="AL1451" s="81" t="b">
        <v>0</v>
      </c>
      <c r="AM1451" s="81">
        <v>0</v>
      </c>
      <c r="AN1451" s="86" t="s">
        <v>6240</v>
      </c>
      <c r="AO1451" s="86" t="s">
        <v>6526</v>
      </c>
      <c r="AP1451" s="81" t="b">
        <v>0</v>
      </c>
      <c r="AQ1451" s="86" t="s">
        <v>5167</v>
      </c>
      <c r="AR1451" s="81" t="s">
        <v>179</v>
      </c>
      <c r="AS1451" s="81">
        <v>0</v>
      </c>
      <c r="AT1451" s="81">
        <v>0</v>
      </c>
      <c r="AU1451" s="81"/>
      <c r="AV1451" s="81"/>
      <c r="AW1451" s="81"/>
      <c r="AX1451" s="81"/>
      <c r="AY1451" s="81"/>
      <c r="AZ1451" s="81"/>
      <c r="BA1451" s="81"/>
      <c r="BB1451" s="81"/>
    </row>
    <row r="1452" spans="1:54" x14ac:dyDescent="0.35">
      <c r="A1452" s="66" t="s">
        <v>1020</v>
      </c>
      <c r="B1452" s="66" t="s">
        <v>1020</v>
      </c>
      <c r="C1452" s="67"/>
      <c r="D1452" s="68"/>
      <c r="E1452" s="69"/>
      <c r="F1452" s="70"/>
      <c r="G1452" s="67"/>
      <c r="H1452" s="71"/>
      <c r="I1452" s="72"/>
      <c r="J1452" s="72"/>
      <c r="K1452" s="36"/>
      <c r="L1452" s="79"/>
      <c r="M1452" s="79"/>
      <c r="N1452" s="74"/>
      <c r="O1452" s="81" t="s">
        <v>179</v>
      </c>
      <c r="P1452" s="83">
        <v>44466.128692129627</v>
      </c>
      <c r="Q1452" s="81" t="s">
        <v>2049</v>
      </c>
      <c r="R1452" s="81" t="s">
        <v>2581</v>
      </c>
      <c r="S1452" s="81" t="s">
        <v>2636</v>
      </c>
      <c r="T1452" s="81"/>
      <c r="U1452" s="81"/>
      <c r="V1452" s="84" t="str">
        <f>HYPERLINK("https://pbs.twimg.com/profile_images/2418591123/images_normal.jpg")</f>
        <v>https://pbs.twimg.com/profile_images/2418591123/images_normal.jpg</v>
      </c>
      <c r="W1452" s="83">
        <v>44466.128692129627</v>
      </c>
      <c r="X1452" s="89">
        <v>44466</v>
      </c>
      <c r="Y1452" s="86" t="s">
        <v>3700</v>
      </c>
      <c r="Z1452" s="84" t="str">
        <f>HYPERLINK("https://twitter.com/lowongankerjalu/status/1442324443959894020")</f>
        <v>https://twitter.com/lowongankerjalu/status/1442324443959894020</v>
      </c>
      <c r="AA1452" s="81"/>
      <c r="AB1452" s="81"/>
      <c r="AC1452" s="86" t="s">
        <v>5168</v>
      </c>
      <c r="AD1452" s="81"/>
      <c r="AE1452" s="81" t="b">
        <v>0</v>
      </c>
      <c r="AF1452" s="81">
        <v>0</v>
      </c>
      <c r="AG1452" s="86" t="s">
        <v>6240</v>
      </c>
      <c r="AH1452" s="81" t="b">
        <v>0</v>
      </c>
      <c r="AI1452" s="81" t="s">
        <v>6478</v>
      </c>
      <c r="AJ1452" s="81"/>
      <c r="AK1452" s="86" t="s">
        <v>6240</v>
      </c>
      <c r="AL1452" s="81" t="b">
        <v>0</v>
      </c>
      <c r="AM1452" s="81">
        <v>0</v>
      </c>
      <c r="AN1452" s="86" t="s">
        <v>6240</v>
      </c>
      <c r="AO1452" s="86" t="s">
        <v>6526</v>
      </c>
      <c r="AP1452" s="81" t="b">
        <v>0</v>
      </c>
      <c r="AQ1452" s="86" t="s">
        <v>5168</v>
      </c>
      <c r="AR1452" s="81" t="s">
        <v>179</v>
      </c>
      <c r="AS1452" s="81">
        <v>0</v>
      </c>
      <c r="AT1452" s="81">
        <v>0</v>
      </c>
      <c r="AU1452" s="81"/>
      <c r="AV1452" s="81"/>
      <c r="AW1452" s="81"/>
      <c r="AX1452" s="81"/>
      <c r="AY1452" s="81"/>
      <c r="AZ1452" s="81"/>
      <c r="BA1452" s="81"/>
      <c r="BB1452" s="81"/>
    </row>
    <row r="1453" spans="1:54" x14ac:dyDescent="0.35">
      <c r="A1453" s="66" t="s">
        <v>1021</v>
      </c>
      <c r="B1453" s="66" t="s">
        <v>1021</v>
      </c>
      <c r="C1453" s="67"/>
      <c r="D1453" s="68"/>
      <c r="E1453" s="69"/>
      <c r="F1453" s="70"/>
      <c r="G1453" s="67"/>
      <c r="H1453" s="71"/>
      <c r="I1453" s="72"/>
      <c r="J1453" s="72"/>
      <c r="K1453" s="36"/>
      <c r="L1453" s="79"/>
      <c r="M1453" s="79"/>
      <c r="N1453" s="74"/>
      <c r="O1453" s="81" t="s">
        <v>179</v>
      </c>
      <c r="P1453" s="83">
        <v>44466.129837962966</v>
      </c>
      <c r="Q1453" s="81" t="s">
        <v>2050</v>
      </c>
      <c r="R1453" s="81"/>
      <c r="S1453" s="81"/>
      <c r="T1453" s="86" t="s">
        <v>2698</v>
      </c>
      <c r="U1453" s="84" t="str">
        <f>HYPERLINK("https://pbs.twimg.com/media/FAQqu5SVEAUUW13.jpg")</f>
        <v>https://pbs.twimg.com/media/FAQqu5SVEAUUW13.jpg</v>
      </c>
      <c r="V1453" s="84" t="str">
        <f>HYPERLINK("https://pbs.twimg.com/media/FAQqu5SVEAUUW13.jpg")</f>
        <v>https://pbs.twimg.com/media/FAQqu5SVEAUUW13.jpg</v>
      </c>
      <c r="W1453" s="83">
        <v>44466.129837962966</v>
      </c>
      <c r="X1453" s="89">
        <v>44466</v>
      </c>
      <c r="Y1453" s="86" t="s">
        <v>3701</v>
      </c>
      <c r="Z1453" s="84" t="str">
        <f>HYPERLINK("https://twitter.com/bolmongkpu/status/1442324861095845904")</f>
        <v>https://twitter.com/bolmongkpu/status/1442324861095845904</v>
      </c>
      <c r="AA1453" s="81"/>
      <c r="AB1453" s="81"/>
      <c r="AC1453" s="86" t="s">
        <v>5169</v>
      </c>
      <c r="AD1453" s="81"/>
      <c r="AE1453" s="81" t="b">
        <v>0</v>
      </c>
      <c r="AF1453" s="81">
        <v>4</v>
      </c>
      <c r="AG1453" s="86" t="s">
        <v>6240</v>
      </c>
      <c r="AH1453" s="81" t="b">
        <v>0</v>
      </c>
      <c r="AI1453" s="81" t="s">
        <v>6478</v>
      </c>
      <c r="AJ1453" s="81"/>
      <c r="AK1453" s="86" t="s">
        <v>6240</v>
      </c>
      <c r="AL1453" s="81" t="b">
        <v>0</v>
      </c>
      <c r="AM1453" s="81">
        <v>0</v>
      </c>
      <c r="AN1453" s="86" t="s">
        <v>6240</v>
      </c>
      <c r="AO1453" s="86" t="s">
        <v>6507</v>
      </c>
      <c r="AP1453" s="81" t="b">
        <v>0</v>
      </c>
      <c r="AQ1453" s="86" t="s">
        <v>5169</v>
      </c>
      <c r="AR1453" s="81" t="s">
        <v>179</v>
      </c>
      <c r="AS1453" s="81">
        <v>0</v>
      </c>
      <c r="AT1453" s="81">
        <v>0</v>
      </c>
      <c r="AU1453" s="81"/>
      <c r="AV1453" s="81"/>
      <c r="AW1453" s="81"/>
      <c r="AX1453" s="81"/>
      <c r="AY1453" s="81"/>
      <c r="AZ1453" s="81"/>
      <c r="BA1453" s="81"/>
      <c r="BB1453" s="81"/>
    </row>
    <row r="1454" spans="1:54" x14ac:dyDescent="0.35">
      <c r="A1454" s="66" t="s">
        <v>1021</v>
      </c>
      <c r="B1454" s="66" t="s">
        <v>1021</v>
      </c>
      <c r="C1454" s="67"/>
      <c r="D1454" s="68"/>
      <c r="E1454" s="69"/>
      <c r="F1454" s="70"/>
      <c r="G1454" s="67"/>
      <c r="H1454" s="71"/>
      <c r="I1454" s="72"/>
      <c r="J1454" s="72"/>
      <c r="K1454" s="36"/>
      <c r="L1454" s="79"/>
      <c r="M1454" s="79"/>
      <c r="N1454" s="74"/>
      <c r="O1454" s="81" t="s">
        <v>179</v>
      </c>
      <c r="P1454" s="83">
        <v>44466.129849537036</v>
      </c>
      <c r="Q1454" s="81" t="s">
        <v>2051</v>
      </c>
      <c r="R1454" s="81"/>
      <c r="S1454" s="81"/>
      <c r="T1454" s="86" t="s">
        <v>2699</v>
      </c>
      <c r="U1454" s="81"/>
      <c r="V1454" s="84" t="str">
        <f>HYPERLINK("https://pbs.twimg.com/profile_images/1419854871272988678/HoPuqwsW_normal.jpg")</f>
        <v>https://pbs.twimg.com/profile_images/1419854871272988678/HoPuqwsW_normal.jpg</v>
      </c>
      <c r="W1454" s="83">
        <v>44466.129849537036</v>
      </c>
      <c r="X1454" s="89">
        <v>44466</v>
      </c>
      <c r="Y1454" s="86" t="s">
        <v>3702</v>
      </c>
      <c r="Z1454" s="84" t="str">
        <f>HYPERLINK("https://twitter.com/bolmongkpu/status/1442324864082214917")</f>
        <v>https://twitter.com/bolmongkpu/status/1442324864082214917</v>
      </c>
      <c r="AA1454" s="81"/>
      <c r="AB1454" s="81"/>
      <c r="AC1454" s="86" t="s">
        <v>5170</v>
      </c>
      <c r="AD1454" s="86" t="s">
        <v>5169</v>
      </c>
      <c r="AE1454" s="81" t="b">
        <v>0</v>
      </c>
      <c r="AF1454" s="81">
        <v>2</v>
      </c>
      <c r="AG1454" s="86" t="s">
        <v>6421</v>
      </c>
      <c r="AH1454" s="81" t="b">
        <v>0</v>
      </c>
      <c r="AI1454" s="81" t="s">
        <v>6478</v>
      </c>
      <c r="AJ1454" s="81"/>
      <c r="AK1454" s="86" t="s">
        <v>6240</v>
      </c>
      <c r="AL1454" s="81" t="b">
        <v>0</v>
      </c>
      <c r="AM1454" s="81">
        <v>0</v>
      </c>
      <c r="AN1454" s="86" t="s">
        <v>6240</v>
      </c>
      <c r="AO1454" s="86" t="s">
        <v>6507</v>
      </c>
      <c r="AP1454" s="81" t="b">
        <v>0</v>
      </c>
      <c r="AQ1454" s="86" t="s">
        <v>5169</v>
      </c>
      <c r="AR1454" s="81" t="s">
        <v>179</v>
      </c>
      <c r="AS1454" s="81">
        <v>0</v>
      </c>
      <c r="AT1454" s="81">
        <v>0</v>
      </c>
      <c r="AU1454" s="81"/>
      <c r="AV1454" s="81"/>
      <c r="AW1454" s="81"/>
      <c r="AX1454" s="81"/>
      <c r="AY1454" s="81"/>
      <c r="AZ1454" s="81"/>
      <c r="BA1454" s="81"/>
      <c r="BB1454" s="81"/>
    </row>
    <row r="1455" spans="1:54" x14ac:dyDescent="0.35">
      <c r="A1455" s="66" t="s">
        <v>1022</v>
      </c>
      <c r="B1455" s="66" t="s">
        <v>1022</v>
      </c>
      <c r="C1455" s="67"/>
      <c r="D1455" s="68"/>
      <c r="E1455" s="69"/>
      <c r="F1455" s="70"/>
      <c r="G1455" s="67"/>
      <c r="H1455" s="71"/>
      <c r="I1455" s="72"/>
      <c r="J1455" s="72"/>
      <c r="K1455" s="36"/>
      <c r="L1455" s="79"/>
      <c r="M1455" s="79"/>
      <c r="N1455" s="74"/>
      <c r="O1455" s="81" t="s">
        <v>179</v>
      </c>
      <c r="P1455" s="83">
        <v>44466.130023148151</v>
      </c>
      <c r="Q1455" s="81" t="s">
        <v>2052</v>
      </c>
      <c r="R1455" s="84" t="str">
        <f>HYPERLINK("https://www.instagram.com/p/CUTygQsvPoi/Berita:Kepala")</f>
        <v>https://www.instagram.com/p/CUTygQsvPoi/Berita:Kepala</v>
      </c>
      <c r="S1455" s="81" t="s">
        <v>2626</v>
      </c>
      <c r="T1455" s="81"/>
      <c r="U1455" s="84" t="str">
        <f>HYPERLINK("https://pbs.twimg.com/media/FAQq4L-WEAY4on4.jpg")</f>
        <v>https://pbs.twimg.com/media/FAQq4L-WEAY4on4.jpg</v>
      </c>
      <c r="V1455" s="84" t="str">
        <f>HYPERLINK("https://pbs.twimg.com/media/FAQq4L-WEAY4on4.jpg")</f>
        <v>https://pbs.twimg.com/media/FAQq4L-WEAY4on4.jpg</v>
      </c>
      <c r="W1455" s="83">
        <v>44466.130023148151</v>
      </c>
      <c r="X1455" s="89">
        <v>44466</v>
      </c>
      <c r="Y1455" s="86" t="s">
        <v>3703</v>
      </c>
      <c r="Z1455" s="84" t="str">
        <f>HYPERLINK("https://twitter.com/kejariindramayu/status/1442324928418754561")</f>
        <v>https://twitter.com/kejariindramayu/status/1442324928418754561</v>
      </c>
      <c r="AA1455" s="81"/>
      <c r="AB1455" s="81"/>
      <c r="AC1455" s="86" t="s">
        <v>5171</v>
      </c>
      <c r="AD1455" s="81"/>
      <c r="AE1455" s="81" t="b">
        <v>0</v>
      </c>
      <c r="AF1455" s="81">
        <v>0</v>
      </c>
      <c r="AG1455" s="86" t="s">
        <v>6240</v>
      </c>
      <c r="AH1455" s="81" t="b">
        <v>0</v>
      </c>
      <c r="AI1455" s="81" t="s">
        <v>6478</v>
      </c>
      <c r="AJ1455" s="81"/>
      <c r="AK1455" s="86" t="s">
        <v>6240</v>
      </c>
      <c r="AL1455" s="81" t="b">
        <v>0</v>
      </c>
      <c r="AM1455" s="81">
        <v>0</v>
      </c>
      <c r="AN1455" s="86" t="s">
        <v>6240</v>
      </c>
      <c r="AO1455" s="86" t="s">
        <v>6527</v>
      </c>
      <c r="AP1455" s="81" t="b">
        <v>0</v>
      </c>
      <c r="AQ1455" s="86" t="s">
        <v>5171</v>
      </c>
      <c r="AR1455" s="81" t="s">
        <v>179</v>
      </c>
      <c r="AS1455" s="81">
        <v>0</v>
      </c>
      <c r="AT1455" s="81">
        <v>0</v>
      </c>
      <c r="AU1455" s="81"/>
      <c r="AV1455" s="81"/>
      <c r="AW1455" s="81"/>
      <c r="AX1455" s="81"/>
      <c r="AY1455" s="81"/>
      <c r="AZ1455" s="81"/>
      <c r="BA1455" s="81"/>
      <c r="BB1455" s="81"/>
    </row>
    <row r="1456" spans="1:54" x14ac:dyDescent="0.35">
      <c r="A1456" s="66" t="s">
        <v>1023</v>
      </c>
      <c r="B1456" s="66" t="s">
        <v>1024</v>
      </c>
      <c r="C1456" s="67"/>
      <c r="D1456" s="68"/>
      <c r="E1456" s="69"/>
      <c r="F1456" s="70"/>
      <c r="G1456" s="67"/>
      <c r="H1456" s="71"/>
      <c r="I1456" s="72"/>
      <c r="J1456" s="72"/>
      <c r="K1456" s="36"/>
      <c r="L1456" s="79"/>
      <c r="M1456" s="79"/>
      <c r="N1456" s="74"/>
      <c r="O1456" s="81" t="s">
        <v>1532</v>
      </c>
      <c r="P1456" s="83">
        <v>44466.132430555554</v>
      </c>
      <c r="Q1456" s="81" t="s">
        <v>2053</v>
      </c>
      <c r="R1456" s="81"/>
      <c r="S1456" s="81"/>
      <c r="T1456" s="86" t="s">
        <v>2700</v>
      </c>
      <c r="U1456" s="81"/>
      <c r="V1456" s="84" t="str">
        <f>HYPERLINK("https://pbs.twimg.com/profile_images/1207660224418443266/yDu288Ea_normal.jpg")</f>
        <v>https://pbs.twimg.com/profile_images/1207660224418443266/yDu288Ea_normal.jpg</v>
      </c>
      <c r="W1456" s="83">
        <v>44466.132430555554</v>
      </c>
      <c r="X1456" s="89">
        <v>44466</v>
      </c>
      <c r="Y1456" s="86" t="s">
        <v>3704</v>
      </c>
      <c r="Z1456" s="84" t="str">
        <f>HYPERLINK("https://twitter.com/cindysirait/status/1442325800418627589")</f>
        <v>https://twitter.com/cindysirait/status/1442325800418627589</v>
      </c>
      <c r="AA1456" s="81"/>
      <c r="AB1456" s="81"/>
      <c r="AC1456" s="86" t="s">
        <v>5172</v>
      </c>
      <c r="AD1456" s="81"/>
      <c r="AE1456" s="81" t="b">
        <v>0</v>
      </c>
      <c r="AF1456" s="81">
        <v>0</v>
      </c>
      <c r="AG1456" s="86" t="s">
        <v>6240</v>
      </c>
      <c r="AH1456" s="81" t="b">
        <v>0</v>
      </c>
      <c r="AI1456" s="81" t="s">
        <v>6478</v>
      </c>
      <c r="AJ1456" s="81"/>
      <c r="AK1456" s="86" t="s">
        <v>6240</v>
      </c>
      <c r="AL1456" s="81" t="b">
        <v>0</v>
      </c>
      <c r="AM1456" s="81">
        <v>2</v>
      </c>
      <c r="AN1456" s="86" t="s">
        <v>5173</v>
      </c>
      <c r="AO1456" s="86" t="s">
        <v>6503</v>
      </c>
      <c r="AP1456" s="81" t="b">
        <v>0</v>
      </c>
      <c r="AQ1456" s="86" t="s">
        <v>5173</v>
      </c>
      <c r="AR1456" s="81" t="s">
        <v>179</v>
      </c>
      <c r="AS1456" s="81">
        <v>0</v>
      </c>
      <c r="AT1456" s="81">
        <v>0</v>
      </c>
      <c r="AU1456" s="81"/>
      <c r="AV1456" s="81"/>
      <c r="AW1456" s="81"/>
      <c r="AX1456" s="81"/>
      <c r="AY1456" s="81"/>
      <c r="AZ1456" s="81"/>
      <c r="BA1456" s="81"/>
      <c r="BB1456" s="81"/>
    </row>
    <row r="1457" spans="1:54" x14ac:dyDescent="0.35">
      <c r="A1457" s="66" t="s">
        <v>1024</v>
      </c>
      <c r="B1457" s="66" t="s">
        <v>1024</v>
      </c>
      <c r="C1457" s="67"/>
      <c r="D1457" s="68"/>
      <c r="E1457" s="69"/>
      <c r="F1457" s="70"/>
      <c r="G1457" s="67"/>
      <c r="H1457" s="71"/>
      <c r="I1457" s="72"/>
      <c r="J1457" s="72"/>
      <c r="K1457" s="36"/>
      <c r="L1457" s="79"/>
      <c r="M1457" s="79"/>
      <c r="N1457" s="74"/>
      <c r="O1457" s="81" t="s">
        <v>179</v>
      </c>
      <c r="P1457" s="83">
        <v>44466.132048611114</v>
      </c>
      <c r="Q1457" s="81" t="s">
        <v>2053</v>
      </c>
      <c r="R1457" s="81"/>
      <c r="S1457" s="81"/>
      <c r="T1457" s="86" t="s">
        <v>2700</v>
      </c>
      <c r="U1457" s="81"/>
      <c r="V1457" s="84" t="str">
        <f>HYPERLINK("https://pbs.twimg.com/profile_images/428616020115202049/8Neaawf2_normal.jpeg")</f>
        <v>https://pbs.twimg.com/profile_images/428616020115202049/8Neaawf2_normal.jpeg</v>
      </c>
      <c r="W1457" s="83">
        <v>44466.132048611114</v>
      </c>
      <c r="X1457" s="89">
        <v>44466</v>
      </c>
      <c r="Y1457" s="86" t="s">
        <v>3705</v>
      </c>
      <c r="Z1457" s="84" t="str">
        <f>HYPERLINK("https://twitter.com/ant_surf_fish/status/1442325661939486722")</f>
        <v>https://twitter.com/ant_surf_fish/status/1442325661939486722</v>
      </c>
      <c r="AA1457" s="81"/>
      <c r="AB1457" s="81"/>
      <c r="AC1457" s="86" t="s">
        <v>5173</v>
      </c>
      <c r="AD1457" s="86" t="s">
        <v>6171</v>
      </c>
      <c r="AE1457" s="81" t="b">
        <v>0</v>
      </c>
      <c r="AF1457" s="81">
        <v>0</v>
      </c>
      <c r="AG1457" s="86" t="s">
        <v>6422</v>
      </c>
      <c r="AH1457" s="81" t="b">
        <v>0</v>
      </c>
      <c r="AI1457" s="81" t="s">
        <v>6478</v>
      </c>
      <c r="AJ1457" s="81"/>
      <c r="AK1457" s="86" t="s">
        <v>6240</v>
      </c>
      <c r="AL1457" s="81" t="b">
        <v>0</v>
      </c>
      <c r="AM1457" s="81">
        <v>2</v>
      </c>
      <c r="AN1457" s="86" t="s">
        <v>6240</v>
      </c>
      <c r="AO1457" s="86" t="s">
        <v>6503</v>
      </c>
      <c r="AP1457" s="81" t="b">
        <v>0</v>
      </c>
      <c r="AQ1457" s="86" t="s">
        <v>6171</v>
      </c>
      <c r="AR1457" s="81" t="s">
        <v>179</v>
      </c>
      <c r="AS1457" s="81">
        <v>0</v>
      </c>
      <c r="AT1457" s="81">
        <v>0</v>
      </c>
      <c r="AU1457" s="81"/>
      <c r="AV1457" s="81"/>
      <c r="AW1457" s="81"/>
      <c r="AX1457" s="81"/>
      <c r="AY1457" s="81"/>
      <c r="AZ1457" s="81"/>
      <c r="BA1457" s="81"/>
      <c r="BB1457" s="81"/>
    </row>
    <row r="1458" spans="1:54" x14ac:dyDescent="0.35">
      <c r="A1458" s="66" t="s">
        <v>1025</v>
      </c>
      <c r="B1458" s="66" t="s">
        <v>1024</v>
      </c>
      <c r="C1458" s="67"/>
      <c r="D1458" s="68"/>
      <c r="E1458" s="69"/>
      <c r="F1458" s="70"/>
      <c r="G1458" s="67"/>
      <c r="H1458" s="71"/>
      <c r="I1458" s="72"/>
      <c r="J1458" s="72"/>
      <c r="K1458" s="36"/>
      <c r="L1458" s="79"/>
      <c r="M1458" s="79"/>
      <c r="N1458" s="74"/>
      <c r="O1458" s="81" t="s">
        <v>1532</v>
      </c>
      <c r="P1458" s="83">
        <v>44466.132581018515</v>
      </c>
      <c r="Q1458" s="81" t="s">
        <v>2053</v>
      </c>
      <c r="R1458" s="81"/>
      <c r="S1458" s="81"/>
      <c r="T1458" s="86" t="s">
        <v>2700</v>
      </c>
      <c r="U1458" s="81"/>
      <c r="V1458" s="84" t="str">
        <f>HYPERLINK("https://pbs.twimg.com/profile_images/1011733581238976512/q9XkuiOG_normal.jpg")</f>
        <v>https://pbs.twimg.com/profile_images/1011733581238976512/q9XkuiOG_normal.jpg</v>
      </c>
      <c r="W1458" s="83">
        <v>44466.132581018515</v>
      </c>
      <c r="X1458" s="89">
        <v>44466</v>
      </c>
      <c r="Y1458" s="86" t="s">
        <v>3706</v>
      </c>
      <c r="Z1458" s="84" t="str">
        <f>HYPERLINK("https://twitter.com/pp234sc/status/1442325856236359683")</f>
        <v>https://twitter.com/pp234sc/status/1442325856236359683</v>
      </c>
      <c r="AA1458" s="81"/>
      <c r="AB1458" s="81"/>
      <c r="AC1458" s="86" t="s">
        <v>5174</v>
      </c>
      <c r="AD1458" s="81"/>
      <c r="AE1458" s="81" t="b">
        <v>0</v>
      </c>
      <c r="AF1458" s="81">
        <v>0</v>
      </c>
      <c r="AG1458" s="86" t="s">
        <v>6240</v>
      </c>
      <c r="AH1458" s="81" t="b">
        <v>0</v>
      </c>
      <c r="AI1458" s="81" t="s">
        <v>6478</v>
      </c>
      <c r="AJ1458" s="81"/>
      <c r="AK1458" s="86" t="s">
        <v>6240</v>
      </c>
      <c r="AL1458" s="81" t="b">
        <v>0</v>
      </c>
      <c r="AM1458" s="81">
        <v>2</v>
      </c>
      <c r="AN1458" s="86" t="s">
        <v>5173</v>
      </c>
      <c r="AO1458" s="86" t="s">
        <v>6503</v>
      </c>
      <c r="AP1458" s="81" t="b">
        <v>0</v>
      </c>
      <c r="AQ1458" s="86" t="s">
        <v>5173</v>
      </c>
      <c r="AR1458" s="81" t="s">
        <v>179</v>
      </c>
      <c r="AS1458" s="81">
        <v>0</v>
      </c>
      <c r="AT1458" s="81">
        <v>0</v>
      </c>
      <c r="AU1458" s="81"/>
      <c r="AV1458" s="81"/>
      <c r="AW1458" s="81"/>
      <c r="AX1458" s="81"/>
      <c r="AY1458" s="81"/>
      <c r="AZ1458" s="81"/>
      <c r="BA1458" s="81"/>
      <c r="BB1458" s="81"/>
    </row>
    <row r="1459" spans="1:54" x14ac:dyDescent="0.35">
      <c r="A1459" s="66" t="s">
        <v>1026</v>
      </c>
      <c r="B1459" s="66" t="s">
        <v>1071</v>
      </c>
      <c r="C1459" s="67"/>
      <c r="D1459" s="68"/>
      <c r="E1459" s="69"/>
      <c r="F1459" s="70"/>
      <c r="G1459" s="67"/>
      <c r="H1459" s="71"/>
      <c r="I1459" s="72"/>
      <c r="J1459" s="72"/>
      <c r="K1459" s="36"/>
      <c r="L1459" s="79"/>
      <c r="M1459" s="79"/>
      <c r="N1459" s="74"/>
      <c r="O1459" s="81" t="s">
        <v>1532</v>
      </c>
      <c r="P1459" s="83">
        <v>44466.136574074073</v>
      </c>
      <c r="Q1459" s="81" t="s">
        <v>2054</v>
      </c>
      <c r="R1459" s="81"/>
      <c r="S1459" s="81"/>
      <c r="T1459" s="86" t="s">
        <v>2701</v>
      </c>
      <c r="U1459" s="84" t="str">
        <f>HYPERLINK("https://pbs.twimg.com/media/FAQsrN2VQAI9VeD.jpg")</f>
        <v>https://pbs.twimg.com/media/FAQsrN2VQAI9VeD.jpg</v>
      </c>
      <c r="V1459" s="84" t="str">
        <f>HYPERLINK("https://pbs.twimg.com/media/FAQsrN2VQAI9VeD.jpg")</f>
        <v>https://pbs.twimg.com/media/FAQsrN2VQAI9VeD.jpg</v>
      </c>
      <c r="W1459" s="83">
        <v>44466.136574074073</v>
      </c>
      <c r="X1459" s="89">
        <v>44466</v>
      </c>
      <c r="Y1459" s="86" t="s">
        <v>3707</v>
      </c>
      <c r="Z1459" s="84" t="str">
        <f>HYPERLINK("https://twitter.com/ncit31/status/1442327301304172544")</f>
        <v>https://twitter.com/ncit31/status/1442327301304172544</v>
      </c>
      <c r="AA1459" s="81"/>
      <c r="AB1459" s="81"/>
      <c r="AC1459" s="86" t="s">
        <v>5175</v>
      </c>
      <c r="AD1459" s="81"/>
      <c r="AE1459" s="81" t="b">
        <v>0</v>
      </c>
      <c r="AF1459" s="81">
        <v>0</v>
      </c>
      <c r="AG1459" s="86" t="s">
        <v>6240</v>
      </c>
      <c r="AH1459" s="81" t="b">
        <v>0</v>
      </c>
      <c r="AI1459" s="81" t="s">
        <v>6479</v>
      </c>
      <c r="AJ1459" s="81"/>
      <c r="AK1459" s="86" t="s">
        <v>6240</v>
      </c>
      <c r="AL1459" s="81" t="b">
        <v>0</v>
      </c>
      <c r="AM1459" s="81">
        <v>2</v>
      </c>
      <c r="AN1459" s="86" t="s">
        <v>5233</v>
      </c>
      <c r="AO1459" s="86" t="s">
        <v>6503</v>
      </c>
      <c r="AP1459" s="81" t="b">
        <v>0</v>
      </c>
      <c r="AQ1459" s="86" t="s">
        <v>5233</v>
      </c>
      <c r="AR1459" s="81" t="s">
        <v>179</v>
      </c>
      <c r="AS1459" s="81">
        <v>0</v>
      </c>
      <c r="AT1459" s="81">
        <v>0</v>
      </c>
      <c r="AU1459" s="81"/>
      <c r="AV1459" s="81"/>
      <c r="AW1459" s="81"/>
      <c r="AX1459" s="81"/>
      <c r="AY1459" s="81"/>
      <c r="AZ1459" s="81"/>
      <c r="BA1459" s="81"/>
      <c r="BB1459" s="81"/>
    </row>
    <row r="1460" spans="1:54" x14ac:dyDescent="0.35">
      <c r="A1460" s="66" t="s">
        <v>1027</v>
      </c>
      <c r="B1460" s="66" t="s">
        <v>1454</v>
      </c>
      <c r="C1460" s="67"/>
      <c r="D1460" s="68"/>
      <c r="E1460" s="69"/>
      <c r="F1460" s="70"/>
      <c r="G1460" s="67"/>
      <c r="H1460" s="71"/>
      <c r="I1460" s="72"/>
      <c r="J1460" s="72"/>
      <c r="K1460" s="36"/>
      <c r="L1460" s="79"/>
      <c r="M1460" s="79"/>
      <c r="N1460" s="74"/>
      <c r="O1460" s="81" t="s">
        <v>1533</v>
      </c>
      <c r="P1460" s="83">
        <v>44466.148518518516</v>
      </c>
      <c r="Q1460" s="81" t="s">
        <v>1973</v>
      </c>
      <c r="R1460" s="81"/>
      <c r="S1460" s="81"/>
      <c r="T1460" s="86" t="s">
        <v>2691</v>
      </c>
      <c r="U1460" s="84" t="str">
        <f>HYPERLINK("https://pbs.twimg.com/media/FAI5unvVgAgIBY3.jpg")</f>
        <v>https://pbs.twimg.com/media/FAI5unvVgAgIBY3.jpg</v>
      </c>
      <c r="V1460" s="84" t="str">
        <f>HYPERLINK("https://pbs.twimg.com/media/FAI5unvVgAgIBY3.jpg")</f>
        <v>https://pbs.twimg.com/media/FAI5unvVgAgIBY3.jpg</v>
      </c>
      <c r="W1460" s="83">
        <v>44466.148518518516</v>
      </c>
      <c r="X1460" s="89">
        <v>44466</v>
      </c>
      <c r="Y1460" s="86" t="s">
        <v>3708</v>
      </c>
      <c r="Z1460" s="84" t="str">
        <f>HYPERLINK("https://twitter.com/loeyyeojaa/status/1442331632103428103")</f>
        <v>https://twitter.com/loeyyeojaa/status/1442331632103428103</v>
      </c>
      <c r="AA1460" s="81"/>
      <c r="AB1460" s="81"/>
      <c r="AC1460" s="86" t="s">
        <v>5176</v>
      </c>
      <c r="AD1460" s="81"/>
      <c r="AE1460" s="81" t="b">
        <v>0</v>
      </c>
      <c r="AF1460" s="81">
        <v>0</v>
      </c>
      <c r="AG1460" s="86" t="s">
        <v>6240</v>
      </c>
      <c r="AH1460" s="81" t="b">
        <v>0</v>
      </c>
      <c r="AI1460" s="81" t="s">
        <v>6479</v>
      </c>
      <c r="AJ1460" s="81"/>
      <c r="AK1460" s="86" t="s">
        <v>6240</v>
      </c>
      <c r="AL1460" s="81" t="b">
        <v>0</v>
      </c>
      <c r="AM1460" s="81">
        <v>6</v>
      </c>
      <c r="AN1460" s="86" t="s">
        <v>5177</v>
      </c>
      <c r="AO1460" s="86" t="s">
        <v>6505</v>
      </c>
      <c r="AP1460" s="81" t="b">
        <v>0</v>
      </c>
      <c r="AQ1460" s="86" t="s">
        <v>5177</v>
      </c>
      <c r="AR1460" s="81" t="s">
        <v>179</v>
      </c>
      <c r="AS1460" s="81">
        <v>0</v>
      </c>
      <c r="AT1460" s="81">
        <v>0</v>
      </c>
      <c r="AU1460" s="81"/>
      <c r="AV1460" s="81"/>
      <c r="AW1460" s="81"/>
      <c r="AX1460" s="81"/>
      <c r="AY1460" s="81"/>
      <c r="AZ1460" s="81"/>
      <c r="BA1460" s="81"/>
      <c r="BB1460" s="81"/>
    </row>
    <row r="1461" spans="1:54" x14ac:dyDescent="0.35">
      <c r="A1461" s="66" t="s">
        <v>1027</v>
      </c>
      <c r="B1461" s="66" t="s">
        <v>1028</v>
      </c>
      <c r="C1461" s="67"/>
      <c r="D1461" s="68"/>
      <c r="E1461" s="69"/>
      <c r="F1461" s="70"/>
      <c r="G1461" s="67"/>
      <c r="H1461" s="71"/>
      <c r="I1461" s="72"/>
      <c r="J1461" s="72"/>
      <c r="K1461" s="36"/>
      <c r="L1461" s="79"/>
      <c r="M1461" s="79"/>
      <c r="N1461" s="74"/>
      <c r="O1461" s="81" t="s">
        <v>1532</v>
      </c>
      <c r="P1461" s="83">
        <v>44466.148518518516</v>
      </c>
      <c r="Q1461" s="81" t="s">
        <v>1973</v>
      </c>
      <c r="R1461" s="81"/>
      <c r="S1461" s="81"/>
      <c r="T1461" s="86" t="s">
        <v>2691</v>
      </c>
      <c r="U1461" s="84" t="str">
        <f>HYPERLINK("https://pbs.twimg.com/media/FAI5unvVgAgIBY3.jpg")</f>
        <v>https://pbs.twimg.com/media/FAI5unvVgAgIBY3.jpg</v>
      </c>
      <c r="V1461" s="84" t="str">
        <f>HYPERLINK("https://pbs.twimg.com/media/FAI5unvVgAgIBY3.jpg")</f>
        <v>https://pbs.twimg.com/media/FAI5unvVgAgIBY3.jpg</v>
      </c>
      <c r="W1461" s="83">
        <v>44466.148518518516</v>
      </c>
      <c r="X1461" s="89">
        <v>44466</v>
      </c>
      <c r="Y1461" s="86" t="s">
        <v>3708</v>
      </c>
      <c r="Z1461" s="84" t="str">
        <f>HYPERLINK("https://twitter.com/loeyyeojaa/status/1442331632103428103")</f>
        <v>https://twitter.com/loeyyeojaa/status/1442331632103428103</v>
      </c>
      <c r="AA1461" s="81"/>
      <c r="AB1461" s="81"/>
      <c r="AC1461" s="86" t="s">
        <v>5176</v>
      </c>
      <c r="AD1461" s="81"/>
      <c r="AE1461" s="81" t="b">
        <v>0</v>
      </c>
      <c r="AF1461" s="81">
        <v>0</v>
      </c>
      <c r="AG1461" s="86" t="s">
        <v>6240</v>
      </c>
      <c r="AH1461" s="81" t="b">
        <v>0</v>
      </c>
      <c r="AI1461" s="81" t="s">
        <v>6479</v>
      </c>
      <c r="AJ1461" s="81"/>
      <c r="AK1461" s="86" t="s">
        <v>6240</v>
      </c>
      <c r="AL1461" s="81" t="b">
        <v>0</v>
      </c>
      <c r="AM1461" s="81">
        <v>6</v>
      </c>
      <c r="AN1461" s="86" t="s">
        <v>5177</v>
      </c>
      <c r="AO1461" s="86" t="s">
        <v>6505</v>
      </c>
      <c r="AP1461" s="81" t="b">
        <v>0</v>
      </c>
      <c r="AQ1461" s="86" t="s">
        <v>5177</v>
      </c>
      <c r="AR1461" s="81" t="s">
        <v>179</v>
      </c>
      <c r="AS1461" s="81">
        <v>0</v>
      </c>
      <c r="AT1461" s="81">
        <v>0</v>
      </c>
      <c r="AU1461" s="81"/>
      <c r="AV1461" s="81"/>
      <c r="AW1461" s="81"/>
      <c r="AX1461" s="81"/>
      <c r="AY1461" s="81"/>
      <c r="AZ1461" s="81"/>
      <c r="BA1461" s="81"/>
      <c r="BB1461" s="81"/>
    </row>
    <row r="1462" spans="1:54" x14ac:dyDescent="0.35">
      <c r="A1462" s="66" t="s">
        <v>1028</v>
      </c>
      <c r="B1462" s="66" t="s">
        <v>1454</v>
      </c>
      <c r="C1462" s="67"/>
      <c r="D1462" s="68"/>
      <c r="E1462" s="69"/>
      <c r="F1462" s="70"/>
      <c r="G1462" s="67"/>
      <c r="H1462" s="71"/>
      <c r="I1462" s="72"/>
      <c r="J1462" s="72"/>
      <c r="K1462" s="36"/>
      <c r="L1462" s="79"/>
      <c r="M1462" s="79"/>
      <c r="N1462" s="74"/>
      <c r="O1462" s="81" t="s">
        <v>1535</v>
      </c>
      <c r="P1462" s="83">
        <v>44464.621666666666</v>
      </c>
      <c r="Q1462" s="81" t="s">
        <v>1973</v>
      </c>
      <c r="R1462" s="81"/>
      <c r="S1462" s="81"/>
      <c r="T1462" s="86" t="s">
        <v>2691</v>
      </c>
      <c r="U1462" s="84" t="str">
        <f>HYPERLINK("https://pbs.twimg.com/media/FAI5unvVgAgIBY3.jpg")</f>
        <v>https://pbs.twimg.com/media/FAI5unvVgAgIBY3.jpg</v>
      </c>
      <c r="V1462" s="84" t="str">
        <f>HYPERLINK("https://pbs.twimg.com/media/FAI5unvVgAgIBY3.jpg")</f>
        <v>https://pbs.twimg.com/media/FAI5unvVgAgIBY3.jpg</v>
      </c>
      <c r="W1462" s="83">
        <v>44464.621666666666</v>
      </c>
      <c r="X1462" s="89">
        <v>44464</v>
      </c>
      <c r="Y1462" s="86" t="s">
        <v>3709</v>
      </c>
      <c r="Z1462" s="84" t="str">
        <f>HYPERLINK("https://twitter.com/syafiqaaazm/status/1441778317128974339")</f>
        <v>https://twitter.com/syafiqaaazm/status/1441778317128974339</v>
      </c>
      <c r="AA1462" s="81"/>
      <c r="AB1462" s="81"/>
      <c r="AC1462" s="86" t="s">
        <v>5177</v>
      </c>
      <c r="AD1462" s="81"/>
      <c r="AE1462" s="81" t="b">
        <v>0</v>
      </c>
      <c r="AF1462" s="81">
        <v>2</v>
      </c>
      <c r="AG1462" s="86" t="s">
        <v>6240</v>
      </c>
      <c r="AH1462" s="81" t="b">
        <v>0</v>
      </c>
      <c r="AI1462" s="81" t="s">
        <v>6479</v>
      </c>
      <c r="AJ1462" s="81"/>
      <c r="AK1462" s="86" t="s">
        <v>6240</v>
      </c>
      <c r="AL1462" s="81" t="b">
        <v>0</v>
      </c>
      <c r="AM1462" s="81">
        <v>6</v>
      </c>
      <c r="AN1462" s="86" t="s">
        <v>6240</v>
      </c>
      <c r="AO1462" s="86" t="s">
        <v>6505</v>
      </c>
      <c r="AP1462" s="81" t="b">
        <v>0</v>
      </c>
      <c r="AQ1462" s="86" t="s">
        <v>5177</v>
      </c>
      <c r="AR1462" s="81" t="s">
        <v>179</v>
      </c>
      <c r="AS1462" s="81">
        <v>0</v>
      </c>
      <c r="AT1462" s="81">
        <v>0</v>
      </c>
      <c r="AU1462" s="81"/>
      <c r="AV1462" s="81"/>
      <c r="AW1462" s="81"/>
      <c r="AX1462" s="81"/>
      <c r="AY1462" s="81"/>
      <c r="AZ1462" s="81"/>
      <c r="BA1462" s="81"/>
      <c r="BB1462" s="81"/>
    </row>
    <row r="1463" spans="1:54" x14ac:dyDescent="0.35">
      <c r="A1463" s="66" t="s">
        <v>1029</v>
      </c>
      <c r="B1463" s="66" t="s">
        <v>1454</v>
      </c>
      <c r="C1463" s="67"/>
      <c r="D1463" s="68"/>
      <c r="E1463" s="69"/>
      <c r="F1463" s="70"/>
      <c r="G1463" s="67"/>
      <c r="H1463" s="71"/>
      <c r="I1463" s="72"/>
      <c r="J1463" s="72"/>
      <c r="K1463" s="36"/>
      <c r="L1463" s="79"/>
      <c r="M1463" s="79"/>
      <c r="N1463" s="74"/>
      <c r="O1463" s="81" t="s">
        <v>1533</v>
      </c>
      <c r="P1463" s="83">
        <v>44466.149097222224</v>
      </c>
      <c r="Q1463" s="81" t="s">
        <v>1973</v>
      </c>
      <c r="R1463" s="81"/>
      <c r="S1463" s="81"/>
      <c r="T1463" s="86" t="s">
        <v>2691</v>
      </c>
      <c r="U1463" s="84" t="str">
        <f>HYPERLINK("https://pbs.twimg.com/media/FAI5unvVgAgIBY3.jpg")</f>
        <v>https://pbs.twimg.com/media/FAI5unvVgAgIBY3.jpg</v>
      </c>
      <c r="V1463" s="84" t="str">
        <f>HYPERLINK("https://pbs.twimg.com/media/FAI5unvVgAgIBY3.jpg")</f>
        <v>https://pbs.twimg.com/media/FAI5unvVgAgIBY3.jpg</v>
      </c>
      <c r="W1463" s="83">
        <v>44466.149097222224</v>
      </c>
      <c r="X1463" s="89">
        <v>44466</v>
      </c>
      <c r="Y1463" s="86" t="s">
        <v>3710</v>
      </c>
      <c r="Z1463" s="84" t="str">
        <f>HYPERLINK("https://twitter.com/oshh____/status/1442331840467988482")</f>
        <v>https://twitter.com/oshh____/status/1442331840467988482</v>
      </c>
      <c r="AA1463" s="81"/>
      <c r="AB1463" s="81"/>
      <c r="AC1463" s="86" t="s">
        <v>5178</v>
      </c>
      <c r="AD1463" s="81"/>
      <c r="AE1463" s="81" t="b">
        <v>0</v>
      </c>
      <c r="AF1463" s="81">
        <v>0</v>
      </c>
      <c r="AG1463" s="86" t="s">
        <v>6240</v>
      </c>
      <c r="AH1463" s="81" t="b">
        <v>0</v>
      </c>
      <c r="AI1463" s="81" t="s">
        <v>6479</v>
      </c>
      <c r="AJ1463" s="81"/>
      <c r="AK1463" s="86" t="s">
        <v>6240</v>
      </c>
      <c r="AL1463" s="81" t="b">
        <v>0</v>
      </c>
      <c r="AM1463" s="81">
        <v>6</v>
      </c>
      <c r="AN1463" s="86" t="s">
        <v>5177</v>
      </c>
      <c r="AO1463" s="86" t="s">
        <v>6507</v>
      </c>
      <c r="AP1463" s="81" t="b">
        <v>0</v>
      </c>
      <c r="AQ1463" s="86" t="s">
        <v>5177</v>
      </c>
      <c r="AR1463" s="81" t="s">
        <v>179</v>
      </c>
      <c r="AS1463" s="81">
        <v>0</v>
      </c>
      <c r="AT1463" s="81">
        <v>0</v>
      </c>
      <c r="AU1463" s="81"/>
      <c r="AV1463" s="81"/>
      <c r="AW1463" s="81"/>
      <c r="AX1463" s="81"/>
      <c r="AY1463" s="81"/>
      <c r="AZ1463" s="81"/>
      <c r="BA1463" s="81"/>
      <c r="BB1463" s="81"/>
    </row>
    <row r="1464" spans="1:54" x14ac:dyDescent="0.35">
      <c r="A1464" s="66" t="s">
        <v>1029</v>
      </c>
      <c r="B1464" s="66" t="s">
        <v>1028</v>
      </c>
      <c r="C1464" s="67"/>
      <c r="D1464" s="68"/>
      <c r="E1464" s="69"/>
      <c r="F1464" s="70"/>
      <c r="G1464" s="67"/>
      <c r="H1464" s="71"/>
      <c r="I1464" s="72"/>
      <c r="J1464" s="72"/>
      <c r="K1464" s="36"/>
      <c r="L1464" s="79"/>
      <c r="M1464" s="79"/>
      <c r="N1464" s="74"/>
      <c r="O1464" s="81" t="s">
        <v>1532</v>
      </c>
      <c r="P1464" s="83">
        <v>44466.149097222224</v>
      </c>
      <c r="Q1464" s="81" t="s">
        <v>1973</v>
      </c>
      <c r="R1464" s="81"/>
      <c r="S1464" s="81"/>
      <c r="T1464" s="86" t="s">
        <v>2691</v>
      </c>
      <c r="U1464" s="84" t="str">
        <f>HYPERLINK("https://pbs.twimg.com/media/FAI5unvVgAgIBY3.jpg")</f>
        <v>https://pbs.twimg.com/media/FAI5unvVgAgIBY3.jpg</v>
      </c>
      <c r="V1464" s="84" t="str">
        <f>HYPERLINK("https://pbs.twimg.com/media/FAI5unvVgAgIBY3.jpg")</f>
        <v>https://pbs.twimg.com/media/FAI5unvVgAgIBY3.jpg</v>
      </c>
      <c r="W1464" s="83">
        <v>44466.149097222224</v>
      </c>
      <c r="X1464" s="89">
        <v>44466</v>
      </c>
      <c r="Y1464" s="86" t="s">
        <v>3710</v>
      </c>
      <c r="Z1464" s="84" t="str">
        <f>HYPERLINK("https://twitter.com/oshh____/status/1442331840467988482")</f>
        <v>https://twitter.com/oshh____/status/1442331840467988482</v>
      </c>
      <c r="AA1464" s="81"/>
      <c r="AB1464" s="81"/>
      <c r="AC1464" s="86" t="s">
        <v>5178</v>
      </c>
      <c r="AD1464" s="81"/>
      <c r="AE1464" s="81" t="b">
        <v>0</v>
      </c>
      <c r="AF1464" s="81">
        <v>0</v>
      </c>
      <c r="AG1464" s="86" t="s">
        <v>6240</v>
      </c>
      <c r="AH1464" s="81" t="b">
        <v>0</v>
      </c>
      <c r="AI1464" s="81" t="s">
        <v>6479</v>
      </c>
      <c r="AJ1464" s="81"/>
      <c r="AK1464" s="86" t="s">
        <v>6240</v>
      </c>
      <c r="AL1464" s="81" t="b">
        <v>0</v>
      </c>
      <c r="AM1464" s="81">
        <v>6</v>
      </c>
      <c r="AN1464" s="86" t="s">
        <v>5177</v>
      </c>
      <c r="AO1464" s="86" t="s">
        <v>6507</v>
      </c>
      <c r="AP1464" s="81" t="b">
        <v>0</v>
      </c>
      <c r="AQ1464" s="86" t="s">
        <v>5177</v>
      </c>
      <c r="AR1464" s="81" t="s">
        <v>179</v>
      </c>
      <c r="AS1464" s="81">
        <v>0</v>
      </c>
      <c r="AT1464" s="81">
        <v>0</v>
      </c>
      <c r="AU1464" s="81"/>
      <c r="AV1464" s="81"/>
      <c r="AW1464" s="81"/>
      <c r="AX1464" s="81"/>
      <c r="AY1464" s="81"/>
      <c r="AZ1464" s="81"/>
      <c r="BA1464" s="81"/>
      <c r="BB1464" s="81"/>
    </row>
    <row r="1465" spans="1:54" x14ac:dyDescent="0.35">
      <c r="A1465" s="66" t="s">
        <v>1030</v>
      </c>
      <c r="B1465" s="66" t="s">
        <v>1030</v>
      </c>
      <c r="C1465" s="67"/>
      <c r="D1465" s="68"/>
      <c r="E1465" s="69"/>
      <c r="F1465" s="70"/>
      <c r="G1465" s="67"/>
      <c r="H1465" s="71"/>
      <c r="I1465" s="72"/>
      <c r="J1465" s="72"/>
      <c r="K1465" s="36"/>
      <c r="L1465" s="79"/>
      <c r="M1465" s="79"/>
      <c r="N1465" s="74"/>
      <c r="O1465" s="81" t="s">
        <v>179</v>
      </c>
      <c r="P1465" s="83">
        <v>44466.159814814811</v>
      </c>
      <c r="Q1465" s="81" t="s">
        <v>2055</v>
      </c>
      <c r="R1465" s="81"/>
      <c r="S1465" s="81"/>
      <c r="T1465" s="81"/>
      <c r="U1465" s="84" t="str">
        <f>HYPERLINK("https://pbs.twimg.com/media/FAQ0ruFVUA0xU0A.jpg")</f>
        <v>https://pbs.twimg.com/media/FAQ0ruFVUA0xU0A.jpg</v>
      </c>
      <c r="V1465" s="84" t="str">
        <f>HYPERLINK("https://pbs.twimg.com/media/FAQ0ruFVUA0xU0A.jpg")</f>
        <v>https://pbs.twimg.com/media/FAQ0ruFVUA0xU0A.jpg</v>
      </c>
      <c r="W1465" s="83">
        <v>44466.159814814811</v>
      </c>
      <c r="X1465" s="89">
        <v>44466</v>
      </c>
      <c r="Y1465" s="86" t="s">
        <v>3711</v>
      </c>
      <c r="Z1465" s="84" t="str">
        <f>HYPERLINK("https://twitter.com/ikpkominfosbs/status/1442335722468372481")</f>
        <v>https://twitter.com/ikpkominfosbs/status/1442335722468372481</v>
      </c>
      <c r="AA1465" s="81"/>
      <c r="AB1465" s="81"/>
      <c r="AC1465" s="86" t="s">
        <v>5179</v>
      </c>
      <c r="AD1465" s="81"/>
      <c r="AE1465" s="81" t="b">
        <v>0</v>
      </c>
      <c r="AF1465" s="81">
        <v>0</v>
      </c>
      <c r="AG1465" s="86" t="s">
        <v>6240</v>
      </c>
      <c r="AH1465" s="81" t="b">
        <v>0</v>
      </c>
      <c r="AI1465" s="81" t="s">
        <v>6478</v>
      </c>
      <c r="AJ1465" s="81"/>
      <c r="AK1465" s="86" t="s">
        <v>6240</v>
      </c>
      <c r="AL1465" s="81" t="b">
        <v>0</v>
      </c>
      <c r="AM1465" s="81">
        <v>0</v>
      </c>
      <c r="AN1465" s="86" t="s">
        <v>6240</v>
      </c>
      <c r="AO1465" s="86" t="s">
        <v>6507</v>
      </c>
      <c r="AP1465" s="81" t="b">
        <v>0</v>
      </c>
      <c r="AQ1465" s="86" t="s">
        <v>5179</v>
      </c>
      <c r="AR1465" s="81" t="s">
        <v>179</v>
      </c>
      <c r="AS1465" s="81">
        <v>0</v>
      </c>
      <c r="AT1465" s="81">
        <v>0</v>
      </c>
      <c r="AU1465" s="81"/>
      <c r="AV1465" s="81"/>
      <c r="AW1465" s="81"/>
      <c r="AX1465" s="81"/>
      <c r="AY1465" s="81"/>
      <c r="AZ1465" s="81"/>
      <c r="BA1465" s="81"/>
      <c r="BB1465" s="81"/>
    </row>
    <row r="1466" spans="1:54" x14ac:dyDescent="0.35">
      <c r="A1466" s="66" t="s">
        <v>1031</v>
      </c>
      <c r="B1466" s="66" t="s">
        <v>1031</v>
      </c>
      <c r="C1466" s="67"/>
      <c r="D1466" s="68"/>
      <c r="E1466" s="69"/>
      <c r="F1466" s="70"/>
      <c r="G1466" s="67"/>
      <c r="H1466" s="71"/>
      <c r="I1466" s="72"/>
      <c r="J1466" s="72"/>
      <c r="K1466" s="36"/>
      <c r="L1466" s="79"/>
      <c r="M1466" s="79"/>
      <c r="N1466" s="74"/>
      <c r="O1466" s="81" t="s">
        <v>179</v>
      </c>
      <c r="P1466" s="83">
        <v>44466.162615740737</v>
      </c>
      <c r="Q1466" s="81" t="s">
        <v>2056</v>
      </c>
      <c r="R1466" s="81"/>
      <c r="S1466" s="81"/>
      <c r="T1466" s="86" t="s">
        <v>2702</v>
      </c>
      <c r="U1466" s="84" t="str">
        <f>HYPERLINK("https://pbs.twimg.com/media/FAQ1nZ_UcAEItKy.jpg")</f>
        <v>https://pbs.twimg.com/media/FAQ1nZ_UcAEItKy.jpg</v>
      </c>
      <c r="V1466" s="84" t="str">
        <f>HYPERLINK("https://pbs.twimg.com/media/FAQ1nZ_UcAEItKy.jpg")</f>
        <v>https://pbs.twimg.com/media/FAQ1nZ_UcAEItKy.jpg</v>
      </c>
      <c r="W1466" s="83">
        <v>44466.162615740737</v>
      </c>
      <c r="X1466" s="89">
        <v>44466</v>
      </c>
      <c r="Y1466" s="86" t="s">
        <v>3712</v>
      </c>
      <c r="Z1466" s="84" t="str">
        <f>HYPERLINK("https://twitter.com/radiopatria/status/1442336738140045326")</f>
        <v>https://twitter.com/radiopatria/status/1442336738140045326</v>
      </c>
      <c r="AA1466" s="81"/>
      <c r="AB1466" s="81"/>
      <c r="AC1466" s="86" t="s">
        <v>5180</v>
      </c>
      <c r="AD1466" s="81"/>
      <c r="AE1466" s="81" t="b">
        <v>0</v>
      </c>
      <c r="AF1466" s="81">
        <v>0</v>
      </c>
      <c r="AG1466" s="86" t="s">
        <v>6240</v>
      </c>
      <c r="AH1466" s="81" t="b">
        <v>0</v>
      </c>
      <c r="AI1466" s="81" t="s">
        <v>6478</v>
      </c>
      <c r="AJ1466" s="81"/>
      <c r="AK1466" s="86" t="s">
        <v>6240</v>
      </c>
      <c r="AL1466" s="81" t="b">
        <v>0</v>
      </c>
      <c r="AM1466" s="81">
        <v>0</v>
      </c>
      <c r="AN1466" s="86" t="s">
        <v>6240</v>
      </c>
      <c r="AO1466" s="86" t="s">
        <v>6505</v>
      </c>
      <c r="AP1466" s="81" t="b">
        <v>0</v>
      </c>
      <c r="AQ1466" s="86" t="s">
        <v>5180</v>
      </c>
      <c r="AR1466" s="81" t="s">
        <v>179</v>
      </c>
      <c r="AS1466" s="81">
        <v>0</v>
      </c>
      <c r="AT1466" s="81">
        <v>0</v>
      </c>
      <c r="AU1466" s="81"/>
      <c r="AV1466" s="81"/>
      <c r="AW1466" s="81"/>
      <c r="AX1466" s="81"/>
      <c r="AY1466" s="81"/>
      <c r="AZ1466" s="81"/>
      <c r="BA1466" s="81"/>
      <c r="BB1466" s="81"/>
    </row>
    <row r="1467" spans="1:54" x14ac:dyDescent="0.35">
      <c r="A1467" s="66" t="s">
        <v>1032</v>
      </c>
      <c r="B1467" s="66" t="s">
        <v>1032</v>
      </c>
      <c r="C1467" s="67"/>
      <c r="D1467" s="68"/>
      <c r="E1467" s="69"/>
      <c r="F1467" s="70"/>
      <c r="G1467" s="67"/>
      <c r="H1467" s="71"/>
      <c r="I1467" s="72"/>
      <c r="J1467" s="72"/>
      <c r="K1467" s="36"/>
      <c r="L1467" s="79"/>
      <c r="M1467" s="79"/>
      <c r="N1467" s="74"/>
      <c r="O1467" s="81" t="s">
        <v>179</v>
      </c>
      <c r="P1467" s="83">
        <v>44466.162685185183</v>
      </c>
      <c r="Q1467" s="81" t="s">
        <v>2057</v>
      </c>
      <c r="R1467" s="81"/>
      <c r="S1467" s="81"/>
      <c r="T1467" s="86" t="s">
        <v>2703</v>
      </c>
      <c r="U1467" s="84" t="str">
        <f>HYPERLINK("https://pbs.twimg.com/media/FAQ1oh0VQAMkPM7.jpg")</f>
        <v>https://pbs.twimg.com/media/FAQ1oh0VQAMkPM7.jpg</v>
      </c>
      <c r="V1467" s="84" t="str">
        <f>HYPERLINK("https://pbs.twimg.com/media/FAQ1oh0VQAMkPM7.jpg")</f>
        <v>https://pbs.twimg.com/media/FAQ1oh0VQAMkPM7.jpg</v>
      </c>
      <c r="W1467" s="83">
        <v>44466.162685185183</v>
      </c>
      <c r="X1467" s="89">
        <v>44466</v>
      </c>
      <c r="Y1467" s="86" t="s">
        <v>3713</v>
      </c>
      <c r="Z1467" s="84" t="str">
        <f>HYPERLINK("https://twitter.com/tvrisumbar/status/1442336764169895944")</f>
        <v>https://twitter.com/tvrisumbar/status/1442336764169895944</v>
      </c>
      <c r="AA1467" s="81"/>
      <c r="AB1467" s="81"/>
      <c r="AC1467" s="86" t="s">
        <v>5181</v>
      </c>
      <c r="AD1467" s="81"/>
      <c r="AE1467" s="81" t="b">
        <v>0</v>
      </c>
      <c r="AF1467" s="81">
        <v>0</v>
      </c>
      <c r="AG1467" s="86" t="s">
        <v>6240</v>
      </c>
      <c r="AH1467" s="81" t="b">
        <v>0</v>
      </c>
      <c r="AI1467" s="81" t="s">
        <v>6478</v>
      </c>
      <c r="AJ1467" s="81"/>
      <c r="AK1467" s="86" t="s">
        <v>6240</v>
      </c>
      <c r="AL1467" s="81" t="b">
        <v>0</v>
      </c>
      <c r="AM1467" s="81">
        <v>0</v>
      </c>
      <c r="AN1467" s="86" t="s">
        <v>6240</v>
      </c>
      <c r="AO1467" s="86" t="s">
        <v>6503</v>
      </c>
      <c r="AP1467" s="81" t="b">
        <v>0</v>
      </c>
      <c r="AQ1467" s="86" t="s">
        <v>5181</v>
      </c>
      <c r="AR1467" s="81" t="s">
        <v>179</v>
      </c>
      <c r="AS1467" s="81">
        <v>0</v>
      </c>
      <c r="AT1467" s="81">
        <v>0</v>
      </c>
      <c r="AU1467" s="81"/>
      <c r="AV1467" s="81"/>
      <c r="AW1467" s="81"/>
      <c r="AX1467" s="81"/>
      <c r="AY1467" s="81"/>
      <c r="AZ1467" s="81"/>
      <c r="BA1467" s="81"/>
      <c r="BB1467" s="81"/>
    </row>
    <row r="1468" spans="1:54" x14ac:dyDescent="0.35">
      <c r="A1468" s="66" t="s">
        <v>1033</v>
      </c>
      <c r="B1468" s="66" t="s">
        <v>1033</v>
      </c>
      <c r="C1468" s="67"/>
      <c r="D1468" s="68"/>
      <c r="E1468" s="69"/>
      <c r="F1468" s="70"/>
      <c r="G1468" s="67"/>
      <c r="H1468" s="71"/>
      <c r="I1468" s="72"/>
      <c r="J1468" s="72"/>
      <c r="K1468" s="36"/>
      <c r="L1468" s="79"/>
      <c r="M1468" s="79"/>
      <c r="N1468" s="74"/>
      <c r="O1468" s="81" t="s">
        <v>179</v>
      </c>
      <c r="P1468" s="83">
        <v>44466.166192129633</v>
      </c>
      <c r="Q1468" s="81" t="s">
        <v>2058</v>
      </c>
      <c r="R1468" s="84" t="str">
        <f>HYPERLINK("https://www.theiconomics.com/market-expansion/kolaborasi-paxel-dengan-sicepat-dan-ldn-garap-10-kota-tier-2/")</f>
        <v>https://www.theiconomics.com/market-expansion/kolaborasi-paxel-dengan-sicepat-dan-ldn-garap-10-kota-tier-2/</v>
      </c>
      <c r="S1468" s="81" t="s">
        <v>2637</v>
      </c>
      <c r="T1468" s="81"/>
      <c r="U1468" s="81"/>
      <c r="V1468" s="84" t="str">
        <f>HYPERLINK("https://pbs.twimg.com/profile_images/1407911782140702721/EOZIklB7_normal.jpg")</f>
        <v>https://pbs.twimg.com/profile_images/1407911782140702721/EOZIklB7_normal.jpg</v>
      </c>
      <c r="W1468" s="83">
        <v>44466.166192129633</v>
      </c>
      <c r="X1468" s="89">
        <v>44466</v>
      </c>
      <c r="Y1468" s="86" t="s">
        <v>3714</v>
      </c>
      <c r="Z1468" s="84" t="str">
        <f>HYPERLINK("https://twitter.com/theiconomic/status/1442338033479520263")</f>
        <v>https://twitter.com/theiconomic/status/1442338033479520263</v>
      </c>
      <c r="AA1468" s="81"/>
      <c r="AB1468" s="81"/>
      <c r="AC1468" s="86" t="s">
        <v>5182</v>
      </c>
      <c r="AD1468" s="81"/>
      <c r="AE1468" s="81" t="b">
        <v>0</v>
      </c>
      <c r="AF1468" s="81">
        <v>0</v>
      </c>
      <c r="AG1468" s="86" t="s">
        <v>6240</v>
      </c>
      <c r="AH1468" s="81" t="b">
        <v>0</v>
      </c>
      <c r="AI1468" s="81" t="s">
        <v>6478</v>
      </c>
      <c r="AJ1468" s="81"/>
      <c r="AK1468" s="86" t="s">
        <v>6240</v>
      </c>
      <c r="AL1468" s="81" t="b">
        <v>0</v>
      </c>
      <c r="AM1468" s="81">
        <v>0</v>
      </c>
      <c r="AN1468" s="86" t="s">
        <v>6240</v>
      </c>
      <c r="AO1468" s="86" t="s">
        <v>6507</v>
      </c>
      <c r="AP1468" s="81" t="b">
        <v>0</v>
      </c>
      <c r="AQ1468" s="86" t="s">
        <v>5182</v>
      </c>
      <c r="AR1468" s="81" t="s">
        <v>179</v>
      </c>
      <c r="AS1468" s="81">
        <v>0</v>
      </c>
      <c r="AT1468" s="81">
        <v>0</v>
      </c>
      <c r="AU1468" s="81"/>
      <c r="AV1468" s="81"/>
      <c r="AW1468" s="81"/>
      <c r="AX1468" s="81"/>
      <c r="AY1468" s="81"/>
      <c r="AZ1468" s="81"/>
      <c r="BA1468" s="81"/>
      <c r="BB1468" s="81"/>
    </row>
    <row r="1469" spans="1:54" x14ac:dyDescent="0.35">
      <c r="A1469" s="66" t="s">
        <v>1034</v>
      </c>
      <c r="B1469" s="66" t="s">
        <v>1034</v>
      </c>
      <c r="C1469" s="67"/>
      <c r="D1469" s="68"/>
      <c r="E1469" s="69"/>
      <c r="F1469" s="70"/>
      <c r="G1469" s="67"/>
      <c r="H1469" s="71"/>
      <c r="I1469" s="72"/>
      <c r="J1469" s="72"/>
      <c r="K1469" s="36"/>
      <c r="L1469" s="79"/>
      <c r="M1469" s="79"/>
      <c r="N1469" s="74"/>
      <c r="O1469" s="81" t="s">
        <v>179</v>
      </c>
      <c r="P1469" s="83">
        <v>44466.172951388886</v>
      </c>
      <c r="Q1469" s="81" t="s">
        <v>2059</v>
      </c>
      <c r="R1469" s="81"/>
      <c r="S1469" s="81"/>
      <c r="T1469" s="81"/>
      <c r="U1469" s="84" t="str">
        <f>HYPERLINK("https://pbs.twimg.com/media/FAQ5BU0VUAM0ZhW.jpg")</f>
        <v>https://pbs.twimg.com/media/FAQ5BU0VUAM0ZhW.jpg</v>
      </c>
      <c r="V1469" s="84" t="str">
        <f>HYPERLINK("https://pbs.twimg.com/media/FAQ5BU0VUAM0ZhW.jpg")</f>
        <v>https://pbs.twimg.com/media/FAQ5BU0VUAM0ZhW.jpg</v>
      </c>
      <c r="W1469" s="83">
        <v>44466.172951388886</v>
      </c>
      <c r="X1469" s="89">
        <v>44466</v>
      </c>
      <c r="Y1469" s="86" t="s">
        <v>3715</v>
      </c>
      <c r="Z1469" s="84" t="str">
        <f>HYPERLINK("https://twitter.com/himasejarahfkip/status/1442340484190375937")</f>
        <v>https://twitter.com/himasejarahfkip/status/1442340484190375937</v>
      </c>
      <c r="AA1469" s="81"/>
      <c r="AB1469" s="81"/>
      <c r="AC1469" s="86" t="s">
        <v>5183</v>
      </c>
      <c r="AD1469" s="81"/>
      <c r="AE1469" s="81" t="b">
        <v>0</v>
      </c>
      <c r="AF1469" s="81">
        <v>0</v>
      </c>
      <c r="AG1469" s="86" t="s">
        <v>6240</v>
      </c>
      <c r="AH1469" s="81" t="b">
        <v>0</v>
      </c>
      <c r="AI1469" s="81" t="s">
        <v>6478</v>
      </c>
      <c r="AJ1469" s="81"/>
      <c r="AK1469" s="86" t="s">
        <v>6240</v>
      </c>
      <c r="AL1469" s="81" t="b">
        <v>0</v>
      </c>
      <c r="AM1469" s="81">
        <v>0</v>
      </c>
      <c r="AN1469" s="86" t="s">
        <v>6240</v>
      </c>
      <c r="AO1469" s="86" t="s">
        <v>6503</v>
      </c>
      <c r="AP1469" s="81" t="b">
        <v>0</v>
      </c>
      <c r="AQ1469" s="86" t="s">
        <v>5183</v>
      </c>
      <c r="AR1469" s="81" t="s">
        <v>179</v>
      </c>
      <c r="AS1469" s="81">
        <v>0</v>
      </c>
      <c r="AT1469" s="81">
        <v>0</v>
      </c>
      <c r="AU1469" s="81"/>
      <c r="AV1469" s="81"/>
      <c r="AW1469" s="81"/>
      <c r="AX1469" s="81"/>
      <c r="AY1469" s="81"/>
      <c r="AZ1469" s="81"/>
      <c r="BA1469" s="81"/>
      <c r="BB1469" s="81"/>
    </row>
    <row r="1470" spans="1:54" x14ac:dyDescent="0.35">
      <c r="A1470" s="66" t="s">
        <v>1034</v>
      </c>
      <c r="B1470" s="66" t="s">
        <v>1034</v>
      </c>
      <c r="C1470" s="67"/>
      <c r="D1470" s="68"/>
      <c r="E1470" s="69"/>
      <c r="F1470" s="70"/>
      <c r="G1470" s="67"/>
      <c r="H1470" s="71"/>
      <c r="I1470" s="72"/>
      <c r="J1470" s="72"/>
      <c r="K1470" s="36"/>
      <c r="L1470" s="79"/>
      <c r="M1470" s="79"/>
      <c r="N1470" s="74"/>
      <c r="O1470" s="81" t="s">
        <v>179</v>
      </c>
      <c r="P1470" s="83">
        <v>44466.172962962963</v>
      </c>
      <c r="Q1470" s="81" t="s">
        <v>2060</v>
      </c>
      <c r="R1470" s="81"/>
      <c r="S1470" s="81"/>
      <c r="T1470" s="81"/>
      <c r="U1470" s="81"/>
      <c r="V1470" s="84" t="str">
        <f>HYPERLINK("https://pbs.twimg.com/profile_images/1267031154193952770/dsv7qv8Y_normal.jpg")</f>
        <v>https://pbs.twimg.com/profile_images/1267031154193952770/dsv7qv8Y_normal.jpg</v>
      </c>
      <c r="W1470" s="83">
        <v>44466.172962962963</v>
      </c>
      <c r="X1470" s="89">
        <v>44466</v>
      </c>
      <c r="Y1470" s="86" t="s">
        <v>3716</v>
      </c>
      <c r="Z1470" s="84" t="str">
        <f>HYPERLINK("https://twitter.com/himasejarahfkip/status/1442340486488883202")</f>
        <v>https://twitter.com/himasejarahfkip/status/1442340486488883202</v>
      </c>
      <c r="AA1470" s="81"/>
      <c r="AB1470" s="81"/>
      <c r="AC1470" s="86" t="s">
        <v>5184</v>
      </c>
      <c r="AD1470" s="86" t="s">
        <v>5183</v>
      </c>
      <c r="AE1470" s="81" t="b">
        <v>0</v>
      </c>
      <c r="AF1470" s="81">
        <v>0</v>
      </c>
      <c r="AG1470" s="86" t="s">
        <v>6423</v>
      </c>
      <c r="AH1470" s="81" t="b">
        <v>0</v>
      </c>
      <c r="AI1470" s="81" t="s">
        <v>6478</v>
      </c>
      <c r="AJ1470" s="81"/>
      <c r="AK1470" s="86" t="s">
        <v>6240</v>
      </c>
      <c r="AL1470" s="81" t="b">
        <v>0</v>
      </c>
      <c r="AM1470" s="81">
        <v>0</v>
      </c>
      <c r="AN1470" s="86" t="s">
        <v>6240</v>
      </c>
      <c r="AO1470" s="86" t="s">
        <v>6503</v>
      </c>
      <c r="AP1470" s="81" t="b">
        <v>0</v>
      </c>
      <c r="AQ1470" s="86" t="s">
        <v>5183</v>
      </c>
      <c r="AR1470" s="81" t="s">
        <v>179</v>
      </c>
      <c r="AS1470" s="81">
        <v>0</v>
      </c>
      <c r="AT1470" s="81">
        <v>0</v>
      </c>
      <c r="AU1470" s="81"/>
      <c r="AV1470" s="81"/>
      <c r="AW1470" s="81"/>
      <c r="AX1470" s="81"/>
      <c r="AY1470" s="81"/>
      <c r="AZ1470" s="81"/>
      <c r="BA1470" s="81"/>
      <c r="BB1470" s="81"/>
    </row>
    <row r="1471" spans="1:54" x14ac:dyDescent="0.35">
      <c r="A1471" s="66" t="s">
        <v>1034</v>
      </c>
      <c r="B1471" s="66" t="s">
        <v>1034</v>
      </c>
      <c r="C1471" s="67"/>
      <c r="D1471" s="68"/>
      <c r="E1471" s="69"/>
      <c r="F1471" s="70"/>
      <c r="G1471" s="67"/>
      <c r="H1471" s="71"/>
      <c r="I1471" s="72"/>
      <c r="J1471" s="72"/>
      <c r="K1471" s="36"/>
      <c r="L1471" s="79"/>
      <c r="M1471" s="79"/>
      <c r="N1471" s="74"/>
      <c r="O1471" s="81" t="s">
        <v>179</v>
      </c>
      <c r="P1471" s="83">
        <v>44466.172962962963</v>
      </c>
      <c r="Q1471" s="81" t="s">
        <v>2061</v>
      </c>
      <c r="R1471" s="81"/>
      <c r="S1471" s="81"/>
      <c r="T1471" s="81"/>
      <c r="U1471" s="81"/>
      <c r="V1471" s="84" t="str">
        <f>HYPERLINK("https://pbs.twimg.com/profile_images/1267031154193952770/dsv7qv8Y_normal.jpg")</f>
        <v>https://pbs.twimg.com/profile_images/1267031154193952770/dsv7qv8Y_normal.jpg</v>
      </c>
      <c r="W1471" s="83">
        <v>44466.172962962963</v>
      </c>
      <c r="X1471" s="89">
        <v>44466</v>
      </c>
      <c r="Y1471" s="86" t="s">
        <v>3716</v>
      </c>
      <c r="Z1471" s="84" t="str">
        <f>HYPERLINK("https://twitter.com/himasejarahfkip/status/1442340488233635843")</f>
        <v>https://twitter.com/himasejarahfkip/status/1442340488233635843</v>
      </c>
      <c r="AA1471" s="81"/>
      <c r="AB1471" s="81"/>
      <c r="AC1471" s="86" t="s">
        <v>5185</v>
      </c>
      <c r="AD1471" s="86" t="s">
        <v>5184</v>
      </c>
      <c r="AE1471" s="81" t="b">
        <v>0</v>
      </c>
      <c r="AF1471" s="81">
        <v>0</v>
      </c>
      <c r="AG1471" s="86" t="s">
        <v>6423</v>
      </c>
      <c r="AH1471" s="81" t="b">
        <v>0</v>
      </c>
      <c r="AI1471" s="81" t="s">
        <v>6478</v>
      </c>
      <c r="AJ1471" s="81"/>
      <c r="AK1471" s="86" t="s">
        <v>6240</v>
      </c>
      <c r="AL1471" s="81" t="b">
        <v>0</v>
      </c>
      <c r="AM1471" s="81">
        <v>0</v>
      </c>
      <c r="AN1471" s="86" t="s">
        <v>6240</v>
      </c>
      <c r="AO1471" s="86" t="s">
        <v>6503</v>
      </c>
      <c r="AP1471" s="81" t="b">
        <v>0</v>
      </c>
      <c r="AQ1471" s="86" t="s">
        <v>5184</v>
      </c>
      <c r="AR1471" s="81" t="s">
        <v>179</v>
      </c>
      <c r="AS1471" s="81">
        <v>0</v>
      </c>
      <c r="AT1471" s="81">
        <v>0</v>
      </c>
      <c r="AU1471" s="81"/>
      <c r="AV1471" s="81"/>
      <c r="AW1471" s="81"/>
      <c r="AX1471" s="81"/>
      <c r="AY1471" s="81"/>
      <c r="AZ1471" s="81"/>
      <c r="BA1471" s="81"/>
      <c r="BB1471" s="81"/>
    </row>
    <row r="1472" spans="1:54" x14ac:dyDescent="0.35">
      <c r="A1472" s="66" t="s">
        <v>1034</v>
      </c>
      <c r="B1472" s="66" t="s">
        <v>1034</v>
      </c>
      <c r="C1472" s="67"/>
      <c r="D1472" s="68"/>
      <c r="E1472" s="69"/>
      <c r="F1472" s="70"/>
      <c r="G1472" s="67"/>
      <c r="H1472" s="71"/>
      <c r="I1472" s="72"/>
      <c r="J1472" s="72"/>
      <c r="K1472" s="36"/>
      <c r="L1472" s="79"/>
      <c r="M1472" s="79"/>
      <c r="N1472" s="74"/>
      <c r="O1472" s="81" t="s">
        <v>179</v>
      </c>
      <c r="P1472" s="83">
        <v>44466.172962962963</v>
      </c>
      <c r="Q1472" s="81" t="s">
        <v>2062</v>
      </c>
      <c r="R1472" s="81"/>
      <c r="S1472" s="81"/>
      <c r="T1472" s="81"/>
      <c r="U1472" s="81"/>
      <c r="V1472" s="84" t="str">
        <f>HYPERLINK("https://pbs.twimg.com/profile_images/1267031154193952770/dsv7qv8Y_normal.jpg")</f>
        <v>https://pbs.twimg.com/profile_images/1267031154193952770/dsv7qv8Y_normal.jpg</v>
      </c>
      <c r="W1472" s="83">
        <v>44466.172962962963</v>
      </c>
      <c r="X1472" s="89">
        <v>44466</v>
      </c>
      <c r="Y1472" s="86" t="s">
        <v>3716</v>
      </c>
      <c r="Z1472" s="84" t="str">
        <f>HYPERLINK("https://twitter.com/himasejarahfkip/status/1442340489907171333")</f>
        <v>https://twitter.com/himasejarahfkip/status/1442340489907171333</v>
      </c>
      <c r="AA1472" s="81"/>
      <c r="AB1472" s="81"/>
      <c r="AC1472" s="86" t="s">
        <v>5186</v>
      </c>
      <c r="AD1472" s="86" t="s">
        <v>5185</v>
      </c>
      <c r="AE1472" s="81" t="b">
        <v>0</v>
      </c>
      <c r="AF1472" s="81">
        <v>0</v>
      </c>
      <c r="AG1472" s="86" t="s">
        <v>6423</v>
      </c>
      <c r="AH1472" s="81" t="b">
        <v>0</v>
      </c>
      <c r="AI1472" s="81" t="s">
        <v>6478</v>
      </c>
      <c r="AJ1472" s="81"/>
      <c r="AK1472" s="86" t="s">
        <v>6240</v>
      </c>
      <c r="AL1472" s="81" t="b">
        <v>0</v>
      </c>
      <c r="AM1472" s="81">
        <v>0</v>
      </c>
      <c r="AN1472" s="86" t="s">
        <v>6240</v>
      </c>
      <c r="AO1472" s="86" t="s">
        <v>6503</v>
      </c>
      <c r="AP1472" s="81" t="b">
        <v>0</v>
      </c>
      <c r="AQ1472" s="86" t="s">
        <v>5185</v>
      </c>
      <c r="AR1472" s="81" t="s">
        <v>179</v>
      </c>
      <c r="AS1472" s="81">
        <v>0</v>
      </c>
      <c r="AT1472" s="81">
        <v>0</v>
      </c>
      <c r="AU1472" s="81"/>
      <c r="AV1472" s="81"/>
      <c r="AW1472" s="81"/>
      <c r="AX1472" s="81"/>
      <c r="AY1472" s="81"/>
      <c r="AZ1472" s="81"/>
      <c r="BA1472" s="81"/>
      <c r="BB1472" s="81"/>
    </row>
    <row r="1473" spans="1:54" x14ac:dyDescent="0.35">
      <c r="A1473" s="66" t="s">
        <v>1035</v>
      </c>
      <c r="B1473" s="66" t="s">
        <v>1035</v>
      </c>
      <c r="C1473" s="67"/>
      <c r="D1473" s="68"/>
      <c r="E1473" s="69"/>
      <c r="F1473" s="70"/>
      <c r="G1473" s="67"/>
      <c r="H1473" s="71"/>
      <c r="I1473" s="72"/>
      <c r="J1473" s="72"/>
      <c r="K1473" s="36"/>
      <c r="L1473" s="79"/>
      <c r="M1473" s="79"/>
      <c r="N1473" s="74"/>
      <c r="O1473" s="81" t="s">
        <v>179</v>
      </c>
      <c r="P1473" s="83">
        <v>44466.179259259261</v>
      </c>
      <c r="Q1473" s="81" t="s">
        <v>2063</v>
      </c>
      <c r="R1473" s="81"/>
      <c r="S1473" s="81"/>
      <c r="T1473" s="86" t="s">
        <v>2698</v>
      </c>
      <c r="U1473" s="84" t="str">
        <f>HYPERLINK("https://pbs.twimg.com/media/FAQ7Gq2VcAMeOfe.jpg")</f>
        <v>https://pbs.twimg.com/media/FAQ7Gq2VcAMeOfe.jpg</v>
      </c>
      <c r="V1473" s="84" t="str">
        <f>HYPERLINK("https://pbs.twimg.com/media/FAQ7Gq2VcAMeOfe.jpg")</f>
        <v>https://pbs.twimg.com/media/FAQ7Gq2VcAMeOfe.jpg</v>
      </c>
      <c r="W1473" s="83">
        <v>44466.179259259261</v>
      </c>
      <c r="X1473" s="89">
        <v>44466</v>
      </c>
      <c r="Y1473" s="86" t="s">
        <v>3717</v>
      </c>
      <c r="Z1473" s="84" t="str">
        <f>HYPERLINK("https://twitter.com/kpuberau/status/1442342769226240006")</f>
        <v>https://twitter.com/kpuberau/status/1442342769226240006</v>
      </c>
      <c r="AA1473" s="81"/>
      <c r="AB1473" s="81"/>
      <c r="AC1473" s="86" t="s">
        <v>5187</v>
      </c>
      <c r="AD1473" s="81"/>
      <c r="AE1473" s="81" t="b">
        <v>0</v>
      </c>
      <c r="AF1473" s="81">
        <v>0</v>
      </c>
      <c r="AG1473" s="86" t="s">
        <v>6240</v>
      </c>
      <c r="AH1473" s="81" t="b">
        <v>0</v>
      </c>
      <c r="AI1473" s="81" t="s">
        <v>6478</v>
      </c>
      <c r="AJ1473" s="81"/>
      <c r="AK1473" s="86" t="s">
        <v>6240</v>
      </c>
      <c r="AL1473" s="81" t="b">
        <v>0</v>
      </c>
      <c r="AM1473" s="81">
        <v>0</v>
      </c>
      <c r="AN1473" s="86" t="s">
        <v>6240</v>
      </c>
      <c r="AO1473" s="86" t="s">
        <v>6503</v>
      </c>
      <c r="AP1473" s="81" t="b">
        <v>0</v>
      </c>
      <c r="AQ1473" s="86" t="s">
        <v>5187</v>
      </c>
      <c r="AR1473" s="81" t="s">
        <v>179</v>
      </c>
      <c r="AS1473" s="81">
        <v>0</v>
      </c>
      <c r="AT1473" s="81">
        <v>0</v>
      </c>
      <c r="AU1473" s="81"/>
      <c r="AV1473" s="81"/>
      <c r="AW1473" s="81"/>
      <c r="AX1473" s="81"/>
      <c r="AY1473" s="81"/>
      <c r="AZ1473" s="81"/>
      <c r="BA1473" s="81"/>
      <c r="BB1473" s="81"/>
    </row>
    <row r="1474" spans="1:54" x14ac:dyDescent="0.35">
      <c r="A1474" s="66" t="s">
        <v>1036</v>
      </c>
      <c r="B1474" s="66" t="s">
        <v>1036</v>
      </c>
      <c r="C1474" s="67"/>
      <c r="D1474" s="68"/>
      <c r="E1474" s="69"/>
      <c r="F1474" s="70"/>
      <c r="G1474" s="67"/>
      <c r="H1474" s="71"/>
      <c r="I1474" s="72"/>
      <c r="J1474" s="72"/>
      <c r="K1474" s="36"/>
      <c r="L1474" s="79"/>
      <c r="M1474" s="79"/>
      <c r="N1474" s="74"/>
      <c r="O1474" s="81" t="s">
        <v>179</v>
      </c>
      <c r="P1474" s="83">
        <v>44466.18173611111</v>
      </c>
      <c r="Q1474" s="81" t="s">
        <v>2064</v>
      </c>
      <c r="R1474" s="81"/>
      <c r="S1474" s="81"/>
      <c r="T1474" s="81"/>
      <c r="U1474" s="81"/>
      <c r="V1474" s="84" t="str">
        <f>HYPERLINK("https://pbs.twimg.com/profile_images/1055052014810329088/RR5KUogN_normal.jpg")</f>
        <v>https://pbs.twimg.com/profile_images/1055052014810329088/RR5KUogN_normal.jpg</v>
      </c>
      <c r="W1474" s="83">
        <v>44466.18173611111</v>
      </c>
      <c r="X1474" s="89">
        <v>44466</v>
      </c>
      <c r="Y1474" s="86" t="s">
        <v>3718</v>
      </c>
      <c r="Z1474" s="84" t="str">
        <f>HYPERLINK("https://twitter.com/antara_lkbn/status/1442343667532853249")</f>
        <v>https://twitter.com/antara_lkbn/status/1442343667532853249</v>
      </c>
      <c r="AA1474" s="81"/>
      <c r="AB1474" s="81"/>
      <c r="AC1474" s="86" t="s">
        <v>5188</v>
      </c>
      <c r="AD1474" s="86" t="s">
        <v>6172</v>
      </c>
      <c r="AE1474" s="81" t="b">
        <v>0</v>
      </c>
      <c r="AF1474" s="81">
        <v>0</v>
      </c>
      <c r="AG1474" s="86" t="s">
        <v>6424</v>
      </c>
      <c r="AH1474" s="81" t="b">
        <v>0</v>
      </c>
      <c r="AI1474" s="81" t="s">
        <v>6478</v>
      </c>
      <c r="AJ1474" s="81"/>
      <c r="AK1474" s="86" t="s">
        <v>6240</v>
      </c>
      <c r="AL1474" s="81" t="b">
        <v>0</v>
      </c>
      <c r="AM1474" s="81">
        <v>0</v>
      </c>
      <c r="AN1474" s="86" t="s">
        <v>6240</v>
      </c>
      <c r="AO1474" s="86" t="s">
        <v>6512</v>
      </c>
      <c r="AP1474" s="81" t="b">
        <v>0</v>
      </c>
      <c r="AQ1474" s="86" t="s">
        <v>6172</v>
      </c>
      <c r="AR1474" s="81" t="s">
        <v>179</v>
      </c>
      <c r="AS1474" s="81">
        <v>0</v>
      </c>
      <c r="AT1474" s="81">
        <v>0</v>
      </c>
      <c r="AU1474" s="81"/>
      <c r="AV1474" s="81"/>
      <c r="AW1474" s="81"/>
      <c r="AX1474" s="81"/>
      <c r="AY1474" s="81"/>
      <c r="AZ1474" s="81"/>
      <c r="BA1474" s="81"/>
      <c r="BB1474" s="81"/>
    </row>
    <row r="1475" spans="1:54" x14ac:dyDescent="0.35">
      <c r="A1475" s="66" t="s">
        <v>1036</v>
      </c>
      <c r="B1475" s="66" t="s">
        <v>1036</v>
      </c>
      <c r="C1475" s="67"/>
      <c r="D1475" s="68"/>
      <c r="E1475" s="69"/>
      <c r="F1475" s="70"/>
      <c r="G1475" s="67"/>
      <c r="H1475" s="71"/>
      <c r="I1475" s="72"/>
      <c r="J1475" s="72"/>
      <c r="K1475" s="36"/>
      <c r="L1475" s="79"/>
      <c r="M1475" s="79"/>
      <c r="N1475" s="74"/>
      <c r="O1475" s="81" t="s">
        <v>179</v>
      </c>
      <c r="P1475" s="83">
        <v>44466.182141203702</v>
      </c>
      <c r="Q1475" s="81" t="s">
        <v>2065</v>
      </c>
      <c r="R1475" s="81"/>
      <c r="S1475" s="81"/>
      <c r="T1475" s="81"/>
      <c r="U1475" s="81"/>
      <c r="V1475" s="84" t="str">
        <f>HYPERLINK("https://pbs.twimg.com/profile_images/1055052014810329088/RR5KUogN_normal.jpg")</f>
        <v>https://pbs.twimg.com/profile_images/1055052014810329088/RR5KUogN_normal.jpg</v>
      </c>
      <c r="W1475" s="83">
        <v>44466.182141203702</v>
      </c>
      <c r="X1475" s="89">
        <v>44466</v>
      </c>
      <c r="Y1475" s="86" t="s">
        <v>3719</v>
      </c>
      <c r="Z1475" s="84" t="str">
        <f>HYPERLINK("https://twitter.com/antara_lkbn/status/1442343815696687105")</f>
        <v>https://twitter.com/antara_lkbn/status/1442343815696687105</v>
      </c>
      <c r="AA1475" s="81"/>
      <c r="AB1475" s="81"/>
      <c r="AC1475" s="86" t="s">
        <v>5189</v>
      </c>
      <c r="AD1475" s="86" t="s">
        <v>6173</v>
      </c>
      <c r="AE1475" s="81" t="b">
        <v>0</v>
      </c>
      <c r="AF1475" s="81">
        <v>0</v>
      </c>
      <c r="AG1475" s="86" t="s">
        <v>6424</v>
      </c>
      <c r="AH1475" s="81" t="b">
        <v>0</v>
      </c>
      <c r="AI1475" s="81" t="s">
        <v>6478</v>
      </c>
      <c r="AJ1475" s="81"/>
      <c r="AK1475" s="86" t="s">
        <v>6240</v>
      </c>
      <c r="AL1475" s="81" t="b">
        <v>0</v>
      </c>
      <c r="AM1475" s="81">
        <v>0</v>
      </c>
      <c r="AN1475" s="86" t="s">
        <v>6240</v>
      </c>
      <c r="AO1475" s="86" t="s">
        <v>6512</v>
      </c>
      <c r="AP1475" s="81" t="b">
        <v>0</v>
      </c>
      <c r="AQ1475" s="86" t="s">
        <v>6173</v>
      </c>
      <c r="AR1475" s="81" t="s">
        <v>179</v>
      </c>
      <c r="AS1475" s="81">
        <v>0</v>
      </c>
      <c r="AT1475" s="81">
        <v>0</v>
      </c>
      <c r="AU1475" s="81"/>
      <c r="AV1475" s="81"/>
      <c r="AW1475" s="81"/>
      <c r="AX1475" s="81"/>
      <c r="AY1475" s="81"/>
      <c r="AZ1475" s="81"/>
      <c r="BA1475" s="81"/>
      <c r="BB1475" s="81"/>
    </row>
    <row r="1476" spans="1:54" x14ac:dyDescent="0.35">
      <c r="A1476" s="66" t="s">
        <v>1037</v>
      </c>
      <c r="B1476" s="66" t="s">
        <v>1485</v>
      </c>
      <c r="C1476" s="67"/>
      <c r="D1476" s="68"/>
      <c r="E1476" s="69"/>
      <c r="F1476" s="70"/>
      <c r="G1476" s="67"/>
      <c r="H1476" s="71"/>
      <c r="I1476" s="72"/>
      <c r="J1476" s="72"/>
      <c r="K1476" s="36"/>
      <c r="L1476" s="79"/>
      <c r="M1476" s="79"/>
      <c r="N1476" s="74"/>
      <c r="O1476" s="81" t="s">
        <v>1534</v>
      </c>
      <c r="P1476" s="83">
        <v>44466.183541666665</v>
      </c>
      <c r="Q1476" s="81" t="s">
        <v>2066</v>
      </c>
      <c r="R1476" s="81"/>
      <c r="S1476" s="81"/>
      <c r="T1476" s="81"/>
      <c r="U1476" s="81"/>
      <c r="V1476" s="84" t="str">
        <f>HYPERLINK("https://pbs.twimg.com/profile_images/1441763143919620096/AQPjAN5W_normal.jpg")</f>
        <v>https://pbs.twimg.com/profile_images/1441763143919620096/AQPjAN5W_normal.jpg</v>
      </c>
      <c r="W1476" s="83">
        <v>44466.183541666665</v>
      </c>
      <c r="X1476" s="89">
        <v>44466</v>
      </c>
      <c r="Y1476" s="86" t="s">
        <v>3720</v>
      </c>
      <c r="Z1476" s="84" t="str">
        <f>HYPERLINK("https://twitter.com/tabda_tabdi/status/1442344323048116228")</f>
        <v>https://twitter.com/tabda_tabdi/status/1442344323048116228</v>
      </c>
      <c r="AA1476" s="81"/>
      <c r="AB1476" s="81"/>
      <c r="AC1476" s="86" t="s">
        <v>5190</v>
      </c>
      <c r="AD1476" s="86" t="s">
        <v>6174</v>
      </c>
      <c r="AE1476" s="81" t="b">
        <v>0</v>
      </c>
      <c r="AF1476" s="81">
        <v>0</v>
      </c>
      <c r="AG1476" s="86" t="s">
        <v>6425</v>
      </c>
      <c r="AH1476" s="81" t="b">
        <v>0</v>
      </c>
      <c r="AI1476" s="81" t="s">
        <v>6478</v>
      </c>
      <c r="AJ1476" s="81"/>
      <c r="AK1476" s="86" t="s">
        <v>6240</v>
      </c>
      <c r="AL1476" s="81" t="b">
        <v>0</v>
      </c>
      <c r="AM1476" s="81">
        <v>0</v>
      </c>
      <c r="AN1476" s="86" t="s">
        <v>6240</v>
      </c>
      <c r="AO1476" s="86" t="s">
        <v>6503</v>
      </c>
      <c r="AP1476" s="81" t="b">
        <v>0</v>
      </c>
      <c r="AQ1476" s="86" t="s">
        <v>6174</v>
      </c>
      <c r="AR1476" s="81" t="s">
        <v>179</v>
      </c>
      <c r="AS1476" s="81">
        <v>0</v>
      </c>
      <c r="AT1476" s="81">
        <v>0</v>
      </c>
      <c r="AU1476" s="81"/>
      <c r="AV1476" s="81"/>
      <c r="AW1476" s="81"/>
      <c r="AX1476" s="81"/>
      <c r="AY1476" s="81"/>
      <c r="AZ1476" s="81"/>
      <c r="BA1476" s="81"/>
      <c r="BB1476" s="81"/>
    </row>
    <row r="1477" spans="1:54" x14ac:dyDescent="0.35">
      <c r="A1477" s="66" t="s">
        <v>1038</v>
      </c>
      <c r="B1477" s="66" t="s">
        <v>1038</v>
      </c>
      <c r="C1477" s="67"/>
      <c r="D1477" s="68"/>
      <c r="E1477" s="69"/>
      <c r="F1477" s="70"/>
      <c r="G1477" s="67"/>
      <c r="H1477" s="71"/>
      <c r="I1477" s="72"/>
      <c r="J1477" s="72"/>
      <c r="K1477" s="36"/>
      <c r="L1477" s="79"/>
      <c r="M1477" s="79"/>
      <c r="N1477" s="74"/>
      <c r="O1477" s="81" t="s">
        <v>179</v>
      </c>
      <c r="P1477" s="83">
        <v>44466.187037037038</v>
      </c>
      <c r="Q1477" s="81" t="s">
        <v>2067</v>
      </c>
      <c r="R1477" s="81"/>
      <c r="S1477" s="81"/>
      <c r="T1477" s="86" t="s">
        <v>2704</v>
      </c>
      <c r="U1477" s="84" t="str">
        <f>HYPERLINK("https://pbs.twimg.com/media/FAQ9qhTVUAA-Hul.jpg")</f>
        <v>https://pbs.twimg.com/media/FAQ9qhTVUAA-Hul.jpg</v>
      </c>
      <c r="V1477" s="84" t="str">
        <f>HYPERLINK("https://pbs.twimg.com/media/FAQ9qhTVUAA-Hul.jpg")</f>
        <v>https://pbs.twimg.com/media/FAQ9qhTVUAA-Hul.jpg</v>
      </c>
      <c r="W1477" s="83">
        <v>44466.187037037038</v>
      </c>
      <c r="X1477" s="89">
        <v>44466</v>
      </c>
      <c r="Y1477" s="86" t="s">
        <v>3721</v>
      </c>
      <c r="Z1477" s="84" t="str">
        <f>HYPERLINK("https://twitter.com/zibellebeaute/status/1442345588482199562")</f>
        <v>https://twitter.com/zibellebeaute/status/1442345588482199562</v>
      </c>
      <c r="AA1477" s="81"/>
      <c r="AB1477" s="81"/>
      <c r="AC1477" s="86" t="s">
        <v>5191</v>
      </c>
      <c r="AD1477" s="81"/>
      <c r="AE1477" s="81" t="b">
        <v>0</v>
      </c>
      <c r="AF1477" s="81">
        <v>0</v>
      </c>
      <c r="AG1477" s="86" t="s">
        <v>6240</v>
      </c>
      <c r="AH1477" s="81" t="b">
        <v>0</v>
      </c>
      <c r="AI1477" s="81" t="s">
        <v>6478</v>
      </c>
      <c r="AJ1477" s="81"/>
      <c r="AK1477" s="86" t="s">
        <v>6240</v>
      </c>
      <c r="AL1477" s="81" t="b">
        <v>0</v>
      </c>
      <c r="AM1477" s="81">
        <v>0</v>
      </c>
      <c r="AN1477" s="86" t="s">
        <v>6240</v>
      </c>
      <c r="AO1477" s="86" t="s">
        <v>6503</v>
      </c>
      <c r="AP1477" s="81" t="b">
        <v>0</v>
      </c>
      <c r="AQ1477" s="86" t="s">
        <v>5191</v>
      </c>
      <c r="AR1477" s="81" t="s">
        <v>179</v>
      </c>
      <c r="AS1477" s="81">
        <v>0</v>
      </c>
      <c r="AT1477" s="81">
        <v>0</v>
      </c>
      <c r="AU1477" s="81"/>
      <c r="AV1477" s="81"/>
      <c r="AW1477" s="81"/>
      <c r="AX1477" s="81"/>
      <c r="AY1477" s="81"/>
      <c r="AZ1477" s="81"/>
      <c r="BA1477" s="81"/>
      <c r="BB1477" s="81"/>
    </row>
    <row r="1478" spans="1:54" x14ac:dyDescent="0.35">
      <c r="A1478" s="66" t="s">
        <v>1039</v>
      </c>
      <c r="B1478" s="66" t="s">
        <v>1486</v>
      </c>
      <c r="C1478" s="67"/>
      <c r="D1478" s="68"/>
      <c r="E1478" s="69"/>
      <c r="F1478" s="70"/>
      <c r="G1478" s="67"/>
      <c r="H1478" s="71"/>
      <c r="I1478" s="72"/>
      <c r="J1478" s="72"/>
      <c r="K1478" s="36"/>
      <c r="L1478" s="79"/>
      <c r="M1478" s="79"/>
      <c r="N1478" s="74"/>
      <c r="O1478" s="81" t="s">
        <v>1535</v>
      </c>
      <c r="P1478" s="83">
        <v>44466.194328703707</v>
      </c>
      <c r="Q1478" s="81" t="s">
        <v>2068</v>
      </c>
      <c r="R1478" s="84" t="str">
        <f>HYPERLINK("https://www.youtube.com/watch?v=Dm8XzVNLQDg&amp;feature=youtu.be")</f>
        <v>https://www.youtube.com/watch?v=Dm8XzVNLQDg&amp;feature=youtu.be</v>
      </c>
      <c r="S1478" s="81" t="s">
        <v>2638</v>
      </c>
      <c r="T1478" s="81"/>
      <c r="U1478" s="81"/>
      <c r="V1478" s="84" t="str">
        <f>HYPERLINK("https://pbs.twimg.com/profile_images/1436127757465894914/PgcEOSep_normal.jpg")</f>
        <v>https://pbs.twimg.com/profile_images/1436127757465894914/PgcEOSep_normal.jpg</v>
      </c>
      <c r="W1478" s="83">
        <v>44466.194328703707</v>
      </c>
      <c r="X1478" s="89">
        <v>44466</v>
      </c>
      <c r="Y1478" s="86" t="s">
        <v>3722</v>
      </c>
      <c r="Z1478" s="84" t="str">
        <f>HYPERLINK("https://twitter.com/auwich/status/1442348231418019844")</f>
        <v>https://twitter.com/auwich/status/1442348231418019844</v>
      </c>
      <c r="AA1478" s="81"/>
      <c r="AB1478" s="81"/>
      <c r="AC1478" s="86" t="s">
        <v>5192</v>
      </c>
      <c r="AD1478" s="81"/>
      <c r="AE1478" s="81" t="b">
        <v>0</v>
      </c>
      <c r="AF1478" s="81">
        <v>0</v>
      </c>
      <c r="AG1478" s="86" t="s">
        <v>6240</v>
      </c>
      <c r="AH1478" s="81" t="b">
        <v>0</v>
      </c>
      <c r="AI1478" s="81" t="s">
        <v>6478</v>
      </c>
      <c r="AJ1478" s="81"/>
      <c r="AK1478" s="86" t="s">
        <v>6240</v>
      </c>
      <c r="AL1478" s="81" t="b">
        <v>0</v>
      </c>
      <c r="AM1478" s="81">
        <v>0</v>
      </c>
      <c r="AN1478" s="86" t="s">
        <v>6240</v>
      </c>
      <c r="AO1478" s="86" t="s">
        <v>6507</v>
      </c>
      <c r="AP1478" s="81" t="b">
        <v>0</v>
      </c>
      <c r="AQ1478" s="86" t="s">
        <v>5192</v>
      </c>
      <c r="AR1478" s="81" t="s">
        <v>179</v>
      </c>
      <c r="AS1478" s="81">
        <v>0</v>
      </c>
      <c r="AT1478" s="81">
        <v>0</v>
      </c>
      <c r="AU1478" s="81"/>
      <c r="AV1478" s="81"/>
      <c r="AW1478" s="81"/>
      <c r="AX1478" s="81"/>
      <c r="AY1478" s="81"/>
      <c r="AZ1478" s="81"/>
      <c r="BA1478" s="81"/>
      <c r="BB1478" s="81"/>
    </row>
    <row r="1479" spans="1:54" x14ac:dyDescent="0.35">
      <c r="A1479" s="66" t="s">
        <v>1040</v>
      </c>
      <c r="B1479" s="66" t="s">
        <v>1040</v>
      </c>
      <c r="C1479" s="67"/>
      <c r="D1479" s="68"/>
      <c r="E1479" s="69"/>
      <c r="F1479" s="70"/>
      <c r="G1479" s="67"/>
      <c r="H1479" s="71"/>
      <c r="I1479" s="72"/>
      <c r="J1479" s="72"/>
      <c r="K1479" s="36"/>
      <c r="L1479" s="79"/>
      <c r="M1479" s="79"/>
      <c r="N1479" s="74"/>
      <c r="O1479" s="81" t="s">
        <v>179</v>
      </c>
      <c r="P1479" s="83">
        <v>44466.195729166669</v>
      </c>
      <c r="Q1479" s="81" t="s">
        <v>2069</v>
      </c>
      <c r="R1479" s="81"/>
      <c r="S1479" s="81"/>
      <c r="T1479" s="86" t="s">
        <v>2705</v>
      </c>
      <c r="U1479" s="84" t="str">
        <f>HYPERLINK("https://pbs.twimg.com/media/FARAh3iUcAQfSBU.jpg")</f>
        <v>https://pbs.twimg.com/media/FARAh3iUcAQfSBU.jpg</v>
      </c>
      <c r="V1479" s="84" t="str">
        <f>HYPERLINK("https://pbs.twimg.com/media/FARAh3iUcAQfSBU.jpg")</f>
        <v>https://pbs.twimg.com/media/FARAh3iUcAQfSBU.jpg</v>
      </c>
      <c r="W1479" s="83">
        <v>44466.195729166669</v>
      </c>
      <c r="X1479" s="89">
        <v>44466</v>
      </c>
      <c r="Y1479" s="86" t="s">
        <v>3723</v>
      </c>
      <c r="Z1479" s="84" t="str">
        <f>HYPERLINK("https://twitter.com/bpskabmuba/status/1442348737817300998")</f>
        <v>https://twitter.com/bpskabmuba/status/1442348737817300998</v>
      </c>
      <c r="AA1479" s="81"/>
      <c r="AB1479" s="81"/>
      <c r="AC1479" s="86" t="s">
        <v>5193</v>
      </c>
      <c r="AD1479" s="81"/>
      <c r="AE1479" s="81" t="b">
        <v>0</v>
      </c>
      <c r="AF1479" s="81">
        <v>1</v>
      </c>
      <c r="AG1479" s="86" t="s">
        <v>6240</v>
      </c>
      <c r="AH1479" s="81" t="b">
        <v>0</v>
      </c>
      <c r="AI1479" s="81" t="s">
        <v>6478</v>
      </c>
      <c r="AJ1479" s="81"/>
      <c r="AK1479" s="86" t="s">
        <v>6240</v>
      </c>
      <c r="AL1479" s="81" t="b">
        <v>0</v>
      </c>
      <c r="AM1479" s="81">
        <v>0</v>
      </c>
      <c r="AN1479" s="86" t="s">
        <v>6240</v>
      </c>
      <c r="AO1479" s="86" t="s">
        <v>6505</v>
      </c>
      <c r="AP1479" s="81" t="b">
        <v>0</v>
      </c>
      <c r="AQ1479" s="86" t="s">
        <v>5193</v>
      </c>
      <c r="AR1479" s="81" t="s">
        <v>179</v>
      </c>
      <c r="AS1479" s="81">
        <v>0</v>
      </c>
      <c r="AT1479" s="81">
        <v>0</v>
      </c>
      <c r="AU1479" s="81"/>
      <c r="AV1479" s="81"/>
      <c r="AW1479" s="81"/>
      <c r="AX1479" s="81"/>
      <c r="AY1479" s="81"/>
      <c r="AZ1479" s="81"/>
      <c r="BA1479" s="81"/>
      <c r="BB1479" s="81"/>
    </row>
    <row r="1480" spans="1:54" x14ac:dyDescent="0.35">
      <c r="A1480" s="66" t="s">
        <v>1041</v>
      </c>
      <c r="B1480" s="66" t="s">
        <v>1041</v>
      </c>
      <c r="C1480" s="67"/>
      <c r="D1480" s="68"/>
      <c r="E1480" s="69"/>
      <c r="F1480" s="70"/>
      <c r="G1480" s="67"/>
      <c r="H1480" s="71"/>
      <c r="I1480" s="72"/>
      <c r="J1480" s="72"/>
      <c r="K1480" s="36"/>
      <c r="L1480" s="79"/>
      <c r="M1480" s="79"/>
      <c r="N1480" s="74"/>
      <c r="O1480" s="81" t="s">
        <v>179</v>
      </c>
      <c r="P1480" s="83">
        <v>44465.500277777777</v>
      </c>
      <c r="Q1480" s="81" t="s">
        <v>2070</v>
      </c>
      <c r="R1480" s="81"/>
      <c r="S1480" s="81"/>
      <c r="T1480" s="81"/>
      <c r="U1480" s="81"/>
      <c r="V1480" s="84" t="str">
        <f>HYPERLINK("https://pbs.twimg.com/profile_images/1428613349764304901/zked7Mzr_normal.jpg")</f>
        <v>https://pbs.twimg.com/profile_images/1428613349764304901/zked7Mzr_normal.jpg</v>
      </c>
      <c r="W1480" s="83">
        <v>44465.500277777777</v>
      </c>
      <c r="X1480" s="89">
        <v>44465</v>
      </c>
      <c r="Y1480" s="86" t="s">
        <v>3724</v>
      </c>
      <c r="Z1480" s="84" t="str">
        <f>HYPERLINK("https://twitter.com/jaemistvy/status/1442096716455374856")</f>
        <v>https://twitter.com/jaemistvy/status/1442096716455374856</v>
      </c>
      <c r="AA1480" s="81"/>
      <c r="AB1480" s="81"/>
      <c r="AC1480" s="86" t="s">
        <v>5194</v>
      </c>
      <c r="AD1480" s="81"/>
      <c r="AE1480" s="81" t="b">
        <v>0</v>
      </c>
      <c r="AF1480" s="81">
        <v>0</v>
      </c>
      <c r="AG1480" s="86" t="s">
        <v>6240</v>
      </c>
      <c r="AH1480" s="81" t="b">
        <v>0</v>
      </c>
      <c r="AI1480" s="81" t="s">
        <v>6479</v>
      </c>
      <c r="AJ1480" s="81"/>
      <c r="AK1480" s="86" t="s">
        <v>6240</v>
      </c>
      <c r="AL1480" s="81" t="b">
        <v>0</v>
      </c>
      <c r="AM1480" s="81">
        <v>0</v>
      </c>
      <c r="AN1480" s="86" t="s">
        <v>6240</v>
      </c>
      <c r="AO1480" s="86" t="s">
        <v>6503</v>
      </c>
      <c r="AP1480" s="81" t="b">
        <v>0</v>
      </c>
      <c r="AQ1480" s="86" t="s">
        <v>5194</v>
      </c>
      <c r="AR1480" s="81" t="s">
        <v>179</v>
      </c>
      <c r="AS1480" s="81">
        <v>0</v>
      </c>
      <c r="AT1480" s="81">
        <v>0</v>
      </c>
      <c r="AU1480" s="81"/>
      <c r="AV1480" s="81"/>
      <c r="AW1480" s="81"/>
      <c r="AX1480" s="81"/>
      <c r="AY1480" s="81"/>
      <c r="AZ1480" s="81"/>
      <c r="BA1480" s="81"/>
      <c r="BB1480" s="81"/>
    </row>
    <row r="1481" spans="1:54" x14ac:dyDescent="0.35">
      <c r="A1481" s="66" t="s">
        <v>1041</v>
      </c>
      <c r="B1481" s="66" t="s">
        <v>1041</v>
      </c>
      <c r="C1481" s="67"/>
      <c r="D1481" s="68"/>
      <c r="E1481" s="69"/>
      <c r="F1481" s="70"/>
      <c r="G1481" s="67"/>
      <c r="H1481" s="71"/>
      <c r="I1481" s="72"/>
      <c r="J1481" s="72"/>
      <c r="K1481" s="36"/>
      <c r="L1481" s="79"/>
      <c r="M1481" s="79"/>
      <c r="N1481" s="74"/>
      <c r="O1481" s="81" t="s">
        <v>179</v>
      </c>
      <c r="P1481" s="83">
        <v>44466.199895833335</v>
      </c>
      <c r="Q1481" s="81" t="s">
        <v>2071</v>
      </c>
      <c r="R1481" s="81"/>
      <c r="S1481" s="81"/>
      <c r="T1481" s="81"/>
      <c r="U1481" s="81"/>
      <c r="V1481" s="84" t="str">
        <f>HYPERLINK("https://pbs.twimg.com/profile_images/1428613349764304901/zked7Mzr_normal.jpg")</f>
        <v>https://pbs.twimg.com/profile_images/1428613349764304901/zked7Mzr_normal.jpg</v>
      </c>
      <c r="W1481" s="83">
        <v>44466.199895833335</v>
      </c>
      <c r="X1481" s="89">
        <v>44466</v>
      </c>
      <c r="Y1481" s="86" t="s">
        <v>3725</v>
      </c>
      <c r="Z1481" s="84" t="str">
        <f>HYPERLINK("https://twitter.com/jaemistvy/status/1442350249679343618")</f>
        <v>https://twitter.com/jaemistvy/status/1442350249679343618</v>
      </c>
      <c r="AA1481" s="81"/>
      <c r="AB1481" s="81"/>
      <c r="AC1481" s="86" t="s">
        <v>5195</v>
      </c>
      <c r="AD1481" s="81"/>
      <c r="AE1481" s="81" t="b">
        <v>0</v>
      </c>
      <c r="AF1481" s="81">
        <v>0</v>
      </c>
      <c r="AG1481" s="86" t="s">
        <v>6240</v>
      </c>
      <c r="AH1481" s="81" t="b">
        <v>0</v>
      </c>
      <c r="AI1481" s="81" t="s">
        <v>6478</v>
      </c>
      <c r="AJ1481" s="81"/>
      <c r="AK1481" s="86" t="s">
        <v>6240</v>
      </c>
      <c r="AL1481" s="81" t="b">
        <v>0</v>
      </c>
      <c r="AM1481" s="81">
        <v>0</v>
      </c>
      <c r="AN1481" s="86" t="s">
        <v>6240</v>
      </c>
      <c r="AO1481" s="86" t="s">
        <v>6503</v>
      </c>
      <c r="AP1481" s="81" t="b">
        <v>0</v>
      </c>
      <c r="AQ1481" s="86" t="s">
        <v>5195</v>
      </c>
      <c r="AR1481" s="81" t="s">
        <v>179</v>
      </c>
      <c r="AS1481" s="81">
        <v>0</v>
      </c>
      <c r="AT1481" s="81">
        <v>0</v>
      </c>
      <c r="AU1481" s="81"/>
      <c r="AV1481" s="81"/>
      <c r="AW1481" s="81"/>
      <c r="AX1481" s="81"/>
      <c r="AY1481" s="81"/>
      <c r="AZ1481" s="81"/>
      <c r="BA1481" s="81"/>
      <c r="BB1481" s="81"/>
    </row>
    <row r="1482" spans="1:54" x14ac:dyDescent="0.35">
      <c r="A1482" s="66" t="s">
        <v>1042</v>
      </c>
      <c r="B1482" s="66" t="s">
        <v>1117</v>
      </c>
      <c r="C1482" s="67"/>
      <c r="D1482" s="68"/>
      <c r="E1482" s="69"/>
      <c r="F1482" s="70"/>
      <c r="G1482" s="67"/>
      <c r="H1482" s="71"/>
      <c r="I1482" s="72"/>
      <c r="J1482" s="72"/>
      <c r="K1482" s="36"/>
      <c r="L1482" s="79"/>
      <c r="M1482" s="79"/>
      <c r="N1482" s="74"/>
      <c r="O1482" s="81" t="s">
        <v>1532</v>
      </c>
      <c r="P1482" s="83">
        <v>44466.202476851853</v>
      </c>
      <c r="Q1482" s="81" t="s">
        <v>2072</v>
      </c>
      <c r="R1482" s="81"/>
      <c r="S1482" s="81"/>
      <c r="T1482" s="86" t="s">
        <v>2706</v>
      </c>
      <c r="U1482" s="84" t="str">
        <f>HYPERLINK("https://pbs.twimg.com/media/FARBJdVVQAUnsqY.jpg")</f>
        <v>https://pbs.twimg.com/media/FARBJdVVQAUnsqY.jpg</v>
      </c>
      <c r="V1482" s="84" t="str">
        <f>HYPERLINK("https://pbs.twimg.com/media/FARBJdVVQAUnsqY.jpg")</f>
        <v>https://pbs.twimg.com/media/FARBJdVVQAUnsqY.jpg</v>
      </c>
      <c r="W1482" s="83">
        <v>44466.202476851853</v>
      </c>
      <c r="X1482" s="89">
        <v>44466</v>
      </c>
      <c r="Y1482" s="86" t="s">
        <v>3726</v>
      </c>
      <c r="Z1482" s="84" t="str">
        <f>HYPERLINK("https://twitter.com/smks_jannah/status/1442351182828040194")</f>
        <v>https://twitter.com/smks_jannah/status/1442351182828040194</v>
      </c>
      <c r="AA1482" s="81"/>
      <c r="AB1482" s="81"/>
      <c r="AC1482" s="86" t="s">
        <v>5196</v>
      </c>
      <c r="AD1482" s="81"/>
      <c r="AE1482" s="81" t="b">
        <v>0</v>
      </c>
      <c r="AF1482" s="81">
        <v>0</v>
      </c>
      <c r="AG1482" s="86" t="s">
        <v>6240</v>
      </c>
      <c r="AH1482" s="81" t="b">
        <v>0</v>
      </c>
      <c r="AI1482" s="81" t="s">
        <v>6478</v>
      </c>
      <c r="AJ1482" s="81"/>
      <c r="AK1482" s="86" t="s">
        <v>6240</v>
      </c>
      <c r="AL1482" s="81" t="b">
        <v>0</v>
      </c>
      <c r="AM1482" s="81">
        <v>4</v>
      </c>
      <c r="AN1482" s="86" t="s">
        <v>5302</v>
      </c>
      <c r="AO1482" s="86" t="s">
        <v>6503</v>
      </c>
      <c r="AP1482" s="81" t="b">
        <v>0</v>
      </c>
      <c r="AQ1482" s="86" t="s">
        <v>5302</v>
      </c>
      <c r="AR1482" s="81" t="s">
        <v>179</v>
      </c>
      <c r="AS1482" s="81">
        <v>0</v>
      </c>
      <c r="AT1482" s="81">
        <v>0</v>
      </c>
      <c r="AU1482" s="81"/>
      <c r="AV1482" s="81"/>
      <c r="AW1482" s="81"/>
      <c r="AX1482" s="81"/>
      <c r="AY1482" s="81"/>
      <c r="AZ1482" s="81"/>
      <c r="BA1482" s="81"/>
      <c r="BB1482" s="81"/>
    </row>
    <row r="1483" spans="1:54" x14ac:dyDescent="0.35">
      <c r="A1483" s="66" t="s">
        <v>1043</v>
      </c>
      <c r="B1483" s="66" t="s">
        <v>1043</v>
      </c>
      <c r="C1483" s="67"/>
      <c r="D1483" s="68"/>
      <c r="E1483" s="69"/>
      <c r="F1483" s="70"/>
      <c r="G1483" s="67"/>
      <c r="H1483" s="71"/>
      <c r="I1483" s="72"/>
      <c r="J1483" s="72"/>
      <c r="K1483" s="36"/>
      <c r="L1483" s="79"/>
      <c r="M1483" s="79"/>
      <c r="N1483" s="74"/>
      <c r="O1483" s="81" t="s">
        <v>179</v>
      </c>
      <c r="P1483" s="83">
        <v>44466.203159722223</v>
      </c>
      <c r="Q1483" s="81" t="s">
        <v>2073</v>
      </c>
      <c r="R1483" s="81"/>
      <c r="S1483" s="81"/>
      <c r="T1483" s="86" t="s">
        <v>2707</v>
      </c>
      <c r="U1483" s="84" t="str">
        <f>HYPERLINK("https://pbs.twimg.com/media/FARC-jIVkAc0Swt.jpg")</f>
        <v>https://pbs.twimg.com/media/FARC-jIVkAc0Swt.jpg</v>
      </c>
      <c r="V1483" s="84" t="str">
        <f>HYPERLINK("https://pbs.twimg.com/media/FARC-jIVkAc0Swt.jpg")</f>
        <v>https://pbs.twimg.com/media/FARC-jIVkAc0Swt.jpg</v>
      </c>
      <c r="W1483" s="83">
        <v>44466.203159722223</v>
      </c>
      <c r="X1483" s="89">
        <v>44466</v>
      </c>
      <c r="Y1483" s="86" t="s">
        <v>3727</v>
      </c>
      <c r="Z1483" s="84" t="str">
        <f>HYPERLINK("https://twitter.com/pranatahumas/status/1442351431705526272")</f>
        <v>https://twitter.com/pranatahumas/status/1442351431705526272</v>
      </c>
      <c r="AA1483" s="81"/>
      <c r="AB1483" s="81"/>
      <c r="AC1483" s="86" t="s">
        <v>5197</v>
      </c>
      <c r="AD1483" s="81"/>
      <c r="AE1483" s="81" t="b">
        <v>0</v>
      </c>
      <c r="AF1483" s="81">
        <v>0</v>
      </c>
      <c r="AG1483" s="86" t="s">
        <v>6240</v>
      </c>
      <c r="AH1483" s="81" t="b">
        <v>0</v>
      </c>
      <c r="AI1483" s="81" t="s">
        <v>6478</v>
      </c>
      <c r="AJ1483" s="81"/>
      <c r="AK1483" s="86" t="s">
        <v>6240</v>
      </c>
      <c r="AL1483" s="81" t="b">
        <v>0</v>
      </c>
      <c r="AM1483" s="81">
        <v>0</v>
      </c>
      <c r="AN1483" s="86" t="s">
        <v>6240</v>
      </c>
      <c r="AO1483" s="86" t="s">
        <v>6503</v>
      </c>
      <c r="AP1483" s="81" t="b">
        <v>0</v>
      </c>
      <c r="AQ1483" s="86" t="s">
        <v>5197</v>
      </c>
      <c r="AR1483" s="81" t="s">
        <v>179</v>
      </c>
      <c r="AS1483" s="81">
        <v>0</v>
      </c>
      <c r="AT1483" s="81">
        <v>0</v>
      </c>
      <c r="AU1483" s="81"/>
      <c r="AV1483" s="81"/>
      <c r="AW1483" s="81"/>
      <c r="AX1483" s="81"/>
      <c r="AY1483" s="81"/>
      <c r="AZ1483" s="81"/>
      <c r="BA1483" s="81"/>
      <c r="BB1483" s="81"/>
    </row>
    <row r="1484" spans="1:54" x14ac:dyDescent="0.35">
      <c r="A1484" s="66" t="s">
        <v>1044</v>
      </c>
      <c r="B1484" s="66" t="s">
        <v>1044</v>
      </c>
      <c r="C1484" s="67"/>
      <c r="D1484" s="68"/>
      <c r="E1484" s="69"/>
      <c r="F1484" s="70"/>
      <c r="G1484" s="67"/>
      <c r="H1484" s="71"/>
      <c r="I1484" s="72"/>
      <c r="J1484" s="72"/>
      <c r="K1484" s="36"/>
      <c r="L1484" s="79"/>
      <c r="M1484" s="79"/>
      <c r="N1484" s="74"/>
      <c r="O1484" s="81" t="s">
        <v>179</v>
      </c>
      <c r="P1484" s="83">
        <v>44466.202627314815</v>
      </c>
      <c r="Q1484" s="81" t="s">
        <v>2074</v>
      </c>
      <c r="R1484" s="84" t="str">
        <f>HYPERLINK("https://carilokermedan.com/loker-s1-di-pt-sicepat-ekspres-indonesia-sumut-september-2021/")</f>
        <v>https://carilokermedan.com/loker-s1-di-pt-sicepat-ekspres-indonesia-sumut-september-2021/</v>
      </c>
      <c r="S1484" s="81" t="s">
        <v>2639</v>
      </c>
      <c r="T1484" s="86" t="s">
        <v>2708</v>
      </c>
      <c r="U1484" s="81"/>
      <c r="V1484" s="84" t="str">
        <f>HYPERLINK("https://pbs.twimg.com/profile_images/1003943807136616448/EqhgCQHB_normal.jpg")</f>
        <v>https://pbs.twimg.com/profile_images/1003943807136616448/EqhgCQHB_normal.jpg</v>
      </c>
      <c r="W1484" s="83">
        <v>44466.202627314815</v>
      </c>
      <c r="X1484" s="89">
        <v>44466</v>
      </c>
      <c r="Y1484" s="86" t="s">
        <v>3728</v>
      </c>
      <c r="Z1484" s="84" t="str">
        <f>HYPERLINK("https://twitter.com/carilokermedan/status/1442351239593816065")</f>
        <v>https://twitter.com/carilokermedan/status/1442351239593816065</v>
      </c>
      <c r="AA1484" s="81"/>
      <c r="AB1484" s="81"/>
      <c r="AC1484" s="86" t="s">
        <v>5198</v>
      </c>
      <c r="AD1484" s="81"/>
      <c r="AE1484" s="81" t="b">
        <v>0</v>
      </c>
      <c r="AF1484" s="81">
        <v>1</v>
      </c>
      <c r="AG1484" s="86" t="s">
        <v>6240</v>
      </c>
      <c r="AH1484" s="81" t="b">
        <v>0</v>
      </c>
      <c r="AI1484" s="81" t="s">
        <v>6478</v>
      </c>
      <c r="AJ1484" s="81"/>
      <c r="AK1484" s="86" t="s">
        <v>6240</v>
      </c>
      <c r="AL1484" s="81" t="b">
        <v>0</v>
      </c>
      <c r="AM1484" s="81">
        <v>1</v>
      </c>
      <c r="AN1484" s="86" t="s">
        <v>6240</v>
      </c>
      <c r="AO1484" s="86" t="s">
        <v>6507</v>
      </c>
      <c r="AP1484" s="81" t="b">
        <v>0</v>
      </c>
      <c r="AQ1484" s="86" t="s">
        <v>5198</v>
      </c>
      <c r="AR1484" s="81" t="s">
        <v>179</v>
      </c>
      <c r="AS1484" s="81">
        <v>0</v>
      </c>
      <c r="AT1484" s="81">
        <v>0</v>
      </c>
      <c r="AU1484" s="81"/>
      <c r="AV1484" s="81"/>
      <c r="AW1484" s="81"/>
      <c r="AX1484" s="81"/>
      <c r="AY1484" s="81"/>
      <c r="AZ1484" s="81"/>
      <c r="BA1484" s="81"/>
      <c r="BB1484" s="81"/>
    </row>
    <row r="1485" spans="1:54" x14ac:dyDescent="0.35">
      <c r="A1485" s="66" t="s">
        <v>1045</v>
      </c>
      <c r="B1485" s="66" t="s">
        <v>1044</v>
      </c>
      <c r="C1485" s="67"/>
      <c r="D1485" s="68"/>
      <c r="E1485" s="69"/>
      <c r="F1485" s="70"/>
      <c r="G1485" s="67"/>
      <c r="H1485" s="71"/>
      <c r="I1485" s="72"/>
      <c r="J1485" s="72"/>
      <c r="K1485" s="36"/>
      <c r="L1485" s="79"/>
      <c r="M1485" s="79"/>
      <c r="N1485" s="74"/>
      <c r="O1485" s="81" t="s">
        <v>1532</v>
      </c>
      <c r="P1485" s="83">
        <v>44466.204270833332</v>
      </c>
      <c r="Q1485" s="81" t="s">
        <v>2074</v>
      </c>
      <c r="R1485" s="84" t="str">
        <f>HYPERLINK("https://carilokermedan.com/loker-s1-di-pt-sicepat-ekspres-indonesia-sumut-september-2021/")</f>
        <v>https://carilokermedan.com/loker-s1-di-pt-sicepat-ekspres-indonesia-sumut-september-2021/</v>
      </c>
      <c r="S1485" s="81" t="s">
        <v>2639</v>
      </c>
      <c r="T1485" s="86" t="s">
        <v>2708</v>
      </c>
      <c r="U1485" s="81"/>
      <c r="V1485" s="84" t="str">
        <f>HYPERLINK("https://pbs.twimg.com/profile_images/826380363186384897/j_uEntVT_normal.jpg")</f>
        <v>https://pbs.twimg.com/profile_images/826380363186384897/j_uEntVT_normal.jpg</v>
      </c>
      <c r="W1485" s="83">
        <v>44466.204270833332</v>
      </c>
      <c r="X1485" s="89">
        <v>44466</v>
      </c>
      <c r="Y1485" s="86" t="s">
        <v>3729</v>
      </c>
      <c r="Z1485" s="84" t="str">
        <f>HYPERLINK("https://twitter.com/yuan_info/status/1442351834287382530")</f>
        <v>https://twitter.com/yuan_info/status/1442351834287382530</v>
      </c>
      <c r="AA1485" s="81"/>
      <c r="AB1485" s="81"/>
      <c r="AC1485" s="86" t="s">
        <v>5199</v>
      </c>
      <c r="AD1485" s="81"/>
      <c r="AE1485" s="81" t="b">
        <v>0</v>
      </c>
      <c r="AF1485" s="81">
        <v>0</v>
      </c>
      <c r="AG1485" s="86" t="s">
        <v>6240</v>
      </c>
      <c r="AH1485" s="81" t="b">
        <v>0</v>
      </c>
      <c r="AI1485" s="81" t="s">
        <v>6478</v>
      </c>
      <c r="AJ1485" s="81"/>
      <c r="AK1485" s="86" t="s">
        <v>6240</v>
      </c>
      <c r="AL1485" s="81" t="b">
        <v>0</v>
      </c>
      <c r="AM1485" s="81">
        <v>1</v>
      </c>
      <c r="AN1485" s="86" t="s">
        <v>5198</v>
      </c>
      <c r="AO1485" s="86" t="s">
        <v>6507</v>
      </c>
      <c r="AP1485" s="81" t="b">
        <v>0</v>
      </c>
      <c r="AQ1485" s="86" t="s">
        <v>5198</v>
      </c>
      <c r="AR1485" s="81" t="s">
        <v>179</v>
      </c>
      <c r="AS1485" s="81">
        <v>0</v>
      </c>
      <c r="AT1485" s="81">
        <v>0</v>
      </c>
      <c r="AU1485" s="81"/>
      <c r="AV1485" s="81"/>
      <c r="AW1485" s="81"/>
      <c r="AX1485" s="81"/>
      <c r="AY1485" s="81"/>
      <c r="AZ1485" s="81"/>
      <c r="BA1485" s="81"/>
      <c r="BB1485" s="81"/>
    </row>
    <row r="1486" spans="1:54" x14ac:dyDescent="0.35">
      <c r="A1486" s="66" t="s">
        <v>1046</v>
      </c>
      <c r="B1486" s="66" t="s">
        <v>1487</v>
      </c>
      <c r="C1486" s="67"/>
      <c r="D1486" s="68"/>
      <c r="E1486" s="69"/>
      <c r="F1486" s="70"/>
      <c r="G1486" s="67"/>
      <c r="H1486" s="71"/>
      <c r="I1486" s="72"/>
      <c r="J1486" s="72"/>
      <c r="K1486" s="36"/>
      <c r="L1486" s="79"/>
      <c r="M1486" s="79"/>
      <c r="N1486" s="74"/>
      <c r="O1486" s="81" t="s">
        <v>1534</v>
      </c>
      <c r="P1486" s="83">
        <v>44466.206608796296</v>
      </c>
      <c r="Q1486" s="81" t="s">
        <v>2075</v>
      </c>
      <c r="R1486" s="81"/>
      <c r="S1486" s="81"/>
      <c r="T1486" s="81"/>
      <c r="U1486" s="81"/>
      <c r="V1486" s="84" t="str">
        <f>HYPERLINK("https://pbs.twimg.com/profile_images/1188459457665064960/msYczaxR_normal.jpg")</f>
        <v>https://pbs.twimg.com/profile_images/1188459457665064960/msYczaxR_normal.jpg</v>
      </c>
      <c r="W1486" s="83">
        <v>44466.206608796296</v>
      </c>
      <c r="X1486" s="89">
        <v>44466</v>
      </c>
      <c r="Y1486" s="86" t="s">
        <v>3730</v>
      </c>
      <c r="Z1486" s="84" t="str">
        <f>HYPERLINK("https://twitter.com/shun_chan_chan/status/1442352682895769605")</f>
        <v>https://twitter.com/shun_chan_chan/status/1442352682895769605</v>
      </c>
      <c r="AA1486" s="81"/>
      <c r="AB1486" s="81"/>
      <c r="AC1486" s="86" t="s">
        <v>5200</v>
      </c>
      <c r="AD1486" s="81"/>
      <c r="AE1486" s="81" t="b">
        <v>0</v>
      </c>
      <c r="AF1486" s="81">
        <v>0</v>
      </c>
      <c r="AG1486" s="86" t="s">
        <v>6426</v>
      </c>
      <c r="AH1486" s="81" t="b">
        <v>0</v>
      </c>
      <c r="AI1486" s="81" t="s">
        <v>6478</v>
      </c>
      <c r="AJ1486" s="81"/>
      <c r="AK1486" s="86" t="s">
        <v>6240</v>
      </c>
      <c r="AL1486" s="81" t="b">
        <v>0</v>
      </c>
      <c r="AM1486" s="81">
        <v>0</v>
      </c>
      <c r="AN1486" s="86" t="s">
        <v>6240</v>
      </c>
      <c r="AO1486" s="86" t="s">
        <v>6503</v>
      </c>
      <c r="AP1486" s="81" t="b">
        <v>0</v>
      </c>
      <c r="AQ1486" s="86" t="s">
        <v>5200</v>
      </c>
      <c r="AR1486" s="81" t="s">
        <v>179</v>
      </c>
      <c r="AS1486" s="81">
        <v>0</v>
      </c>
      <c r="AT1486" s="81">
        <v>0</v>
      </c>
      <c r="AU1486" s="81"/>
      <c r="AV1486" s="81"/>
      <c r="AW1486" s="81"/>
      <c r="AX1486" s="81"/>
      <c r="AY1486" s="81"/>
      <c r="AZ1486" s="81"/>
      <c r="BA1486" s="81"/>
      <c r="BB1486" s="81"/>
    </row>
    <row r="1487" spans="1:54" x14ac:dyDescent="0.35">
      <c r="A1487" s="66" t="s">
        <v>1047</v>
      </c>
      <c r="B1487" s="66" t="s">
        <v>1047</v>
      </c>
      <c r="C1487" s="67"/>
      <c r="D1487" s="68"/>
      <c r="E1487" s="69"/>
      <c r="F1487" s="70"/>
      <c r="G1487" s="67"/>
      <c r="H1487" s="71"/>
      <c r="I1487" s="72"/>
      <c r="J1487" s="72"/>
      <c r="K1487" s="36"/>
      <c r="L1487" s="79"/>
      <c r="M1487" s="79"/>
      <c r="N1487" s="74"/>
      <c r="O1487" s="81" t="s">
        <v>179</v>
      </c>
      <c r="P1487" s="83">
        <v>44459.469050925924</v>
      </c>
      <c r="Q1487" s="81" t="s">
        <v>2076</v>
      </c>
      <c r="R1487" s="81"/>
      <c r="S1487" s="81"/>
      <c r="T1487" s="86" t="s">
        <v>2709</v>
      </c>
      <c r="U1487" s="84" t="str">
        <f>HYPERLINK("https://pbs.twimg.com/media/E_uXaPnVUAQl97H.jpg")</f>
        <v>https://pbs.twimg.com/media/E_uXaPnVUAQl97H.jpg</v>
      </c>
      <c r="V1487" s="84" t="str">
        <f>HYPERLINK("https://pbs.twimg.com/media/E_uXaPnVUAQl97H.jpg")</f>
        <v>https://pbs.twimg.com/media/E_uXaPnVUAQl97H.jpg</v>
      </c>
      <c r="W1487" s="83">
        <v>44459.469050925924</v>
      </c>
      <c r="X1487" s="89">
        <v>44459</v>
      </c>
      <c r="Y1487" s="86" t="s">
        <v>3731</v>
      </c>
      <c r="Z1487" s="84" t="str">
        <f>HYPERLINK("https://twitter.com/tarbantinbooks/status/1439911072899555333")</f>
        <v>https://twitter.com/tarbantinbooks/status/1439911072899555333</v>
      </c>
      <c r="AA1487" s="81"/>
      <c r="AB1487" s="81"/>
      <c r="AC1487" s="86" t="s">
        <v>5201</v>
      </c>
      <c r="AD1487" s="81"/>
      <c r="AE1487" s="81" t="b">
        <v>0</v>
      </c>
      <c r="AF1487" s="81">
        <v>0</v>
      </c>
      <c r="AG1487" s="86" t="s">
        <v>6240</v>
      </c>
      <c r="AH1487" s="81" t="b">
        <v>0</v>
      </c>
      <c r="AI1487" s="81" t="s">
        <v>6478</v>
      </c>
      <c r="AJ1487" s="81"/>
      <c r="AK1487" s="86" t="s">
        <v>6240</v>
      </c>
      <c r="AL1487" s="81" t="b">
        <v>0</v>
      </c>
      <c r="AM1487" s="81">
        <v>0</v>
      </c>
      <c r="AN1487" s="86" t="s">
        <v>6240</v>
      </c>
      <c r="AO1487" s="86" t="s">
        <v>6503</v>
      </c>
      <c r="AP1487" s="81" t="b">
        <v>0</v>
      </c>
      <c r="AQ1487" s="86" t="s">
        <v>5201</v>
      </c>
      <c r="AR1487" s="81" t="s">
        <v>179</v>
      </c>
      <c r="AS1487" s="81">
        <v>0</v>
      </c>
      <c r="AT1487" s="81">
        <v>0</v>
      </c>
      <c r="AU1487" s="81" t="s">
        <v>6540</v>
      </c>
      <c r="AV1487" s="81" t="s">
        <v>6543</v>
      </c>
      <c r="AW1487" s="81" t="s">
        <v>12</v>
      </c>
      <c r="AX1487" s="81" t="s">
        <v>6548</v>
      </c>
      <c r="AY1487" s="81" t="s">
        <v>6555</v>
      </c>
      <c r="AZ1487" s="81" t="s">
        <v>6548</v>
      </c>
      <c r="BA1487" s="81" t="s">
        <v>6566</v>
      </c>
      <c r="BB1487" s="84" t="str">
        <f>HYPERLINK("https://api.twitter.com/1.1/geo/id/0fc374080c942001.json")</f>
        <v>https://api.twitter.com/1.1/geo/id/0fc374080c942001.json</v>
      </c>
    </row>
    <row r="1488" spans="1:54" x14ac:dyDescent="0.35">
      <c r="A1488" s="66" t="s">
        <v>1047</v>
      </c>
      <c r="B1488" s="66" t="s">
        <v>1047</v>
      </c>
      <c r="C1488" s="67"/>
      <c r="D1488" s="68"/>
      <c r="E1488" s="69"/>
      <c r="F1488" s="70"/>
      <c r="G1488" s="67"/>
      <c r="H1488" s="71"/>
      <c r="I1488" s="72"/>
      <c r="J1488" s="72"/>
      <c r="K1488" s="36"/>
      <c r="L1488" s="79"/>
      <c r="M1488" s="79"/>
      <c r="N1488" s="74"/>
      <c r="O1488" s="81" t="s">
        <v>179</v>
      </c>
      <c r="P1488" s="83">
        <v>44461.220266203702</v>
      </c>
      <c r="Q1488" s="81" t="s">
        <v>2077</v>
      </c>
      <c r="R1488" s="81"/>
      <c r="S1488" s="81"/>
      <c r="T1488" s="86" t="s">
        <v>2709</v>
      </c>
      <c r="U1488" s="84" t="str">
        <f>HYPERLINK("https://pbs.twimg.com/media/E_3YkP1UUAcWye3.jpg")</f>
        <v>https://pbs.twimg.com/media/E_3YkP1UUAcWye3.jpg</v>
      </c>
      <c r="V1488" s="84" t="str">
        <f>HYPERLINK("https://pbs.twimg.com/media/E_3YkP1UUAcWye3.jpg")</f>
        <v>https://pbs.twimg.com/media/E_3YkP1UUAcWye3.jpg</v>
      </c>
      <c r="W1488" s="83">
        <v>44461.220266203702</v>
      </c>
      <c r="X1488" s="89">
        <v>44461</v>
      </c>
      <c r="Y1488" s="86" t="s">
        <v>3732</v>
      </c>
      <c r="Z1488" s="84" t="str">
        <f>HYPERLINK("https://twitter.com/tarbantinbooks/status/1440545691273601026")</f>
        <v>https://twitter.com/tarbantinbooks/status/1440545691273601026</v>
      </c>
      <c r="AA1488" s="81"/>
      <c r="AB1488" s="81"/>
      <c r="AC1488" s="86" t="s">
        <v>5202</v>
      </c>
      <c r="AD1488" s="81"/>
      <c r="AE1488" s="81" t="b">
        <v>0</v>
      </c>
      <c r="AF1488" s="81">
        <v>0</v>
      </c>
      <c r="AG1488" s="86" t="s">
        <v>6240</v>
      </c>
      <c r="AH1488" s="81" t="b">
        <v>0</v>
      </c>
      <c r="AI1488" s="81" t="s">
        <v>6478</v>
      </c>
      <c r="AJ1488" s="81"/>
      <c r="AK1488" s="86" t="s">
        <v>6240</v>
      </c>
      <c r="AL1488" s="81" t="b">
        <v>0</v>
      </c>
      <c r="AM1488" s="81">
        <v>0</v>
      </c>
      <c r="AN1488" s="86" t="s">
        <v>6240</v>
      </c>
      <c r="AO1488" s="86" t="s">
        <v>6503</v>
      </c>
      <c r="AP1488" s="81" t="b">
        <v>0</v>
      </c>
      <c r="AQ1488" s="86" t="s">
        <v>5202</v>
      </c>
      <c r="AR1488" s="81" t="s">
        <v>179</v>
      </c>
      <c r="AS1488" s="81">
        <v>0</v>
      </c>
      <c r="AT1488" s="81">
        <v>0</v>
      </c>
      <c r="AU1488" s="81" t="s">
        <v>6540</v>
      </c>
      <c r="AV1488" s="81" t="s">
        <v>6543</v>
      </c>
      <c r="AW1488" s="81" t="s">
        <v>12</v>
      </c>
      <c r="AX1488" s="81" t="s">
        <v>6548</v>
      </c>
      <c r="AY1488" s="81" t="s">
        <v>6555</v>
      </c>
      <c r="AZ1488" s="81" t="s">
        <v>6548</v>
      </c>
      <c r="BA1488" s="81" t="s">
        <v>6566</v>
      </c>
      <c r="BB1488" s="84" t="str">
        <f>HYPERLINK("https://api.twitter.com/1.1/geo/id/0fc374080c942001.json")</f>
        <v>https://api.twitter.com/1.1/geo/id/0fc374080c942001.json</v>
      </c>
    </row>
    <row r="1489" spans="1:54" x14ac:dyDescent="0.35">
      <c r="A1489" s="66" t="s">
        <v>1047</v>
      </c>
      <c r="B1489" s="66" t="s">
        <v>1047</v>
      </c>
      <c r="C1489" s="67"/>
      <c r="D1489" s="68"/>
      <c r="E1489" s="69"/>
      <c r="F1489" s="70"/>
      <c r="G1489" s="67"/>
      <c r="H1489" s="71"/>
      <c r="I1489" s="72"/>
      <c r="J1489" s="72"/>
      <c r="K1489" s="36"/>
      <c r="L1489" s="79"/>
      <c r="M1489" s="79"/>
      <c r="N1489" s="74"/>
      <c r="O1489" s="81" t="s">
        <v>179</v>
      </c>
      <c r="P1489" s="83">
        <v>44461.447106481479</v>
      </c>
      <c r="Q1489" s="81" t="s">
        <v>2078</v>
      </c>
      <c r="R1489" s="81"/>
      <c r="S1489" s="81"/>
      <c r="T1489" s="86" t="s">
        <v>2710</v>
      </c>
      <c r="U1489" s="84" t="str">
        <f>HYPERLINK("https://pbs.twimg.com/media/E_4jWW3UcAAWmnV.jpg")</f>
        <v>https://pbs.twimg.com/media/E_4jWW3UcAAWmnV.jpg</v>
      </c>
      <c r="V1489" s="84" t="str">
        <f>HYPERLINK("https://pbs.twimg.com/media/E_4jWW3UcAAWmnV.jpg")</f>
        <v>https://pbs.twimg.com/media/E_4jWW3UcAAWmnV.jpg</v>
      </c>
      <c r="W1489" s="83">
        <v>44461.447106481479</v>
      </c>
      <c r="X1489" s="89">
        <v>44461</v>
      </c>
      <c r="Y1489" s="86" t="s">
        <v>3733</v>
      </c>
      <c r="Z1489" s="84" t="str">
        <f>HYPERLINK("https://twitter.com/tarbantinbooks/status/1440627896163340292")</f>
        <v>https://twitter.com/tarbantinbooks/status/1440627896163340292</v>
      </c>
      <c r="AA1489" s="81"/>
      <c r="AB1489" s="81"/>
      <c r="AC1489" s="86" t="s">
        <v>5203</v>
      </c>
      <c r="AD1489" s="81"/>
      <c r="AE1489" s="81" t="b">
        <v>0</v>
      </c>
      <c r="AF1489" s="81">
        <v>0</v>
      </c>
      <c r="AG1489" s="86" t="s">
        <v>6240</v>
      </c>
      <c r="AH1489" s="81" t="b">
        <v>0</v>
      </c>
      <c r="AI1489" s="81" t="s">
        <v>6478</v>
      </c>
      <c r="AJ1489" s="81"/>
      <c r="AK1489" s="86" t="s">
        <v>6240</v>
      </c>
      <c r="AL1489" s="81" t="b">
        <v>0</v>
      </c>
      <c r="AM1489" s="81">
        <v>0</v>
      </c>
      <c r="AN1489" s="86" t="s">
        <v>6240</v>
      </c>
      <c r="AO1489" s="86" t="s">
        <v>6503</v>
      </c>
      <c r="AP1489" s="81" t="b">
        <v>0</v>
      </c>
      <c r="AQ1489" s="86" t="s">
        <v>5203</v>
      </c>
      <c r="AR1489" s="81" t="s">
        <v>179</v>
      </c>
      <c r="AS1489" s="81">
        <v>0</v>
      </c>
      <c r="AT1489" s="81">
        <v>0</v>
      </c>
      <c r="AU1489" s="81" t="s">
        <v>6540</v>
      </c>
      <c r="AV1489" s="81" t="s">
        <v>6543</v>
      </c>
      <c r="AW1489" s="81" t="s">
        <v>12</v>
      </c>
      <c r="AX1489" s="81" t="s">
        <v>6548</v>
      </c>
      <c r="AY1489" s="81" t="s">
        <v>6555</v>
      </c>
      <c r="AZ1489" s="81" t="s">
        <v>6548</v>
      </c>
      <c r="BA1489" s="81" t="s">
        <v>6566</v>
      </c>
      <c r="BB1489" s="84" t="str">
        <f>HYPERLINK("https://api.twitter.com/1.1/geo/id/0fc374080c942001.json")</f>
        <v>https://api.twitter.com/1.1/geo/id/0fc374080c942001.json</v>
      </c>
    </row>
    <row r="1490" spans="1:54" x14ac:dyDescent="0.35">
      <c r="A1490" s="66" t="s">
        <v>1047</v>
      </c>
      <c r="B1490" s="66" t="s">
        <v>1047</v>
      </c>
      <c r="C1490" s="67"/>
      <c r="D1490" s="68"/>
      <c r="E1490" s="69"/>
      <c r="F1490" s="70"/>
      <c r="G1490" s="67"/>
      <c r="H1490" s="71"/>
      <c r="I1490" s="72"/>
      <c r="J1490" s="72"/>
      <c r="K1490" s="36"/>
      <c r="L1490" s="79"/>
      <c r="M1490" s="79"/>
      <c r="N1490" s="74"/>
      <c r="O1490" s="81" t="s">
        <v>179</v>
      </c>
      <c r="P1490" s="83">
        <v>44462.210509259261</v>
      </c>
      <c r="Q1490" s="81" t="s">
        <v>2079</v>
      </c>
      <c r="R1490" s="81"/>
      <c r="S1490" s="81"/>
      <c r="T1490" s="81"/>
      <c r="U1490" s="84" t="str">
        <f>HYPERLINK("https://pbs.twimg.com/media/E_8e9yqVQAYmASa.jpg")</f>
        <v>https://pbs.twimg.com/media/E_8e9yqVQAYmASa.jpg</v>
      </c>
      <c r="V1490" s="84" t="str">
        <f>HYPERLINK("https://pbs.twimg.com/media/E_8e9yqVQAYmASa.jpg")</f>
        <v>https://pbs.twimg.com/media/E_8e9yqVQAYmASa.jpg</v>
      </c>
      <c r="W1490" s="83">
        <v>44462.210509259261</v>
      </c>
      <c r="X1490" s="89">
        <v>44462</v>
      </c>
      <c r="Y1490" s="86" t="s">
        <v>3734</v>
      </c>
      <c r="Z1490" s="84" t="str">
        <f>HYPERLINK("https://twitter.com/tarbantinbooks/status/1440904543110197248")</f>
        <v>https://twitter.com/tarbantinbooks/status/1440904543110197248</v>
      </c>
      <c r="AA1490" s="81"/>
      <c r="AB1490" s="81"/>
      <c r="AC1490" s="86" t="s">
        <v>5204</v>
      </c>
      <c r="AD1490" s="81"/>
      <c r="AE1490" s="81" t="b">
        <v>0</v>
      </c>
      <c r="AF1490" s="81">
        <v>0</v>
      </c>
      <c r="AG1490" s="86" t="s">
        <v>6240</v>
      </c>
      <c r="AH1490" s="81" t="b">
        <v>0</v>
      </c>
      <c r="AI1490" s="81" t="s">
        <v>6478</v>
      </c>
      <c r="AJ1490" s="81"/>
      <c r="AK1490" s="86" t="s">
        <v>6240</v>
      </c>
      <c r="AL1490" s="81" t="b">
        <v>0</v>
      </c>
      <c r="AM1490" s="81">
        <v>0</v>
      </c>
      <c r="AN1490" s="86" t="s">
        <v>6240</v>
      </c>
      <c r="AO1490" s="86" t="s">
        <v>6503</v>
      </c>
      <c r="AP1490" s="81" t="b">
        <v>0</v>
      </c>
      <c r="AQ1490" s="86" t="s">
        <v>5204</v>
      </c>
      <c r="AR1490" s="81" t="s">
        <v>179</v>
      </c>
      <c r="AS1490" s="81">
        <v>0</v>
      </c>
      <c r="AT1490" s="81">
        <v>0</v>
      </c>
      <c r="AU1490" s="81" t="s">
        <v>6540</v>
      </c>
      <c r="AV1490" s="81" t="s">
        <v>6543</v>
      </c>
      <c r="AW1490" s="81" t="s">
        <v>12</v>
      </c>
      <c r="AX1490" s="81" t="s">
        <v>6548</v>
      </c>
      <c r="AY1490" s="81" t="s">
        <v>6555</v>
      </c>
      <c r="AZ1490" s="81" t="s">
        <v>6548</v>
      </c>
      <c r="BA1490" s="81" t="s">
        <v>6566</v>
      </c>
      <c r="BB1490" s="84" t="str">
        <f>HYPERLINK("https://api.twitter.com/1.1/geo/id/0fc374080c942001.json")</f>
        <v>https://api.twitter.com/1.1/geo/id/0fc374080c942001.json</v>
      </c>
    </row>
    <row r="1491" spans="1:54" x14ac:dyDescent="0.35">
      <c r="A1491" s="66" t="s">
        <v>1047</v>
      </c>
      <c r="B1491" s="66" t="s">
        <v>1047</v>
      </c>
      <c r="C1491" s="67"/>
      <c r="D1491" s="68"/>
      <c r="E1491" s="69"/>
      <c r="F1491" s="70"/>
      <c r="G1491" s="67"/>
      <c r="H1491" s="71"/>
      <c r="I1491" s="72"/>
      <c r="J1491" s="72"/>
      <c r="K1491" s="36"/>
      <c r="L1491" s="79"/>
      <c r="M1491" s="79"/>
      <c r="N1491" s="74"/>
      <c r="O1491" s="81" t="s">
        <v>179</v>
      </c>
      <c r="P1491" s="83">
        <v>44464.435520833336</v>
      </c>
      <c r="Q1491" s="81" t="s">
        <v>2080</v>
      </c>
      <c r="R1491" s="81"/>
      <c r="S1491" s="81"/>
      <c r="T1491" s="81"/>
      <c r="U1491" s="84" t="str">
        <f>HYPERLINK("https://pbs.twimg.com/media/FAH8T7iUcAckmIr.jpg")</f>
        <v>https://pbs.twimg.com/media/FAH8T7iUcAckmIr.jpg</v>
      </c>
      <c r="V1491" s="84" t="str">
        <f>HYPERLINK("https://pbs.twimg.com/media/FAH8T7iUcAckmIr.jpg")</f>
        <v>https://pbs.twimg.com/media/FAH8T7iUcAckmIr.jpg</v>
      </c>
      <c r="W1491" s="83">
        <v>44464.435520833336</v>
      </c>
      <c r="X1491" s="89">
        <v>44464</v>
      </c>
      <c r="Y1491" s="86" t="s">
        <v>3735</v>
      </c>
      <c r="Z1491" s="84" t="str">
        <f>HYPERLINK("https://twitter.com/tarbantinbooks/status/1441710860196474886")</f>
        <v>https://twitter.com/tarbantinbooks/status/1441710860196474886</v>
      </c>
      <c r="AA1491" s="81"/>
      <c r="AB1491" s="81"/>
      <c r="AC1491" s="86" t="s">
        <v>5205</v>
      </c>
      <c r="AD1491" s="81"/>
      <c r="AE1491" s="81" t="b">
        <v>0</v>
      </c>
      <c r="AF1491" s="81">
        <v>0</v>
      </c>
      <c r="AG1491" s="86" t="s">
        <v>6240</v>
      </c>
      <c r="AH1491" s="81" t="b">
        <v>0</v>
      </c>
      <c r="AI1491" s="81" t="s">
        <v>6478</v>
      </c>
      <c r="AJ1491" s="81"/>
      <c r="AK1491" s="86" t="s">
        <v>6240</v>
      </c>
      <c r="AL1491" s="81" t="b">
        <v>0</v>
      </c>
      <c r="AM1491" s="81">
        <v>0</v>
      </c>
      <c r="AN1491" s="86" t="s">
        <v>6240</v>
      </c>
      <c r="AO1491" s="86" t="s">
        <v>6503</v>
      </c>
      <c r="AP1491" s="81" t="b">
        <v>0</v>
      </c>
      <c r="AQ1491" s="86" t="s">
        <v>5205</v>
      </c>
      <c r="AR1491" s="81" t="s">
        <v>179</v>
      </c>
      <c r="AS1491" s="81">
        <v>0</v>
      </c>
      <c r="AT1491" s="81">
        <v>0</v>
      </c>
      <c r="AU1491" s="81" t="s">
        <v>6540</v>
      </c>
      <c r="AV1491" s="81" t="s">
        <v>6543</v>
      </c>
      <c r="AW1491" s="81" t="s">
        <v>12</v>
      </c>
      <c r="AX1491" s="81" t="s">
        <v>6548</v>
      </c>
      <c r="AY1491" s="81" t="s">
        <v>6555</v>
      </c>
      <c r="AZ1491" s="81" t="s">
        <v>6548</v>
      </c>
      <c r="BA1491" s="81" t="s">
        <v>6566</v>
      </c>
      <c r="BB1491" s="84" t="str">
        <f>HYPERLINK("https://api.twitter.com/1.1/geo/id/0fc374080c942001.json")</f>
        <v>https://api.twitter.com/1.1/geo/id/0fc374080c942001.json</v>
      </c>
    </row>
    <row r="1492" spans="1:54" x14ac:dyDescent="0.35">
      <c r="A1492" s="66" t="s">
        <v>1047</v>
      </c>
      <c r="B1492" s="66" t="s">
        <v>1047</v>
      </c>
      <c r="C1492" s="67"/>
      <c r="D1492" s="68"/>
      <c r="E1492" s="69"/>
      <c r="F1492" s="70"/>
      <c r="G1492" s="67"/>
      <c r="H1492" s="71"/>
      <c r="I1492" s="72"/>
      <c r="J1492" s="72"/>
      <c r="K1492" s="36"/>
      <c r="L1492" s="79"/>
      <c r="M1492" s="79"/>
      <c r="N1492" s="74"/>
      <c r="O1492" s="81" t="s">
        <v>179</v>
      </c>
      <c r="P1492" s="83">
        <v>44466.215370370373</v>
      </c>
      <c r="Q1492" s="81" t="s">
        <v>2081</v>
      </c>
      <c r="R1492" s="81"/>
      <c r="S1492" s="81"/>
      <c r="T1492" s="86" t="s">
        <v>2711</v>
      </c>
      <c r="U1492" s="84" t="str">
        <f>HYPERLINK("https://pbs.twimg.com/media/FARGrh6VkAQjreI.jpg")</f>
        <v>https://pbs.twimg.com/media/FARGrh6VkAQjreI.jpg</v>
      </c>
      <c r="V1492" s="84" t="str">
        <f>HYPERLINK("https://pbs.twimg.com/media/FARGrh6VkAQjreI.jpg")</f>
        <v>https://pbs.twimg.com/media/FARGrh6VkAQjreI.jpg</v>
      </c>
      <c r="W1492" s="83">
        <v>44466.215370370373</v>
      </c>
      <c r="X1492" s="89">
        <v>44466</v>
      </c>
      <c r="Y1492" s="86" t="s">
        <v>3736</v>
      </c>
      <c r="Z1492" s="84" t="str">
        <f>HYPERLINK("https://twitter.com/tarbantinbooks/status/1442355856239038469")</f>
        <v>https://twitter.com/tarbantinbooks/status/1442355856239038469</v>
      </c>
      <c r="AA1492" s="81"/>
      <c r="AB1492" s="81"/>
      <c r="AC1492" s="86" t="s">
        <v>5206</v>
      </c>
      <c r="AD1492" s="81"/>
      <c r="AE1492" s="81" t="b">
        <v>0</v>
      </c>
      <c r="AF1492" s="81">
        <v>0</v>
      </c>
      <c r="AG1492" s="86" t="s">
        <v>6240</v>
      </c>
      <c r="AH1492" s="81" t="b">
        <v>0</v>
      </c>
      <c r="AI1492" s="81" t="s">
        <v>6478</v>
      </c>
      <c r="AJ1492" s="81"/>
      <c r="AK1492" s="86" t="s">
        <v>6240</v>
      </c>
      <c r="AL1492" s="81" t="b">
        <v>0</v>
      </c>
      <c r="AM1492" s="81">
        <v>0</v>
      </c>
      <c r="AN1492" s="86" t="s">
        <v>6240</v>
      </c>
      <c r="AO1492" s="86" t="s">
        <v>6503</v>
      </c>
      <c r="AP1492" s="81" t="b">
        <v>0</v>
      </c>
      <c r="AQ1492" s="86" t="s">
        <v>5206</v>
      </c>
      <c r="AR1492" s="81" t="s">
        <v>179</v>
      </c>
      <c r="AS1492" s="81">
        <v>0</v>
      </c>
      <c r="AT1492" s="81">
        <v>0</v>
      </c>
      <c r="AU1492" s="81" t="s">
        <v>6540</v>
      </c>
      <c r="AV1492" s="81" t="s">
        <v>6543</v>
      </c>
      <c r="AW1492" s="81" t="s">
        <v>12</v>
      </c>
      <c r="AX1492" s="81" t="s">
        <v>6548</v>
      </c>
      <c r="AY1492" s="81" t="s">
        <v>6555</v>
      </c>
      <c r="AZ1492" s="81" t="s">
        <v>6548</v>
      </c>
      <c r="BA1492" s="81" t="s">
        <v>6566</v>
      </c>
      <c r="BB1492" s="84" t="str">
        <f>HYPERLINK("https://api.twitter.com/1.1/geo/id/0fc374080c942001.json")</f>
        <v>https://api.twitter.com/1.1/geo/id/0fc374080c942001.json</v>
      </c>
    </row>
    <row r="1493" spans="1:54" x14ac:dyDescent="0.35">
      <c r="A1493" s="66" t="s">
        <v>1048</v>
      </c>
      <c r="B1493" s="66" t="s">
        <v>1488</v>
      </c>
      <c r="C1493" s="67"/>
      <c r="D1493" s="68"/>
      <c r="E1493" s="69"/>
      <c r="F1493" s="70"/>
      <c r="G1493" s="67"/>
      <c r="H1493" s="71"/>
      <c r="I1493" s="72"/>
      <c r="J1493" s="72"/>
      <c r="K1493" s="36"/>
      <c r="L1493" s="79"/>
      <c r="M1493" s="79"/>
      <c r="N1493" s="74"/>
      <c r="O1493" s="81" t="s">
        <v>1534</v>
      </c>
      <c r="P1493" s="83">
        <v>44466.217476851853</v>
      </c>
      <c r="Q1493" s="81" t="s">
        <v>2082</v>
      </c>
      <c r="R1493" s="81"/>
      <c r="S1493" s="81"/>
      <c r="T1493" s="81"/>
      <c r="U1493" s="81"/>
      <c r="V1493" s="84" t="str">
        <f>HYPERLINK("https://pbs.twimg.com/profile_images/1418915575816929284/72lSLUnH_normal.png")</f>
        <v>https://pbs.twimg.com/profile_images/1418915575816929284/72lSLUnH_normal.png</v>
      </c>
      <c r="W1493" s="83">
        <v>44466.217476851853</v>
      </c>
      <c r="X1493" s="89">
        <v>44466</v>
      </c>
      <c r="Y1493" s="86" t="s">
        <v>3737</v>
      </c>
      <c r="Z1493" s="84" t="str">
        <f>HYPERLINK("https://twitter.com/tictactoe_app/status/1442356620348968964")</f>
        <v>https://twitter.com/tictactoe_app/status/1442356620348968964</v>
      </c>
      <c r="AA1493" s="81"/>
      <c r="AB1493" s="81"/>
      <c r="AC1493" s="86" t="s">
        <v>5207</v>
      </c>
      <c r="AD1493" s="86" t="s">
        <v>6175</v>
      </c>
      <c r="AE1493" s="81" t="b">
        <v>0</v>
      </c>
      <c r="AF1493" s="81">
        <v>0</v>
      </c>
      <c r="AG1493" s="86" t="s">
        <v>6427</v>
      </c>
      <c r="AH1493" s="81" t="b">
        <v>0</v>
      </c>
      <c r="AI1493" s="81" t="s">
        <v>6478</v>
      </c>
      <c r="AJ1493" s="81"/>
      <c r="AK1493" s="86" t="s">
        <v>6240</v>
      </c>
      <c r="AL1493" s="81" t="b">
        <v>0</v>
      </c>
      <c r="AM1493" s="81">
        <v>0</v>
      </c>
      <c r="AN1493" s="86" t="s">
        <v>6240</v>
      </c>
      <c r="AO1493" s="86" t="s">
        <v>6503</v>
      </c>
      <c r="AP1493" s="81" t="b">
        <v>0</v>
      </c>
      <c r="AQ1493" s="86" t="s">
        <v>6175</v>
      </c>
      <c r="AR1493" s="81" t="s">
        <v>179</v>
      </c>
      <c r="AS1493" s="81">
        <v>0</v>
      </c>
      <c r="AT1493" s="81">
        <v>0</v>
      </c>
      <c r="AU1493" s="81"/>
      <c r="AV1493" s="81"/>
      <c r="AW1493" s="81"/>
      <c r="AX1493" s="81"/>
      <c r="AY1493" s="81"/>
      <c r="AZ1493" s="81"/>
      <c r="BA1493" s="81"/>
      <c r="BB1493" s="81"/>
    </row>
    <row r="1494" spans="1:54" x14ac:dyDescent="0.35">
      <c r="A1494" s="66" t="s">
        <v>1049</v>
      </c>
      <c r="B1494" s="66" t="s">
        <v>1049</v>
      </c>
      <c r="C1494" s="67"/>
      <c r="D1494" s="68"/>
      <c r="E1494" s="69"/>
      <c r="F1494" s="70"/>
      <c r="G1494" s="67"/>
      <c r="H1494" s="71"/>
      <c r="I1494" s="72"/>
      <c r="J1494" s="72"/>
      <c r="K1494" s="36"/>
      <c r="L1494" s="79"/>
      <c r="M1494" s="79"/>
      <c r="N1494" s="74"/>
      <c r="O1494" s="81" t="s">
        <v>179</v>
      </c>
      <c r="P1494" s="83">
        <v>44466.22378472222</v>
      </c>
      <c r="Q1494" s="81" t="s">
        <v>2083</v>
      </c>
      <c r="R1494" s="81"/>
      <c r="S1494" s="81"/>
      <c r="T1494" s="86" t="s">
        <v>2712</v>
      </c>
      <c r="U1494" s="84" t="str">
        <f>HYPERLINK("https://pbs.twimg.com/media/FARJxJHVkAETAGt.jpg")</f>
        <v>https://pbs.twimg.com/media/FARJxJHVkAETAGt.jpg</v>
      </c>
      <c r="V1494" s="84" t="str">
        <f>HYPERLINK("https://pbs.twimg.com/media/FARJxJHVkAETAGt.jpg")</f>
        <v>https://pbs.twimg.com/media/FARJxJHVkAETAGt.jpg</v>
      </c>
      <c r="W1494" s="83">
        <v>44466.22378472222</v>
      </c>
      <c r="X1494" s="89">
        <v>44466</v>
      </c>
      <c r="Y1494" s="86" t="s">
        <v>3738</v>
      </c>
      <c r="Z1494" s="84" t="str">
        <f>HYPERLINK("https://twitter.com/kpudonggala/status/1442358905183473666")</f>
        <v>https://twitter.com/kpudonggala/status/1442358905183473666</v>
      </c>
      <c r="AA1494" s="81"/>
      <c r="AB1494" s="81"/>
      <c r="AC1494" s="86" t="s">
        <v>5208</v>
      </c>
      <c r="AD1494" s="81"/>
      <c r="AE1494" s="81" t="b">
        <v>0</v>
      </c>
      <c r="AF1494" s="81">
        <v>5</v>
      </c>
      <c r="AG1494" s="86" t="s">
        <v>6240</v>
      </c>
      <c r="AH1494" s="81" t="b">
        <v>0</v>
      </c>
      <c r="AI1494" s="81" t="s">
        <v>6478</v>
      </c>
      <c r="AJ1494" s="81"/>
      <c r="AK1494" s="86" t="s">
        <v>6240</v>
      </c>
      <c r="AL1494" s="81" t="b">
        <v>0</v>
      </c>
      <c r="AM1494" s="81">
        <v>0</v>
      </c>
      <c r="AN1494" s="86" t="s">
        <v>6240</v>
      </c>
      <c r="AO1494" s="86" t="s">
        <v>6503</v>
      </c>
      <c r="AP1494" s="81" t="b">
        <v>0</v>
      </c>
      <c r="AQ1494" s="86" t="s">
        <v>5208</v>
      </c>
      <c r="AR1494" s="81" t="s">
        <v>179</v>
      </c>
      <c r="AS1494" s="81">
        <v>0</v>
      </c>
      <c r="AT1494" s="81">
        <v>0</v>
      </c>
      <c r="AU1494" s="81"/>
      <c r="AV1494" s="81"/>
      <c r="AW1494" s="81"/>
      <c r="AX1494" s="81"/>
      <c r="AY1494" s="81"/>
      <c r="AZ1494" s="81"/>
      <c r="BA1494" s="81"/>
      <c r="BB1494" s="81"/>
    </row>
    <row r="1495" spans="1:54" x14ac:dyDescent="0.35">
      <c r="A1495" s="66" t="s">
        <v>1050</v>
      </c>
      <c r="B1495" s="66" t="s">
        <v>1050</v>
      </c>
      <c r="C1495" s="67"/>
      <c r="D1495" s="68"/>
      <c r="E1495" s="69"/>
      <c r="F1495" s="70"/>
      <c r="G1495" s="67"/>
      <c r="H1495" s="71"/>
      <c r="I1495" s="72"/>
      <c r="J1495" s="72"/>
      <c r="K1495" s="36"/>
      <c r="L1495" s="79"/>
      <c r="M1495" s="79"/>
      <c r="N1495" s="74"/>
      <c r="O1495" s="81" t="s">
        <v>179</v>
      </c>
      <c r="P1495" s="83">
        <v>44466.229363425926</v>
      </c>
      <c r="Q1495" s="81" t="s">
        <v>2084</v>
      </c>
      <c r="R1495" s="81"/>
      <c r="S1495" s="81"/>
      <c r="T1495" s="81"/>
      <c r="U1495" s="84" t="str">
        <f>HYPERLINK("https://pbs.twimg.com/media/FARLnAKVEAI0Z9n.jpg")</f>
        <v>https://pbs.twimg.com/media/FARLnAKVEAI0Z9n.jpg</v>
      </c>
      <c r="V1495" s="84" t="str">
        <f>HYPERLINK("https://pbs.twimg.com/media/FARLnAKVEAI0Z9n.jpg")</f>
        <v>https://pbs.twimg.com/media/FARLnAKVEAI0Z9n.jpg</v>
      </c>
      <c r="W1495" s="83">
        <v>44466.229363425926</v>
      </c>
      <c r="X1495" s="89">
        <v>44466</v>
      </c>
      <c r="Y1495" s="86" t="s">
        <v>3739</v>
      </c>
      <c r="Z1495" s="84" t="str">
        <f>HYPERLINK("https://twitter.com/kpujakartatimur/status/1442360927681081346")</f>
        <v>https://twitter.com/kpujakartatimur/status/1442360927681081346</v>
      </c>
      <c r="AA1495" s="81"/>
      <c r="AB1495" s="81"/>
      <c r="AC1495" s="86" t="s">
        <v>5209</v>
      </c>
      <c r="AD1495" s="81"/>
      <c r="AE1495" s="81" t="b">
        <v>0</v>
      </c>
      <c r="AF1495" s="81">
        <v>5</v>
      </c>
      <c r="AG1495" s="86" t="s">
        <v>6240</v>
      </c>
      <c r="AH1495" s="81" t="b">
        <v>0</v>
      </c>
      <c r="AI1495" s="81" t="s">
        <v>6478</v>
      </c>
      <c r="AJ1495" s="81"/>
      <c r="AK1495" s="86" t="s">
        <v>6240</v>
      </c>
      <c r="AL1495" s="81" t="b">
        <v>0</v>
      </c>
      <c r="AM1495" s="81">
        <v>0</v>
      </c>
      <c r="AN1495" s="86" t="s">
        <v>6240</v>
      </c>
      <c r="AO1495" s="86" t="s">
        <v>6503</v>
      </c>
      <c r="AP1495" s="81" t="b">
        <v>0</v>
      </c>
      <c r="AQ1495" s="86" t="s">
        <v>5209</v>
      </c>
      <c r="AR1495" s="81" t="s">
        <v>179</v>
      </c>
      <c r="AS1495" s="81">
        <v>0</v>
      </c>
      <c r="AT1495" s="81">
        <v>0</v>
      </c>
      <c r="AU1495" s="81"/>
      <c r="AV1495" s="81"/>
      <c r="AW1495" s="81"/>
      <c r="AX1495" s="81"/>
      <c r="AY1495" s="81"/>
      <c r="AZ1495" s="81"/>
      <c r="BA1495" s="81"/>
      <c r="BB1495" s="81"/>
    </row>
    <row r="1496" spans="1:54" x14ac:dyDescent="0.35">
      <c r="A1496" s="66" t="s">
        <v>1051</v>
      </c>
      <c r="B1496" s="66" t="s">
        <v>1051</v>
      </c>
      <c r="C1496" s="67"/>
      <c r="D1496" s="68"/>
      <c r="E1496" s="69"/>
      <c r="F1496" s="70"/>
      <c r="G1496" s="67"/>
      <c r="H1496" s="71"/>
      <c r="I1496" s="72"/>
      <c r="J1496" s="72"/>
      <c r="K1496" s="36"/>
      <c r="L1496" s="79"/>
      <c r="M1496" s="79"/>
      <c r="N1496" s="74"/>
      <c r="O1496" s="81" t="s">
        <v>179</v>
      </c>
      <c r="P1496" s="83">
        <v>44466.230104166665</v>
      </c>
      <c r="Q1496" s="81" t="s">
        <v>2085</v>
      </c>
      <c r="R1496" s="81"/>
      <c r="S1496" s="81"/>
      <c r="T1496" s="81"/>
      <c r="U1496" s="81"/>
      <c r="V1496" s="84" t="str">
        <f>HYPERLINK("https://pbs.twimg.com/profile_images/1429461572762570755/9AgIY16R_normal.jpg")</f>
        <v>https://pbs.twimg.com/profile_images/1429461572762570755/9AgIY16R_normal.jpg</v>
      </c>
      <c r="W1496" s="83">
        <v>44466.230104166665</v>
      </c>
      <c r="X1496" s="89">
        <v>44466</v>
      </c>
      <c r="Y1496" s="86" t="s">
        <v>3740</v>
      </c>
      <c r="Z1496" s="84" t="str">
        <f>HYPERLINK("https://twitter.com/yainiakuu/status/1442361195751624710")</f>
        <v>https://twitter.com/yainiakuu/status/1442361195751624710</v>
      </c>
      <c r="AA1496" s="81"/>
      <c r="AB1496" s="81"/>
      <c r="AC1496" s="86" t="s">
        <v>5210</v>
      </c>
      <c r="AD1496" s="81"/>
      <c r="AE1496" s="81" t="b">
        <v>0</v>
      </c>
      <c r="AF1496" s="81">
        <v>0</v>
      </c>
      <c r="AG1496" s="86" t="s">
        <v>6240</v>
      </c>
      <c r="AH1496" s="81" t="b">
        <v>0</v>
      </c>
      <c r="AI1496" s="81" t="s">
        <v>6478</v>
      </c>
      <c r="AJ1496" s="81"/>
      <c r="AK1496" s="86" t="s">
        <v>6240</v>
      </c>
      <c r="AL1496" s="81" t="b">
        <v>0</v>
      </c>
      <c r="AM1496" s="81">
        <v>0</v>
      </c>
      <c r="AN1496" s="86" t="s">
        <v>6240</v>
      </c>
      <c r="AO1496" s="86" t="s">
        <v>6505</v>
      </c>
      <c r="AP1496" s="81" t="b">
        <v>0</v>
      </c>
      <c r="AQ1496" s="86" t="s">
        <v>5210</v>
      </c>
      <c r="AR1496" s="81" t="s">
        <v>179</v>
      </c>
      <c r="AS1496" s="81">
        <v>0</v>
      </c>
      <c r="AT1496" s="81">
        <v>0</v>
      </c>
      <c r="AU1496" s="81"/>
      <c r="AV1496" s="81"/>
      <c r="AW1496" s="81"/>
      <c r="AX1496" s="81"/>
      <c r="AY1496" s="81"/>
      <c r="AZ1496" s="81"/>
      <c r="BA1496" s="81"/>
      <c r="BB1496" s="81"/>
    </row>
    <row r="1497" spans="1:54" x14ac:dyDescent="0.35">
      <c r="A1497" s="66" t="s">
        <v>1051</v>
      </c>
      <c r="B1497" s="66" t="s">
        <v>1051</v>
      </c>
      <c r="C1497" s="67"/>
      <c r="D1497" s="68"/>
      <c r="E1497" s="69"/>
      <c r="F1497" s="70"/>
      <c r="G1497" s="67"/>
      <c r="H1497" s="71"/>
      <c r="I1497" s="72"/>
      <c r="J1497" s="72"/>
      <c r="K1497" s="36"/>
      <c r="L1497" s="79"/>
      <c r="M1497" s="79"/>
      <c r="N1497" s="74"/>
      <c r="O1497" s="81" t="s">
        <v>179</v>
      </c>
      <c r="P1497" s="83">
        <v>44466.231527777774</v>
      </c>
      <c r="Q1497" s="81" t="s">
        <v>2086</v>
      </c>
      <c r="R1497" s="81"/>
      <c r="S1497" s="81"/>
      <c r="T1497" s="81"/>
      <c r="U1497" s="81"/>
      <c r="V1497" s="84" t="str">
        <f>HYPERLINK("https://pbs.twimg.com/profile_images/1429461572762570755/9AgIY16R_normal.jpg")</f>
        <v>https://pbs.twimg.com/profile_images/1429461572762570755/9AgIY16R_normal.jpg</v>
      </c>
      <c r="W1497" s="83">
        <v>44466.231527777774</v>
      </c>
      <c r="X1497" s="89">
        <v>44466</v>
      </c>
      <c r="Y1497" s="86" t="s">
        <v>3741</v>
      </c>
      <c r="Z1497" s="84" t="str">
        <f>HYPERLINK("https://twitter.com/yainiakuu/status/1442361710011039748")</f>
        <v>https://twitter.com/yainiakuu/status/1442361710011039748</v>
      </c>
      <c r="AA1497" s="81"/>
      <c r="AB1497" s="81"/>
      <c r="AC1497" s="86" t="s">
        <v>5211</v>
      </c>
      <c r="AD1497" s="86" t="s">
        <v>5210</v>
      </c>
      <c r="AE1497" s="81" t="b">
        <v>0</v>
      </c>
      <c r="AF1497" s="81">
        <v>0</v>
      </c>
      <c r="AG1497" s="86" t="s">
        <v>6428</v>
      </c>
      <c r="AH1497" s="81" t="b">
        <v>0</v>
      </c>
      <c r="AI1497" s="81" t="s">
        <v>6478</v>
      </c>
      <c r="AJ1497" s="81"/>
      <c r="AK1497" s="86" t="s">
        <v>6240</v>
      </c>
      <c r="AL1497" s="81" t="b">
        <v>0</v>
      </c>
      <c r="AM1497" s="81">
        <v>0</v>
      </c>
      <c r="AN1497" s="86" t="s">
        <v>6240</v>
      </c>
      <c r="AO1497" s="86" t="s">
        <v>6505</v>
      </c>
      <c r="AP1497" s="81" t="b">
        <v>0</v>
      </c>
      <c r="AQ1497" s="86" t="s">
        <v>5210</v>
      </c>
      <c r="AR1497" s="81" t="s">
        <v>179</v>
      </c>
      <c r="AS1497" s="81">
        <v>0</v>
      </c>
      <c r="AT1497" s="81">
        <v>0</v>
      </c>
      <c r="AU1497" s="81"/>
      <c r="AV1497" s="81"/>
      <c r="AW1497" s="81"/>
      <c r="AX1497" s="81"/>
      <c r="AY1497" s="81"/>
      <c r="AZ1497" s="81"/>
      <c r="BA1497" s="81"/>
      <c r="BB1497" s="81"/>
    </row>
    <row r="1498" spans="1:54" x14ac:dyDescent="0.35">
      <c r="A1498" s="66" t="s">
        <v>1052</v>
      </c>
      <c r="B1498" s="66" t="s">
        <v>1489</v>
      </c>
      <c r="C1498" s="67"/>
      <c r="D1498" s="68"/>
      <c r="E1498" s="69"/>
      <c r="F1498" s="70"/>
      <c r="G1498" s="67"/>
      <c r="H1498" s="71"/>
      <c r="I1498" s="72"/>
      <c r="J1498" s="72"/>
      <c r="K1498" s="36"/>
      <c r="L1498" s="79"/>
      <c r="M1498" s="79"/>
      <c r="N1498" s="74"/>
      <c r="O1498" s="81" t="s">
        <v>1534</v>
      </c>
      <c r="P1498" s="83">
        <v>44466.233900462961</v>
      </c>
      <c r="Q1498" s="81" t="s">
        <v>2087</v>
      </c>
      <c r="R1498" s="81"/>
      <c r="S1498" s="81"/>
      <c r="T1498" s="81"/>
      <c r="U1498" s="81"/>
      <c r="V1498" s="84" t="str">
        <f>HYPERLINK("https://pbs.twimg.com/profile_images/1439954480020135940/DhB-sGUa_normal.jpg")</f>
        <v>https://pbs.twimg.com/profile_images/1439954480020135940/DhB-sGUa_normal.jpg</v>
      </c>
      <c r="W1498" s="83">
        <v>44466.233900462961</v>
      </c>
      <c r="X1498" s="89">
        <v>44466</v>
      </c>
      <c r="Y1498" s="86" t="s">
        <v>3742</v>
      </c>
      <c r="Z1498" s="84" t="str">
        <f>HYPERLINK("https://twitter.com/xxllyamr/status/1442362570900262915")</f>
        <v>https://twitter.com/xxllyamr/status/1442362570900262915</v>
      </c>
      <c r="AA1498" s="81"/>
      <c r="AB1498" s="81"/>
      <c r="AC1498" s="86" t="s">
        <v>5212</v>
      </c>
      <c r="AD1498" s="86" t="s">
        <v>6176</v>
      </c>
      <c r="AE1498" s="81" t="b">
        <v>0</v>
      </c>
      <c r="AF1498" s="81">
        <v>0</v>
      </c>
      <c r="AG1498" s="86" t="s">
        <v>6429</v>
      </c>
      <c r="AH1498" s="81" t="b">
        <v>0</v>
      </c>
      <c r="AI1498" s="81" t="s">
        <v>6478</v>
      </c>
      <c r="AJ1498" s="81"/>
      <c r="AK1498" s="86" t="s">
        <v>6240</v>
      </c>
      <c r="AL1498" s="81" t="b">
        <v>0</v>
      </c>
      <c r="AM1498" s="81">
        <v>0</v>
      </c>
      <c r="AN1498" s="86" t="s">
        <v>6240</v>
      </c>
      <c r="AO1498" s="86" t="s">
        <v>6503</v>
      </c>
      <c r="AP1498" s="81" t="b">
        <v>0</v>
      </c>
      <c r="AQ1498" s="86" t="s">
        <v>6176</v>
      </c>
      <c r="AR1498" s="81" t="s">
        <v>179</v>
      </c>
      <c r="AS1498" s="81">
        <v>0</v>
      </c>
      <c r="AT1498" s="81">
        <v>0</v>
      </c>
      <c r="AU1498" s="81"/>
      <c r="AV1498" s="81"/>
      <c r="AW1498" s="81"/>
      <c r="AX1498" s="81"/>
      <c r="AY1498" s="81"/>
      <c r="AZ1498" s="81"/>
      <c r="BA1498" s="81"/>
      <c r="BB1498" s="81"/>
    </row>
    <row r="1499" spans="1:54" x14ac:dyDescent="0.35">
      <c r="A1499" s="66" t="s">
        <v>1053</v>
      </c>
      <c r="B1499" s="66" t="s">
        <v>1315</v>
      </c>
      <c r="C1499" s="67"/>
      <c r="D1499" s="68"/>
      <c r="E1499" s="69"/>
      <c r="F1499" s="70"/>
      <c r="G1499" s="67"/>
      <c r="H1499" s="71"/>
      <c r="I1499" s="72"/>
      <c r="J1499" s="72"/>
      <c r="K1499" s="36"/>
      <c r="L1499" s="79"/>
      <c r="M1499" s="79"/>
      <c r="N1499" s="74"/>
      <c r="O1499" s="81" t="s">
        <v>1535</v>
      </c>
      <c r="P1499" s="83">
        <v>44466.236956018518</v>
      </c>
      <c r="Q1499" s="81" t="s">
        <v>2088</v>
      </c>
      <c r="R1499" s="81"/>
      <c r="S1499" s="81"/>
      <c r="T1499" s="86" t="s">
        <v>2713</v>
      </c>
      <c r="U1499" s="81"/>
      <c r="V1499" s="84" t="str">
        <f>HYPERLINK("https://pbs.twimg.com/profile_images/414418350/pianomanfb_normal.jpg")</f>
        <v>https://pbs.twimg.com/profile_images/414418350/pianomanfb_normal.jpg</v>
      </c>
      <c r="W1499" s="83">
        <v>44466.236956018518</v>
      </c>
      <c r="X1499" s="89">
        <v>44466</v>
      </c>
      <c r="Y1499" s="86" t="s">
        <v>3743</v>
      </c>
      <c r="Z1499" s="84" t="str">
        <f>HYPERLINK("https://twitter.com/harrynuriman/status/1442363679471591426")</f>
        <v>https://twitter.com/harrynuriman/status/1442363679471591426</v>
      </c>
      <c r="AA1499" s="81"/>
      <c r="AB1499" s="81"/>
      <c r="AC1499" s="86" t="s">
        <v>5213</v>
      </c>
      <c r="AD1499" s="81"/>
      <c r="AE1499" s="81" t="b">
        <v>0</v>
      </c>
      <c r="AF1499" s="81">
        <v>0</v>
      </c>
      <c r="AG1499" s="86" t="s">
        <v>6240</v>
      </c>
      <c r="AH1499" s="81" t="b">
        <v>0</v>
      </c>
      <c r="AI1499" s="81" t="s">
        <v>6478</v>
      </c>
      <c r="AJ1499" s="81"/>
      <c r="AK1499" s="86" t="s">
        <v>6240</v>
      </c>
      <c r="AL1499" s="81" t="b">
        <v>0</v>
      </c>
      <c r="AM1499" s="81">
        <v>0</v>
      </c>
      <c r="AN1499" s="86" t="s">
        <v>6240</v>
      </c>
      <c r="AO1499" s="86" t="s">
        <v>6507</v>
      </c>
      <c r="AP1499" s="81" t="b">
        <v>0</v>
      </c>
      <c r="AQ1499" s="86" t="s">
        <v>5213</v>
      </c>
      <c r="AR1499" s="81" t="s">
        <v>179</v>
      </c>
      <c r="AS1499" s="81">
        <v>0</v>
      </c>
      <c r="AT1499" s="81">
        <v>0</v>
      </c>
      <c r="AU1499" s="81"/>
      <c r="AV1499" s="81"/>
      <c r="AW1499" s="81"/>
      <c r="AX1499" s="81"/>
      <c r="AY1499" s="81"/>
      <c r="AZ1499" s="81"/>
      <c r="BA1499" s="81"/>
      <c r="BB1499" s="81"/>
    </row>
    <row r="1500" spans="1:54" x14ac:dyDescent="0.35">
      <c r="A1500" s="66" t="s">
        <v>1054</v>
      </c>
      <c r="B1500" s="66" t="s">
        <v>1054</v>
      </c>
      <c r="C1500" s="67"/>
      <c r="D1500" s="68"/>
      <c r="E1500" s="69"/>
      <c r="F1500" s="70"/>
      <c r="G1500" s="67"/>
      <c r="H1500" s="71"/>
      <c r="I1500" s="72"/>
      <c r="J1500" s="72"/>
      <c r="K1500" s="36"/>
      <c r="L1500" s="79"/>
      <c r="M1500" s="79"/>
      <c r="N1500" s="74"/>
      <c r="O1500" s="81" t="s">
        <v>179</v>
      </c>
      <c r="P1500" s="83">
        <v>44466.237581018519</v>
      </c>
      <c r="Q1500" s="81" t="s">
        <v>2089</v>
      </c>
      <c r="R1500" s="81"/>
      <c r="S1500" s="81"/>
      <c r="T1500" s="86" t="s">
        <v>2714</v>
      </c>
      <c r="U1500" s="81"/>
      <c r="V1500" s="84" t="str">
        <f>HYPERLINK("https://pbs.twimg.com/profile_images/1050608418191331328/f_aM8ogA_normal.jpg")</f>
        <v>https://pbs.twimg.com/profile_images/1050608418191331328/f_aM8ogA_normal.jpg</v>
      </c>
      <c r="W1500" s="83">
        <v>44466.237581018519</v>
      </c>
      <c r="X1500" s="89">
        <v>44466</v>
      </c>
      <c r="Y1500" s="86" t="s">
        <v>3744</v>
      </c>
      <c r="Z1500" s="84" t="str">
        <f>HYPERLINK("https://twitter.com/rriprograma3/status/1442363904860950528")</f>
        <v>https://twitter.com/rriprograma3/status/1442363904860950528</v>
      </c>
      <c r="AA1500" s="81"/>
      <c r="AB1500" s="81"/>
      <c r="AC1500" s="86" t="s">
        <v>5214</v>
      </c>
      <c r="AD1500" s="81"/>
      <c r="AE1500" s="81" t="b">
        <v>0</v>
      </c>
      <c r="AF1500" s="81">
        <v>0</v>
      </c>
      <c r="AG1500" s="86" t="s">
        <v>6240</v>
      </c>
      <c r="AH1500" s="81" t="b">
        <v>0</v>
      </c>
      <c r="AI1500" s="81" t="s">
        <v>6478</v>
      </c>
      <c r="AJ1500" s="81"/>
      <c r="AK1500" s="86" t="s">
        <v>6240</v>
      </c>
      <c r="AL1500" s="81" t="b">
        <v>0</v>
      </c>
      <c r="AM1500" s="81">
        <v>0</v>
      </c>
      <c r="AN1500" s="86" t="s">
        <v>6240</v>
      </c>
      <c r="AO1500" s="86" t="s">
        <v>6507</v>
      </c>
      <c r="AP1500" s="81" t="b">
        <v>0</v>
      </c>
      <c r="AQ1500" s="86" t="s">
        <v>5214</v>
      </c>
      <c r="AR1500" s="81" t="s">
        <v>179</v>
      </c>
      <c r="AS1500" s="81">
        <v>0</v>
      </c>
      <c r="AT1500" s="81">
        <v>0</v>
      </c>
      <c r="AU1500" s="81"/>
      <c r="AV1500" s="81"/>
      <c r="AW1500" s="81"/>
      <c r="AX1500" s="81"/>
      <c r="AY1500" s="81"/>
      <c r="AZ1500" s="81"/>
      <c r="BA1500" s="81"/>
      <c r="BB1500" s="81"/>
    </row>
    <row r="1501" spans="1:54" x14ac:dyDescent="0.35">
      <c r="A1501" s="66" t="s">
        <v>1055</v>
      </c>
      <c r="B1501" s="66" t="s">
        <v>1117</v>
      </c>
      <c r="C1501" s="67"/>
      <c r="D1501" s="68"/>
      <c r="E1501" s="69"/>
      <c r="F1501" s="70"/>
      <c r="G1501" s="67"/>
      <c r="H1501" s="71"/>
      <c r="I1501" s="72"/>
      <c r="J1501" s="72"/>
      <c r="K1501" s="36"/>
      <c r="L1501" s="79"/>
      <c r="M1501" s="79"/>
      <c r="N1501" s="74"/>
      <c r="O1501" s="81" t="s">
        <v>1532</v>
      </c>
      <c r="P1501" s="83">
        <v>44466.242372685185</v>
      </c>
      <c r="Q1501" s="81" t="s">
        <v>2072</v>
      </c>
      <c r="R1501" s="81"/>
      <c r="S1501" s="81"/>
      <c r="T1501" s="86" t="s">
        <v>2706</v>
      </c>
      <c r="U1501" s="84" t="str">
        <f>HYPERLINK("https://pbs.twimg.com/media/FARBJdVVQAUnsqY.jpg")</f>
        <v>https://pbs.twimg.com/media/FARBJdVVQAUnsqY.jpg</v>
      </c>
      <c r="V1501" s="84" t="str">
        <f>HYPERLINK("https://pbs.twimg.com/media/FARBJdVVQAUnsqY.jpg")</f>
        <v>https://pbs.twimg.com/media/FARBJdVVQAUnsqY.jpg</v>
      </c>
      <c r="W1501" s="83">
        <v>44466.242372685185</v>
      </c>
      <c r="X1501" s="89">
        <v>44466</v>
      </c>
      <c r="Y1501" s="86" t="s">
        <v>3745</v>
      </c>
      <c r="Z1501" s="84" t="str">
        <f>HYPERLINK("https://twitter.com/thanksindomie/status/1442365642875621378")</f>
        <v>https://twitter.com/thanksindomie/status/1442365642875621378</v>
      </c>
      <c r="AA1501" s="81"/>
      <c r="AB1501" s="81"/>
      <c r="AC1501" s="86" t="s">
        <v>5215</v>
      </c>
      <c r="AD1501" s="81"/>
      <c r="AE1501" s="81" t="b">
        <v>0</v>
      </c>
      <c r="AF1501" s="81">
        <v>0</v>
      </c>
      <c r="AG1501" s="86" t="s">
        <v>6240</v>
      </c>
      <c r="AH1501" s="81" t="b">
        <v>0</v>
      </c>
      <c r="AI1501" s="81" t="s">
        <v>6478</v>
      </c>
      <c r="AJ1501" s="81"/>
      <c r="AK1501" s="86" t="s">
        <v>6240</v>
      </c>
      <c r="AL1501" s="81" t="b">
        <v>0</v>
      </c>
      <c r="AM1501" s="81">
        <v>4</v>
      </c>
      <c r="AN1501" s="86" t="s">
        <v>5302</v>
      </c>
      <c r="AO1501" s="86" t="s">
        <v>6503</v>
      </c>
      <c r="AP1501" s="81" t="b">
        <v>0</v>
      </c>
      <c r="AQ1501" s="86" t="s">
        <v>5302</v>
      </c>
      <c r="AR1501" s="81" t="s">
        <v>179</v>
      </c>
      <c r="AS1501" s="81">
        <v>0</v>
      </c>
      <c r="AT1501" s="81">
        <v>0</v>
      </c>
      <c r="AU1501" s="81"/>
      <c r="AV1501" s="81"/>
      <c r="AW1501" s="81"/>
      <c r="AX1501" s="81"/>
      <c r="AY1501" s="81"/>
      <c r="AZ1501" s="81"/>
      <c r="BA1501" s="81"/>
      <c r="BB1501" s="81"/>
    </row>
    <row r="1502" spans="1:54" x14ac:dyDescent="0.35">
      <c r="A1502" s="66" t="s">
        <v>1056</v>
      </c>
      <c r="B1502" s="66" t="s">
        <v>1056</v>
      </c>
      <c r="C1502" s="67"/>
      <c r="D1502" s="68"/>
      <c r="E1502" s="69"/>
      <c r="F1502" s="70"/>
      <c r="G1502" s="67"/>
      <c r="H1502" s="71"/>
      <c r="I1502" s="72"/>
      <c r="J1502" s="72"/>
      <c r="K1502" s="36"/>
      <c r="L1502" s="79"/>
      <c r="M1502" s="79"/>
      <c r="N1502" s="74"/>
      <c r="O1502" s="81" t="s">
        <v>179</v>
      </c>
      <c r="P1502" s="83">
        <v>44466.244710648149</v>
      </c>
      <c r="Q1502" s="81" t="s">
        <v>2090</v>
      </c>
      <c r="R1502" s="81"/>
      <c r="S1502" s="81"/>
      <c r="T1502" s="81"/>
      <c r="U1502" s="81"/>
      <c r="V1502" s="84" t="str">
        <f>HYPERLINK("https://pbs.twimg.com/profile_images/764999946449788930/DJGwvVPd_normal.jpg")</f>
        <v>https://pbs.twimg.com/profile_images/764999946449788930/DJGwvVPd_normal.jpg</v>
      </c>
      <c r="W1502" s="83">
        <v>44466.244710648149</v>
      </c>
      <c r="X1502" s="89">
        <v>44466</v>
      </c>
      <c r="Y1502" s="86" t="s">
        <v>3746</v>
      </c>
      <c r="Z1502" s="84" t="str">
        <f>HYPERLINK("https://twitter.com/himapentikaunri/status/1442366488099184649")</f>
        <v>https://twitter.com/himapentikaunri/status/1442366488099184649</v>
      </c>
      <c r="AA1502" s="81"/>
      <c r="AB1502" s="81"/>
      <c r="AC1502" s="86" t="s">
        <v>5216</v>
      </c>
      <c r="AD1502" s="86" t="s">
        <v>6177</v>
      </c>
      <c r="AE1502" s="81" t="b">
        <v>0</v>
      </c>
      <c r="AF1502" s="81">
        <v>0</v>
      </c>
      <c r="AG1502" s="86" t="s">
        <v>6430</v>
      </c>
      <c r="AH1502" s="81" t="b">
        <v>0</v>
      </c>
      <c r="AI1502" s="81" t="s">
        <v>6478</v>
      </c>
      <c r="AJ1502" s="81"/>
      <c r="AK1502" s="86" t="s">
        <v>6240</v>
      </c>
      <c r="AL1502" s="81" t="b">
        <v>0</v>
      </c>
      <c r="AM1502" s="81">
        <v>0</v>
      </c>
      <c r="AN1502" s="86" t="s">
        <v>6240</v>
      </c>
      <c r="AO1502" s="86" t="s">
        <v>6503</v>
      </c>
      <c r="AP1502" s="81" t="b">
        <v>0</v>
      </c>
      <c r="AQ1502" s="86" t="s">
        <v>6177</v>
      </c>
      <c r="AR1502" s="81" t="s">
        <v>179</v>
      </c>
      <c r="AS1502" s="81">
        <v>0</v>
      </c>
      <c r="AT1502" s="81">
        <v>0</v>
      </c>
      <c r="AU1502" s="81" t="s">
        <v>6541</v>
      </c>
      <c r="AV1502" s="81" t="s">
        <v>6543</v>
      </c>
      <c r="AW1502" s="81" t="s">
        <v>12</v>
      </c>
      <c r="AX1502" s="81" t="s">
        <v>6549</v>
      </c>
      <c r="AY1502" s="81" t="s">
        <v>6556</v>
      </c>
      <c r="AZ1502" s="81" t="s">
        <v>6562</v>
      </c>
      <c r="BA1502" s="81" t="s">
        <v>6564</v>
      </c>
      <c r="BB1502" s="84" t="str">
        <f>HYPERLINK("https://api.twitter.com/1.1/geo/id/32eb831712cde417.json")</f>
        <v>https://api.twitter.com/1.1/geo/id/32eb831712cde417.json</v>
      </c>
    </row>
    <row r="1503" spans="1:54" x14ac:dyDescent="0.35">
      <c r="A1503" s="66" t="s">
        <v>1057</v>
      </c>
      <c r="B1503" s="66" t="s">
        <v>1146</v>
      </c>
      <c r="C1503" s="67"/>
      <c r="D1503" s="68"/>
      <c r="E1503" s="69"/>
      <c r="F1503" s="70"/>
      <c r="G1503" s="67"/>
      <c r="H1503" s="71"/>
      <c r="I1503" s="72"/>
      <c r="J1503" s="72"/>
      <c r="K1503" s="36"/>
      <c r="L1503" s="79"/>
      <c r="M1503" s="79"/>
      <c r="N1503" s="74"/>
      <c r="O1503" s="81" t="s">
        <v>1532</v>
      </c>
      <c r="P1503" s="83">
        <v>44466.266655092593</v>
      </c>
      <c r="Q1503" s="81" t="s">
        <v>2091</v>
      </c>
      <c r="R1503" s="81"/>
      <c r="S1503" s="81"/>
      <c r="T1503" s="81"/>
      <c r="U1503" s="84" t="str">
        <f>HYPERLINK("https://pbs.twimg.com/ext_tw_video_thumb/1442373678990196737/pu/img/UDVgFvOXidN40Fez.jpg")</f>
        <v>https://pbs.twimg.com/ext_tw_video_thumb/1442373678990196737/pu/img/UDVgFvOXidN40Fez.jpg</v>
      </c>
      <c r="V1503" s="84" t="str">
        <f>HYPERLINK("https://pbs.twimg.com/ext_tw_video_thumb/1442373678990196737/pu/img/UDVgFvOXidN40Fez.jpg")</f>
        <v>https://pbs.twimg.com/ext_tw_video_thumb/1442373678990196737/pu/img/UDVgFvOXidN40Fez.jpg</v>
      </c>
      <c r="W1503" s="83">
        <v>44466.266655092593</v>
      </c>
      <c r="X1503" s="89">
        <v>44466</v>
      </c>
      <c r="Y1503" s="86" t="s">
        <v>3747</v>
      </c>
      <c r="Z1503" s="84" t="str">
        <f>HYPERLINK("https://twitter.com/taqimovic_/status/1442374439606259712")</f>
        <v>https://twitter.com/taqimovic_/status/1442374439606259712</v>
      </c>
      <c r="AA1503" s="81"/>
      <c r="AB1503" s="81"/>
      <c r="AC1503" s="86" t="s">
        <v>5217</v>
      </c>
      <c r="AD1503" s="81"/>
      <c r="AE1503" s="81" t="b">
        <v>0</v>
      </c>
      <c r="AF1503" s="81">
        <v>0</v>
      </c>
      <c r="AG1503" s="86" t="s">
        <v>6240</v>
      </c>
      <c r="AH1503" s="81" t="b">
        <v>0</v>
      </c>
      <c r="AI1503" s="81" t="s">
        <v>6478</v>
      </c>
      <c r="AJ1503" s="81"/>
      <c r="AK1503" s="86" t="s">
        <v>6240</v>
      </c>
      <c r="AL1503" s="81" t="b">
        <v>0</v>
      </c>
      <c r="AM1503" s="81">
        <v>30</v>
      </c>
      <c r="AN1503" s="86" t="s">
        <v>5524</v>
      </c>
      <c r="AO1503" s="86" t="s">
        <v>6503</v>
      </c>
      <c r="AP1503" s="81" t="b">
        <v>0</v>
      </c>
      <c r="AQ1503" s="86" t="s">
        <v>5524</v>
      </c>
      <c r="AR1503" s="81" t="s">
        <v>179</v>
      </c>
      <c r="AS1503" s="81">
        <v>0</v>
      </c>
      <c r="AT1503" s="81">
        <v>0</v>
      </c>
      <c r="AU1503" s="81"/>
      <c r="AV1503" s="81"/>
      <c r="AW1503" s="81"/>
      <c r="AX1503" s="81"/>
      <c r="AY1503" s="81"/>
      <c r="AZ1503" s="81"/>
      <c r="BA1503" s="81"/>
      <c r="BB1503" s="81"/>
    </row>
    <row r="1504" spans="1:54" x14ac:dyDescent="0.35">
      <c r="A1504" s="66" t="s">
        <v>1058</v>
      </c>
      <c r="B1504" s="66" t="s">
        <v>1058</v>
      </c>
      <c r="C1504" s="67"/>
      <c r="D1504" s="68"/>
      <c r="E1504" s="69"/>
      <c r="F1504" s="70"/>
      <c r="G1504" s="67"/>
      <c r="H1504" s="71"/>
      <c r="I1504" s="72"/>
      <c r="J1504" s="72"/>
      <c r="K1504" s="36"/>
      <c r="L1504" s="79"/>
      <c r="M1504" s="79"/>
      <c r="N1504" s="74"/>
      <c r="O1504" s="81" t="s">
        <v>179</v>
      </c>
      <c r="P1504" s="83">
        <v>44466.273321759261</v>
      </c>
      <c r="Q1504" s="81" t="s">
        <v>2092</v>
      </c>
      <c r="R1504" s="81"/>
      <c r="S1504" s="81"/>
      <c r="T1504" s="81"/>
      <c r="U1504" s="81"/>
      <c r="V1504" s="84" t="str">
        <f>HYPERLINK("https://pbs.twimg.com/profile_images/1420242643280228353/lLyOzeIC_normal.jpg")</f>
        <v>https://pbs.twimg.com/profile_images/1420242643280228353/lLyOzeIC_normal.jpg</v>
      </c>
      <c r="W1504" s="83">
        <v>44466.273321759261</v>
      </c>
      <c r="X1504" s="89">
        <v>44466</v>
      </c>
      <c r="Y1504" s="86" t="s">
        <v>3748</v>
      </c>
      <c r="Z1504" s="84" t="str">
        <f>HYPERLINK("https://twitter.com/h0swee/status/1442376855688937477")</f>
        <v>https://twitter.com/h0swee/status/1442376855688937477</v>
      </c>
      <c r="AA1504" s="81"/>
      <c r="AB1504" s="81"/>
      <c r="AC1504" s="86" t="s">
        <v>5218</v>
      </c>
      <c r="AD1504" s="81"/>
      <c r="AE1504" s="81" t="b">
        <v>0</v>
      </c>
      <c r="AF1504" s="81">
        <v>0</v>
      </c>
      <c r="AG1504" s="86" t="s">
        <v>6240</v>
      </c>
      <c r="AH1504" s="81" t="b">
        <v>0</v>
      </c>
      <c r="AI1504" s="81" t="s">
        <v>6478</v>
      </c>
      <c r="AJ1504" s="81"/>
      <c r="AK1504" s="86" t="s">
        <v>6240</v>
      </c>
      <c r="AL1504" s="81" t="b">
        <v>0</v>
      </c>
      <c r="AM1504" s="81">
        <v>0</v>
      </c>
      <c r="AN1504" s="86" t="s">
        <v>6240</v>
      </c>
      <c r="AO1504" s="86" t="s">
        <v>6503</v>
      </c>
      <c r="AP1504" s="81" t="b">
        <v>0</v>
      </c>
      <c r="AQ1504" s="86" t="s">
        <v>5218</v>
      </c>
      <c r="AR1504" s="81" t="s">
        <v>179</v>
      </c>
      <c r="AS1504" s="81">
        <v>0</v>
      </c>
      <c r="AT1504" s="81">
        <v>0</v>
      </c>
      <c r="AU1504" s="81"/>
      <c r="AV1504" s="81"/>
      <c r="AW1504" s="81"/>
      <c r="AX1504" s="81"/>
      <c r="AY1504" s="81"/>
      <c r="AZ1504" s="81"/>
      <c r="BA1504" s="81"/>
      <c r="BB1504" s="81"/>
    </row>
    <row r="1505" spans="1:54" x14ac:dyDescent="0.35">
      <c r="A1505" s="66" t="s">
        <v>1059</v>
      </c>
      <c r="B1505" s="66" t="s">
        <v>1146</v>
      </c>
      <c r="C1505" s="67"/>
      <c r="D1505" s="68"/>
      <c r="E1505" s="69"/>
      <c r="F1505" s="70"/>
      <c r="G1505" s="67"/>
      <c r="H1505" s="71"/>
      <c r="I1505" s="72"/>
      <c r="J1505" s="72"/>
      <c r="K1505" s="36"/>
      <c r="L1505" s="79"/>
      <c r="M1505" s="79"/>
      <c r="N1505" s="74"/>
      <c r="O1505" s="81" t="s">
        <v>1532</v>
      </c>
      <c r="P1505" s="83">
        <v>44466.27449074074</v>
      </c>
      <c r="Q1505" s="81" t="s">
        <v>2091</v>
      </c>
      <c r="R1505" s="81"/>
      <c r="S1505" s="81"/>
      <c r="T1505" s="81"/>
      <c r="U1505" s="84" t="str">
        <f>HYPERLINK("https://pbs.twimg.com/ext_tw_video_thumb/1442373678990196737/pu/img/UDVgFvOXidN40Fez.jpg")</f>
        <v>https://pbs.twimg.com/ext_tw_video_thumb/1442373678990196737/pu/img/UDVgFvOXidN40Fez.jpg</v>
      </c>
      <c r="V1505" s="84" t="str">
        <f>HYPERLINK("https://pbs.twimg.com/ext_tw_video_thumb/1442373678990196737/pu/img/UDVgFvOXidN40Fez.jpg")</f>
        <v>https://pbs.twimg.com/ext_tw_video_thumb/1442373678990196737/pu/img/UDVgFvOXidN40Fez.jpg</v>
      </c>
      <c r="W1505" s="83">
        <v>44466.27449074074</v>
      </c>
      <c r="X1505" s="89">
        <v>44466</v>
      </c>
      <c r="Y1505" s="86" t="s">
        <v>3749</v>
      </c>
      <c r="Z1505" s="84" t="str">
        <f>HYPERLINK("https://twitter.com/putribigwin_/status/1442377280135725058")</f>
        <v>https://twitter.com/putribigwin_/status/1442377280135725058</v>
      </c>
      <c r="AA1505" s="81"/>
      <c r="AB1505" s="81"/>
      <c r="AC1505" s="86" t="s">
        <v>5219</v>
      </c>
      <c r="AD1505" s="81"/>
      <c r="AE1505" s="81" t="b">
        <v>0</v>
      </c>
      <c r="AF1505" s="81">
        <v>0</v>
      </c>
      <c r="AG1505" s="86" t="s">
        <v>6240</v>
      </c>
      <c r="AH1505" s="81" t="b">
        <v>0</v>
      </c>
      <c r="AI1505" s="81" t="s">
        <v>6478</v>
      </c>
      <c r="AJ1505" s="81"/>
      <c r="AK1505" s="86" t="s">
        <v>6240</v>
      </c>
      <c r="AL1505" s="81" t="b">
        <v>0</v>
      </c>
      <c r="AM1505" s="81">
        <v>30</v>
      </c>
      <c r="AN1505" s="86" t="s">
        <v>5524</v>
      </c>
      <c r="AO1505" s="86" t="s">
        <v>6503</v>
      </c>
      <c r="AP1505" s="81" t="b">
        <v>0</v>
      </c>
      <c r="AQ1505" s="86" t="s">
        <v>5524</v>
      </c>
      <c r="AR1505" s="81" t="s">
        <v>179</v>
      </c>
      <c r="AS1505" s="81">
        <v>0</v>
      </c>
      <c r="AT1505" s="81">
        <v>0</v>
      </c>
      <c r="AU1505" s="81"/>
      <c r="AV1505" s="81"/>
      <c r="AW1505" s="81"/>
      <c r="AX1505" s="81"/>
      <c r="AY1505" s="81"/>
      <c r="AZ1505" s="81"/>
      <c r="BA1505" s="81"/>
      <c r="BB1505" s="81"/>
    </row>
    <row r="1506" spans="1:54" x14ac:dyDescent="0.35">
      <c r="A1506" s="66" t="s">
        <v>1060</v>
      </c>
      <c r="B1506" s="66" t="s">
        <v>1060</v>
      </c>
      <c r="C1506" s="67"/>
      <c r="D1506" s="68"/>
      <c r="E1506" s="69"/>
      <c r="F1506" s="70"/>
      <c r="G1506" s="67"/>
      <c r="H1506" s="71"/>
      <c r="I1506" s="72"/>
      <c r="J1506" s="72"/>
      <c r="K1506" s="36"/>
      <c r="L1506" s="79"/>
      <c r="M1506" s="79"/>
      <c r="N1506" s="74"/>
      <c r="O1506" s="81" t="s">
        <v>179</v>
      </c>
      <c r="P1506" s="83">
        <v>44466.275300925925</v>
      </c>
      <c r="Q1506" s="81" t="s">
        <v>2093</v>
      </c>
      <c r="R1506" s="81"/>
      <c r="S1506" s="81"/>
      <c r="T1506" s="86" t="s">
        <v>2715</v>
      </c>
      <c r="U1506" s="84" t="str">
        <f>HYPERLINK("https://pbs.twimg.com/media/FARas_TVcAg7qP3.jpg")</f>
        <v>https://pbs.twimg.com/media/FARas_TVcAg7qP3.jpg</v>
      </c>
      <c r="V1506" s="84" t="str">
        <f>HYPERLINK("https://pbs.twimg.com/media/FARas_TVcAg7qP3.jpg")</f>
        <v>https://pbs.twimg.com/media/FARas_TVcAg7qP3.jpg</v>
      </c>
      <c r="W1506" s="83">
        <v>44466.275300925925</v>
      </c>
      <c r="X1506" s="89">
        <v>44466</v>
      </c>
      <c r="Y1506" s="86" t="s">
        <v>3750</v>
      </c>
      <c r="Z1506" s="84" t="str">
        <f>HYPERLINK("https://twitter.com/humas_jogja/status/1442377574420676610")</f>
        <v>https://twitter.com/humas_jogja/status/1442377574420676610</v>
      </c>
      <c r="AA1506" s="81"/>
      <c r="AB1506" s="81"/>
      <c r="AC1506" s="86" t="s">
        <v>5220</v>
      </c>
      <c r="AD1506" s="86" t="s">
        <v>6178</v>
      </c>
      <c r="AE1506" s="81" t="b">
        <v>0</v>
      </c>
      <c r="AF1506" s="81">
        <v>0</v>
      </c>
      <c r="AG1506" s="86" t="s">
        <v>6431</v>
      </c>
      <c r="AH1506" s="81" t="b">
        <v>0</v>
      </c>
      <c r="AI1506" s="81" t="s">
        <v>6478</v>
      </c>
      <c r="AJ1506" s="81"/>
      <c r="AK1506" s="86" t="s">
        <v>6240</v>
      </c>
      <c r="AL1506" s="81" t="b">
        <v>0</v>
      </c>
      <c r="AM1506" s="81">
        <v>0</v>
      </c>
      <c r="AN1506" s="86" t="s">
        <v>6240</v>
      </c>
      <c r="AO1506" s="86" t="s">
        <v>6507</v>
      </c>
      <c r="AP1506" s="81" t="b">
        <v>0</v>
      </c>
      <c r="AQ1506" s="86" t="s">
        <v>6178</v>
      </c>
      <c r="AR1506" s="81" t="s">
        <v>179</v>
      </c>
      <c r="AS1506" s="81">
        <v>0</v>
      </c>
      <c r="AT1506" s="81">
        <v>0</v>
      </c>
      <c r="AU1506" s="81"/>
      <c r="AV1506" s="81"/>
      <c r="AW1506" s="81"/>
      <c r="AX1506" s="81"/>
      <c r="AY1506" s="81"/>
      <c r="AZ1506" s="81"/>
      <c r="BA1506" s="81"/>
      <c r="BB1506" s="81"/>
    </row>
    <row r="1507" spans="1:54" x14ac:dyDescent="0.35">
      <c r="A1507" s="66" t="s">
        <v>1061</v>
      </c>
      <c r="B1507" s="66" t="s">
        <v>1146</v>
      </c>
      <c r="C1507" s="67"/>
      <c r="D1507" s="68"/>
      <c r="E1507" s="69"/>
      <c r="F1507" s="70"/>
      <c r="G1507" s="67"/>
      <c r="H1507" s="71"/>
      <c r="I1507" s="72"/>
      <c r="J1507" s="72"/>
      <c r="K1507" s="36"/>
      <c r="L1507" s="79"/>
      <c r="M1507" s="79"/>
      <c r="N1507" s="74"/>
      <c r="O1507" s="81" t="s">
        <v>1532</v>
      </c>
      <c r="P1507" s="83">
        <v>44466.282002314816</v>
      </c>
      <c r="Q1507" s="81" t="s">
        <v>2091</v>
      </c>
      <c r="R1507" s="81"/>
      <c r="S1507" s="81"/>
      <c r="T1507" s="81"/>
      <c r="U1507" s="84" t="str">
        <f>HYPERLINK("https://pbs.twimg.com/ext_tw_video_thumb/1442373678990196737/pu/img/UDVgFvOXidN40Fez.jpg")</f>
        <v>https://pbs.twimg.com/ext_tw_video_thumb/1442373678990196737/pu/img/UDVgFvOXidN40Fez.jpg</v>
      </c>
      <c r="V1507" s="84" t="str">
        <f>HYPERLINK("https://pbs.twimg.com/ext_tw_video_thumb/1442373678990196737/pu/img/UDVgFvOXidN40Fez.jpg")</f>
        <v>https://pbs.twimg.com/ext_tw_video_thumb/1442373678990196737/pu/img/UDVgFvOXidN40Fez.jpg</v>
      </c>
      <c r="W1507" s="83">
        <v>44466.282002314816</v>
      </c>
      <c r="X1507" s="89">
        <v>44466</v>
      </c>
      <c r="Y1507" s="86" t="s">
        <v>3751</v>
      </c>
      <c r="Z1507" s="84" t="str">
        <f>HYPERLINK("https://twitter.com/leis_94/status/1442380001748217860")</f>
        <v>https://twitter.com/leis_94/status/1442380001748217860</v>
      </c>
      <c r="AA1507" s="81"/>
      <c r="AB1507" s="81"/>
      <c r="AC1507" s="86" t="s">
        <v>5221</v>
      </c>
      <c r="AD1507" s="81"/>
      <c r="AE1507" s="81" t="b">
        <v>0</v>
      </c>
      <c r="AF1507" s="81">
        <v>0</v>
      </c>
      <c r="AG1507" s="86" t="s">
        <v>6240</v>
      </c>
      <c r="AH1507" s="81" t="b">
        <v>0</v>
      </c>
      <c r="AI1507" s="81" t="s">
        <v>6478</v>
      </c>
      <c r="AJ1507" s="81"/>
      <c r="AK1507" s="86" t="s">
        <v>6240</v>
      </c>
      <c r="AL1507" s="81" t="b">
        <v>0</v>
      </c>
      <c r="AM1507" s="81">
        <v>30</v>
      </c>
      <c r="AN1507" s="86" t="s">
        <v>5524</v>
      </c>
      <c r="AO1507" s="86" t="s">
        <v>6503</v>
      </c>
      <c r="AP1507" s="81" t="b">
        <v>0</v>
      </c>
      <c r="AQ1507" s="86" t="s">
        <v>5524</v>
      </c>
      <c r="AR1507" s="81" t="s">
        <v>179</v>
      </c>
      <c r="AS1507" s="81">
        <v>0</v>
      </c>
      <c r="AT1507" s="81">
        <v>0</v>
      </c>
      <c r="AU1507" s="81"/>
      <c r="AV1507" s="81"/>
      <c r="AW1507" s="81"/>
      <c r="AX1507" s="81"/>
      <c r="AY1507" s="81"/>
      <c r="AZ1507" s="81"/>
      <c r="BA1507" s="81"/>
      <c r="BB1507" s="81"/>
    </row>
    <row r="1508" spans="1:54" x14ac:dyDescent="0.35">
      <c r="A1508" s="66" t="s">
        <v>1062</v>
      </c>
      <c r="B1508" s="66" t="s">
        <v>1062</v>
      </c>
      <c r="C1508" s="67"/>
      <c r="D1508" s="68"/>
      <c r="E1508" s="69"/>
      <c r="F1508" s="70"/>
      <c r="G1508" s="67"/>
      <c r="H1508" s="71"/>
      <c r="I1508" s="72"/>
      <c r="J1508" s="72"/>
      <c r="K1508" s="36"/>
      <c r="L1508" s="79"/>
      <c r="M1508" s="79"/>
      <c r="N1508" s="74"/>
      <c r="O1508" s="81" t="s">
        <v>179</v>
      </c>
      <c r="P1508" s="83">
        <v>44466.286782407406</v>
      </c>
      <c r="Q1508" s="81" t="s">
        <v>2094</v>
      </c>
      <c r="R1508" s="84" t="str">
        <f>HYPERLINK("https://www.instagram.com/p/CUUM_Mkv7g6/?utm_medium=share_sheet")</f>
        <v>https://www.instagram.com/p/CUUM_Mkv7g6/?utm_medium=share_sheet</v>
      </c>
      <c r="S1508" s="81" t="s">
        <v>2626</v>
      </c>
      <c r="T1508" s="81"/>
      <c r="U1508" s="84" t="str">
        <f>HYPERLINK("https://pbs.twimg.com/media/FAReirhVcAEG2P4.jpg")</f>
        <v>https://pbs.twimg.com/media/FAReirhVcAEG2P4.jpg</v>
      </c>
      <c r="V1508" s="84" t="str">
        <f>HYPERLINK("https://pbs.twimg.com/media/FAReirhVcAEG2P4.jpg")</f>
        <v>https://pbs.twimg.com/media/FAReirhVcAEG2P4.jpg</v>
      </c>
      <c r="W1508" s="83">
        <v>44466.286782407406</v>
      </c>
      <c r="X1508" s="89">
        <v>44466</v>
      </c>
      <c r="Y1508" s="86" t="s">
        <v>3752</v>
      </c>
      <c r="Z1508" s="84" t="str">
        <f>HYPERLINK("https://twitter.com/kpukotadenpasar/status/1442381734012542980")</f>
        <v>https://twitter.com/kpukotadenpasar/status/1442381734012542980</v>
      </c>
      <c r="AA1508" s="81"/>
      <c r="AB1508" s="81"/>
      <c r="AC1508" s="86" t="s">
        <v>5222</v>
      </c>
      <c r="AD1508" s="81"/>
      <c r="AE1508" s="81" t="b">
        <v>0</v>
      </c>
      <c r="AF1508" s="81">
        <v>5</v>
      </c>
      <c r="AG1508" s="86" t="s">
        <v>6240</v>
      </c>
      <c r="AH1508" s="81" t="b">
        <v>0</v>
      </c>
      <c r="AI1508" s="81" t="s">
        <v>6478</v>
      </c>
      <c r="AJ1508" s="81"/>
      <c r="AK1508" s="86" t="s">
        <v>6240</v>
      </c>
      <c r="AL1508" s="81" t="b">
        <v>0</v>
      </c>
      <c r="AM1508" s="81">
        <v>0</v>
      </c>
      <c r="AN1508" s="86" t="s">
        <v>6240</v>
      </c>
      <c r="AO1508" s="86" t="s">
        <v>6503</v>
      </c>
      <c r="AP1508" s="81" t="b">
        <v>0</v>
      </c>
      <c r="AQ1508" s="86" t="s">
        <v>5222</v>
      </c>
      <c r="AR1508" s="81" t="s">
        <v>179</v>
      </c>
      <c r="AS1508" s="81">
        <v>0</v>
      </c>
      <c r="AT1508" s="81">
        <v>0</v>
      </c>
      <c r="AU1508" s="81"/>
      <c r="AV1508" s="81"/>
      <c r="AW1508" s="81"/>
      <c r="AX1508" s="81"/>
      <c r="AY1508" s="81"/>
      <c r="AZ1508" s="81"/>
      <c r="BA1508" s="81"/>
      <c r="BB1508" s="81"/>
    </row>
    <row r="1509" spans="1:54" x14ac:dyDescent="0.35">
      <c r="A1509" s="66" t="s">
        <v>1063</v>
      </c>
      <c r="B1509" s="66" t="s">
        <v>1146</v>
      </c>
      <c r="C1509" s="67"/>
      <c r="D1509" s="68"/>
      <c r="E1509" s="69"/>
      <c r="F1509" s="70"/>
      <c r="G1509" s="67"/>
      <c r="H1509" s="71"/>
      <c r="I1509" s="72"/>
      <c r="J1509" s="72"/>
      <c r="K1509" s="36"/>
      <c r="L1509" s="79"/>
      <c r="M1509" s="79"/>
      <c r="N1509" s="74"/>
      <c r="O1509" s="81" t="s">
        <v>1532</v>
      </c>
      <c r="P1509" s="83">
        <v>44466.287175925929</v>
      </c>
      <c r="Q1509" s="81" t="s">
        <v>2091</v>
      </c>
      <c r="R1509" s="81"/>
      <c r="S1509" s="81"/>
      <c r="T1509" s="81"/>
      <c r="U1509" s="84" t="str">
        <f>HYPERLINK("https://pbs.twimg.com/ext_tw_video_thumb/1442373678990196737/pu/img/UDVgFvOXidN40Fez.jpg")</f>
        <v>https://pbs.twimg.com/ext_tw_video_thumb/1442373678990196737/pu/img/UDVgFvOXidN40Fez.jpg</v>
      </c>
      <c r="V1509" s="84" t="str">
        <f>HYPERLINK("https://pbs.twimg.com/ext_tw_video_thumb/1442373678990196737/pu/img/UDVgFvOXidN40Fez.jpg")</f>
        <v>https://pbs.twimg.com/ext_tw_video_thumb/1442373678990196737/pu/img/UDVgFvOXidN40Fez.jpg</v>
      </c>
      <c r="W1509" s="83">
        <v>44466.287175925929</v>
      </c>
      <c r="X1509" s="89">
        <v>44466</v>
      </c>
      <c r="Y1509" s="86" t="s">
        <v>3753</v>
      </c>
      <c r="Z1509" s="84" t="str">
        <f>HYPERLINK("https://twitter.com/tatihar_10/status/1442381877902393346")</f>
        <v>https://twitter.com/tatihar_10/status/1442381877902393346</v>
      </c>
      <c r="AA1509" s="81"/>
      <c r="AB1509" s="81"/>
      <c r="AC1509" s="86" t="s">
        <v>5223</v>
      </c>
      <c r="AD1509" s="81"/>
      <c r="AE1509" s="81" t="b">
        <v>0</v>
      </c>
      <c r="AF1509" s="81">
        <v>0</v>
      </c>
      <c r="AG1509" s="86" t="s">
        <v>6240</v>
      </c>
      <c r="AH1509" s="81" t="b">
        <v>0</v>
      </c>
      <c r="AI1509" s="81" t="s">
        <v>6478</v>
      </c>
      <c r="AJ1509" s="81"/>
      <c r="AK1509" s="86" t="s">
        <v>6240</v>
      </c>
      <c r="AL1509" s="81" t="b">
        <v>0</v>
      </c>
      <c r="AM1509" s="81">
        <v>30</v>
      </c>
      <c r="AN1509" s="86" t="s">
        <v>5524</v>
      </c>
      <c r="AO1509" s="86" t="s">
        <v>6503</v>
      </c>
      <c r="AP1509" s="81" t="b">
        <v>0</v>
      </c>
      <c r="AQ1509" s="86" t="s">
        <v>5524</v>
      </c>
      <c r="AR1509" s="81" t="s">
        <v>179</v>
      </c>
      <c r="AS1509" s="81">
        <v>0</v>
      </c>
      <c r="AT1509" s="81">
        <v>0</v>
      </c>
      <c r="AU1509" s="81"/>
      <c r="AV1509" s="81"/>
      <c r="AW1509" s="81"/>
      <c r="AX1509" s="81"/>
      <c r="AY1509" s="81"/>
      <c r="AZ1509" s="81"/>
      <c r="BA1509" s="81"/>
      <c r="BB1509" s="81"/>
    </row>
    <row r="1510" spans="1:54" x14ac:dyDescent="0.35">
      <c r="A1510" s="66" t="s">
        <v>1064</v>
      </c>
      <c r="B1510" s="66" t="s">
        <v>1064</v>
      </c>
      <c r="C1510" s="67"/>
      <c r="D1510" s="68"/>
      <c r="E1510" s="69"/>
      <c r="F1510" s="70"/>
      <c r="G1510" s="67"/>
      <c r="H1510" s="71"/>
      <c r="I1510" s="72"/>
      <c r="J1510" s="72"/>
      <c r="K1510" s="36"/>
      <c r="L1510" s="79"/>
      <c r="M1510" s="79"/>
      <c r="N1510" s="74"/>
      <c r="O1510" s="81" t="s">
        <v>179</v>
      </c>
      <c r="P1510" s="83">
        <v>44466.287777777776</v>
      </c>
      <c r="Q1510" s="81" t="s">
        <v>2095</v>
      </c>
      <c r="R1510" s="84" t="str">
        <f>HYPERLINK("https://deasoka.com/2021/pos-kawalan-sempadan-malaysia-indonesia-akan-dibina-di-simanggaris-kalabakan/semasa/")</f>
        <v>https://deasoka.com/2021/pos-kawalan-sempadan-malaysia-indonesia-akan-dibina-di-simanggaris-kalabakan/semasa/</v>
      </c>
      <c r="S1510" s="81" t="s">
        <v>2640</v>
      </c>
      <c r="T1510" s="86" t="s">
        <v>2716</v>
      </c>
      <c r="U1510" s="81"/>
      <c r="V1510" s="84" t="str">
        <f>HYPERLINK("https://pbs.twimg.com/profile_images/1420973335530196996/1vf6k4It_normal.jpg")</f>
        <v>https://pbs.twimg.com/profile_images/1420973335530196996/1vf6k4It_normal.jpg</v>
      </c>
      <c r="W1510" s="83">
        <v>44466.287777777776</v>
      </c>
      <c r="X1510" s="89">
        <v>44466</v>
      </c>
      <c r="Y1510" s="86" t="s">
        <v>3754</v>
      </c>
      <c r="Z1510" s="84" t="str">
        <f>HYPERLINK("https://twitter.com/deasokanews/status/1442382096161394695")</f>
        <v>https://twitter.com/deasokanews/status/1442382096161394695</v>
      </c>
      <c r="AA1510" s="81"/>
      <c r="AB1510" s="81"/>
      <c r="AC1510" s="86" t="s">
        <v>5224</v>
      </c>
      <c r="AD1510" s="81"/>
      <c r="AE1510" s="81" t="b">
        <v>0</v>
      </c>
      <c r="AF1510" s="81">
        <v>0</v>
      </c>
      <c r="AG1510" s="86" t="s">
        <v>6240</v>
      </c>
      <c r="AH1510" s="81" t="b">
        <v>0</v>
      </c>
      <c r="AI1510" s="81" t="s">
        <v>6478</v>
      </c>
      <c r="AJ1510" s="81"/>
      <c r="AK1510" s="86" t="s">
        <v>6240</v>
      </c>
      <c r="AL1510" s="81" t="b">
        <v>0</v>
      </c>
      <c r="AM1510" s="81">
        <v>0</v>
      </c>
      <c r="AN1510" s="86" t="s">
        <v>6240</v>
      </c>
      <c r="AO1510" s="86" t="s">
        <v>6503</v>
      </c>
      <c r="AP1510" s="81" t="b">
        <v>0</v>
      </c>
      <c r="AQ1510" s="86" t="s">
        <v>5224</v>
      </c>
      <c r="AR1510" s="81" t="s">
        <v>179</v>
      </c>
      <c r="AS1510" s="81">
        <v>0</v>
      </c>
      <c r="AT1510" s="81">
        <v>0</v>
      </c>
      <c r="AU1510" s="81"/>
      <c r="AV1510" s="81"/>
      <c r="AW1510" s="81"/>
      <c r="AX1510" s="81"/>
      <c r="AY1510" s="81"/>
      <c r="AZ1510" s="81"/>
      <c r="BA1510" s="81"/>
      <c r="BB1510" s="81"/>
    </row>
    <row r="1511" spans="1:54" x14ac:dyDescent="0.35">
      <c r="A1511" s="66" t="s">
        <v>1065</v>
      </c>
      <c r="B1511" s="66" t="s">
        <v>1065</v>
      </c>
      <c r="C1511" s="67"/>
      <c r="D1511" s="68"/>
      <c r="E1511" s="69"/>
      <c r="F1511" s="70"/>
      <c r="G1511" s="67"/>
      <c r="H1511" s="71"/>
      <c r="I1511" s="72"/>
      <c r="J1511" s="72"/>
      <c r="K1511" s="36"/>
      <c r="L1511" s="79"/>
      <c r="M1511" s="79"/>
      <c r="N1511" s="74"/>
      <c r="O1511" s="81" t="s">
        <v>179</v>
      </c>
      <c r="P1511" s="83">
        <v>44466.290081018517</v>
      </c>
      <c r="Q1511" s="81" t="s">
        <v>2096</v>
      </c>
      <c r="R1511" s="81"/>
      <c r="S1511" s="81"/>
      <c r="T1511" s="81"/>
      <c r="U1511" s="81"/>
      <c r="V1511" s="84" t="str">
        <f>HYPERLINK("https://pbs.twimg.com/profile_images/1441630301524926467/A1mkAW7c_normal.jpg")</f>
        <v>https://pbs.twimg.com/profile_images/1441630301524926467/A1mkAW7c_normal.jpg</v>
      </c>
      <c r="W1511" s="83">
        <v>44466.290081018517</v>
      </c>
      <c r="X1511" s="89">
        <v>44466</v>
      </c>
      <c r="Y1511" s="86" t="s">
        <v>3755</v>
      </c>
      <c r="Z1511" s="84" t="str">
        <f>HYPERLINK("https://twitter.com/nisazain_/status/1442382931649912832")</f>
        <v>https://twitter.com/nisazain_/status/1442382931649912832</v>
      </c>
      <c r="AA1511" s="81"/>
      <c r="AB1511" s="81"/>
      <c r="AC1511" s="86" t="s">
        <v>5225</v>
      </c>
      <c r="AD1511" s="81"/>
      <c r="AE1511" s="81" t="b">
        <v>0</v>
      </c>
      <c r="AF1511" s="81">
        <v>0</v>
      </c>
      <c r="AG1511" s="86" t="s">
        <v>6240</v>
      </c>
      <c r="AH1511" s="81" t="b">
        <v>0</v>
      </c>
      <c r="AI1511" s="81" t="s">
        <v>6479</v>
      </c>
      <c r="AJ1511" s="81"/>
      <c r="AK1511" s="86" t="s">
        <v>6240</v>
      </c>
      <c r="AL1511" s="81" t="b">
        <v>0</v>
      </c>
      <c r="AM1511" s="81">
        <v>0</v>
      </c>
      <c r="AN1511" s="86" t="s">
        <v>6240</v>
      </c>
      <c r="AO1511" s="86" t="s">
        <v>6505</v>
      </c>
      <c r="AP1511" s="81" t="b">
        <v>0</v>
      </c>
      <c r="AQ1511" s="86" t="s">
        <v>5225</v>
      </c>
      <c r="AR1511" s="81" t="s">
        <v>179</v>
      </c>
      <c r="AS1511" s="81">
        <v>0</v>
      </c>
      <c r="AT1511" s="81">
        <v>0</v>
      </c>
      <c r="AU1511" s="81"/>
      <c r="AV1511" s="81"/>
      <c r="AW1511" s="81"/>
      <c r="AX1511" s="81"/>
      <c r="AY1511" s="81"/>
      <c r="AZ1511" s="81"/>
      <c r="BA1511" s="81"/>
      <c r="BB1511" s="81"/>
    </row>
    <row r="1512" spans="1:54" x14ac:dyDescent="0.35">
      <c r="A1512" s="66" t="s">
        <v>1066</v>
      </c>
      <c r="B1512" s="66" t="s">
        <v>1066</v>
      </c>
      <c r="C1512" s="67"/>
      <c r="D1512" s="68"/>
      <c r="E1512" s="69"/>
      <c r="F1512" s="70"/>
      <c r="G1512" s="67"/>
      <c r="H1512" s="71"/>
      <c r="I1512" s="72"/>
      <c r="J1512" s="72"/>
      <c r="K1512" s="36"/>
      <c r="L1512" s="79"/>
      <c r="M1512" s="79"/>
      <c r="N1512" s="74"/>
      <c r="O1512" s="81" t="s">
        <v>179</v>
      </c>
      <c r="P1512" s="83">
        <v>44461.906134259261</v>
      </c>
      <c r="Q1512" s="81" t="s">
        <v>2097</v>
      </c>
      <c r="R1512" s="84" t="str">
        <f>HYPERLINK("https://lowongankerjasmk.com/lowongan-bumn-sma-smk-d3-s1-pt-pos-indonesia-persero-bulan-september-tahun-2021/")</f>
        <v>https://lowongankerjasmk.com/lowongan-bumn-sma-smk-d3-s1-pt-pos-indonesia-persero-bulan-september-tahun-2021/</v>
      </c>
      <c r="S1512" s="81" t="s">
        <v>2641</v>
      </c>
      <c r="T1512" s="81"/>
      <c r="U1512" s="81"/>
      <c r="V1512" s="84" t="str">
        <f>HYPERLINK("https://pbs.twimg.com/profile_images/1145856503/MediaLowongan_normal.gif")</f>
        <v>https://pbs.twimg.com/profile_images/1145856503/MediaLowongan_normal.gif</v>
      </c>
      <c r="W1512" s="83">
        <v>44461.906134259261</v>
      </c>
      <c r="X1512" s="89">
        <v>44461</v>
      </c>
      <c r="Y1512" s="86" t="s">
        <v>3756</v>
      </c>
      <c r="Z1512" s="84" t="str">
        <f>HYPERLINK("https://twitter.com/medilow/status/1440794241182015492")</f>
        <v>https://twitter.com/medilow/status/1440794241182015492</v>
      </c>
      <c r="AA1512" s="81"/>
      <c r="AB1512" s="81"/>
      <c r="AC1512" s="86" t="s">
        <v>5226</v>
      </c>
      <c r="AD1512" s="81"/>
      <c r="AE1512" s="81" t="b">
        <v>0</v>
      </c>
      <c r="AF1512" s="81">
        <v>0</v>
      </c>
      <c r="AG1512" s="86" t="s">
        <v>6240</v>
      </c>
      <c r="AH1512" s="81" t="b">
        <v>0</v>
      </c>
      <c r="AI1512" s="81" t="s">
        <v>6478</v>
      </c>
      <c r="AJ1512" s="81"/>
      <c r="AK1512" s="86" t="s">
        <v>6240</v>
      </c>
      <c r="AL1512" s="81" t="b">
        <v>0</v>
      </c>
      <c r="AM1512" s="81">
        <v>0</v>
      </c>
      <c r="AN1512" s="86" t="s">
        <v>6240</v>
      </c>
      <c r="AO1512" s="86" t="s">
        <v>6528</v>
      </c>
      <c r="AP1512" s="81" t="b">
        <v>0</v>
      </c>
      <c r="AQ1512" s="86" t="s">
        <v>5226</v>
      </c>
      <c r="AR1512" s="81" t="s">
        <v>179</v>
      </c>
      <c r="AS1512" s="81">
        <v>0</v>
      </c>
      <c r="AT1512" s="81">
        <v>0</v>
      </c>
      <c r="AU1512" s="81"/>
      <c r="AV1512" s="81"/>
      <c r="AW1512" s="81"/>
      <c r="AX1512" s="81"/>
      <c r="AY1512" s="81"/>
      <c r="AZ1512" s="81"/>
      <c r="BA1512" s="81"/>
      <c r="BB1512" s="81"/>
    </row>
    <row r="1513" spans="1:54" x14ac:dyDescent="0.35">
      <c r="A1513" s="66" t="s">
        <v>1066</v>
      </c>
      <c r="B1513" s="66" t="s">
        <v>1066</v>
      </c>
      <c r="C1513" s="67"/>
      <c r="D1513" s="68"/>
      <c r="E1513" s="69"/>
      <c r="F1513" s="70"/>
      <c r="G1513" s="67"/>
      <c r="H1513" s="71"/>
      <c r="I1513" s="72"/>
      <c r="J1513" s="72"/>
      <c r="K1513" s="36"/>
      <c r="L1513" s="79"/>
      <c r="M1513" s="79"/>
      <c r="N1513" s="74"/>
      <c r="O1513" s="81" t="s">
        <v>179</v>
      </c>
      <c r="P1513" s="83">
        <v>44466.292303240742</v>
      </c>
      <c r="Q1513" s="81" t="s">
        <v>2098</v>
      </c>
      <c r="R1513" s="84" t="str">
        <f>HYPERLINK("https://lowongankerjasmk.com/lowongan-kerja-bumn-sma-smk-d3-s1-pt-pos-indonesia-persero-september-2021/")</f>
        <v>https://lowongankerjasmk.com/lowongan-kerja-bumn-sma-smk-d3-s1-pt-pos-indonesia-persero-september-2021/</v>
      </c>
      <c r="S1513" s="81" t="s">
        <v>2641</v>
      </c>
      <c r="T1513" s="81"/>
      <c r="U1513" s="81"/>
      <c r="V1513" s="84" t="str">
        <f>HYPERLINK("https://pbs.twimg.com/profile_images/1145856503/MediaLowongan_normal.gif")</f>
        <v>https://pbs.twimg.com/profile_images/1145856503/MediaLowongan_normal.gif</v>
      </c>
      <c r="W1513" s="83">
        <v>44466.292303240742</v>
      </c>
      <c r="X1513" s="89">
        <v>44466</v>
      </c>
      <c r="Y1513" s="86" t="s">
        <v>3757</v>
      </c>
      <c r="Z1513" s="84" t="str">
        <f>HYPERLINK("https://twitter.com/medilow/status/1442383734351740930")</f>
        <v>https://twitter.com/medilow/status/1442383734351740930</v>
      </c>
      <c r="AA1513" s="81"/>
      <c r="AB1513" s="81"/>
      <c r="AC1513" s="86" t="s">
        <v>5227</v>
      </c>
      <c r="AD1513" s="81"/>
      <c r="AE1513" s="81" t="b">
        <v>0</v>
      </c>
      <c r="AF1513" s="81">
        <v>0</v>
      </c>
      <c r="AG1513" s="86" t="s">
        <v>6240</v>
      </c>
      <c r="AH1513" s="81" t="b">
        <v>0</v>
      </c>
      <c r="AI1513" s="81" t="s">
        <v>6478</v>
      </c>
      <c r="AJ1513" s="81"/>
      <c r="AK1513" s="86" t="s">
        <v>6240</v>
      </c>
      <c r="AL1513" s="81" t="b">
        <v>0</v>
      </c>
      <c r="AM1513" s="81">
        <v>0</v>
      </c>
      <c r="AN1513" s="86" t="s">
        <v>6240</v>
      </c>
      <c r="AO1513" s="86" t="s">
        <v>6528</v>
      </c>
      <c r="AP1513" s="81" t="b">
        <v>0</v>
      </c>
      <c r="AQ1513" s="86" t="s">
        <v>5227</v>
      </c>
      <c r="AR1513" s="81" t="s">
        <v>179</v>
      </c>
      <c r="AS1513" s="81">
        <v>0</v>
      </c>
      <c r="AT1513" s="81">
        <v>0</v>
      </c>
      <c r="AU1513" s="81"/>
      <c r="AV1513" s="81"/>
      <c r="AW1513" s="81"/>
      <c r="AX1513" s="81"/>
      <c r="AY1513" s="81"/>
      <c r="AZ1513" s="81"/>
      <c r="BA1513" s="81"/>
      <c r="BB1513" s="81"/>
    </row>
    <row r="1514" spans="1:54" x14ac:dyDescent="0.35">
      <c r="A1514" s="66" t="s">
        <v>1067</v>
      </c>
      <c r="B1514" s="66" t="s">
        <v>1490</v>
      </c>
      <c r="C1514" s="67"/>
      <c r="D1514" s="68"/>
      <c r="E1514" s="69"/>
      <c r="F1514" s="70"/>
      <c r="G1514" s="67"/>
      <c r="H1514" s="71"/>
      <c r="I1514" s="72"/>
      <c r="J1514" s="72"/>
      <c r="K1514" s="36"/>
      <c r="L1514" s="79"/>
      <c r="M1514" s="79"/>
      <c r="N1514" s="74"/>
      <c r="O1514" s="81" t="s">
        <v>1534</v>
      </c>
      <c r="P1514" s="83">
        <v>44466.294606481482</v>
      </c>
      <c r="Q1514" s="81" t="s">
        <v>2099</v>
      </c>
      <c r="R1514" s="81"/>
      <c r="S1514" s="81"/>
      <c r="T1514" s="81"/>
      <c r="U1514" s="81"/>
      <c r="V1514" s="84" t="str">
        <f>HYPERLINK("https://pbs.twimg.com/profile_images/1441823984274706439/WxVzYUcL_normal.jpg")</f>
        <v>https://pbs.twimg.com/profile_images/1441823984274706439/WxVzYUcL_normal.jpg</v>
      </c>
      <c r="W1514" s="83">
        <v>44466.294606481482</v>
      </c>
      <c r="X1514" s="89">
        <v>44466</v>
      </c>
      <c r="Y1514" s="86" t="s">
        <v>3758</v>
      </c>
      <c r="Z1514" s="84" t="str">
        <f>HYPERLINK("https://twitter.com/ndasmuyee/status/1442384569047474177")</f>
        <v>https://twitter.com/ndasmuyee/status/1442384569047474177</v>
      </c>
      <c r="AA1514" s="81"/>
      <c r="AB1514" s="81"/>
      <c r="AC1514" s="86" t="s">
        <v>5228</v>
      </c>
      <c r="AD1514" s="86" t="s">
        <v>6179</v>
      </c>
      <c r="AE1514" s="81" t="b">
        <v>0</v>
      </c>
      <c r="AF1514" s="81">
        <v>0</v>
      </c>
      <c r="AG1514" s="86" t="s">
        <v>6432</v>
      </c>
      <c r="AH1514" s="81" t="b">
        <v>0</v>
      </c>
      <c r="AI1514" s="81" t="s">
        <v>6478</v>
      </c>
      <c r="AJ1514" s="81"/>
      <c r="AK1514" s="86" t="s">
        <v>6240</v>
      </c>
      <c r="AL1514" s="81" t="b">
        <v>0</v>
      </c>
      <c r="AM1514" s="81">
        <v>0</v>
      </c>
      <c r="AN1514" s="86" t="s">
        <v>6240</v>
      </c>
      <c r="AO1514" s="86" t="s">
        <v>6507</v>
      </c>
      <c r="AP1514" s="81" t="b">
        <v>0</v>
      </c>
      <c r="AQ1514" s="86" t="s">
        <v>6179</v>
      </c>
      <c r="AR1514" s="81" t="s">
        <v>179</v>
      </c>
      <c r="AS1514" s="81">
        <v>0</v>
      </c>
      <c r="AT1514" s="81">
        <v>0</v>
      </c>
      <c r="AU1514" s="81"/>
      <c r="AV1514" s="81"/>
      <c r="AW1514" s="81"/>
      <c r="AX1514" s="81"/>
      <c r="AY1514" s="81"/>
      <c r="AZ1514" s="81"/>
      <c r="BA1514" s="81"/>
      <c r="BB1514" s="81"/>
    </row>
    <row r="1515" spans="1:54" x14ac:dyDescent="0.35">
      <c r="A1515" s="66" t="s">
        <v>1067</v>
      </c>
      <c r="B1515" s="66" t="s">
        <v>1490</v>
      </c>
      <c r="C1515" s="67"/>
      <c r="D1515" s="68"/>
      <c r="E1515" s="69"/>
      <c r="F1515" s="70"/>
      <c r="G1515" s="67"/>
      <c r="H1515" s="71"/>
      <c r="I1515" s="72"/>
      <c r="J1515" s="72"/>
      <c r="K1515" s="36"/>
      <c r="L1515" s="79"/>
      <c r="M1515" s="79"/>
      <c r="N1515" s="74"/>
      <c r="O1515" s="81" t="s">
        <v>1534</v>
      </c>
      <c r="P1515" s="83">
        <v>44466.296759259261</v>
      </c>
      <c r="Q1515" s="81" t="s">
        <v>2100</v>
      </c>
      <c r="R1515" s="81"/>
      <c r="S1515" s="81"/>
      <c r="T1515" s="81"/>
      <c r="U1515" s="81"/>
      <c r="V1515" s="84" t="str">
        <f>HYPERLINK("https://pbs.twimg.com/profile_images/1441823984274706439/WxVzYUcL_normal.jpg")</f>
        <v>https://pbs.twimg.com/profile_images/1441823984274706439/WxVzYUcL_normal.jpg</v>
      </c>
      <c r="W1515" s="83">
        <v>44466.296759259261</v>
      </c>
      <c r="X1515" s="89">
        <v>44466</v>
      </c>
      <c r="Y1515" s="86" t="s">
        <v>3759</v>
      </c>
      <c r="Z1515" s="84" t="str">
        <f>HYPERLINK("https://twitter.com/ndasmuyee/status/1442385350366674955")</f>
        <v>https://twitter.com/ndasmuyee/status/1442385350366674955</v>
      </c>
      <c r="AA1515" s="81"/>
      <c r="AB1515" s="81"/>
      <c r="AC1515" s="86" t="s">
        <v>5229</v>
      </c>
      <c r="AD1515" s="86" t="s">
        <v>6180</v>
      </c>
      <c r="AE1515" s="81" t="b">
        <v>0</v>
      </c>
      <c r="AF1515" s="81">
        <v>0</v>
      </c>
      <c r="AG1515" s="86" t="s">
        <v>6432</v>
      </c>
      <c r="AH1515" s="81" t="b">
        <v>0</v>
      </c>
      <c r="AI1515" s="81" t="s">
        <v>6478</v>
      </c>
      <c r="AJ1515" s="81"/>
      <c r="AK1515" s="86" t="s">
        <v>6240</v>
      </c>
      <c r="AL1515" s="81" t="b">
        <v>0</v>
      </c>
      <c r="AM1515" s="81">
        <v>0</v>
      </c>
      <c r="AN1515" s="86" t="s">
        <v>6240</v>
      </c>
      <c r="AO1515" s="86" t="s">
        <v>6507</v>
      </c>
      <c r="AP1515" s="81" t="b">
        <v>0</v>
      </c>
      <c r="AQ1515" s="86" t="s">
        <v>6180</v>
      </c>
      <c r="AR1515" s="81" t="s">
        <v>179</v>
      </c>
      <c r="AS1515" s="81">
        <v>0</v>
      </c>
      <c r="AT1515" s="81">
        <v>0</v>
      </c>
      <c r="AU1515" s="81"/>
      <c r="AV1515" s="81"/>
      <c r="AW1515" s="81"/>
      <c r="AX1515" s="81"/>
      <c r="AY1515" s="81"/>
      <c r="AZ1515" s="81"/>
      <c r="BA1515" s="81"/>
      <c r="BB1515" s="81"/>
    </row>
    <row r="1516" spans="1:54" x14ac:dyDescent="0.35">
      <c r="A1516" s="66" t="s">
        <v>1068</v>
      </c>
      <c r="B1516" s="66" t="s">
        <v>1068</v>
      </c>
      <c r="C1516" s="67"/>
      <c r="D1516" s="68"/>
      <c r="E1516" s="69"/>
      <c r="F1516" s="70"/>
      <c r="G1516" s="67"/>
      <c r="H1516" s="71"/>
      <c r="I1516" s="72"/>
      <c r="J1516" s="72"/>
      <c r="K1516" s="36"/>
      <c r="L1516" s="79"/>
      <c r="M1516" s="79"/>
      <c r="N1516" s="74"/>
      <c r="O1516" s="81" t="s">
        <v>179</v>
      </c>
      <c r="P1516" s="83">
        <v>44466.298819444448</v>
      </c>
      <c r="Q1516" s="81" t="s">
        <v>2101</v>
      </c>
      <c r="R1516" s="81"/>
      <c r="S1516" s="81"/>
      <c r="T1516" s="86" t="s">
        <v>2717</v>
      </c>
      <c r="U1516" s="84" t="str">
        <f>HYPERLINK("https://pbs.twimg.com/media/FARigg0X0AQ59O5.jpg")</f>
        <v>https://pbs.twimg.com/media/FARigg0X0AQ59O5.jpg</v>
      </c>
      <c r="V1516" s="84" t="str">
        <f>HYPERLINK("https://pbs.twimg.com/media/FARigg0X0AQ59O5.jpg")</f>
        <v>https://pbs.twimg.com/media/FARigg0X0AQ59O5.jpg</v>
      </c>
      <c r="W1516" s="83">
        <v>44466.298819444448</v>
      </c>
      <c r="X1516" s="89">
        <v>44466</v>
      </c>
      <c r="Y1516" s="86" t="s">
        <v>2786</v>
      </c>
      <c r="Z1516" s="84" t="str">
        <f>HYPERLINK("https://twitter.com/legalcentric/status/1442386098492252160")</f>
        <v>https://twitter.com/legalcentric/status/1442386098492252160</v>
      </c>
      <c r="AA1516" s="81"/>
      <c r="AB1516" s="81"/>
      <c r="AC1516" s="86" t="s">
        <v>5230</v>
      </c>
      <c r="AD1516" s="81"/>
      <c r="AE1516" s="81" t="b">
        <v>0</v>
      </c>
      <c r="AF1516" s="81">
        <v>0</v>
      </c>
      <c r="AG1516" s="86" t="s">
        <v>6240</v>
      </c>
      <c r="AH1516" s="81" t="b">
        <v>0</v>
      </c>
      <c r="AI1516" s="81" t="s">
        <v>6478</v>
      </c>
      <c r="AJ1516" s="81"/>
      <c r="AK1516" s="86" t="s">
        <v>6240</v>
      </c>
      <c r="AL1516" s="81" t="b">
        <v>0</v>
      </c>
      <c r="AM1516" s="81">
        <v>0</v>
      </c>
      <c r="AN1516" s="86" t="s">
        <v>6240</v>
      </c>
      <c r="AO1516" s="86" t="s">
        <v>6529</v>
      </c>
      <c r="AP1516" s="81" t="b">
        <v>0</v>
      </c>
      <c r="AQ1516" s="86" t="s">
        <v>5230</v>
      </c>
      <c r="AR1516" s="81" t="s">
        <v>179</v>
      </c>
      <c r="AS1516" s="81">
        <v>0</v>
      </c>
      <c r="AT1516" s="81">
        <v>0</v>
      </c>
      <c r="AU1516" s="81"/>
      <c r="AV1516" s="81"/>
      <c r="AW1516" s="81"/>
      <c r="AX1516" s="81"/>
      <c r="AY1516" s="81"/>
      <c r="AZ1516" s="81"/>
      <c r="BA1516" s="81"/>
      <c r="BB1516" s="81"/>
    </row>
    <row r="1517" spans="1:54" x14ac:dyDescent="0.35">
      <c r="A1517" s="66" t="s">
        <v>1069</v>
      </c>
      <c r="B1517" s="66" t="s">
        <v>1146</v>
      </c>
      <c r="C1517" s="67"/>
      <c r="D1517" s="68"/>
      <c r="E1517" s="69"/>
      <c r="F1517" s="70"/>
      <c r="G1517" s="67"/>
      <c r="H1517" s="71"/>
      <c r="I1517" s="72"/>
      <c r="J1517" s="72"/>
      <c r="K1517" s="36"/>
      <c r="L1517" s="79"/>
      <c r="M1517" s="79"/>
      <c r="N1517" s="74"/>
      <c r="O1517" s="81" t="s">
        <v>1532</v>
      </c>
      <c r="P1517" s="83">
        <v>44466.30505787037</v>
      </c>
      <c r="Q1517" s="81" t="s">
        <v>2091</v>
      </c>
      <c r="R1517" s="81"/>
      <c r="S1517" s="81"/>
      <c r="T1517" s="81"/>
      <c r="U1517" s="84" t="str">
        <f>HYPERLINK("https://pbs.twimg.com/ext_tw_video_thumb/1442373678990196737/pu/img/UDVgFvOXidN40Fez.jpg")</f>
        <v>https://pbs.twimg.com/ext_tw_video_thumb/1442373678990196737/pu/img/UDVgFvOXidN40Fez.jpg</v>
      </c>
      <c r="V1517" s="84" t="str">
        <f>HYPERLINK("https://pbs.twimg.com/ext_tw_video_thumb/1442373678990196737/pu/img/UDVgFvOXidN40Fez.jpg")</f>
        <v>https://pbs.twimg.com/ext_tw_video_thumb/1442373678990196737/pu/img/UDVgFvOXidN40Fez.jpg</v>
      </c>
      <c r="W1517" s="83">
        <v>44466.30505787037</v>
      </c>
      <c r="X1517" s="89">
        <v>44466</v>
      </c>
      <c r="Y1517" s="86" t="s">
        <v>3760</v>
      </c>
      <c r="Z1517" s="84" t="str">
        <f>HYPERLINK("https://twitter.com/perancahrindu/status/1442388357447708679")</f>
        <v>https://twitter.com/perancahrindu/status/1442388357447708679</v>
      </c>
      <c r="AA1517" s="81"/>
      <c r="AB1517" s="81"/>
      <c r="AC1517" s="86" t="s">
        <v>5231</v>
      </c>
      <c r="AD1517" s="81"/>
      <c r="AE1517" s="81" t="b">
        <v>0</v>
      </c>
      <c r="AF1517" s="81">
        <v>0</v>
      </c>
      <c r="AG1517" s="86" t="s">
        <v>6240</v>
      </c>
      <c r="AH1517" s="81" t="b">
        <v>0</v>
      </c>
      <c r="AI1517" s="81" t="s">
        <v>6478</v>
      </c>
      <c r="AJ1517" s="81"/>
      <c r="AK1517" s="86" t="s">
        <v>6240</v>
      </c>
      <c r="AL1517" s="81" t="b">
        <v>0</v>
      </c>
      <c r="AM1517" s="81">
        <v>30</v>
      </c>
      <c r="AN1517" s="86" t="s">
        <v>5524</v>
      </c>
      <c r="AO1517" s="86" t="s">
        <v>6503</v>
      </c>
      <c r="AP1517" s="81" t="b">
        <v>0</v>
      </c>
      <c r="AQ1517" s="86" t="s">
        <v>5524</v>
      </c>
      <c r="AR1517" s="81" t="s">
        <v>179</v>
      </c>
      <c r="AS1517" s="81">
        <v>0</v>
      </c>
      <c r="AT1517" s="81">
        <v>0</v>
      </c>
      <c r="AU1517" s="81"/>
      <c r="AV1517" s="81"/>
      <c r="AW1517" s="81"/>
      <c r="AX1517" s="81"/>
      <c r="AY1517" s="81"/>
      <c r="AZ1517" s="81"/>
      <c r="BA1517" s="81"/>
      <c r="BB1517" s="81"/>
    </row>
    <row r="1518" spans="1:54" x14ac:dyDescent="0.35">
      <c r="A1518" s="66" t="s">
        <v>1070</v>
      </c>
      <c r="B1518" s="66" t="s">
        <v>1491</v>
      </c>
      <c r="C1518" s="67"/>
      <c r="D1518" s="68"/>
      <c r="E1518" s="69"/>
      <c r="F1518" s="70"/>
      <c r="G1518" s="67"/>
      <c r="H1518" s="71"/>
      <c r="I1518" s="72"/>
      <c r="J1518" s="72"/>
      <c r="K1518" s="36"/>
      <c r="L1518" s="79"/>
      <c r="M1518" s="79"/>
      <c r="N1518" s="74"/>
      <c r="O1518" s="81" t="s">
        <v>1535</v>
      </c>
      <c r="P1518" s="83">
        <v>44466.306747685187</v>
      </c>
      <c r="Q1518" s="81" t="s">
        <v>2102</v>
      </c>
      <c r="R1518" s="81"/>
      <c r="S1518" s="81"/>
      <c r="T1518" s="81"/>
      <c r="U1518" s="84" t="str">
        <f>HYPERLINK("https://pbs.twimg.com/media/FARlHsrVUAUKRg2.jpg")</f>
        <v>https://pbs.twimg.com/media/FARlHsrVUAUKRg2.jpg</v>
      </c>
      <c r="V1518" s="84" t="str">
        <f>HYPERLINK("https://pbs.twimg.com/media/FARlHsrVUAUKRg2.jpg")</f>
        <v>https://pbs.twimg.com/media/FARlHsrVUAUKRg2.jpg</v>
      </c>
      <c r="W1518" s="83">
        <v>44466.306747685187</v>
      </c>
      <c r="X1518" s="89">
        <v>44466</v>
      </c>
      <c r="Y1518" s="86" t="s">
        <v>3761</v>
      </c>
      <c r="Z1518" s="84" t="str">
        <f>HYPERLINK("https://twitter.com/bawasludepok_/status/1442388970587914241")</f>
        <v>https://twitter.com/bawasludepok_/status/1442388970587914241</v>
      </c>
      <c r="AA1518" s="81"/>
      <c r="AB1518" s="81"/>
      <c r="AC1518" s="86" t="s">
        <v>5232</v>
      </c>
      <c r="AD1518" s="81"/>
      <c r="AE1518" s="81" t="b">
        <v>0</v>
      </c>
      <c r="AF1518" s="81">
        <v>5</v>
      </c>
      <c r="AG1518" s="86" t="s">
        <v>6240</v>
      </c>
      <c r="AH1518" s="81" t="b">
        <v>0</v>
      </c>
      <c r="AI1518" s="81" t="s">
        <v>6478</v>
      </c>
      <c r="AJ1518" s="81"/>
      <c r="AK1518" s="86" t="s">
        <v>6240</v>
      </c>
      <c r="AL1518" s="81" t="b">
        <v>0</v>
      </c>
      <c r="AM1518" s="81">
        <v>0</v>
      </c>
      <c r="AN1518" s="86" t="s">
        <v>6240</v>
      </c>
      <c r="AO1518" s="86" t="s">
        <v>6505</v>
      </c>
      <c r="AP1518" s="81" t="b">
        <v>0</v>
      </c>
      <c r="AQ1518" s="86" t="s">
        <v>5232</v>
      </c>
      <c r="AR1518" s="81" t="s">
        <v>179</v>
      </c>
      <c r="AS1518" s="81">
        <v>0</v>
      </c>
      <c r="AT1518" s="81">
        <v>0</v>
      </c>
      <c r="AU1518" s="81"/>
      <c r="AV1518" s="81"/>
      <c r="AW1518" s="81"/>
      <c r="AX1518" s="81"/>
      <c r="AY1518" s="81"/>
      <c r="AZ1518" s="81"/>
      <c r="BA1518" s="81"/>
      <c r="BB1518" s="81"/>
    </row>
    <row r="1519" spans="1:54" x14ac:dyDescent="0.35">
      <c r="A1519" s="66" t="s">
        <v>1070</v>
      </c>
      <c r="B1519" s="66" t="s">
        <v>1492</v>
      </c>
      <c r="C1519" s="67"/>
      <c r="D1519" s="68"/>
      <c r="E1519" s="69"/>
      <c r="F1519" s="70"/>
      <c r="G1519" s="67"/>
      <c r="H1519" s="71"/>
      <c r="I1519" s="72"/>
      <c r="J1519" s="72"/>
      <c r="K1519" s="36"/>
      <c r="L1519" s="79"/>
      <c r="M1519" s="79"/>
      <c r="N1519" s="74"/>
      <c r="O1519" s="81" t="s">
        <v>1535</v>
      </c>
      <c r="P1519" s="83">
        <v>44466.306747685187</v>
      </c>
      <c r="Q1519" s="81" t="s">
        <v>2102</v>
      </c>
      <c r="R1519" s="81"/>
      <c r="S1519" s="81"/>
      <c r="T1519" s="81"/>
      <c r="U1519" s="84" t="str">
        <f>HYPERLINK("https://pbs.twimg.com/media/FARlHsrVUAUKRg2.jpg")</f>
        <v>https://pbs.twimg.com/media/FARlHsrVUAUKRg2.jpg</v>
      </c>
      <c r="V1519" s="84" t="str">
        <f>HYPERLINK("https://pbs.twimg.com/media/FARlHsrVUAUKRg2.jpg")</f>
        <v>https://pbs.twimg.com/media/FARlHsrVUAUKRg2.jpg</v>
      </c>
      <c r="W1519" s="83">
        <v>44466.306747685187</v>
      </c>
      <c r="X1519" s="89">
        <v>44466</v>
      </c>
      <c r="Y1519" s="86" t="s">
        <v>3761</v>
      </c>
      <c r="Z1519" s="84" t="str">
        <f>HYPERLINK("https://twitter.com/bawasludepok_/status/1442388970587914241")</f>
        <v>https://twitter.com/bawasludepok_/status/1442388970587914241</v>
      </c>
      <c r="AA1519" s="81"/>
      <c r="AB1519" s="81"/>
      <c r="AC1519" s="86" t="s">
        <v>5232</v>
      </c>
      <c r="AD1519" s="81"/>
      <c r="AE1519" s="81" t="b">
        <v>0</v>
      </c>
      <c r="AF1519" s="81">
        <v>5</v>
      </c>
      <c r="AG1519" s="86" t="s">
        <v>6240</v>
      </c>
      <c r="AH1519" s="81" t="b">
        <v>0</v>
      </c>
      <c r="AI1519" s="81" t="s">
        <v>6478</v>
      </c>
      <c r="AJ1519" s="81"/>
      <c r="AK1519" s="86" t="s">
        <v>6240</v>
      </c>
      <c r="AL1519" s="81" t="b">
        <v>0</v>
      </c>
      <c r="AM1519" s="81">
        <v>0</v>
      </c>
      <c r="AN1519" s="86" t="s">
        <v>6240</v>
      </c>
      <c r="AO1519" s="86" t="s">
        <v>6505</v>
      </c>
      <c r="AP1519" s="81" t="b">
        <v>0</v>
      </c>
      <c r="AQ1519" s="86" t="s">
        <v>5232</v>
      </c>
      <c r="AR1519" s="81" t="s">
        <v>179</v>
      </c>
      <c r="AS1519" s="81">
        <v>0</v>
      </c>
      <c r="AT1519" s="81">
        <v>0</v>
      </c>
      <c r="AU1519" s="81"/>
      <c r="AV1519" s="81"/>
      <c r="AW1519" s="81"/>
      <c r="AX1519" s="81"/>
      <c r="AY1519" s="81"/>
      <c r="AZ1519" s="81"/>
      <c r="BA1519" s="81"/>
      <c r="BB1519" s="81"/>
    </row>
    <row r="1520" spans="1:54" x14ac:dyDescent="0.35">
      <c r="A1520" s="66" t="s">
        <v>1071</v>
      </c>
      <c r="B1520" s="66" t="s">
        <v>1071</v>
      </c>
      <c r="C1520" s="67"/>
      <c r="D1520" s="68"/>
      <c r="E1520" s="69"/>
      <c r="F1520" s="70"/>
      <c r="G1520" s="67"/>
      <c r="H1520" s="71"/>
      <c r="I1520" s="72"/>
      <c r="J1520" s="72"/>
      <c r="K1520" s="36"/>
      <c r="L1520" s="79"/>
      <c r="M1520" s="79"/>
      <c r="N1520" s="74"/>
      <c r="O1520" s="81" t="s">
        <v>179</v>
      </c>
      <c r="P1520" s="83">
        <v>44466.135497685187</v>
      </c>
      <c r="Q1520" s="81" t="s">
        <v>2054</v>
      </c>
      <c r="R1520" s="81"/>
      <c r="S1520" s="81"/>
      <c r="T1520" s="86" t="s">
        <v>2701</v>
      </c>
      <c r="U1520" s="84" t="str">
        <f>HYPERLINK("https://pbs.twimg.com/media/FAQsrN2VQAI9VeD.jpg")</f>
        <v>https://pbs.twimg.com/media/FAQsrN2VQAI9VeD.jpg</v>
      </c>
      <c r="V1520" s="84" t="str">
        <f>HYPERLINK("https://pbs.twimg.com/media/FAQsrN2VQAI9VeD.jpg")</f>
        <v>https://pbs.twimg.com/media/FAQsrN2VQAI9VeD.jpg</v>
      </c>
      <c r="W1520" s="83">
        <v>44466.135497685187</v>
      </c>
      <c r="X1520" s="89">
        <v>44466</v>
      </c>
      <c r="Y1520" s="86" t="s">
        <v>3762</v>
      </c>
      <c r="Z1520" s="84" t="str">
        <f>HYPERLINK("https://twitter.com/ikimlyth/status/1442326911783358471")</f>
        <v>https://twitter.com/ikimlyth/status/1442326911783358471</v>
      </c>
      <c r="AA1520" s="81"/>
      <c r="AB1520" s="81"/>
      <c r="AC1520" s="86" t="s">
        <v>5233</v>
      </c>
      <c r="AD1520" s="81"/>
      <c r="AE1520" s="81" t="b">
        <v>0</v>
      </c>
      <c r="AF1520" s="81">
        <v>1</v>
      </c>
      <c r="AG1520" s="86" t="s">
        <v>6240</v>
      </c>
      <c r="AH1520" s="81" t="b">
        <v>0</v>
      </c>
      <c r="AI1520" s="81" t="s">
        <v>6479</v>
      </c>
      <c r="AJ1520" s="81"/>
      <c r="AK1520" s="86" t="s">
        <v>6240</v>
      </c>
      <c r="AL1520" s="81" t="b">
        <v>0</v>
      </c>
      <c r="AM1520" s="81">
        <v>2</v>
      </c>
      <c r="AN1520" s="86" t="s">
        <v>6240</v>
      </c>
      <c r="AO1520" s="86" t="s">
        <v>6503</v>
      </c>
      <c r="AP1520" s="81" t="b">
        <v>0</v>
      </c>
      <c r="AQ1520" s="86" t="s">
        <v>5233</v>
      </c>
      <c r="AR1520" s="81" t="s">
        <v>179</v>
      </c>
      <c r="AS1520" s="81">
        <v>0</v>
      </c>
      <c r="AT1520" s="81">
        <v>0</v>
      </c>
      <c r="AU1520" s="81"/>
      <c r="AV1520" s="81"/>
      <c r="AW1520" s="81"/>
      <c r="AX1520" s="81"/>
      <c r="AY1520" s="81"/>
      <c r="AZ1520" s="81"/>
      <c r="BA1520" s="81"/>
      <c r="BB1520" s="81"/>
    </row>
    <row r="1521" spans="1:54" x14ac:dyDescent="0.35">
      <c r="A1521" s="66" t="s">
        <v>1072</v>
      </c>
      <c r="B1521" s="66" t="s">
        <v>1071</v>
      </c>
      <c r="C1521" s="67"/>
      <c r="D1521" s="68"/>
      <c r="E1521" s="69"/>
      <c r="F1521" s="70"/>
      <c r="G1521" s="67"/>
      <c r="H1521" s="71"/>
      <c r="I1521" s="72"/>
      <c r="J1521" s="72"/>
      <c r="K1521" s="36"/>
      <c r="L1521" s="79"/>
      <c r="M1521" s="79"/>
      <c r="N1521" s="74"/>
      <c r="O1521" s="81" t="s">
        <v>1532</v>
      </c>
      <c r="P1521" s="83">
        <v>44466.30840277778</v>
      </c>
      <c r="Q1521" s="81" t="s">
        <v>2054</v>
      </c>
      <c r="R1521" s="81"/>
      <c r="S1521" s="81"/>
      <c r="T1521" s="86" t="s">
        <v>2701</v>
      </c>
      <c r="U1521" s="84" t="str">
        <f>HYPERLINK("https://pbs.twimg.com/media/FAQsrN2VQAI9VeD.jpg")</f>
        <v>https://pbs.twimg.com/media/FAQsrN2VQAI9VeD.jpg</v>
      </c>
      <c r="V1521" s="84" t="str">
        <f>HYPERLINK("https://pbs.twimg.com/media/FAQsrN2VQAI9VeD.jpg")</f>
        <v>https://pbs.twimg.com/media/FAQsrN2VQAI9VeD.jpg</v>
      </c>
      <c r="W1521" s="83">
        <v>44466.30840277778</v>
      </c>
      <c r="X1521" s="89">
        <v>44466</v>
      </c>
      <c r="Y1521" s="86" t="s">
        <v>3763</v>
      </c>
      <c r="Z1521" s="84" t="str">
        <f>HYPERLINK("https://twitter.com/immaturekids_/status/1442389568758505479")</f>
        <v>https://twitter.com/immaturekids_/status/1442389568758505479</v>
      </c>
      <c r="AA1521" s="81"/>
      <c r="AB1521" s="81"/>
      <c r="AC1521" s="86" t="s">
        <v>5234</v>
      </c>
      <c r="AD1521" s="81"/>
      <c r="AE1521" s="81" t="b">
        <v>0</v>
      </c>
      <c r="AF1521" s="81">
        <v>0</v>
      </c>
      <c r="AG1521" s="86" t="s">
        <v>6240</v>
      </c>
      <c r="AH1521" s="81" t="b">
        <v>0</v>
      </c>
      <c r="AI1521" s="81" t="s">
        <v>6479</v>
      </c>
      <c r="AJ1521" s="81"/>
      <c r="AK1521" s="86" t="s">
        <v>6240</v>
      </c>
      <c r="AL1521" s="81" t="b">
        <v>0</v>
      </c>
      <c r="AM1521" s="81">
        <v>2</v>
      </c>
      <c r="AN1521" s="86" t="s">
        <v>5233</v>
      </c>
      <c r="AO1521" s="86" t="s">
        <v>6503</v>
      </c>
      <c r="AP1521" s="81" t="b">
        <v>0</v>
      </c>
      <c r="AQ1521" s="86" t="s">
        <v>5233</v>
      </c>
      <c r="AR1521" s="81" t="s">
        <v>179</v>
      </c>
      <c r="AS1521" s="81">
        <v>0</v>
      </c>
      <c r="AT1521" s="81">
        <v>0</v>
      </c>
      <c r="AU1521" s="81"/>
      <c r="AV1521" s="81"/>
      <c r="AW1521" s="81"/>
      <c r="AX1521" s="81"/>
      <c r="AY1521" s="81"/>
      <c r="AZ1521" s="81"/>
      <c r="BA1521" s="81"/>
      <c r="BB1521" s="81"/>
    </row>
    <row r="1522" spans="1:54" x14ac:dyDescent="0.35">
      <c r="A1522" s="66" t="s">
        <v>1073</v>
      </c>
      <c r="B1522" s="66" t="s">
        <v>1073</v>
      </c>
      <c r="C1522" s="67"/>
      <c r="D1522" s="68"/>
      <c r="E1522" s="69"/>
      <c r="F1522" s="70"/>
      <c r="G1522" s="67"/>
      <c r="H1522" s="71"/>
      <c r="I1522" s="72"/>
      <c r="J1522" s="72"/>
      <c r="K1522" s="36"/>
      <c r="L1522" s="79"/>
      <c r="M1522" s="79"/>
      <c r="N1522" s="74"/>
      <c r="O1522" s="81" t="s">
        <v>179</v>
      </c>
      <c r="P1522" s="83">
        <v>44466.313935185186</v>
      </c>
      <c r="Q1522" s="81" t="s">
        <v>2103</v>
      </c>
      <c r="R1522" s="81"/>
      <c r="S1522" s="81"/>
      <c r="T1522" s="81"/>
      <c r="U1522" s="84" t="str">
        <f>HYPERLINK("https://pbs.twimg.com/ext_tw_video_thumb/1442391504043999236/pu/img/iy4j5jhYwsCi9wPZ.jpg")</f>
        <v>https://pbs.twimg.com/ext_tw_video_thumb/1442391504043999236/pu/img/iy4j5jhYwsCi9wPZ.jpg</v>
      </c>
      <c r="V1522" s="84" t="str">
        <f>HYPERLINK("https://pbs.twimg.com/ext_tw_video_thumb/1442391504043999236/pu/img/iy4j5jhYwsCi9wPZ.jpg")</f>
        <v>https://pbs.twimg.com/ext_tw_video_thumb/1442391504043999236/pu/img/iy4j5jhYwsCi9wPZ.jpg</v>
      </c>
      <c r="W1522" s="83">
        <v>44466.313935185186</v>
      </c>
      <c r="X1522" s="89">
        <v>44466</v>
      </c>
      <c r="Y1522" s="86" t="s">
        <v>3764</v>
      </c>
      <c r="Z1522" s="84" t="str">
        <f>HYPERLINK("https://twitter.com/himaska_unri/status/1442391574554365954")</f>
        <v>https://twitter.com/himaska_unri/status/1442391574554365954</v>
      </c>
      <c r="AA1522" s="81"/>
      <c r="AB1522" s="81"/>
      <c r="AC1522" s="86" t="s">
        <v>5235</v>
      </c>
      <c r="AD1522" s="81"/>
      <c r="AE1522" s="81" t="b">
        <v>0</v>
      </c>
      <c r="AF1522" s="81">
        <v>0</v>
      </c>
      <c r="AG1522" s="86" t="s">
        <v>6240</v>
      </c>
      <c r="AH1522" s="81" t="b">
        <v>0</v>
      </c>
      <c r="AI1522" s="81" t="s">
        <v>6478</v>
      </c>
      <c r="AJ1522" s="81"/>
      <c r="AK1522" s="86" t="s">
        <v>6240</v>
      </c>
      <c r="AL1522" s="81" t="b">
        <v>0</v>
      </c>
      <c r="AM1522" s="81">
        <v>0</v>
      </c>
      <c r="AN1522" s="86" t="s">
        <v>6240</v>
      </c>
      <c r="AO1522" s="86" t="s">
        <v>6505</v>
      </c>
      <c r="AP1522" s="81" t="b">
        <v>0</v>
      </c>
      <c r="AQ1522" s="86" t="s">
        <v>5235</v>
      </c>
      <c r="AR1522" s="81" t="s">
        <v>179</v>
      </c>
      <c r="AS1522" s="81">
        <v>0</v>
      </c>
      <c r="AT1522" s="81">
        <v>0</v>
      </c>
      <c r="AU1522" s="81"/>
      <c r="AV1522" s="81"/>
      <c r="AW1522" s="81"/>
      <c r="AX1522" s="81"/>
      <c r="AY1522" s="81"/>
      <c r="AZ1522" s="81"/>
      <c r="BA1522" s="81"/>
      <c r="BB1522" s="81"/>
    </row>
    <row r="1523" spans="1:54" x14ac:dyDescent="0.35">
      <c r="A1523" s="66" t="s">
        <v>1073</v>
      </c>
      <c r="B1523" s="66" t="s">
        <v>1073</v>
      </c>
      <c r="C1523" s="67"/>
      <c r="D1523" s="68"/>
      <c r="E1523" s="69"/>
      <c r="F1523" s="70"/>
      <c r="G1523" s="67"/>
      <c r="H1523" s="71"/>
      <c r="I1523" s="72"/>
      <c r="J1523" s="72"/>
      <c r="K1523" s="36"/>
      <c r="L1523" s="79"/>
      <c r="M1523" s="79"/>
      <c r="N1523" s="74"/>
      <c r="O1523" s="81" t="s">
        <v>179</v>
      </c>
      <c r="P1523" s="83">
        <v>44466.313958333332</v>
      </c>
      <c r="Q1523" s="81" t="s">
        <v>2104</v>
      </c>
      <c r="R1523" s="81"/>
      <c r="S1523" s="81"/>
      <c r="T1523" s="81"/>
      <c r="U1523" s="81"/>
      <c r="V1523" s="84" t="str">
        <f>HYPERLINK("https://pbs.twimg.com/profile_images/1108334157216641024/KUQTkC51_normal.jpg")</f>
        <v>https://pbs.twimg.com/profile_images/1108334157216641024/KUQTkC51_normal.jpg</v>
      </c>
      <c r="W1523" s="83">
        <v>44466.313958333332</v>
      </c>
      <c r="X1523" s="89">
        <v>44466</v>
      </c>
      <c r="Y1523" s="86" t="s">
        <v>3765</v>
      </c>
      <c r="Z1523" s="84" t="str">
        <f>HYPERLINK("https://twitter.com/himaska_unri/status/1442391581999304709")</f>
        <v>https://twitter.com/himaska_unri/status/1442391581999304709</v>
      </c>
      <c r="AA1523" s="81"/>
      <c r="AB1523" s="81"/>
      <c r="AC1523" s="86" t="s">
        <v>5236</v>
      </c>
      <c r="AD1523" s="86" t="s">
        <v>6181</v>
      </c>
      <c r="AE1523" s="81" t="b">
        <v>0</v>
      </c>
      <c r="AF1523" s="81">
        <v>0</v>
      </c>
      <c r="AG1523" s="86" t="s">
        <v>6433</v>
      </c>
      <c r="AH1523" s="81" t="b">
        <v>0</v>
      </c>
      <c r="AI1523" s="81" t="s">
        <v>6478</v>
      </c>
      <c r="AJ1523" s="81"/>
      <c r="AK1523" s="86" t="s">
        <v>6240</v>
      </c>
      <c r="AL1523" s="81" t="b">
        <v>0</v>
      </c>
      <c r="AM1523" s="81">
        <v>0</v>
      </c>
      <c r="AN1523" s="86" t="s">
        <v>6240</v>
      </c>
      <c r="AO1523" s="86" t="s">
        <v>6505</v>
      </c>
      <c r="AP1523" s="81" t="b">
        <v>0</v>
      </c>
      <c r="AQ1523" s="86" t="s">
        <v>6181</v>
      </c>
      <c r="AR1523" s="81" t="s">
        <v>179</v>
      </c>
      <c r="AS1523" s="81">
        <v>0</v>
      </c>
      <c r="AT1523" s="81">
        <v>0</v>
      </c>
      <c r="AU1523" s="81"/>
      <c r="AV1523" s="81"/>
      <c r="AW1523" s="81"/>
      <c r="AX1523" s="81"/>
      <c r="AY1523" s="81"/>
      <c r="AZ1523" s="81"/>
      <c r="BA1523" s="81"/>
      <c r="BB1523" s="81"/>
    </row>
    <row r="1524" spans="1:54" x14ac:dyDescent="0.35">
      <c r="A1524" s="66" t="s">
        <v>1073</v>
      </c>
      <c r="B1524" s="66" t="s">
        <v>1073</v>
      </c>
      <c r="C1524" s="67"/>
      <c r="D1524" s="68"/>
      <c r="E1524" s="69"/>
      <c r="F1524" s="70"/>
      <c r="G1524" s="67"/>
      <c r="H1524" s="71"/>
      <c r="I1524" s="72"/>
      <c r="J1524" s="72"/>
      <c r="K1524" s="36"/>
      <c r="L1524" s="79"/>
      <c r="M1524" s="79"/>
      <c r="N1524" s="74"/>
      <c r="O1524" s="81" t="s">
        <v>179</v>
      </c>
      <c r="P1524" s="83">
        <v>44466.313958333332</v>
      </c>
      <c r="Q1524" s="81" t="s">
        <v>2105</v>
      </c>
      <c r="R1524" s="81"/>
      <c r="S1524" s="81"/>
      <c r="T1524" s="81"/>
      <c r="U1524" s="81"/>
      <c r="V1524" s="84" t="str">
        <f>HYPERLINK("https://pbs.twimg.com/profile_images/1108334157216641024/KUQTkC51_normal.jpg")</f>
        <v>https://pbs.twimg.com/profile_images/1108334157216641024/KUQTkC51_normal.jpg</v>
      </c>
      <c r="W1524" s="83">
        <v>44466.313958333332</v>
      </c>
      <c r="X1524" s="89">
        <v>44466</v>
      </c>
      <c r="Y1524" s="86" t="s">
        <v>3765</v>
      </c>
      <c r="Z1524" s="84" t="str">
        <f>HYPERLINK("https://twitter.com/himaska_unri/status/1442391585405079567")</f>
        <v>https://twitter.com/himaska_unri/status/1442391585405079567</v>
      </c>
      <c r="AA1524" s="81"/>
      <c r="AB1524" s="81"/>
      <c r="AC1524" s="86" t="s">
        <v>5237</v>
      </c>
      <c r="AD1524" s="86" t="s">
        <v>6182</v>
      </c>
      <c r="AE1524" s="81" t="b">
        <v>0</v>
      </c>
      <c r="AF1524" s="81">
        <v>0</v>
      </c>
      <c r="AG1524" s="86" t="s">
        <v>6433</v>
      </c>
      <c r="AH1524" s="81" t="b">
        <v>0</v>
      </c>
      <c r="AI1524" s="81" t="s">
        <v>6478</v>
      </c>
      <c r="AJ1524" s="81"/>
      <c r="AK1524" s="86" t="s">
        <v>6240</v>
      </c>
      <c r="AL1524" s="81" t="b">
        <v>0</v>
      </c>
      <c r="AM1524" s="81">
        <v>0</v>
      </c>
      <c r="AN1524" s="86" t="s">
        <v>6240</v>
      </c>
      <c r="AO1524" s="86" t="s">
        <v>6505</v>
      </c>
      <c r="AP1524" s="81" t="b">
        <v>0</v>
      </c>
      <c r="AQ1524" s="86" t="s">
        <v>6182</v>
      </c>
      <c r="AR1524" s="81" t="s">
        <v>179</v>
      </c>
      <c r="AS1524" s="81">
        <v>0</v>
      </c>
      <c r="AT1524" s="81">
        <v>0</v>
      </c>
      <c r="AU1524" s="81"/>
      <c r="AV1524" s="81"/>
      <c r="AW1524" s="81"/>
      <c r="AX1524" s="81"/>
      <c r="AY1524" s="81"/>
      <c r="AZ1524" s="81"/>
      <c r="BA1524" s="81"/>
      <c r="BB1524" s="81"/>
    </row>
    <row r="1525" spans="1:54" x14ac:dyDescent="0.35">
      <c r="A1525" s="66" t="s">
        <v>1073</v>
      </c>
      <c r="B1525" s="66" t="s">
        <v>1073</v>
      </c>
      <c r="C1525" s="67"/>
      <c r="D1525" s="68"/>
      <c r="E1525" s="69"/>
      <c r="F1525" s="70"/>
      <c r="G1525" s="67"/>
      <c r="H1525" s="71"/>
      <c r="I1525" s="72"/>
      <c r="J1525" s="72"/>
      <c r="K1525" s="36"/>
      <c r="L1525" s="79"/>
      <c r="M1525" s="79"/>
      <c r="N1525" s="74"/>
      <c r="O1525" s="81" t="s">
        <v>179</v>
      </c>
      <c r="P1525" s="83">
        <v>44466.313969907409</v>
      </c>
      <c r="Q1525" s="81" t="s">
        <v>2106</v>
      </c>
      <c r="R1525" s="84" t="str">
        <f>HYPERLINK("https://tirto.id/")</f>
        <v>https://tirto.id/</v>
      </c>
      <c r="S1525" s="81" t="s">
        <v>2642</v>
      </c>
      <c r="T1525" s="81"/>
      <c r="U1525" s="81"/>
      <c r="V1525" s="84" t="str">
        <f>HYPERLINK("https://pbs.twimg.com/profile_images/1108334157216641024/KUQTkC51_normal.jpg")</f>
        <v>https://pbs.twimg.com/profile_images/1108334157216641024/KUQTkC51_normal.jpg</v>
      </c>
      <c r="W1525" s="83">
        <v>44466.313969907409</v>
      </c>
      <c r="X1525" s="89">
        <v>44466</v>
      </c>
      <c r="Y1525" s="86" t="s">
        <v>3766</v>
      </c>
      <c r="Z1525" s="84" t="str">
        <f>HYPERLINK("https://twitter.com/himaska_unri/status/1442391589733613569")</f>
        <v>https://twitter.com/himaska_unri/status/1442391589733613569</v>
      </c>
      <c r="AA1525" s="81"/>
      <c r="AB1525" s="81"/>
      <c r="AC1525" s="86" t="s">
        <v>5238</v>
      </c>
      <c r="AD1525" s="86" t="s">
        <v>6183</v>
      </c>
      <c r="AE1525" s="81" t="b">
        <v>0</v>
      </c>
      <c r="AF1525" s="81">
        <v>0</v>
      </c>
      <c r="AG1525" s="86" t="s">
        <v>6433</v>
      </c>
      <c r="AH1525" s="81" t="b">
        <v>0</v>
      </c>
      <c r="AI1525" s="81" t="s">
        <v>6478</v>
      </c>
      <c r="AJ1525" s="81"/>
      <c r="AK1525" s="86" t="s">
        <v>6240</v>
      </c>
      <c r="AL1525" s="81" t="b">
        <v>0</v>
      </c>
      <c r="AM1525" s="81">
        <v>0</v>
      </c>
      <c r="AN1525" s="86" t="s">
        <v>6240</v>
      </c>
      <c r="AO1525" s="86" t="s">
        <v>6505</v>
      </c>
      <c r="AP1525" s="81" t="b">
        <v>0</v>
      </c>
      <c r="AQ1525" s="86" t="s">
        <v>6183</v>
      </c>
      <c r="AR1525" s="81" t="s">
        <v>179</v>
      </c>
      <c r="AS1525" s="81">
        <v>0</v>
      </c>
      <c r="AT1525" s="81">
        <v>0</v>
      </c>
      <c r="AU1525" s="81"/>
      <c r="AV1525" s="81"/>
      <c r="AW1525" s="81"/>
      <c r="AX1525" s="81"/>
      <c r="AY1525" s="81"/>
      <c r="AZ1525" s="81"/>
      <c r="BA1525" s="81"/>
      <c r="BB1525" s="81"/>
    </row>
    <row r="1526" spans="1:54" x14ac:dyDescent="0.35">
      <c r="A1526" s="66" t="s">
        <v>1074</v>
      </c>
      <c r="B1526" s="66" t="s">
        <v>1074</v>
      </c>
      <c r="C1526" s="67"/>
      <c r="D1526" s="68"/>
      <c r="E1526" s="69"/>
      <c r="F1526" s="70"/>
      <c r="G1526" s="67"/>
      <c r="H1526" s="71"/>
      <c r="I1526" s="72"/>
      <c r="J1526" s="72"/>
      <c r="K1526" s="36"/>
      <c r="L1526" s="79"/>
      <c r="M1526" s="79"/>
      <c r="N1526" s="74"/>
      <c r="O1526" s="81" t="s">
        <v>179</v>
      </c>
      <c r="P1526" s="83">
        <v>44460.159050925926</v>
      </c>
      <c r="Q1526" s="81" t="s">
        <v>2107</v>
      </c>
      <c r="R1526" s="84" t="str">
        <f>HYPERLINK("https://www.parapuan.co/read/532901460/lowongan-kerja-bumn-lulusan-smasmk-di-pos-indonesia-apa-persyaratannya?utm_source=dlvr.it&amp;utm_medium=twitter")</f>
        <v>https://www.parapuan.co/read/532901460/lowongan-kerja-bumn-lulusan-smasmk-di-pos-indonesia-apa-persyaratannya?utm_source=dlvr.it&amp;utm_medium=twitter</v>
      </c>
      <c r="S1526" s="81" t="s">
        <v>2643</v>
      </c>
      <c r="T1526" s="81"/>
      <c r="U1526" s="81"/>
      <c r="V1526" s="84" t="str">
        <f>HYPERLINK("https://pbs.twimg.com/profile_images/1356465610100592640/kRIYdUjV_normal.jpg")</f>
        <v>https://pbs.twimg.com/profile_images/1356465610100592640/kRIYdUjV_normal.jpg</v>
      </c>
      <c r="W1526" s="83">
        <v>44460.159050925926</v>
      </c>
      <c r="X1526" s="89">
        <v>44460</v>
      </c>
      <c r="Y1526" s="86" t="s">
        <v>3767</v>
      </c>
      <c r="Z1526" s="84" t="str">
        <f>HYPERLINK("https://twitter.com/cerita_parapuan/status/1440161118995902471")</f>
        <v>https://twitter.com/cerita_parapuan/status/1440161118995902471</v>
      </c>
      <c r="AA1526" s="81"/>
      <c r="AB1526" s="81"/>
      <c r="AC1526" s="86" t="s">
        <v>5239</v>
      </c>
      <c r="AD1526" s="81"/>
      <c r="AE1526" s="81" t="b">
        <v>0</v>
      </c>
      <c r="AF1526" s="81">
        <v>0</v>
      </c>
      <c r="AG1526" s="86" t="s">
        <v>6240</v>
      </c>
      <c r="AH1526" s="81" t="b">
        <v>0</v>
      </c>
      <c r="AI1526" s="81" t="s">
        <v>6478</v>
      </c>
      <c r="AJ1526" s="81"/>
      <c r="AK1526" s="86" t="s">
        <v>6240</v>
      </c>
      <c r="AL1526" s="81" t="b">
        <v>0</v>
      </c>
      <c r="AM1526" s="81">
        <v>0</v>
      </c>
      <c r="AN1526" s="86" t="s">
        <v>6240</v>
      </c>
      <c r="AO1526" s="86" t="s">
        <v>6515</v>
      </c>
      <c r="AP1526" s="81" t="b">
        <v>0</v>
      </c>
      <c r="AQ1526" s="86" t="s">
        <v>5239</v>
      </c>
      <c r="AR1526" s="81" t="s">
        <v>179</v>
      </c>
      <c r="AS1526" s="81">
        <v>0</v>
      </c>
      <c r="AT1526" s="81">
        <v>0</v>
      </c>
      <c r="AU1526" s="81"/>
      <c r="AV1526" s="81"/>
      <c r="AW1526" s="81"/>
      <c r="AX1526" s="81"/>
      <c r="AY1526" s="81"/>
      <c r="AZ1526" s="81"/>
      <c r="BA1526" s="81"/>
      <c r="BB1526" s="81"/>
    </row>
    <row r="1527" spans="1:54" x14ac:dyDescent="0.35">
      <c r="A1527" s="66" t="s">
        <v>1074</v>
      </c>
      <c r="B1527" s="66" t="s">
        <v>1074</v>
      </c>
      <c r="C1527" s="67"/>
      <c r="D1527" s="68"/>
      <c r="E1527" s="69"/>
      <c r="F1527" s="70"/>
      <c r="G1527" s="67"/>
      <c r="H1527" s="71"/>
      <c r="I1527" s="72"/>
      <c r="J1527" s="72"/>
      <c r="K1527" s="36"/>
      <c r="L1527" s="79"/>
      <c r="M1527" s="79"/>
      <c r="N1527" s="74"/>
      <c r="O1527" s="81" t="s">
        <v>179</v>
      </c>
      <c r="P1527" s="83">
        <v>44466.314953703702</v>
      </c>
      <c r="Q1527" s="81" t="s">
        <v>2108</v>
      </c>
      <c r="R1527" s="84" t="str">
        <f>HYPERLINK("https://www.parapuan.co/read/532912265/lowongan-kerja-bumn-lulusan-sma-di-pos-indonesia-timor-tengah-utara?utm_source=dlvr.it&amp;utm_medium=twitter")</f>
        <v>https://www.parapuan.co/read/532912265/lowongan-kerja-bumn-lulusan-sma-di-pos-indonesia-timor-tengah-utara?utm_source=dlvr.it&amp;utm_medium=twitter</v>
      </c>
      <c r="S1527" s="81" t="s">
        <v>2643</v>
      </c>
      <c r="T1527" s="81"/>
      <c r="U1527" s="81"/>
      <c r="V1527" s="84" t="str">
        <f>HYPERLINK("https://pbs.twimg.com/profile_images/1356465610100592640/kRIYdUjV_normal.jpg")</f>
        <v>https://pbs.twimg.com/profile_images/1356465610100592640/kRIYdUjV_normal.jpg</v>
      </c>
      <c r="W1527" s="83">
        <v>44466.314953703702</v>
      </c>
      <c r="X1527" s="89">
        <v>44466</v>
      </c>
      <c r="Y1527" s="86" t="s">
        <v>3768</v>
      </c>
      <c r="Z1527" s="84" t="str">
        <f>HYPERLINK("https://twitter.com/cerita_parapuan/status/1442391944122884097")</f>
        <v>https://twitter.com/cerita_parapuan/status/1442391944122884097</v>
      </c>
      <c r="AA1527" s="81"/>
      <c r="AB1527" s="81"/>
      <c r="AC1527" s="86" t="s">
        <v>5240</v>
      </c>
      <c r="AD1527" s="81"/>
      <c r="AE1527" s="81" t="b">
        <v>0</v>
      </c>
      <c r="AF1527" s="81">
        <v>0</v>
      </c>
      <c r="AG1527" s="86" t="s">
        <v>6240</v>
      </c>
      <c r="AH1527" s="81" t="b">
        <v>0</v>
      </c>
      <c r="AI1527" s="81" t="s">
        <v>6478</v>
      </c>
      <c r="AJ1527" s="81"/>
      <c r="AK1527" s="86" t="s">
        <v>6240</v>
      </c>
      <c r="AL1527" s="81" t="b">
        <v>0</v>
      </c>
      <c r="AM1527" s="81">
        <v>0</v>
      </c>
      <c r="AN1527" s="86" t="s">
        <v>6240</v>
      </c>
      <c r="AO1527" s="86" t="s">
        <v>6515</v>
      </c>
      <c r="AP1527" s="81" t="b">
        <v>0</v>
      </c>
      <c r="AQ1527" s="86" t="s">
        <v>5240</v>
      </c>
      <c r="AR1527" s="81" t="s">
        <v>179</v>
      </c>
      <c r="AS1527" s="81">
        <v>0</v>
      </c>
      <c r="AT1527" s="81">
        <v>0</v>
      </c>
      <c r="AU1527" s="81"/>
      <c r="AV1527" s="81"/>
      <c r="AW1527" s="81"/>
      <c r="AX1527" s="81"/>
      <c r="AY1527" s="81"/>
      <c r="AZ1527" s="81"/>
      <c r="BA1527" s="81"/>
      <c r="BB1527" s="81"/>
    </row>
    <row r="1528" spans="1:54" x14ac:dyDescent="0.35">
      <c r="A1528" s="66" t="s">
        <v>1075</v>
      </c>
      <c r="B1528" s="66" t="s">
        <v>1075</v>
      </c>
      <c r="C1528" s="67"/>
      <c r="D1528" s="68"/>
      <c r="E1528" s="69"/>
      <c r="F1528" s="70"/>
      <c r="G1528" s="67"/>
      <c r="H1528" s="71"/>
      <c r="I1528" s="72"/>
      <c r="J1528" s="72"/>
      <c r="K1528" s="36"/>
      <c r="L1528" s="79"/>
      <c r="M1528" s="79"/>
      <c r="N1528" s="74"/>
      <c r="O1528" s="81" t="s">
        <v>179</v>
      </c>
      <c r="P1528" s="83">
        <v>44466.319826388892</v>
      </c>
      <c r="Q1528" s="81" t="s">
        <v>2109</v>
      </c>
      <c r="R1528" s="81"/>
      <c r="S1528" s="81"/>
      <c r="T1528" s="81"/>
      <c r="U1528" s="84" t="str">
        <f>HYPERLINK("https://pbs.twimg.com/media/FARpbWWVQAoxW2H.jpg")</f>
        <v>https://pbs.twimg.com/media/FARpbWWVQAoxW2H.jpg</v>
      </c>
      <c r="V1528" s="84" t="str">
        <f>HYPERLINK("https://pbs.twimg.com/media/FARpbWWVQAoxW2H.jpg")</f>
        <v>https://pbs.twimg.com/media/FARpbWWVQAoxW2H.jpg</v>
      </c>
      <c r="W1528" s="83">
        <v>44466.319826388892</v>
      </c>
      <c r="X1528" s="89">
        <v>44466</v>
      </c>
      <c r="Y1528" s="86" t="s">
        <v>3769</v>
      </c>
      <c r="Z1528" s="84" t="str">
        <f>HYPERLINK("https://twitter.com/rnarendro_w/status/1442393709002170370")</f>
        <v>https://twitter.com/rnarendro_w/status/1442393709002170370</v>
      </c>
      <c r="AA1528" s="81"/>
      <c r="AB1528" s="81"/>
      <c r="AC1528" s="86" t="s">
        <v>5241</v>
      </c>
      <c r="AD1528" s="81"/>
      <c r="AE1528" s="81" t="b">
        <v>0</v>
      </c>
      <c r="AF1528" s="81">
        <v>0</v>
      </c>
      <c r="AG1528" s="86" t="s">
        <v>6240</v>
      </c>
      <c r="AH1528" s="81" t="b">
        <v>0</v>
      </c>
      <c r="AI1528" s="81" t="s">
        <v>6478</v>
      </c>
      <c r="AJ1528" s="81"/>
      <c r="AK1528" s="86" t="s">
        <v>6240</v>
      </c>
      <c r="AL1528" s="81" t="b">
        <v>0</v>
      </c>
      <c r="AM1528" s="81">
        <v>0</v>
      </c>
      <c r="AN1528" s="86" t="s">
        <v>6240</v>
      </c>
      <c r="AO1528" s="86" t="s">
        <v>6503</v>
      </c>
      <c r="AP1528" s="81" t="b">
        <v>0</v>
      </c>
      <c r="AQ1528" s="86" t="s">
        <v>5241</v>
      </c>
      <c r="AR1528" s="81" t="s">
        <v>179</v>
      </c>
      <c r="AS1528" s="81">
        <v>0</v>
      </c>
      <c r="AT1528" s="81">
        <v>0</v>
      </c>
      <c r="AU1528" s="81"/>
      <c r="AV1528" s="81"/>
      <c r="AW1528" s="81"/>
      <c r="AX1528" s="81"/>
      <c r="AY1528" s="81"/>
      <c r="AZ1528" s="81"/>
      <c r="BA1528" s="81"/>
      <c r="BB1528" s="81"/>
    </row>
    <row r="1529" spans="1:54" x14ac:dyDescent="0.35">
      <c r="A1529" s="66" t="s">
        <v>1076</v>
      </c>
      <c r="B1529" s="66" t="s">
        <v>1247</v>
      </c>
      <c r="C1529" s="67"/>
      <c r="D1529" s="68"/>
      <c r="E1529" s="69"/>
      <c r="F1529" s="70"/>
      <c r="G1529" s="67"/>
      <c r="H1529" s="71"/>
      <c r="I1529" s="72"/>
      <c r="J1529" s="72"/>
      <c r="K1529" s="36"/>
      <c r="L1529" s="79"/>
      <c r="M1529" s="79"/>
      <c r="N1529" s="74"/>
      <c r="O1529" s="81" t="s">
        <v>1532</v>
      </c>
      <c r="P1529" s="83">
        <v>44466.329247685186</v>
      </c>
      <c r="Q1529" s="81" t="s">
        <v>2110</v>
      </c>
      <c r="R1529" s="81"/>
      <c r="S1529" s="81"/>
      <c r="T1529" s="86" t="s">
        <v>2667</v>
      </c>
      <c r="U1529" s="84" t="str">
        <f>HYPERLINK("https://pbs.twimg.com/media/FARq0TBVUAYl272.jpg")</f>
        <v>https://pbs.twimg.com/media/FARq0TBVUAYl272.jpg</v>
      </c>
      <c r="V1529" s="84" t="str">
        <f>HYPERLINK("https://pbs.twimg.com/media/FARq0TBVUAYl272.jpg")</f>
        <v>https://pbs.twimg.com/media/FARq0TBVUAYl272.jpg</v>
      </c>
      <c r="W1529" s="83">
        <v>44466.329247685186</v>
      </c>
      <c r="X1529" s="89">
        <v>44466</v>
      </c>
      <c r="Y1529" s="86" t="s">
        <v>3770</v>
      </c>
      <c r="Z1529" s="84" t="str">
        <f>HYPERLINK("https://twitter.com/myaccnotyours_/status/1442397124491034624")</f>
        <v>https://twitter.com/myaccnotyours_/status/1442397124491034624</v>
      </c>
      <c r="AA1529" s="81"/>
      <c r="AB1529" s="81"/>
      <c r="AC1529" s="86" t="s">
        <v>5242</v>
      </c>
      <c r="AD1529" s="81"/>
      <c r="AE1529" s="81" t="b">
        <v>0</v>
      </c>
      <c r="AF1529" s="81">
        <v>0</v>
      </c>
      <c r="AG1529" s="86" t="s">
        <v>6240</v>
      </c>
      <c r="AH1529" s="81" t="b">
        <v>0</v>
      </c>
      <c r="AI1529" s="81" t="s">
        <v>6479</v>
      </c>
      <c r="AJ1529" s="81"/>
      <c r="AK1529" s="86" t="s">
        <v>6240</v>
      </c>
      <c r="AL1529" s="81" t="b">
        <v>0</v>
      </c>
      <c r="AM1529" s="81">
        <v>9</v>
      </c>
      <c r="AN1529" s="86" t="s">
        <v>5505</v>
      </c>
      <c r="AO1529" s="86" t="s">
        <v>6503</v>
      </c>
      <c r="AP1529" s="81" t="b">
        <v>0</v>
      </c>
      <c r="AQ1529" s="86" t="s">
        <v>5505</v>
      </c>
      <c r="AR1529" s="81" t="s">
        <v>179</v>
      </c>
      <c r="AS1529" s="81">
        <v>0</v>
      </c>
      <c r="AT1529" s="81">
        <v>0</v>
      </c>
      <c r="AU1529" s="81"/>
      <c r="AV1529" s="81"/>
      <c r="AW1529" s="81"/>
      <c r="AX1529" s="81"/>
      <c r="AY1529" s="81"/>
      <c r="AZ1529" s="81"/>
      <c r="BA1529" s="81"/>
      <c r="BB1529" s="81"/>
    </row>
    <row r="1530" spans="1:54" x14ac:dyDescent="0.35">
      <c r="A1530" s="66" t="s">
        <v>1077</v>
      </c>
      <c r="B1530" s="66" t="s">
        <v>1247</v>
      </c>
      <c r="C1530" s="67"/>
      <c r="D1530" s="68"/>
      <c r="E1530" s="69"/>
      <c r="F1530" s="70"/>
      <c r="G1530" s="67"/>
      <c r="H1530" s="71"/>
      <c r="I1530" s="72"/>
      <c r="J1530" s="72"/>
      <c r="K1530" s="36"/>
      <c r="L1530" s="79"/>
      <c r="M1530" s="79"/>
      <c r="N1530" s="74"/>
      <c r="O1530" s="81" t="s">
        <v>1532</v>
      </c>
      <c r="P1530" s="83">
        <v>44466.329780092594</v>
      </c>
      <c r="Q1530" s="81" t="s">
        <v>2110</v>
      </c>
      <c r="R1530" s="81"/>
      <c r="S1530" s="81"/>
      <c r="T1530" s="86" t="s">
        <v>2667</v>
      </c>
      <c r="U1530" s="84" t="str">
        <f>HYPERLINK("https://pbs.twimg.com/media/FARq0TBVUAYl272.jpg")</f>
        <v>https://pbs.twimg.com/media/FARq0TBVUAYl272.jpg</v>
      </c>
      <c r="V1530" s="84" t="str">
        <f>HYPERLINK("https://pbs.twimg.com/media/FARq0TBVUAYl272.jpg")</f>
        <v>https://pbs.twimg.com/media/FARq0TBVUAYl272.jpg</v>
      </c>
      <c r="W1530" s="83">
        <v>44466.329780092594</v>
      </c>
      <c r="X1530" s="89">
        <v>44466</v>
      </c>
      <c r="Y1530" s="86" t="s">
        <v>3771</v>
      </c>
      <c r="Z1530" s="84" t="str">
        <f>HYPERLINK("https://twitter.com/jiniretkkami/status/1442397318431461387")</f>
        <v>https://twitter.com/jiniretkkami/status/1442397318431461387</v>
      </c>
      <c r="AA1530" s="81"/>
      <c r="AB1530" s="81"/>
      <c r="AC1530" s="86" t="s">
        <v>5243</v>
      </c>
      <c r="AD1530" s="81"/>
      <c r="AE1530" s="81" t="b">
        <v>0</v>
      </c>
      <c r="AF1530" s="81">
        <v>0</v>
      </c>
      <c r="AG1530" s="86" t="s">
        <v>6240</v>
      </c>
      <c r="AH1530" s="81" t="b">
        <v>0</v>
      </c>
      <c r="AI1530" s="81" t="s">
        <v>6479</v>
      </c>
      <c r="AJ1530" s="81"/>
      <c r="AK1530" s="86" t="s">
        <v>6240</v>
      </c>
      <c r="AL1530" s="81" t="b">
        <v>0</v>
      </c>
      <c r="AM1530" s="81">
        <v>9</v>
      </c>
      <c r="AN1530" s="86" t="s">
        <v>5505</v>
      </c>
      <c r="AO1530" s="86" t="s">
        <v>6505</v>
      </c>
      <c r="AP1530" s="81" t="b">
        <v>0</v>
      </c>
      <c r="AQ1530" s="86" t="s">
        <v>5505</v>
      </c>
      <c r="AR1530" s="81" t="s">
        <v>179</v>
      </c>
      <c r="AS1530" s="81">
        <v>0</v>
      </c>
      <c r="AT1530" s="81">
        <v>0</v>
      </c>
      <c r="AU1530" s="81"/>
      <c r="AV1530" s="81"/>
      <c r="AW1530" s="81"/>
      <c r="AX1530" s="81"/>
      <c r="AY1530" s="81"/>
      <c r="AZ1530" s="81"/>
      <c r="BA1530" s="81"/>
      <c r="BB1530" s="81"/>
    </row>
    <row r="1531" spans="1:54" x14ac:dyDescent="0.35">
      <c r="A1531" s="66" t="s">
        <v>1078</v>
      </c>
      <c r="B1531" s="66" t="s">
        <v>1247</v>
      </c>
      <c r="C1531" s="67"/>
      <c r="D1531" s="68"/>
      <c r="E1531" s="69"/>
      <c r="F1531" s="70"/>
      <c r="G1531" s="67"/>
      <c r="H1531" s="71"/>
      <c r="I1531" s="72"/>
      <c r="J1531" s="72"/>
      <c r="K1531" s="36"/>
      <c r="L1531" s="79"/>
      <c r="M1531" s="79"/>
      <c r="N1531" s="74"/>
      <c r="O1531" s="81" t="s">
        <v>1532</v>
      </c>
      <c r="P1531" s="83">
        <v>44459.483784722222</v>
      </c>
      <c r="Q1531" s="81" t="s">
        <v>1650</v>
      </c>
      <c r="R1531" s="81"/>
      <c r="S1531" s="81"/>
      <c r="T1531" s="86" t="s">
        <v>2667</v>
      </c>
      <c r="U1531" s="84" t="str">
        <f>HYPERLINK("https://pbs.twimg.com/media/E_ubZIHUYAESLiB.jpg")</f>
        <v>https://pbs.twimg.com/media/E_ubZIHUYAESLiB.jpg</v>
      </c>
      <c r="V1531" s="84" t="str">
        <f>HYPERLINK("https://pbs.twimg.com/media/E_ubZIHUYAESLiB.jpg")</f>
        <v>https://pbs.twimg.com/media/E_ubZIHUYAESLiB.jpg</v>
      </c>
      <c r="W1531" s="83">
        <v>44459.483784722222</v>
      </c>
      <c r="X1531" s="89">
        <v>44459</v>
      </c>
      <c r="Y1531" s="86" t="s">
        <v>3772</v>
      </c>
      <c r="Z1531" s="84" t="str">
        <f>HYPERLINK("https://twitter.com/frckleslixie/status/1439916409383895042")</f>
        <v>https://twitter.com/frckleslixie/status/1439916409383895042</v>
      </c>
      <c r="AA1531" s="81"/>
      <c r="AB1531" s="81"/>
      <c r="AC1531" s="86" t="s">
        <v>5244</v>
      </c>
      <c r="AD1531" s="81"/>
      <c r="AE1531" s="81" t="b">
        <v>0</v>
      </c>
      <c r="AF1531" s="81">
        <v>0</v>
      </c>
      <c r="AG1531" s="86" t="s">
        <v>6240</v>
      </c>
      <c r="AH1531" s="81" t="b">
        <v>0</v>
      </c>
      <c r="AI1531" s="81" t="s">
        <v>6479</v>
      </c>
      <c r="AJ1531" s="81"/>
      <c r="AK1531" s="86" t="s">
        <v>6240</v>
      </c>
      <c r="AL1531" s="81" t="b">
        <v>0</v>
      </c>
      <c r="AM1531" s="81">
        <v>27</v>
      </c>
      <c r="AN1531" s="86" t="s">
        <v>5503</v>
      </c>
      <c r="AO1531" s="86" t="s">
        <v>6503</v>
      </c>
      <c r="AP1531" s="81" t="b">
        <v>0</v>
      </c>
      <c r="AQ1531" s="86" t="s">
        <v>5503</v>
      </c>
      <c r="AR1531" s="81" t="s">
        <v>179</v>
      </c>
      <c r="AS1531" s="81">
        <v>0</v>
      </c>
      <c r="AT1531" s="81">
        <v>0</v>
      </c>
      <c r="AU1531" s="81"/>
      <c r="AV1531" s="81"/>
      <c r="AW1531" s="81"/>
      <c r="AX1531" s="81"/>
      <c r="AY1531" s="81"/>
      <c r="AZ1531" s="81"/>
      <c r="BA1531" s="81"/>
      <c r="BB1531" s="81"/>
    </row>
    <row r="1532" spans="1:54" x14ac:dyDescent="0.35">
      <c r="A1532" s="66" t="s">
        <v>1078</v>
      </c>
      <c r="B1532" s="66" t="s">
        <v>1247</v>
      </c>
      <c r="C1532" s="67"/>
      <c r="D1532" s="68"/>
      <c r="E1532" s="69"/>
      <c r="F1532" s="70"/>
      <c r="G1532" s="67"/>
      <c r="H1532" s="71"/>
      <c r="I1532" s="72"/>
      <c r="J1532" s="72"/>
      <c r="K1532" s="36"/>
      <c r="L1532" s="79"/>
      <c r="M1532" s="79"/>
      <c r="N1532" s="74"/>
      <c r="O1532" s="81" t="s">
        <v>1532</v>
      </c>
      <c r="P1532" s="83">
        <v>44466.330092592594</v>
      </c>
      <c r="Q1532" s="81" t="s">
        <v>2110</v>
      </c>
      <c r="R1532" s="81"/>
      <c r="S1532" s="81"/>
      <c r="T1532" s="86" t="s">
        <v>2667</v>
      </c>
      <c r="U1532" s="84" t="str">
        <f>HYPERLINK("https://pbs.twimg.com/media/FARq0TBVUAYl272.jpg")</f>
        <v>https://pbs.twimg.com/media/FARq0TBVUAYl272.jpg</v>
      </c>
      <c r="V1532" s="84" t="str">
        <f>HYPERLINK("https://pbs.twimg.com/media/FARq0TBVUAYl272.jpg")</f>
        <v>https://pbs.twimg.com/media/FARq0TBVUAYl272.jpg</v>
      </c>
      <c r="W1532" s="83">
        <v>44466.330092592594</v>
      </c>
      <c r="X1532" s="89">
        <v>44466</v>
      </c>
      <c r="Y1532" s="86" t="s">
        <v>3773</v>
      </c>
      <c r="Z1532" s="84" t="str">
        <f>HYPERLINK("https://twitter.com/frckleslixie/status/1442397428791975936")</f>
        <v>https://twitter.com/frckleslixie/status/1442397428791975936</v>
      </c>
      <c r="AA1532" s="81"/>
      <c r="AB1532" s="81"/>
      <c r="AC1532" s="86" t="s">
        <v>5245</v>
      </c>
      <c r="AD1532" s="81"/>
      <c r="AE1532" s="81" t="b">
        <v>0</v>
      </c>
      <c r="AF1532" s="81">
        <v>0</v>
      </c>
      <c r="AG1532" s="86" t="s">
        <v>6240</v>
      </c>
      <c r="AH1532" s="81" t="b">
        <v>0</v>
      </c>
      <c r="AI1532" s="81" t="s">
        <v>6479</v>
      </c>
      <c r="AJ1532" s="81"/>
      <c r="AK1532" s="86" t="s">
        <v>6240</v>
      </c>
      <c r="AL1532" s="81" t="b">
        <v>0</v>
      </c>
      <c r="AM1532" s="81">
        <v>9</v>
      </c>
      <c r="AN1532" s="86" t="s">
        <v>5505</v>
      </c>
      <c r="AO1532" s="86" t="s">
        <v>6503</v>
      </c>
      <c r="AP1532" s="81" t="b">
        <v>0</v>
      </c>
      <c r="AQ1532" s="86" t="s">
        <v>5505</v>
      </c>
      <c r="AR1532" s="81" t="s">
        <v>179</v>
      </c>
      <c r="AS1532" s="81">
        <v>0</v>
      </c>
      <c r="AT1532" s="81">
        <v>0</v>
      </c>
      <c r="AU1532" s="81"/>
      <c r="AV1532" s="81"/>
      <c r="AW1532" s="81"/>
      <c r="AX1532" s="81"/>
      <c r="AY1532" s="81"/>
      <c r="AZ1532" s="81"/>
      <c r="BA1532" s="81"/>
      <c r="BB1532" s="81"/>
    </row>
    <row r="1533" spans="1:54" x14ac:dyDescent="0.35">
      <c r="A1533" s="66" t="s">
        <v>1079</v>
      </c>
      <c r="B1533" s="66" t="s">
        <v>1247</v>
      </c>
      <c r="C1533" s="67"/>
      <c r="D1533" s="68"/>
      <c r="E1533" s="69"/>
      <c r="F1533" s="70"/>
      <c r="G1533" s="67"/>
      <c r="H1533" s="71"/>
      <c r="I1533" s="72"/>
      <c r="J1533" s="72"/>
      <c r="K1533" s="36"/>
      <c r="L1533" s="79"/>
      <c r="M1533" s="79"/>
      <c r="N1533" s="74"/>
      <c r="O1533" s="81" t="s">
        <v>1532</v>
      </c>
      <c r="P1533" s="83">
        <v>44466.33048611111</v>
      </c>
      <c r="Q1533" s="81" t="s">
        <v>2110</v>
      </c>
      <c r="R1533" s="81"/>
      <c r="S1533" s="81"/>
      <c r="T1533" s="86" t="s">
        <v>2667</v>
      </c>
      <c r="U1533" s="84" t="str">
        <f>HYPERLINK("https://pbs.twimg.com/media/FARq0TBVUAYl272.jpg")</f>
        <v>https://pbs.twimg.com/media/FARq0TBVUAYl272.jpg</v>
      </c>
      <c r="V1533" s="84" t="str">
        <f>HYPERLINK("https://pbs.twimg.com/media/FARq0TBVUAYl272.jpg")</f>
        <v>https://pbs.twimg.com/media/FARq0TBVUAYl272.jpg</v>
      </c>
      <c r="W1533" s="83">
        <v>44466.33048611111</v>
      </c>
      <c r="X1533" s="89">
        <v>44466</v>
      </c>
      <c r="Y1533" s="86" t="s">
        <v>3774</v>
      </c>
      <c r="Z1533" s="84" t="str">
        <f>HYPERLINK("https://twitter.com/xoicedteaa/status/1442397574913138691")</f>
        <v>https://twitter.com/xoicedteaa/status/1442397574913138691</v>
      </c>
      <c r="AA1533" s="81"/>
      <c r="AB1533" s="81"/>
      <c r="AC1533" s="86" t="s">
        <v>5246</v>
      </c>
      <c r="AD1533" s="81"/>
      <c r="AE1533" s="81" t="b">
        <v>0</v>
      </c>
      <c r="AF1533" s="81">
        <v>0</v>
      </c>
      <c r="AG1533" s="86" t="s">
        <v>6240</v>
      </c>
      <c r="AH1533" s="81" t="b">
        <v>0</v>
      </c>
      <c r="AI1533" s="81" t="s">
        <v>6479</v>
      </c>
      <c r="AJ1533" s="81"/>
      <c r="AK1533" s="86" t="s">
        <v>6240</v>
      </c>
      <c r="AL1533" s="81" t="b">
        <v>0</v>
      </c>
      <c r="AM1533" s="81">
        <v>9</v>
      </c>
      <c r="AN1533" s="86" t="s">
        <v>5505</v>
      </c>
      <c r="AO1533" s="86" t="s">
        <v>6503</v>
      </c>
      <c r="AP1533" s="81" t="b">
        <v>0</v>
      </c>
      <c r="AQ1533" s="86" t="s">
        <v>5505</v>
      </c>
      <c r="AR1533" s="81" t="s">
        <v>179</v>
      </c>
      <c r="AS1533" s="81">
        <v>0</v>
      </c>
      <c r="AT1533" s="81">
        <v>0</v>
      </c>
      <c r="AU1533" s="81"/>
      <c r="AV1533" s="81"/>
      <c r="AW1533" s="81"/>
      <c r="AX1533" s="81"/>
      <c r="AY1533" s="81"/>
      <c r="AZ1533" s="81"/>
      <c r="BA1533" s="81"/>
      <c r="BB1533" s="81"/>
    </row>
    <row r="1534" spans="1:54" x14ac:dyDescent="0.35">
      <c r="A1534" s="66" t="s">
        <v>1080</v>
      </c>
      <c r="B1534" s="66" t="s">
        <v>1247</v>
      </c>
      <c r="C1534" s="67"/>
      <c r="D1534" s="68"/>
      <c r="E1534" s="69"/>
      <c r="F1534" s="70"/>
      <c r="G1534" s="67"/>
      <c r="H1534" s="71"/>
      <c r="I1534" s="72"/>
      <c r="J1534" s="72"/>
      <c r="K1534" s="36"/>
      <c r="L1534" s="79"/>
      <c r="M1534" s="79"/>
      <c r="N1534" s="74"/>
      <c r="O1534" s="81" t="s">
        <v>1532</v>
      </c>
      <c r="P1534" s="83">
        <v>44466.33153935185</v>
      </c>
      <c r="Q1534" s="81" t="s">
        <v>2110</v>
      </c>
      <c r="R1534" s="81"/>
      <c r="S1534" s="81"/>
      <c r="T1534" s="86" t="s">
        <v>2667</v>
      </c>
      <c r="U1534" s="84" t="str">
        <f>HYPERLINK("https://pbs.twimg.com/media/FARq0TBVUAYl272.jpg")</f>
        <v>https://pbs.twimg.com/media/FARq0TBVUAYl272.jpg</v>
      </c>
      <c r="V1534" s="84" t="str">
        <f>HYPERLINK("https://pbs.twimg.com/media/FARq0TBVUAYl272.jpg")</f>
        <v>https://pbs.twimg.com/media/FARq0TBVUAYl272.jpg</v>
      </c>
      <c r="W1534" s="83">
        <v>44466.33153935185</v>
      </c>
      <c r="X1534" s="89">
        <v>44466</v>
      </c>
      <c r="Y1534" s="86" t="s">
        <v>3775</v>
      </c>
      <c r="Z1534" s="84" t="str">
        <f>HYPERLINK("https://twitter.com/knowleebb/status/1442397953667203079")</f>
        <v>https://twitter.com/knowleebb/status/1442397953667203079</v>
      </c>
      <c r="AA1534" s="81"/>
      <c r="AB1534" s="81"/>
      <c r="AC1534" s="86" t="s">
        <v>5247</v>
      </c>
      <c r="AD1534" s="81"/>
      <c r="AE1534" s="81" t="b">
        <v>0</v>
      </c>
      <c r="AF1534" s="81">
        <v>0</v>
      </c>
      <c r="AG1534" s="86" t="s">
        <v>6240</v>
      </c>
      <c r="AH1534" s="81" t="b">
        <v>0</v>
      </c>
      <c r="AI1534" s="81" t="s">
        <v>6479</v>
      </c>
      <c r="AJ1534" s="81"/>
      <c r="AK1534" s="86" t="s">
        <v>6240</v>
      </c>
      <c r="AL1534" s="81" t="b">
        <v>0</v>
      </c>
      <c r="AM1534" s="81">
        <v>9</v>
      </c>
      <c r="AN1534" s="86" t="s">
        <v>5505</v>
      </c>
      <c r="AO1534" s="86" t="s">
        <v>6505</v>
      </c>
      <c r="AP1534" s="81" t="b">
        <v>0</v>
      </c>
      <c r="AQ1534" s="86" t="s">
        <v>5505</v>
      </c>
      <c r="AR1534" s="81" t="s">
        <v>179</v>
      </c>
      <c r="AS1534" s="81">
        <v>0</v>
      </c>
      <c r="AT1534" s="81">
        <v>0</v>
      </c>
      <c r="AU1534" s="81"/>
      <c r="AV1534" s="81"/>
      <c r="AW1534" s="81"/>
      <c r="AX1534" s="81"/>
      <c r="AY1534" s="81"/>
      <c r="AZ1534" s="81"/>
      <c r="BA1534" s="81"/>
      <c r="BB1534" s="81"/>
    </row>
    <row r="1535" spans="1:54" x14ac:dyDescent="0.35">
      <c r="A1535" s="66" t="s">
        <v>1081</v>
      </c>
      <c r="B1535" s="66" t="s">
        <v>1081</v>
      </c>
      <c r="C1535" s="67"/>
      <c r="D1535" s="68"/>
      <c r="E1535" s="69"/>
      <c r="F1535" s="70"/>
      <c r="G1535" s="67"/>
      <c r="H1535" s="71"/>
      <c r="I1535" s="72"/>
      <c r="J1535" s="72"/>
      <c r="K1535" s="36"/>
      <c r="L1535" s="79"/>
      <c r="M1535" s="79"/>
      <c r="N1535" s="74"/>
      <c r="O1535" s="81" t="s">
        <v>179</v>
      </c>
      <c r="P1535" s="83">
        <v>44466.332511574074</v>
      </c>
      <c r="Q1535" s="81" t="s">
        <v>2111</v>
      </c>
      <c r="R1535" s="81"/>
      <c r="S1535" s="81"/>
      <c r="T1535" s="86" t="s">
        <v>2718</v>
      </c>
      <c r="U1535" s="84" t="str">
        <f>HYPERLINK("https://pbs.twimg.com/media/FARtU3DVIAcFa1n.jpg")</f>
        <v>https://pbs.twimg.com/media/FARtU3DVIAcFa1n.jpg</v>
      </c>
      <c r="V1535" s="84" t="str">
        <f>HYPERLINK("https://pbs.twimg.com/media/FARtU3DVIAcFa1n.jpg")</f>
        <v>https://pbs.twimg.com/media/FARtU3DVIAcFa1n.jpg</v>
      </c>
      <c r="W1535" s="83">
        <v>44466.332511574074</v>
      </c>
      <c r="X1535" s="89">
        <v>44466</v>
      </c>
      <c r="Y1535" s="86" t="s">
        <v>3776</v>
      </c>
      <c r="Z1535" s="84" t="str">
        <f>HYPERLINK("https://twitter.com/apmoestopo/status/1442398307821621251")</f>
        <v>https://twitter.com/apmoestopo/status/1442398307821621251</v>
      </c>
      <c r="AA1535" s="81"/>
      <c r="AB1535" s="81"/>
      <c r="AC1535" s="86" t="s">
        <v>5248</v>
      </c>
      <c r="AD1535" s="81"/>
      <c r="AE1535" s="81" t="b">
        <v>0</v>
      </c>
      <c r="AF1535" s="81">
        <v>0</v>
      </c>
      <c r="AG1535" s="86" t="s">
        <v>6240</v>
      </c>
      <c r="AH1535" s="81" t="b">
        <v>0</v>
      </c>
      <c r="AI1535" s="81" t="s">
        <v>6478</v>
      </c>
      <c r="AJ1535" s="81"/>
      <c r="AK1535" s="86" t="s">
        <v>6240</v>
      </c>
      <c r="AL1535" s="81" t="b">
        <v>0</v>
      </c>
      <c r="AM1535" s="81">
        <v>0</v>
      </c>
      <c r="AN1535" s="86" t="s">
        <v>6240</v>
      </c>
      <c r="AO1535" s="86" t="s">
        <v>6507</v>
      </c>
      <c r="AP1535" s="81" t="b">
        <v>0</v>
      </c>
      <c r="AQ1535" s="86" t="s">
        <v>5248</v>
      </c>
      <c r="AR1535" s="81" t="s">
        <v>179</v>
      </c>
      <c r="AS1535" s="81">
        <v>0</v>
      </c>
      <c r="AT1535" s="81">
        <v>0</v>
      </c>
      <c r="AU1535" s="81"/>
      <c r="AV1535" s="81"/>
      <c r="AW1535" s="81"/>
      <c r="AX1535" s="81"/>
      <c r="AY1535" s="81"/>
      <c r="AZ1535" s="81"/>
      <c r="BA1535" s="81"/>
      <c r="BB1535" s="81"/>
    </row>
    <row r="1536" spans="1:54" x14ac:dyDescent="0.35">
      <c r="A1536" s="66" t="s">
        <v>1082</v>
      </c>
      <c r="B1536" s="66" t="s">
        <v>1082</v>
      </c>
      <c r="C1536" s="67"/>
      <c r="D1536" s="68"/>
      <c r="E1536" s="69"/>
      <c r="F1536" s="70"/>
      <c r="G1536" s="67"/>
      <c r="H1536" s="71"/>
      <c r="I1536" s="72"/>
      <c r="J1536" s="72"/>
      <c r="K1536" s="36"/>
      <c r="L1536" s="79"/>
      <c r="M1536" s="79"/>
      <c r="N1536" s="74"/>
      <c r="O1536" s="81" t="s">
        <v>179</v>
      </c>
      <c r="P1536" s="83">
        <v>44466.332685185182</v>
      </c>
      <c r="Q1536" s="81" t="s">
        <v>2112</v>
      </c>
      <c r="R1536" s="81"/>
      <c r="S1536" s="81"/>
      <c r="T1536" s="81"/>
      <c r="U1536" s="84" t="str">
        <f>HYPERLINK("https://pbs.twimg.com/media/FARs8w6VEAAPyUM.jpg")</f>
        <v>https://pbs.twimg.com/media/FARs8w6VEAAPyUM.jpg</v>
      </c>
      <c r="V1536" s="84" t="str">
        <f>HYPERLINK("https://pbs.twimg.com/media/FARs8w6VEAAPyUM.jpg")</f>
        <v>https://pbs.twimg.com/media/FARs8w6VEAAPyUM.jpg</v>
      </c>
      <c r="W1536" s="83">
        <v>44466.332685185182</v>
      </c>
      <c r="X1536" s="89">
        <v>44466</v>
      </c>
      <c r="Y1536" s="86" t="s">
        <v>3777</v>
      </c>
      <c r="Z1536" s="84" t="str">
        <f>HYPERLINK("https://twitter.com/humasresmesuji/status/1442398368974606343")</f>
        <v>https://twitter.com/humasresmesuji/status/1442398368974606343</v>
      </c>
      <c r="AA1536" s="81"/>
      <c r="AB1536" s="81"/>
      <c r="AC1536" s="86" t="s">
        <v>5249</v>
      </c>
      <c r="AD1536" s="81"/>
      <c r="AE1536" s="81" t="b">
        <v>0</v>
      </c>
      <c r="AF1536" s="81">
        <v>0</v>
      </c>
      <c r="AG1536" s="86" t="s">
        <v>6240</v>
      </c>
      <c r="AH1536" s="81" t="b">
        <v>0</v>
      </c>
      <c r="AI1536" s="81" t="s">
        <v>6478</v>
      </c>
      <c r="AJ1536" s="81"/>
      <c r="AK1536" s="86" t="s">
        <v>6240</v>
      </c>
      <c r="AL1536" s="81" t="b">
        <v>0</v>
      </c>
      <c r="AM1536" s="81">
        <v>0</v>
      </c>
      <c r="AN1536" s="86" t="s">
        <v>6240</v>
      </c>
      <c r="AO1536" s="86" t="s">
        <v>6507</v>
      </c>
      <c r="AP1536" s="81" t="b">
        <v>0</v>
      </c>
      <c r="AQ1536" s="86" t="s">
        <v>5249</v>
      </c>
      <c r="AR1536" s="81" t="s">
        <v>179</v>
      </c>
      <c r="AS1536" s="81">
        <v>0</v>
      </c>
      <c r="AT1536" s="81">
        <v>0</v>
      </c>
      <c r="AU1536" s="81"/>
      <c r="AV1536" s="81"/>
      <c r="AW1536" s="81"/>
      <c r="AX1536" s="81"/>
      <c r="AY1536" s="81"/>
      <c r="AZ1536" s="81"/>
      <c r="BA1536" s="81"/>
      <c r="BB1536" s="81"/>
    </row>
    <row r="1537" spans="1:54" x14ac:dyDescent="0.35">
      <c r="A1537" s="66" t="s">
        <v>1083</v>
      </c>
      <c r="B1537" s="66" t="s">
        <v>1146</v>
      </c>
      <c r="C1537" s="67"/>
      <c r="D1537" s="68"/>
      <c r="E1537" s="69"/>
      <c r="F1537" s="70"/>
      <c r="G1537" s="67"/>
      <c r="H1537" s="71"/>
      <c r="I1537" s="72"/>
      <c r="J1537" s="72"/>
      <c r="K1537" s="36"/>
      <c r="L1537" s="79"/>
      <c r="M1537" s="79"/>
      <c r="N1537" s="74"/>
      <c r="O1537" s="81" t="s">
        <v>1532</v>
      </c>
      <c r="P1537" s="83">
        <v>44466.333877314813</v>
      </c>
      <c r="Q1537" s="81" t="s">
        <v>2091</v>
      </c>
      <c r="R1537" s="81"/>
      <c r="S1537" s="81"/>
      <c r="T1537" s="81"/>
      <c r="U1537" s="84" t="str">
        <f>HYPERLINK("https://pbs.twimg.com/ext_tw_video_thumb/1442373678990196737/pu/img/UDVgFvOXidN40Fez.jpg")</f>
        <v>https://pbs.twimg.com/ext_tw_video_thumb/1442373678990196737/pu/img/UDVgFvOXidN40Fez.jpg</v>
      </c>
      <c r="V1537" s="84" t="str">
        <f>HYPERLINK("https://pbs.twimg.com/ext_tw_video_thumb/1442373678990196737/pu/img/UDVgFvOXidN40Fez.jpg")</f>
        <v>https://pbs.twimg.com/ext_tw_video_thumb/1442373678990196737/pu/img/UDVgFvOXidN40Fez.jpg</v>
      </c>
      <c r="W1537" s="83">
        <v>44466.333877314813</v>
      </c>
      <c r="X1537" s="89">
        <v>44466</v>
      </c>
      <c r="Y1537" s="86" t="s">
        <v>3778</v>
      </c>
      <c r="Z1537" s="84" t="str">
        <f>HYPERLINK("https://twitter.com/codex_telkom/status/1442398802149724161")</f>
        <v>https://twitter.com/codex_telkom/status/1442398802149724161</v>
      </c>
      <c r="AA1537" s="81"/>
      <c r="AB1537" s="81"/>
      <c r="AC1537" s="86" t="s">
        <v>5250</v>
      </c>
      <c r="AD1537" s="81"/>
      <c r="AE1537" s="81" t="b">
        <v>0</v>
      </c>
      <c r="AF1537" s="81">
        <v>0</v>
      </c>
      <c r="AG1537" s="86" t="s">
        <v>6240</v>
      </c>
      <c r="AH1537" s="81" t="b">
        <v>0</v>
      </c>
      <c r="AI1537" s="81" t="s">
        <v>6478</v>
      </c>
      <c r="AJ1537" s="81"/>
      <c r="AK1537" s="86" t="s">
        <v>6240</v>
      </c>
      <c r="AL1537" s="81" t="b">
        <v>0</v>
      </c>
      <c r="AM1537" s="81">
        <v>30</v>
      </c>
      <c r="AN1537" s="86" t="s">
        <v>5524</v>
      </c>
      <c r="AO1537" s="86" t="s">
        <v>6507</v>
      </c>
      <c r="AP1537" s="81" t="b">
        <v>0</v>
      </c>
      <c r="AQ1537" s="86" t="s">
        <v>5524</v>
      </c>
      <c r="AR1537" s="81" t="s">
        <v>179</v>
      </c>
      <c r="AS1537" s="81">
        <v>0</v>
      </c>
      <c r="AT1537" s="81">
        <v>0</v>
      </c>
      <c r="AU1537" s="81"/>
      <c r="AV1537" s="81"/>
      <c r="AW1537" s="81"/>
      <c r="AX1537" s="81"/>
      <c r="AY1537" s="81"/>
      <c r="AZ1537" s="81"/>
      <c r="BA1537" s="81"/>
      <c r="BB1537" s="81"/>
    </row>
    <row r="1538" spans="1:54" x14ac:dyDescent="0.35">
      <c r="A1538" s="66" t="s">
        <v>1084</v>
      </c>
      <c r="B1538" s="66" t="s">
        <v>1117</v>
      </c>
      <c r="C1538" s="67"/>
      <c r="D1538" s="68"/>
      <c r="E1538" s="69"/>
      <c r="F1538" s="70"/>
      <c r="G1538" s="67"/>
      <c r="H1538" s="71"/>
      <c r="I1538" s="72"/>
      <c r="J1538" s="72"/>
      <c r="K1538" s="36"/>
      <c r="L1538" s="79"/>
      <c r="M1538" s="79"/>
      <c r="N1538" s="74"/>
      <c r="O1538" s="81" t="s">
        <v>1532</v>
      </c>
      <c r="P1538" s="83">
        <v>44466.336076388892</v>
      </c>
      <c r="Q1538" s="81" t="s">
        <v>2072</v>
      </c>
      <c r="R1538" s="81"/>
      <c r="S1538" s="81"/>
      <c r="T1538" s="86" t="s">
        <v>2706</v>
      </c>
      <c r="U1538" s="84" t="str">
        <f>HYPERLINK("https://pbs.twimg.com/media/FARBJdVVQAUnsqY.jpg")</f>
        <v>https://pbs.twimg.com/media/FARBJdVVQAUnsqY.jpg</v>
      </c>
      <c r="V1538" s="84" t="str">
        <f>HYPERLINK("https://pbs.twimg.com/media/FARBJdVVQAUnsqY.jpg")</f>
        <v>https://pbs.twimg.com/media/FARBJdVVQAUnsqY.jpg</v>
      </c>
      <c r="W1538" s="83">
        <v>44466.336076388892</v>
      </c>
      <c r="X1538" s="89">
        <v>44466</v>
      </c>
      <c r="Y1538" s="86" t="s">
        <v>3779</v>
      </c>
      <c r="Z1538" s="84" t="str">
        <f>HYPERLINK("https://twitter.com/bpsjatim/status/1442399600598339585")</f>
        <v>https://twitter.com/bpsjatim/status/1442399600598339585</v>
      </c>
      <c r="AA1538" s="81"/>
      <c r="AB1538" s="81"/>
      <c r="AC1538" s="86" t="s">
        <v>5251</v>
      </c>
      <c r="AD1538" s="81"/>
      <c r="AE1538" s="81" t="b">
        <v>0</v>
      </c>
      <c r="AF1538" s="81">
        <v>0</v>
      </c>
      <c r="AG1538" s="86" t="s">
        <v>6240</v>
      </c>
      <c r="AH1538" s="81" t="b">
        <v>0</v>
      </c>
      <c r="AI1538" s="81" t="s">
        <v>6478</v>
      </c>
      <c r="AJ1538" s="81"/>
      <c r="AK1538" s="86" t="s">
        <v>6240</v>
      </c>
      <c r="AL1538" s="81" t="b">
        <v>0</v>
      </c>
      <c r="AM1538" s="81">
        <v>4</v>
      </c>
      <c r="AN1538" s="86" t="s">
        <v>5302</v>
      </c>
      <c r="AO1538" s="86" t="s">
        <v>6503</v>
      </c>
      <c r="AP1538" s="81" t="b">
        <v>0</v>
      </c>
      <c r="AQ1538" s="86" t="s">
        <v>5302</v>
      </c>
      <c r="AR1538" s="81" t="s">
        <v>179</v>
      </c>
      <c r="AS1538" s="81">
        <v>0</v>
      </c>
      <c r="AT1538" s="81">
        <v>0</v>
      </c>
      <c r="AU1538" s="81"/>
      <c r="AV1538" s="81"/>
      <c r="AW1538" s="81"/>
      <c r="AX1538" s="81"/>
      <c r="AY1538" s="81"/>
      <c r="AZ1538" s="81"/>
      <c r="BA1538" s="81"/>
      <c r="BB1538" s="81"/>
    </row>
    <row r="1539" spans="1:54" x14ac:dyDescent="0.35">
      <c r="A1539" s="66" t="s">
        <v>1085</v>
      </c>
      <c r="B1539" s="66" t="s">
        <v>1247</v>
      </c>
      <c r="C1539" s="67"/>
      <c r="D1539" s="68"/>
      <c r="E1539" s="69"/>
      <c r="F1539" s="70"/>
      <c r="G1539" s="67"/>
      <c r="H1539" s="71"/>
      <c r="I1539" s="72"/>
      <c r="J1539" s="72"/>
      <c r="K1539" s="36"/>
      <c r="L1539" s="79"/>
      <c r="M1539" s="79"/>
      <c r="N1539" s="74"/>
      <c r="O1539" s="81" t="s">
        <v>1532</v>
      </c>
      <c r="P1539" s="83">
        <v>44461.347719907404</v>
      </c>
      <c r="Q1539" s="81" t="s">
        <v>1755</v>
      </c>
      <c r="R1539" s="81"/>
      <c r="S1539" s="81"/>
      <c r="T1539" s="86" t="s">
        <v>2667</v>
      </c>
      <c r="U1539" s="84" t="str">
        <f>HYPERLINK("https://pbs.twimg.com/media/E_38CFLVkAAf4fL.jpg")</f>
        <v>https://pbs.twimg.com/media/E_38CFLVkAAf4fL.jpg</v>
      </c>
      <c r="V1539" s="84" t="str">
        <f>HYPERLINK("https://pbs.twimg.com/media/E_38CFLVkAAf4fL.jpg")</f>
        <v>https://pbs.twimg.com/media/E_38CFLVkAAf4fL.jpg</v>
      </c>
      <c r="W1539" s="83">
        <v>44461.347719907404</v>
      </c>
      <c r="X1539" s="89">
        <v>44461</v>
      </c>
      <c r="Y1539" s="86" t="s">
        <v>3780</v>
      </c>
      <c r="Z1539" s="84" t="str">
        <f>HYPERLINK("https://twitter.com/anshaeyn/status/1440591879477751815")</f>
        <v>https://twitter.com/anshaeyn/status/1440591879477751815</v>
      </c>
      <c r="AA1539" s="81"/>
      <c r="AB1539" s="81"/>
      <c r="AC1539" s="86" t="s">
        <v>5252</v>
      </c>
      <c r="AD1539" s="81"/>
      <c r="AE1539" s="81" t="b">
        <v>0</v>
      </c>
      <c r="AF1539" s="81">
        <v>0</v>
      </c>
      <c r="AG1539" s="86" t="s">
        <v>6240</v>
      </c>
      <c r="AH1539" s="81" t="b">
        <v>0</v>
      </c>
      <c r="AI1539" s="81" t="s">
        <v>6479</v>
      </c>
      <c r="AJ1539" s="81"/>
      <c r="AK1539" s="86" t="s">
        <v>6240</v>
      </c>
      <c r="AL1539" s="81" t="b">
        <v>0</v>
      </c>
      <c r="AM1539" s="81">
        <v>25</v>
      </c>
      <c r="AN1539" s="86" t="s">
        <v>5504</v>
      </c>
      <c r="AO1539" s="86" t="s">
        <v>6503</v>
      </c>
      <c r="AP1539" s="81" t="b">
        <v>0</v>
      </c>
      <c r="AQ1539" s="86" t="s">
        <v>5504</v>
      </c>
      <c r="AR1539" s="81" t="s">
        <v>179</v>
      </c>
      <c r="AS1539" s="81">
        <v>0</v>
      </c>
      <c r="AT1539" s="81">
        <v>0</v>
      </c>
      <c r="AU1539" s="81"/>
      <c r="AV1539" s="81"/>
      <c r="AW1539" s="81"/>
      <c r="AX1539" s="81"/>
      <c r="AY1539" s="81"/>
      <c r="AZ1539" s="81"/>
      <c r="BA1539" s="81"/>
      <c r="BB1539" s="81"/>
    </row>
    <row r="1540" spans="1:54" x14ac:dyDescent="0.35">
      <c r="A1540" s="66" t="s">
        <v>1085</v>
      </c>
      <c r="B1540" s="66" t="s">
        <v>1247</v>
      </c>
      <c r="C1540" s="67"/>
      <c r="D1540" s="68"/>
      <c r="E1540" s="69"/>
      <c r="F1540" s="70"/>
      <c r="G1540" s="67"/>
      <c r="H1540" s="71"/>
      <c r="I1540" s="72"/>
      <c r="J1540" s="72"/>
      <c r="K1540" s="36"/>
      <c r="L1540" s="79"/>
      <c r="M1540" s="79"/>
      <c r="N1540" s="74"/>
      <c r="O1540" s="81" t="s">
        <v>1532</v>
      </c>
      <c r="P1540" s="83">
        <v>44466.336342592593</v>
      </c>
      <c r="Q1540" s="81" t="s">
        <v>2110</v>
      </c>
      <c r="R1540" s="81"/>
      <c r="S1540" s="81"/>
      <c r="T1540" s="86" t="s">
        <v>2667</v>
      </c>
      <c r="U1540" s="84" t="str">
        <f>HYPERLINK("https://pbs.twimg.com/media/FARq0TBVUAYl272.jpg")</f>
        <v>https://pbs.twimg.com/media/FARq0TBVUAYl272.jpg</v>
      </c>
      <c r="V1540" s="84" t="str">
        <f>HYPERLINK("https://pbs.twimg.com/media/FARq0TBVUAYl272.jpg")</f>
        <v>https://pbs.twimg.com/media/FARq0TBVUAYl272.jpg</v>
      </c>
      <c r="W1540" s="83">
        <v>44466.336342592593</v>
      </c>
      <c r="X1540" s="89">
        <v>44466</v>
      </c>
      <c r="Y1540" s="86" t="s">
        <v>3781</v>
      </c>
      <c r="Z1540" s="84" t="str">
        <f>HYPERLINK("https://twitter.com/anshaeyn/status/1442399696492785669")</f>
        <v>https://twitter.com/anshaeyn/status/1442399696492785669</v>
      </c>
      <c r="AA1540" s="81"/>
      <c r="AB1540" s="81"/>
      <c r="AC1540" s="86" t="s">
        <v>5253</v>
      </c>
      <c r="AD1540" s="81"/>
      <c r="AE1540" s="81" t="b">
        <v>0</v>
      </c>
      <c r="AF1540" s="81">
        <v>0</v>
      </c>
      <c r="AG1540" s="86" t="s">
        <v>6240</v>
      </c>
      <c r="AH1540" s="81" t="b">
        <v>0</v>
      </c>
      <c r="AI1540" s="81" t="s">
        <v>6479</v>
      </c>
      <c r="AJ1540" s="81"/>
      <c r="AK1540" s="86" t="s">
        <v>6240</v>
      </c>
      <c r="AL1540" s="81" t="b">
        <v>0</v>
      </c>
      <c r="AM1540" s="81">
        <v>9</v>
      </c>
      <c r="AN1540" s="86" t="s">
        <v>5505</v>
      </c>
      <c r="AO1540" s="86" t="s">
        <v>6503</v>
      </c>
      <c r="AP1540" s="81" t="b">
        <v>0</v>
      </c>
      <c r="AQ1540" s="86" t="s">
        <v>5505</v>
      </c>
      <c r="AR1540" s="81" t="s">
        <v>179</v>
      </c>
      <c r="AS1540" s="81">
        <v>0</v>
      </c>
      <c r="AT1540" s="81">
        <v>0</v>
      </c>
      <c r="AU1540" s="81"/>
      <c r="AV1540" s="81"/>
      <c r="AW1540" s="81"/>
      <c r="AX1540" s="81"/>
      <c r="AY1540" s="81"/>
      <c r="AZ1540" s="81"/>
      <c r="BA1540" s="81"/>
      <c r="BB1540" s="81"/>
    </row>
    <row r="1541" spans="1:54" x14ac:dyDescent="0.35">
      <c r="A1541" s="66" t="s">
        <v>1086</v>
      </c>
      <c r="B1541" s="66" t="s">
        <v>1086</v>
      </c>
      <c r="C1541" s="67"/>
      <c r="D1541" s="68"/>
      <c r="E1541" s="69"/>
      <c r="F1541" s="70"/>
      <c r="G1541" s="67"/>
      <c r="H1541" s="71"/>
      <c r="I1541" s="72"/>
      <c r="J1541" s="72"/>
      <c r="K1541" s="36"/>
      <c r="L1541" s="79"/>
      <c r="M1541" s="79"/>
      <c r="N1541" s="74"/>
      <c r="O1541" s="81" t="s">
        <v>179</v>
      </c>
      <c r="P1541" s="83">
        <v>44466.320833333331</v>
      </c>
      <c r="Q1541" s="81" t="s">
        <v>2113</v>
      </c>
      <c r="R1541" s="81"/>
      <c r="S1541" s="81"/>
      <c r="T1541" s="81"/>
      <c r="U1541" s="84" t="str">
        <f>HYPERLINK("https://pbs.twimg.com/media/FARpwtpUYAI3nAS.jpg")</f>
        <v>https://pbs.twimg.com/media/FARpwtpUYAI3nAS.jpg</v>
      </c>
      <c r="V1541" s="84" t="str">
        <f>HYPERLINK("https://pbs.twimg.com/media/FARpwtpUYAI3nAS.jpg")</f>
        <v>https://pbs.twimg.com/media/FARpwtpUYAI3nAS.jpg</v>
      </c>
      <c r="W1541" s="83">
        <v>44466.320833333331</v>
      </c>
      <c r="X1541" s="89">
        <v>44466</v>
      </c>
      <c r="Y1541" s="86" t="s">
        <v>3782</v>
      </c>
      <c r="Z1541" s="84" t="str">
        <f>HYPERLINK("https://twitter.com/bandung_goid/status/1442394075714375684")</f>
        <v>https://twitter.com/bandung_goid/status/1442394075714375684</v>
      </c>
      <c r="AA1541" s="81"/>
      <c r="AB1541" s="81"/>
      <c r="AC1541" s="86" t="s">
        <v>5254</v>
      </c>
      <c r="AD1541" s="86" t="s">
        <v>6184</v>
      </c>
      <c r="AE1541" s="81" t="b">
        <v>0</v>
      </c>
      <c r="AF1541" s="81">
        <v>0</v>
      </c>
      <c r="AG1541" s="86" t="s">
        <v>6434</v>
      </c>
      <c r="AH1541" s="81" t="b">
        <v>0</v>
      </c>
      <c r="AI1541" s="81" t="s">
        <v>6478</v>
      </c>
      <c r="AJ1541" s="81"/>
      <c r="AK1541" s="86" t="s">
        <v>6240</v>
      </c>
      <c r="AL1541" s="81" t="b">
        <v>0</v>
      </c>
      <c r="AM1541" s="81">
        <v>1</v>
      </c>
      <c r="AN1541" s="86" t="s">
        <v>6240</v>
      </c>
      <c r="AO1541" s="86" t="s">
        <v>6505</v>
      </c>
      <c r="AP1541" s="81" t="b">
        <v>0</v>
      </c>
      <c r="AQ1541" s="86" t="s">
        <v>6184</v>
      </c>
      <c r="AR1541" s="81" t="s">
        <v>179</v>
      </c>
      <c r="AS1541" s="81">
        <v>0</v>
      </c>
      <c r="AT1541" s="81">
        <v>0</v>
      </c>
      <c r="AU1541" s="81"/>
      <c r="AV1541" s="81"/>
      <c r="AW1541" s="81"/>
      <c r="AX1541" s="81"/>
      <c r="AY1541" s="81"/>
      <c r="AZ1541" s="81"/>
      <c r="BA1541" s="81"/>
      <c r="BB1541" s="81"/>
    </row>
    <row r="1542" spans="1:54" x14ac:dyDescent="0.35">
      <c r="A1542" s="66" t="s">
        <v>1087</v>
      </c>
      <c r="B1542" s="66" t="s">
        <v>1086</v>
      </c>
      <c r="C1542" s="67"/>
      <c r="D1542" s="68"/>
      <c r="E1542" s="69"/>
      <c r="F1542" s="70"/>
      <c r="G1542" s="67"/>
      <c r="H1542" s="71"/>
      <c r="I1542" s="72"/>
      <c r="J1542" s="72"/>
      <c r="K1542" s="36"/>
      <c r="L1542" s="79"/>
      <c r="M1542" s="79"/>
      <c r="N1542" s="74"/>
      <c r="O1542" s="81" t="s">
        <v>1532</v>
      </c>
      <c r="P1542" s="83">
        <v>44466.337546296294</v>
      </c>
      <c r="Q1542" s="81" t="s">
        <v>2113</v>
      </c>
      <c r="R1542" s="81"/>
      <c r="S1542" s="81"/>
      <c r="T1542" s="81"/>
      <c r="U1542" s="84" t="str">
        <f>HYPERLINK("https://pbs.twimg.com/media/FARpwtpUYAI3nAS.jpg")</f>
        <v>https://pbs.twimg.com/media/FARpwtpUYAI3nAS.jpg</v>
      </c>
      <c r="V1542" s="84" t="str">
        <f>HYPERLINK("https://pbs.twimg.com/media/FARpwtpUYAI3nAS.jpg")</f>
        <v>https://pbs.twimg.com/media/FARpwtpUYAI3nAS.jpg</v>
      </c>
      <c r="W1542" s="83">
        <v>44466.337546296294</v>
      </c>
      <c r="X1542" s="89">
        <v>44466</v>
      </c>
      <c r="Y1542" s="86" t="s">
        <v>3783</v>
      </c>
      <c r="Z1542" s="84" t="str">
        <f>HYPERLINK("https://twitter.com/seputaran_bdg/status/1442400132834594818")</f>
        <v>https://twitter.com/seputaran_bdg/status/1442400132834594818</v>
      </c>
      <c r="AA1542" s="81"/>
      <c r="AB1542" s="81"/>
      <c r="AC1542" s="86" t="s">
        <v>5255</v>
      </c>
      <c r="AD1542" s="81"/>
      <c r="AE1542" s="81" t="b">
        <v>0</v>
      </c>
      <c r="AF1542" s="81">
        <v>0</v>
      </c>
      <c r="AG1542" s="86" t="s">
        <v>6240</v>
      </c>
      <c r="AH1542" s="81" t="b">
        <v>0</v>
      </c>
      <c r="AI1542" s="81" t="s">
        <v>6478</v>
      </c>
      <c r="AJ1542" s="81"/>
      <c r="AK1542" s="86" t="s">
        <v>6240</v>
      </c>
      <c r="AL1542" s="81" t="b">
        <v>0</v>
      </c>
      <c r="AM1542" s="81">
        <v>1</v>
      </c>
      <c r="AN1542" s="86" t="s">
        <v>5254</v>
      </c>
      <c r="AO1542" s="86" t="s">
        <v>6503</v>
      </c>
      <c r="AP1542" s="81" t="b">
        <v>0</v>
      </c>
      <c r="AQ1542" s="86" t="s">
        <v>5254</v>
      </c>
      <c r="AR1542" s="81" t="s">
        <v>179</v>
      </c>
      <c r="AS1542" s="81">
        <v>0</v>
      </c>
      <c r="AT1542" s="81">
        <v>0</v>
      </c>
      <c r="AU1542" s="81"/>
      <c r="AV1542" s="81"/>
      <c r="AW1542" s="81"/>
      <c r="AX1542" s="81"/>
      <c r="AY1542" s="81"/>
      <c r="AZ1542" s="81"/>
      <c r="BA1542" s="81"/>
      <c r="BB1542" s="81"/>
    </row>
    <row r="1543" spans="1:54" x14ac:dyDescent="0.35">
      <c r="A1543" s="66" t="s">
        <v>1088</v>
      </c>
      <c r="B1543" s="66" t="s">
        <v>1146</v>
      </c>
      <c r="C1543" s="67"/>
      <c r="D1543" s="68"/>
      <c r="E1543" s="69"/>
      <c r="F1543" s="70"/>
      <c r="G1543" s="67"/>
      <c r="H1543" s="71"/>
      <c r="I1543" s="72"/>
      <c r="J1543" s="72"/>
      <c r="K1543" s="36"/>
      <c r="L1543" s="79"/>
      <c r="M1543" s="79"/>
      <c r="N1543" s="74"/>
      <c r="O1543" s="81" t="s">
        <v>1532</v>
      </c>
      <c r="P1543" s="83">
        <v>44466.343321759261</v>
      </c>
      <c r="Q1543" s="81" t="s">
        <v>2091</v>
      </c>
      <c r="R1543" s="81"/>
      <c r="S1543" s="81"/>
      <c r="T1543" s="81"/>
      <c r="U1543" s="84" t="str">
        <f>HYPERLINK("https://pbs.twimg.com/ext_tw_video_thumb/1442373678990196737/pu/img/UDVgFvOXidN40Fez.jpg")</f>
        <v>https://pbs.twimg.com/ext_tw_video_thumb/1442373678990196737/pu/img/UDVgFvOXidN40Fez.jpg</v>
      </c>
      <c r="V1543" s="84" t="str">
        <f>HYPERLINK("https://pbs.twimg.com/ext_tw_video_thumb/1442373678990196737/pu/img/UDVgFvOXidN40Fez.jpg")</f>
        <v>https://pbs.twimg.com/ext_tw_video_thumb/1442373678990196737/pu/img/UDVgFvOXidN40Fez.jpg</v>
      </c>
      <c r="W1543" s="83">
        <v>44466.343321759261</v>
      </c>
      <c r="X1543" s="89">
        <v>44466</v>
      </c>
      <c r="Y1543" s="86" t="s">
        <v>3784</v>
      </c>
      <c r="Z1543" s="84" t="str">
        <f>HYPERLINK("https://twitter.com/maretaprilmeiye/status/1442402225620324355")</f>
        <v>https://twitter.com/maretaprilmeiye/status/1442402225620324355</v>
      </c>
      <c r="AA1543" s="81"/>
      <c r="AB1543" s="81"/>
      <c r="AC1543" s="86" t="s">
        <v>5256</v>
      </c>
      <c r="AD1543" s="81"/>
      <c r="AE1543" s="81" t="b">
        <v>0</v>
      </c>
      <c r="AF1543" s="81">
        <v>0</v>
      </c>
      <c r="AG1543" s="86" t="s">
        <v>6240</v>
      </c>
      <c r="AH1543" s="81" t="b">
        <v>0</v>
      </c>
      <c r="AI1543" s="81" t="s">
        <v>6478</v>
      </c>
      <c r="AJ1543" s="81"/>
      <c r="AK1543" s="86" t="s">
        <v>6240</v>
      </c>
      <c r="AL1543" s="81" t="b">
        <v>0</v>
      </c>
      <c r="AM1543" s="81">
        <v>30</v>
      </c>
      <c r="AN1543" s="86" t="s">
        <v>5524</v>
      </c>
      <c r="AO1543" s="86" t="s">
        <v>6503</v>
      </c>
      <c r="AP1543" s="81" t="b">
        <v>0</v>
      </c>
      <c r="AQ1543" s="86" t="s">
        <v>5524</v>
      </c>
      <c r="AR1543" s="81" t="s">
        <v>179</v>
      </c>
      <c r="AS1543" s="81">
        <v>0</v>
      </c>
      <c r="AT1543" s="81">
        <v>0</v>
      </c>
      <c r="AU1543" s="81"/>
      <c r="AV1543" s="81"/>
      <c r="AW1543" s="81"/>
      <c r="AX1543" s="81"/>
      <c r="AY1543" s="81"/>
      <c r="AZ1543" s="81"/>
      <c r="BA1543" s="81"/>
      <c r="BB1543" s="81"/>
    </row>
    <row r="1544" spans="1:54" x14ac:dyDescent="0.35">
      <c r="A1544" s="66" t="s">
        <v>1089</v>
      </c>
      <c r="B1544" s="66" t="s">
        <v>1089</v>
      </c>
      <c r="C1544" s="67"/>
      <c r="D1544" s="68"/>
      <c r="E1544" s="69"/>
      <c r="F1544" s="70"/>
      <c r="G1544" s="67"/>
      <c r="H1544" s="71"/>
      <c r="I1544" s="72"/>
      <c r="J1544" s="72"/>
      <c r="K1544" s="36"/>
      <c r="L1544" s="79"/>
      <c r="M1544" s="79"/>
      <c r="N1544" s="74"/>
      <c r="O1544" s="81" t="s">
        <v>179</v>
      </c>
      <c r="P1544" s="83">
        <v>44466.344756944447</v>
      </c>
      <c r="Q1544" s="81" t="s">
        <v>2114</v>
      </c>
      <c r="R1544" s="81"/>
      <c r="S1544" s="81"/>
      <c r="T1544" s="81"/>
      <c r="U1544" s="84" t="str">
        <f>HYPERLINK("https://pbs.twimg.com/media/FARxpk9VEAESUT0.jpg")</f>
        <v>https://pbs.twimg.com/media/FARxpk9VEAESUT0.jpg</v>
      </c>
      <c r="V1544" s="84" t="str">
        <f>HYPERLINK("https://pbs.twimg.com/media/FARxpk9VEAESUT0.jpg")</f>
        <v>https://pbs.twimg.com/media/FARxpk9VEAESUT0.jpg</v>
      </c>
      <c r="W1544" s="83">
        <v>44466.344756944447</v>
      </c>
      <c r="X1544" s="89">
        <v>44466</v>
      </c>
      <c r="Y1544" s="86" t="s">
        <v>3785</v>
      </c>
      <c r="Z1544" s="84" t="str">
        <f>HYPERLINK("https://twitter.com/imiblkpadang/status/1442402742639628294")</f>
        <v>https://twitter.com/imiblkpadang/status/1442402742639628294</v>
      </c>
      <c r="AA1544" s="81"/>
      <c r="AB1544" s="81"/>
      <c r="AC1544" s="86" t="s">
        <v>5257</v>
      </c>
      <c r="AD1544" s="81"/>
      <c r="AE1544" s="81" t="b">
        <v>0</v>
      </c>
      <c r="AF1544" s="81">
        <v>0</v>
      </c>
      <c r="AG1544" s="86" t="s">
        <v>6240</v>
      </c>
      <c r="AH1544" s="81" t="b">
        <v>0</v>
      </c>
      <c r="AI1544" s="81" t="s">
        <v>6478</v>
      </c>
      <c r="AJ1544" s="81"/>
      <c r="AK1544" s="86" t="s">
        <v>6240</v>
      </c>
      <c r="AL1544" s="81" t="b">
        <v>0</v>
      </c>
      <c r="AM1544" s="81">
        <v>0</v>
      </c>
      <c r="AN1544" s="86" t="s">
        <v>6240</v>
      </c>
      <c r="AO1544" s="86" t="s">
        <v>6503</v>
      </c>
      <c r="AP1544" s="81" t="b">
        <v>0</v>
      </c>
      <c r="AQ1544" s="86" t="s">
        <v>5257</v>
      </c>
      <c r="AR1544" s="81" t="s">
        <v>179</v>
      </c>
      <c r="AS1544" s="81">
        <v>0</v>
      </c>
      <c r="AT1544" s="81">
        <v>0</v>
      </c>
      <c r="AU1544" s="81"/>
      <c r="AV1544" s="81"/>
      <c r="AW1544" s="81"/>
      <c r="AX1544" s="81"/>
      <c r="AY1544" s="81"/>
      <c r="AZ1544" s="81"/>
      <c r="BA1544" s="81"/>
      <c r="BB1544" s="81"/>
    </row>
    <row r="1545" spans="1:54" x14ac:dyDescent="0.35">
      <c r="A1545" s="66" t="s">
        <v>1089</v>
      </c>
      <c r="B1545" s="66" t="s">
        <v>1089</v>
      </c>
      <c r="C1545" s="67"/>
      <c r="D1545" s="68"/>
      <c r="E1545" s="69"/>
      <c r="F1545" s="70"/>
      <c r="G1545" s="67"/>
      <c r="H1545" s="71"/>
      <c r="I1545" s="72"/>
      <c r="J1545" s="72"/>
      <c r="K1545" s="36"/>
      <c r="L1545" s="79"/>
      <c r="M1545" s="79"/>
      <c r="N1545" s="74"/>
      <c r="O1545" s="81" t="s">
        <v>179</v>
      </c>
      <c r="P1545" s="83">
        <v>44466.345509259256</v>
      </c>
      <c r="Q1545" s="81" t="s">
        <v>2115</v>
      </c>
      <c r="R1545" s="81"/>
      <c r="S1545" s="81"/>
      <c r="T1545" s="81"/>
      <c r="U1545" s="84" t="str">
        <f>HYPERLINK("https://pbs.twimg.com/media/FARx5ikVEAE6uVS.jpg")</f>
        <v>https://pbs.twimg.com/media/FARx5ikVEAE6uVS.jpg</v>
      </c>
      <c r="V1545" s="84" t="str">
        <f>HYPERLINK("https://pbs.twimg.com/media/FARx5ikVEAE6uVS.jpg")</f>
        <v>https://pbs.twimg.com/media/FARx5ikVEAE6uVS.jpg</v>
      </c>
      <c r="W1545" s="83">
        <v>44466.345509259256</v>
      </c>
      <c r="X1545" s="89">
        <v>44466</v>
      </c>
      <c r="Y1545" s="86" t="s">
        <v>3786</v>
      </c>
      <c r="Z1545" s="84" t="str">
        <f>HYPERLINK("https://twitter.com/imiblkpadang/status/1442403018910040070")</f>
        <v>https://twitter.com/imiblkpadang/status/1442403018910040070</v>
      </c>
      <c r="AA1545" s="81"/>
      <c r="AB1545" s="81"/>
      <c r="AC1545" s="86" t="s">
        <v>5258</v>
      </c>
      <c r="AD1545" s="81"/>
      <c r="AE1545" s="81" t="b">
        <v>0</v>
      </c>
      <c r="AF1545" s="81">
        <v>0</v>
      </c>
      <c r="AG1545" s="86" t="s">
        <v>6240</v>
      </c>
      <c r="AH1545" s="81" t="b">
        <v>0</v>
      </c>
      <c r="AI1545" s="81" t="s">
        <v>6478</v>
      </c>
      <c r="AJ1545" s="81"/>
      <c r="AK1545" s="86" t="s">
        <v>6240</v>
      </c>
      <c r="AL1545" s="81" t="b">
        <v>0</v>
      </c>
      <c r="AM1545" s="81">
        <v>0</v>
      </c>
      <c r="AN1545" s="86" t="s">
        <v>6240</v>
      </c>
      <c r="AO1545" s="86" t="s">
        <v>6505</v>
      </c>
      <c r="AP1545" s="81" t="b">
        <v>0</v>
      </c>
      <c r="AQ1545" s="86" t="s">
        <v>5258</v>
      </c>
      <c r="AR1545" s="81" t="s">
        <v>179</v>
      </c>
      <c r="AS1545" s="81">
        <v>0</v>
      </c>
      <c r="AT1545" s="81">
        <v>0</v>
      </c>
      <c r="AU1545" s="81"/>
      <c r="AV1545" s="81"/>
      <c r="AW1545" s="81"/>
      <c r="AX1545" s="81"/>
      <c r="AY1545" s="81"/>
      <c r="AZ1545" s="81"/>
      <c r="BA1545" s="81"/>
      <c r="BB1545" s="81"/>
    </row>
    <row r="1546" spans="1:54" x14ac:dyDescent="0.35">
      <c r="A1546" s="66" t="s">
        <v>1090</v>
      </c>
      <c r="B1546" s="66" t="s">
        <v>1090</v>
      </c>
      <c r="C1546" s="67"/>
      <c r="D1546" s="68"/>
      <c r="E1546" s="69"/>
      <c r="F1546" s="70"/>
      <c r="G1546" s="67"/>
      <c r="H1546" s="71"/>
      <c r="I1546" s="72"/>
      <c r="J1546" s="72"/>
      <c r="K1546" s="36"/>
      <c r="L1546" s="79"/>
      <c r="M1546" s="79"/>
      <c r="N1546" s="74"/>
      <c r="O1546" s="81" t="s">
        <v>179</v>
      </c>
      <c r="P1546" s="83">
        <v>43388.224733796298</v>
      </c>
      <c r="Q1546" s="81" t="s">
        <v>2116</v>
      </c>
      <c r="R1546" s="81"/>
      <c r="S1546" s="81"/>
      <c r="T1546" s="81"/>
      <c r="U1546" s="84" t="str">
        <f>HYPERLINK("https://pbs.twimg.com/media/DphoO7DVsAE45ys.jpg")</f>
        <v>https://pbs.twimg.com/media/DphoO7DVsAE45ys.jpg</v>
      </c>
      <c r="V1546" s="84" t="str">
        <f>HYPERLINK("https://pbs.twimg.com/media/DphoO7DVsAE45ys.jpg")</f>
        <v>https://pbs.twimg.com/media/DphoO7DVsAE45ys.jpg</v>
      </c>
      <c r="W1546" s="83">
        <v>43388.224733796298</v>
      </c>
      <c r="X1546" s="89">
        <v>43388</v>
      </c>
      <c r="Y1546" s="86" t="s">
        <v>3787</v>
      </c>
      <c r="Z1546" s="84" t="str">
        <f>HYPERLINK("https://twitter.com/fiersabesari/status/1051705129395675136")</f>
        <v>https://twitter.com/fiersabesari/status/1051705129395675136</v>
      </c>
      <c r="AA1546" s="81"/>
      <c r="AB1546" s="81"/>
      <c r="AC1546" s="86" t="s">
        <v>5259</v>
      </c>
      <c r="AD1546" s="81"/>
      <c r="AE1546" s="81" t="b">
        <v>0</v>
      </c>
      <c r="AF1546" s="81">
        <v>165</v>
      </c>
      <c r="AG1546" s="86" t="s">
        <v>6240</v>
      </c>
      <c r="AH1546" s="81" t="b">
        <v>0</v>
      </c>
      <c r="AI1546" s="81" t="s">
        <v>6478</v>
      </c>
      <c r="AJ1546" s="81"/>
      <c r="AK1546" s="86" t="s">
        <v>6240</v>
      </c>
      <c r="AL1546" s="81" t="b">
        <v>0</v>
      </c>
      <c r="AM1546" s="81">
        <v>31</v>
      </c>
      <c r="AN1546" s="86" t="s">
        <v>6240</v>
      </c>
      <c r="AO1546" s="86" t="s">
        <v>6505</v>
      </c>
      <c r="AP1546" s="81" t="b">
        <v>0</v>
      </c>
      <c r="AQ1546" s="86" t="s">
        <v>5259</v>
      </c>
      <c r="AR1546" s="81" t="s">
        <v>1532</v>
      </c>
      <c r="AS1546" s="81">
        <v>0</v>
      </c>
      <c r="AT1546" s="81">
        <v>0</v>
      </c>
      <c r="AU1546" s="81"/>
      <c r="AV1546" s="81"/>
      <c r="AW1546" s="81"/>
      <c r="AX1546" s="81"/>
      <c r="AY1546" s="81"/>
      <c r="AZ1546" s="81"/>
      <c r="BA1546" s="81"/>
      <c r="BB1546" s="81"/>
    </row>
    <row r="1547" spans="1:54" x14ac:dyDescent="0.35">
      <c r="A1547" s="66" t="s">
        <v>1091</v>
      </c>
      <c r="B1547" s="66" t="s">
        <v>1090</v>
      </c>
      <c r="C1547" s="67"/>
      <c r="D1547" s="68"/>
      <c r="E1547" s="69"/>
      <c r="F1547" s="70"/>
      <c r="G1547" s="67"/>
      <c r="H1547" s="71"/>
      <c r="I1547" s="72"/>
      <c r="J1547" s="72"/>
      <c r="K1547" s="36"/>
      <c r="L1547" s="79"/>
      <c r="M1547" s="79"/>
      <c r="N1547" s="74"/>
      <c r="O1547" s="81" t="s">
        <v>1532</v>
      </c>
      <c r="P1547" s="83">
        <v>44461.28224537037</v>
      </c>
      <c r="Q1547" s="81" t="s">
        <v>2116</v>
      </c>
      <c r="R1547" s="81"/>
      <c r="S1547" s="81"/>
      <c r="T1547" s="81"/>
      <c r="U1547" s="84" t="str">
        <f>HYPERLINK("https://pbs.twimg.com/media/DphoO7DVsAE45ys.jpg")</f>
        <v>https://pbs.twimg.com/media/DphoO7DVsAE45ys.jpg</v>
      </c>
      <c r="V1547" s="84" t="str">
        <f>HYPERLINK("https://pbs.twimg.com/media/DphoO7DVsAE45ys.jpg")</f>
        <v>https://pbs.twimg.com/media/DphoO7DVsAE45ys.jpg</v>
      </c>
      <c r="W1547" s="83">
        <v>44461.28224537037</v>
      </c>
      <c r="X1547" s="89">
        <v>44461</v>
      </c>
      <c r="Y1547" s="86" t="s">
        <v>3788</v>
      </c>
      <c r="Z1547" s="84" t="str">
        <f>HYPERLINK("https://twitter.com/orangekampus/status/1440568150873886721")</f>
        <v>https://twitter.com/orangekampus/status/1440568150873886721</v>
      </c>
      <c r="AA1547" s="81"/>
      <c r="AB1547" s="81"/>
      <c r="AC1547" s="86" t="s">
        <v>5260</v>
      </c>
      <c r="AD1547" s="81"/>
      <c r="AE1547" s="81" t="b">
        <v>0</v>
      </c>
      <c r="AF1547" s="81">
        <v>0</v>
      </c>
      <c r="AG1547" s="86" t="s">
        <v>6240</v>
      </c>
      <c r="AH1547" s="81" t="b">
        <v>0</v>
      </c>
      <c r="AI1547" s="81" t="s">
        <v>6478</v>
      </c>
      <c r="AJ1547" s="81"/>
      <c r="AK1547" s="86" t="s">
        <v>6240</v>
      </c>
      <c r="AL1547" s="81" t="b">
        <v>0</v>
      </c>
      <c r="AM1547" s="81">
        <v>31</v>
      </c>
      <c r="AN1547" s="86" t="s">
        <v>5259</v>
      </c>
      <c r="AO1547" s="86" t="s">
        <v>6507</v>
      </c>
      <c r="AP1547" s="81" t="b">
        <v>0</v>
      </c>
      <c r="AQ1547" s="86" t="s">
        <v>5259</v>
      </c>
      <c r="AR1547" s="81" t="s">
        <v>179</v>
      </c>
      <c r="AS1547" s="81">
        <v>0</v>
      </c>
      <c r="AT1547" s="81">
        <v>0</v>
      </c>
      <c r="AU1547" s="81"/>
      <c r="AV1547" s="81"/>
      <c r="AW1547" s="81"/>
      <c r="AX1547" s="81"/>
      <c r="AY1547" s="81"/>
      <c r="AZ1547" s="81"/>
      <c r="BA1547" s="81"/>
      <c r="BB1547" s="81"/>
    </row>
    <row r="1548" spans="1:54" x14ac:dyDescent="0.35">
      <c r="A1548" s="66" t="s">
        <v>1092</v>
      </c>
      <c r="B1548" s="66" t="s">
        <v>1092</v>
      </c>
      <c r="C1548" s="67"/>
      <c r="D1548" s="68"/>
      <c r="E1548" s="69"/>
      <c r="F1548" s="70"/>
      <c r="G1548" s="67"/>
      <c r="H1548" s="71"/>
      <c r="I1548" s="72"/>
      <c r="J1548" s="72"/>
      <c r="K1548" s="36"/>
      <c r="L1548" s="79"/>
      <c r="M1548" s="79"/>
      <c r="N1548" s="74"/>
      <c r="O1548" s="81" t="s">
        <v>179</v>
      </c>
      <c r="P1548" s="83">
        <v>43251.394583333335</v>
      </c>
      <c r="Q1548" s="81" t="s">
        <v>2117</v>
      </c>
      <c r="R1548" s="81"/>
      <c r="S1548" s="81"/>
      <c r="T1548" s="81"/>
      <c r="U1548" s="84" t="str">
        <f>HYPERLINK("https://pbs.twimg.com/media/Deg-aFMVMAEjZig.jpg")</f>
        <v>https://pbs.twimg.com/media/Deg-aFMVMAEjZig.jpg</v>
      </c>
      <c r="V1548" s="84" t="str">
        <f>HYPERLINK("https://pbs.twimg.com/media/Deg-aFMVMAEjZig.jpg")</f>
        <v>https://pbs.twimg.com/media/Deg-aFMVMAEjZig.jpg</v>
      </c>
      <c r="W1548" s="83">
        <v>43251.394583333335</v>
      </c>
      <c r="X1548" s="89">
        <v>43251</v>
      </c>
      <c r="Y1548" s="86" t="s">
        <v>3789</v>
      </c>
      <c r="Z1548" s="84" t="str">
        <f>HYPERLINK("https://twitter.com/kamadjajaklog/status/1002119545253851136")</f>
        <v>https://twitter.com/kamadjajaklog/status/1002119545253851136</v>
      </c>
      <c r="AA1548" s="81"/>
      <c r="AB1548" s="81"/>
      <c r="AC1548" s="86" t="s">
        <v>5261</v>
      </c>
      <c r="AD1548" s="81"/>
      <c r="AE1548" s="81" t="b">
        <v>0</v>
      </c>
      <c r="AF1548" s="81">
        <v>1</v>
      </c>
      <c r="AG1548" s="86" t="s">
        <v>6240</v>
      </c>
      <c r="AH1548" s="81" t="b">
        <v>0</v>
      </c>
      <c r="AI1548" s="81" t="s">
        <v>6478</v>
      </c>
      <c r="AJ1548" s="81"/>
      <c r="AK1548" s="86" t="s">
        <v>6240</v>
      </c>
      <c r="AL1548" s="81" t="b">
        <v>0</v>
      </c>
      <c r="AM1548" s="81">
        <v>1</v>
      </c>
      <c r="AN1548" s="86" t="s">
        <v>6240</v>
      </c>
      <c r="AO1548" s="86" t="s">
        <v>6530</v>
      </c>
      <c r="AP1548" s="81" t="b">
        <v>0</v>
      </c>
      <c r="AQ1548" s="86" t="s">
        <v>5261</v>
      </c>
      <c r="AR1548" s="81" t="s">
        <v>1532</v>
      </c>
      <c r="AS1548" s="81">
        <v>0</v>
      </c>
      <c r="AT1548" s="81">
        <v>0</v>
      </c>
      <c r="AU1548" s="81"/>
      <c r="AV1548" s="81"/>
      <c r="AW1548" s="81"/>
      <c r="AX1548" s="81"/>
      <c r="AY1548" s="81"/>
      <c r="AZ1548" s="81"/>
      <c r="BA1548" s="81"/>
      <c r="BB1548" s="81"/>
    </row>
    <row r="1549" spans="1:54" x14ac:dyDescent="0.35">
      <c r="A1549" s="66" t="s">
        <v>1091</v>
      </c>
      <c r="B1549" s="66" t="s">
        <v>1092</v>
      </c>
      <c r="C1549" s="67"/>
      <c r="D1549" s="68"/>
      <c r="E1549" s="69"/>
      <c r="F1549" s="70"/>
      <c r="G1549" s="67"/>
      <c r="H1549" s="71"/>
      <c r="I1549" s="72"/>
      <c r="J1549" s="72"/>
      <c r="K1549" s="36"/>
      <c r="L1549" s="79"/>
      <c r="M1549" s="79"/>
      <c r="N1549" s="74"/>
      <c r="O1549" s="81" t="s">
        <v>1532</v>
      </c>
      <c r="P1549" s="83">
        <v>44461.292407407411</v>
      </c>
      <c r="Q1549" s="81" t="s">
        <v>2117</v>
      </c>
      <c r="R1549" s="81"/>
      <c r="S1549" s="81"/>
      <c r="T1549" s="81"/>
      <c r="U1549" s="84" t="str">
        <f>HYPERLINK("https://pbs.twimg.com/media/Deg-aFMVMAEjZig.jpg")</f>
        <v>https://pbs.twimg.com/media/Deg-aFMVMAEjZig.jpg</v>
      </c>
      <c r="V1549" s="84" t="str">
        <f>HYPERLINK("https://pbs.twimg.com/media/Deg-aFMVMAEjZig.jpg")</f>
        <v>https://pbs.twimg.com/media/Deg-aFMVMAEjZig.jpg</v>
      </c>
      <c r="W1549" s="83">
        <v>44461.292407407411</v>
      </c>
      <c r="X1549" s="89">
        <v>44461</v>
      </c>
      <c r="Y1549" s="86" t="s">
        <v>3790</v>
      </c>
      <c r="Z1549" s="84" t="str">
        <f>HYPERLINK("https://twitter.com/orangekampus/status/1440571836022988800")</f>
        <v>https://twitter.com/orangekampus/status/1440571836022988800</v>
      </c>
      <c r="AA1549" s="81"/>
      <c r="AB1549" s="81"/>
      <c r="AC1549" s="86" t="s">
        <v>5262</v>
      </c>
      <c r="AD1549" s="81"/>
      <c r="AE1549" s="81" t="b">
        <v>0</v>
      </c>
      <c r="AF1549" s="81">
        <v>0</v>
      </c>
      <c r="AG1549" s="86" t="s">
        <v>6240</v>
      </c>
      <c r="AH1549" s="81" t="b">
        <v>0</v>
      </c>
      <c r="AI1549" s="81" t="s">
        <v>6478</v>
      </c>
      <c r="AJ1549" s="81"/>
      <c r="AK1549" s="86" t="s">
        <v>6240</v>
      </c>
      <c r="AL1549" s="81" t="b">
        <v>0</v>
      </c>
      <c r="AM1549" s="81">
        <v>1</v>
      </c>
      <c r="AN1549" s="86" t="s">
        <v>5261</v>
      </c>
      <c r="AO1549" s="86" t="s">
        <v>6507</v>
      </c>
      <c r="AP1549" s="81" t="b">
        <v>0</v>
      </c>
      <c r="AQ1549" s="86" t="s">
        <v>5261</v>
      </c>
      <c r="AR1549" s="81" t="s">
        <v>179</v>
      </c>
      <c r="AS1549" s="81">
        <v>0</v>
      </c>
      <c r="AT1549" s="81">
        <v>0</v>
      </c>
      <c r="AU1549" s="81"/>
      <c r="AV1549" s="81"/>
      <c r="AW1549" s="81"/>
      <c r="AX1549" s="81"/>
      <c r="AY1549" s="81"/>
      <c r="AZ1549" s="81"/>
      <c r="BA1549" s="81"/>
      <c r="BB1549" s="81"/>
    </row>
    <row r="1550" spans="1:54" x14ac:dyDescent="0.35">
      <c r="A1550" s="66" t="s">
        <v>1091</v>
      </c>
      <c r="B1550" s="66" t="s">
        <v>1091</v>
      </c>
      <c r="C1550" s="67"/>
      <c r="D1550" s="68"/>
      <c r="E1550" s="69"/>
      <c r="F1550" s="70"/>
      <c r="G1550" s="67"/>
      <c r="H1550" s="71"/>
      <c r="I1550" s="72"/>
      <c r="J1550" s="72"/>
      <c r="K1550" s="36"/>
      <c r="L1550" s="79"/>
      <c r="M1550" s="79"/>
      <c r="N1550" s="74"/>
      <c r="O1550" s="81" t="s">
        <v>179</v>
      </c>
      <c r="P1550" s="83">
        <v>44466.11041666667</v>
      </c>
      <c r="Q1550" s="81" t="s">
        <v>2118</v>
      </c>
      <c r="R1550" s="84" t="str">
        <f>HYPERLINK("https://republika.co.id/berita/r011xj423/politeknik-pos-indonesia-dan-kemenlu-ri-teken-mou")</f>
        <v>https://republika.co.id/berita/r011xj423/politeknik-pos-indonesia-dan-kemenlu-ri-teken-mou</v>
      </c>
      <c r="S1550" s="81" t="s">
        <v>2589</v>
      </c>
      <c r="T1550" s="86" t="s">
        <v>2719</v>
      </c>
      <c r="U1550" s="81"/>
      <c r="V1550" s="84" t="str">
        <f>HYPERLINK("https://pbs.twimg.com/profile_images/1362232870316613637/0ZhZ15at_normal.jpg")</f>
        <v>https://pbs.twimg.com/profile_images/1362232870316613637/0ZhZ15at_normal.jpg</v>
      </c>
      <c r="W1550" s="83">
        <v>44466.11041666667</v>
      </c>
      <c r="X1550" s="89">
        <v>44466</v>
      </c>
      <c r="Y1550" s="86" t="s">
        <v>3791</v>
      </c>
      <c r="Z1550" s="84" t="str">
        <f>HYPERLINK("https://twitter.com/orangekampus/status/1442317820595826694")</f>
        <v>https://twitter.com/orangekampus/status/1442317820595826694</v>
      </c>
      <c r="AA1550" s="81"/>
      <c r="AB1550" s="81"/>
      <c r="AC1550" s="86" t="s">
        <v>5263</v>
      </c>
      <c r="AD1550" s="81"/>
      <c r="AE1550" s="81" t="b">
        <v>0</v>
      </c>
      <c r="AF1550" s="81">
        <v>0</v>
      </c>
      <c r="AG1550" s="86" t="s">
        <v>6240</v>
      </c>
      <c r="AH1550" s="81" t="b">
        <v>0</v>
      </c>
      <c r="AI1550" s="81" t="s">
        <v>6478</v>
      </c>
      <c r="AJ1550" s="81"/>
      <c r="AK1550" s="86" t="s">
        <v>6240</v>
      </c>
      <c r="AL1550" s="81" t="b">
        <v>0</v>
      </c>
      <c r="AM1550" s="81">
        <v>0</v>
      </c>
      <c r="AN1550" s="86" t="s">
        <v>6240</v>
      </c>
      <c r="AO1550" s="86" t="s">
        <v>6507</v>
      </c>
      <c r="AP1550" s="81" t="b">
        <v>0</v>
      </c>
      <c r="AQ1550" s="86" t="s">
        <v>5263</v>
      </c>
      <c r="AR1550" s="81" t="s">
        <v>179</v>
      </c>
      <c r="AS1550" s="81">
        <v>0</v>
      </c>
      <c r="AT1550" s="81">
        <v>0</v>
      </c>
      <c r="AU1550" s="81"/>
      <c r="AV1550" s="81"/>
      <c r="AW1550" s="81"/>
      <c r="AX1550" s="81"/>
      <c r="AY1550" s="81"/>
      <c r="AZ1550" s="81"/>
      <c r="BA1550" s="81"/>
      <c r="BB1550" s="81"/>
    </row>
    <row r="1551" spans="1:54" x14ac:dyDescent="0.35">
      <c r="A1551" s="66" t="s">
        <v>1091</v>
      </c>
      <c r="B1551" s="66" t="s">
        <v>1091</v>
      </c>
      <c r="C1551" s="67"/>
      <c r="D1551" s="68"/>
      <c r="E1551" s="69"/>
      <c r="F1551" s="70"/>
      <c r="G1551" s="67"/>
      <c r="H1551" s="71"/>
      <c r="I1551" s="72"/>
      <c r="J1551" s="72"/>
      <c r="K1551" s="36"/>
      <c r="L1551" s="79"/>
      <c r="M1551" s="79"/>
      <c r="N1551" s="74"/>
      <c r="O1551" s="81" t="s">
        <v>179</v>
      </c>
      <c r="P1551" s="83">
        <v>44466.111261574071</v>
      </c>
      <c r="Q1551" s="81" t="s">
        <v>2119</v>
      </c>
      <c r="R1551" s="84" t="str">
        <f>HYPERLINK("https://bandungnews.id/buka-pusat-studi-asean-politeknik-pos-indonesia-dan-kemenlu-ri-teken-mou/")</f>
        <v>https://bandungnews.id/buka-pusat-studi-asean-politeknik-pos-indonesia-dan-kemenlu-ri-teken-mou/</v>
      </c>
      <c r="S1551" s="81" t="s">
        <v>2632</v>
      </c>
      <c r="T1551" s="86" t="s">
        <v>2720</v>
      </c>
      <c r="U1551" s="81"/>
      <c r="V1551" s="84" t="str">
        <f>HYPERLINK("https://pbs.twimg.com/profile_images/1362232870316613637/0ZhZ15at_normal.jpg")</f>
        <v>https://pbs.twimg.com/profile_images/1362232870316613637/0ZhZ15at_normal.jpg</v>
      </c>
      <c r="W1551" s="83">
        <v>44466.111261574071</v>
      </c>
      <c r="X1551" s="89">
        <v>44466</v>
      </c>
      <c r="Y1551" s="86" t="s">
        <v>3792</v>
      </c>
      <c r="Z1551" s="84" t="str">
        <f>HYPERLINK("https://twitter.com/orangekampus/status/1442318128713699328")</f>
        <v>https://twitter.com/orangekampus/status/1442318128713699328</v>
      </c>
      <c r="AA1551" s="81"/>
      <c r="AB1551" s="81"/>
      <c r="AC1551" s="86" t="s">
        <v>5264</v>
      </c>
      <c r="AD1551" s="86" t="s">
        <v>5263</v>
      </c>
      <c r="AE1551" s="81" t="b">
        <v>0</v>
      </c>
      <c r="AF1551" s="81">
        <v>0</v>
      </c>
      <c r="AG1551" s="86" t="s">
        <v>6435</v>
      </c>
      <c r="AH1551" s="81" t="b">
        <v>0</v>
      </c>
      <c r="AI1551" s="81" t="s">
        <v>6485</v>
      </c>
      <c r="AJ1551" s="81"/>
      <c r="AK1551" s="86" t="s">
        <v>6240</v>
      </c>
      <c r="AL1551" s="81" t="b">
        <v>0</v>
      </c>
      <c r="AM1551" s="81">
        <v>0</v>
      </c>
      <c r="AN1551" s="86" t="s">
        <v>6240</v>
      </c>
      <c r="AO1551" s="86" t="s">
        <v>6507</v>
      </c>
      <c r="AP1551" s="81" t="b">
        <v>0</v>
      </c>
      <c r="AQ1551" s="86" t="s">
        <v>5263</v>
      </c>
      <c r="AR1551" s="81" t="s">
        <v>179</v>
      </c>
      <c r="AS1551" s="81">
        <v>0</v>
      </c>
      <c r="AT1551" s="81">
        <v>0</v>
      </c>
      <c r="AU1551" s="81"/>
      <c r="AV1551" s="81"/>
      <c r="AW1551" s="81"/>
      <c r="AX1551" s="81"/>
      <c r="AY1551" s="81"/>
      <c r="AZ1551" s="81"/>
      <c r="BA1551" s="81"/>
      <c r="BB1551" s="81"/>
    </row>
    <row r="1552" spans="1:54" x14ac:dyDescent="0.35">
      <c r="A1552" s="66" t="s">
        <v>1091</v>
      </c>
      <c r="B1552" s="66" t="s">
        <v>1091</v>
      </c>
      <c r="C1552" s="67"/>
      <c r="D1552" s="68"/>
      <c r="E1552" s="69"/>
      <c r="F1552" s="70"/>
      <c r="G1552" s="67"/>
      <c r="H1552" s="71"/>
      <c r="I1552" s="72"/>
      <c r="J1552" s="72"/>
      <c r="K1552" s="36"/>
      <c r="L1552" s="79"/>
      <c r="M1552" s="79"/>
      <c r="N1552" s="74"/>
      <c r="O1552" s="81" t="s">
        <v>179</v>
      </c>
      <c r="P1552" s="83">
        <v>44466.116238425922</v>
      </c>
      <c r="Q1552" s="81" t="s">
        <v>2120</v>
      </c>
      <c r="R1552" s="84" t="str">
        <f>HYPERLINK("http://cakrawalajabar.com/2021/09/26/buka-pusat-studi-asean-politeknik-pos-indonesia-dan-kemenlu-ri-tandatangani-kerjasama/")</f>
        <v>http://cakrawalajabar.com/2021/09/26/buka-pusat-studi-asean-politeknik-pos-indonesia-dan-kemenlu-ri-tandatangani-kerjasama/</v>
      </c>
      <c r="S1552" s="81" t="s">
        <v>2644</v>
      </c>
      <c r="T1552" s="86" t="s">
        <v>2719</v>
      </c>
      <c r="U1552" s="81"/>
      <c r="V1552" s="84" t="str">
        <f>HYPERLINK("https://pbs.twimg.com/profile_images/1362232870316613637/0ZhZ15at_normal.jpg")</f>
        <v>https://pbs.twimg.com/profile_images/1362232870316613637/0ZhZ15at_normal.jpg</v>
      </c>
      <c r="W1552" s="83">
        <v>44466.116238425922</v>
      </c>
      <c r="X1552" s="89">
        <v>44466</v>
      </c>
      <c r="Y1552" s="86" t="s">
        <v>3793</v>
      </c>
      <c r="Z1552" s="84" t="str">
        <f>HYPERLINK("https://twitter.com/orangekampus/status/1442319930943098893")</f>
        <v>https://twitter.com/orangekampus/status/1442319930943098893</v>
      </c>
      <c r="AA1552" s="81"/>
      <c r="AB1552" s="81"/>
      <c r="AC1552" s="86" t="s">
        <v>5265</v>
      </c>
      <c r="AD1552" s="86" t="s">
        <v>6185</v>
      </c>
      <c r="AE1552" s="81" t="b">
        <v>0</v>
      </c>
      <c r="AF1552" s="81">
        <v>0</v>
      </c>
      <c r="AG1552" s="86" t="s">
        <v>6435</v>
      </c>
      <c r="AH1552" s="81" t="b">
        <v>0</v>
      </c>
      <c r="AI1552" s="81" t="s">
        <v>6485</v>
      </c>
      <c r="AJ1552" s="81"/>
      <c r="AK1552" s="86" t="s">
        <v>6240</v>
      </c>
      <c r="AL1552" s="81" t="b">
        <v>0</v>
      </c>
      <c r="AM1552" s="81">
        <v>0</v>
      </c>
      <c r="AN1552" s="86" t="s">
        <v>6240</v>
      </c>
      <c r="AO1552" s="86" t="s">
        <v>6507</v>
      </c>
      <c r="AP1552" s="81" t="b">
        <v>0</v>
      </c>
      <c r="AQ1552" s="86" t="s">
        <v>6185</v>
      </c>
      <c r="AR1552" s="81" t="s">
        <v>179</v>
      </c>
      <c r="AS1552" s="81">
        <v>0</v>
      </c>
      <c r="AT1552" s="81">
        <v>0</v>
      </c>
      <c r="AU1552" s="81"/>
      <c r="AV1552" s="81"/>
      <c r="AW1552" s="81"/>
      <c r="AX1552" s="81"/>
      <c r="AY1552" s="81"/>
      <c r="AZ1552" s="81"/>
      <c r="BA1552" s="81"/>
      <c r="BB1552" s="81"/>
    </row>
    <row r="1553" spans="1:54" x14ac:dyDescent="0.35">
      <c r="A1553" s="66" t="s">
        <v>1091</v>
      </c>
      <c r="B1553" s="66" t="s">
        <v>1091</v>
      </c>
      <c r="C1553" s="67"/>
      <c r="D1553" s="68"/>
      <c r="E1553" s="69"/>
      <c r="F1553" s="70"/>
      <c r="G1553" s="67"/>
      <c r="H1553" s="71"/>
      <c r="I1553" s="72"/>
      <c r="J1553" s="72"/>
      <c r="K1553" s="36"/>
      <c r="L1553" s="79"/>
      <c r="M1553" s="79"/>
      <c r="N1553" s="74"/>
      <c r="O1553" s="81" t="s">
        <v>179</v>
      </c>
      <c r="P1553" s="83">
        <v>44466.116967592592</v>
      </c>
      <c r="Q1553" s="81" t="s">
        <v>2121</v>
      </c>
      <c r="R1553" s="84" t="str">
        <f>HYPERLINK("https://www.dobrak.co/pendidikan/pr-931280074/politeknik-pos-indonesia-dan-kemenlu-ri-teken-mou-buka-pusat-studi-asean")</f>
        <v>https://www.dobrak.co/pendidikan/pr-931280074/politeknik-pos-indonesia-dan-kemenlu-ri-teken-mou-buka-pusat-studi-asean</v>
      </c>
      <c r="S1553" s="81" t="s">
        <v>2645</v>
      </c>
      <c r="T1553" s="86" t="s">
        <v>2719</v>
      </c>
      <c r="U1553" s="81"/>
      <c r="V1553" s="84" t="str">
        <f>HYPERLINK("https://pbs.twimg.com/profile_images/1362232870316613637/0ZhZ15at_normal.jpg")</f>
        <v>https://pbs.twimg.com/profile_images/1362232870316613637/0ZhZ15at_normal.jpg</v>
      </c>
      <c r="W1553" s="83">
        <v>44466.116967592592</v>
      </c>
      <c r="X1553" s="89">
        <v>44466</v>
      </c>
      <c r="Y1553" s="86" t="s">
        <v>3794</v>
      </c>
      <c r="Z1553" s="84" t="str">
        <f>HYPERLINK("https://twitter.com/orangekampus/status/1442320196799193088")</f>
        <v>https://twitter.com/orangekampus/status/1442320196799193088</v>
      </c>
      <c r="AA1553" s="81"/>
      <c r="AB1553" s="81"/>
      <c r="AC1553" s="86" t="s">
        <v>5266</v>
      </c>
      <c r="AD1553" s="86" t="s">
        <v>6186</v>
      </c>
      <c r="AE1553" s="81" t="b">
        <v>0</v>
      </c>
      <c r="AF1553" s="81">
        <v>0</v>
      </c>
      <c r="AG1553" s="86" t="s">
        <v>6435</v>
      </c>
      <c r="AH1553" s="81" t="b">
        <v>0</v>
      </c>
      <c r="AI1553" s="81" t="s">
        <v>6485</v>
      </c>
      <c r="AJ1553" s="81"/>
      <c r="AK1553" s="86" t="s">
        <v>6240</v>
      </c>
      <c r="AL1553" s="81" t="b">
        <v>0</v>
      </c>
      <c r="AM1553" s="81">
        <v>0</v>
      </c>
      <c r="AN1553" s="86" t="s">
        <v>6240</v>
      </c>
      <c r="AO1553" s="86" t="s">
        <v>6507</v>
      </c>
      <c r="AP1553" s="81" t="b">
        <v>0</v>
      </c>
      <c r="AQ1553" s="86" t="s">
        <v>6186</v>
      </c>
      <c r="AR1553" s="81" t="s">
        <v>179</v>
      </c>
      <c r="AS1553" s="81">
        <v>0</v>
      </c>
      <c r="AT1553" s="81">
        <v>0</v>
      </c>
      <c r="AU1553" s="81"/>
      <c r="AV1553" s="81"/>
      <c r="AW1553" s="81"/>
      <c r="AX1553" s="81"/>
      <c r="AY1553" s="81"/>
      <c r="AZ1553" s="81"/>
      <c r="BA1553" s="81"/>
      <c r="BB1553" s="81"/>
    </row>
    <row r="1554" spans="1:54" x14ac:dyDescent="0.35">
      <c r="A1554" s="66" t="s">
        <v>1091</v>
      </c>
      <c r="B1554" s="66" t="s">
        <v>1091</v>
      </c>
      <c r="C1554" s="67"/>
      <c r="D1554" s="68"/>
      <c r="E1554" s="69"/>
      <c r="F1554" s="70"/>
      <c r="G1554" s="67"/>
      <c r="H1554" s="71"/>
      <c r="I1554" s="72"/>
      <c r="J1554" s="72"/>
      <c r="K1554" s="36"/>
      <c r="L1554" s="79"/>
      <c r="M1554" s="79"/>
      <c r="N1554" s="74"/>
      <c r="O1554" s="81" t="s">
        <v>179</v>
      </c>
      <c r="P1554" s="83">
        <v>44466.117337962962</v>
      </c>
      <c r="Q1554" s="81" t="s">
        <v>2122</v>
      </c>
      <c r="R1554" s="84" t="str">
        <f>HYPERLINK("https://ruangterang.pikiran-rakyat.com/news/pr-1022676693/buka-pusat-studi-asean-politeknik-pos-indonesia-dan-kemenlu-ri-teken-mou")</f>
        <v>https://ruangterang.pikiran-rakyat.com/news/pr-1022676693/buka-pusat-studi-asean-politeknik-pos-indonesia-dan-kemenlu-ri-teken-mou</v>
      </c>
      <c r="S1554" s="81" t="s">
        <v>2605</v>
      </c>
      <c r="T1554" s="86" t="s">
        <v>2719</v>
      </c>
      <c r="U1554" s="81"/>
      <c r="V1554" s="84" t="str">
        <f>HYPERLINK("https://pbs.twimg.com/profile_images/1362232870316613637/0ZhZ15at_normal.jpg")</f>
        <v>https://pbs.twimg.com/profile_images/1362232870316613637/0ZhZ15at_normal.jpg</v>
      </c>
      <c r="W1554" s="83">
        <v>44466.117337962962</v>
      </c>
      <c r="X1554" s="89">
        <v>44466</v>
      </c>
      <c r="Y1554" s="86" t="s">
        <v>3795</v>
      </c>
      <c r="Z1554" s="84" t="str">
        <f>HYPERLINK("https://twitter.com/orangekampus/status/1442320332690317313")</f>
        <v>https://twitter.com/orangekampus/status/1442320332690317313</v>
      </c>
      <c r="AA1554" s="81"/>
      <c r="AB1554" s="81"/>
      <c r="AC1554" s="86" t="s">
        <v>5267</v>
      </c>
      <c r="AD1554" s="86" t="s">
        <v>5266</v>
      </c>
      <c r="AE1554" s="81" t="b">
        <v>0</v>
      </c>
      <c r="AF1554" s="81">
        <v>0</v>
      </c>
      <c r="AG1554" s="86" t="s">
        <v>6435</v>
      </c>
      <c r="AH1554" s="81" t="b">
        <v>0</v>
      </c>
      <c r="AI1554" s="81" t="s">
        <v>6485</v>
      </c>
      <c r="AJ1554" s="81"/>
      <c r="AK1554" s="86" t="s">
        <v>6240</v>
      </c>
      <c r="AL1554" s="81" t="b">
        <v>0</v>
      </c>
      <c r="AM1554" s="81">
        <v>0</v>
      </c>
      <c r="AN1554" s="86" t="s">
        <v>6240</v>
      </c>
      <c r="AO1554" s="86" t="s">
        <v>6507</v>
      </c>
      <c r="AP1554" s="81" t="b">
        <v>0</v>
      </c>
      <c r="AQ1554" s="86" t="s">
        <v>5266</v>
      </c>
      <c r="AR1554" s="81" t="s">
        <v>179</v>
      </c>
      <c r="AS1554" s="81">
        <v>0</v>
      </c>
      <c r="AT1554" s="81">
        <v>0</v>
      </c>
      <c r="AU1554" s="81"/>
      <c r="AV1554" s="81"/>
      <c r="AW1554" s="81"/>
      <c r="AX1554" s="81"/>
      <c r="AY1554" s="81"/>
      <c r="AZ1554" s="81"/>
      <c r="BA1554" s="81"/>
      <c r="BB1554" s="81"/>
    </row>
    <row r="1555" spans="1:54" x14ac:dyDescent="0.35">
      <c r="A1555" s="66" t="s">
        <v>1091</v>
      </c>
      <c r="B1555" s="66" t="s">
        <v>1091</v>
      </c>
      <c r="C1555" s="67"/>
      <c r="D1555" s="68"/>
      <c r="E1555" s="69"/>
      <c r="F1555" s="70"/>
      <c r="G1555" s="67"/>
      <c r="H1555" s="71"/>
      <c r="I1555" s="72"/>
      <c r="J1555" s="72"/>
      <c r="K1555" s="36"/>
      <c r="L1555" s="79"/>
      <c r="M1555" s="79"/>
      <c r="N1555" s="74"/>
      <c r="O1555" s="81" t="s">
        <v>179</v>
      </c>
      <c r="P1555" s="83">
        <v>44466.345925925925</v>
      </c>
      <c r="Q1555" s="81" t="s">
        <v>2123</v>
      </c>
      <c r="R1555" s="81"/>
      <c r="S1555" s="81"/>
      <c r="T1555" s="86" t="s">
        <v>2721</v>
      </c>
      <c r="U1555" s="84" t="str">
        <f>HYPERLINK("https://pbs.twimg.com/media/FARxKZVXEAEKSig.jpg")</f>
        <v>https://pbs.twimg.com/media/FARxKZVXEAEKSig.jpg</v>
      </c>
      <c r="V1555" s="84" t="str">
        <f>HYPERLINK("https://pbs.twimg.com/media/FARxKZVXEAEKSig.jpg")</f>
        <v>https://pbs.twimg.com/media/FARxKZVXEAEKSig.jpg</v>
      </c>
      <c r="W1555" s="83">
        <v>44466.345925925925</v>
      </c>
      <c r="X1555" s="89">
        <v>44466</v>
      </c>
      <c r="Y1555" s="86" t="s">
        <v>3796</v>
      </c>
      <c r="Z1555" s="84" t="str">
        <f>HYPERLINK("https://twitter.com/orangekampus/status/1442403167837241345")</f>
        <v>https://twitter.com/orangekampus/status/1442403167837241345</v>
      </c>
      <c r="AA1555" s="81"/>
      <c r="AB1555" s="81"/>
      <c r="AC1555" s="86" t="s">
        <v>5268</v>
      </c>
      <c r="AD1555" s="81"/>
      <c r="AE1555" s="81" t="b">
        <v>0</v>
      </c>
      <c r="AF1555" s="81">
        <v>1</v>
      </c>
      <c r="AG1555" s="86" t="s">
        <v>6240</v>
      </c>
      <c r="AH1555" s="81" t="b">
        <v>0</v>
      </c>
      <c r="AI1555" s="81" t="s">
        <v>6478</v>
      </c>
      <c r="AJ1555" s="81"/>
      <c r="AK1555" s="86" t="s">
        <v>6240</v>
      </c>
      <c r="AL1555" s="81" t="b">
        <v>0</v>
      </c>
      <c r="AM1555" s="81">
        <v>0</v>
      </c>
      <c r="AN1555" s="86" t="s">
        <v>6240</v>
      </c>
      <c r="AO1555" s="86" t="s">
        <v>6507</v>
      </c>
      <c r="AP1555" s="81" t="b">
        <v>0</v>
      </c>
      <c r="AQ1555" s="86" t="s">
        <v>5268</v>
      </c>
      <c r="AR1555" s="81" t="s">
        <v>179</v>
      </c>
      <c r="AS1555" s="81">
        <v>0</v>
      </c>
      <c r="AT1555" s="81">
        <v>0</v>
      </c>
      <c r="AU1555" s="81"/>
      <c r="AV1555" s="81"/>
      <c r="AW1555" s="81"/>
      <c r="AX1555" s="81"/>
      <c r="AY1555" s="81"/>
      <c r="AZ1555" s="81"/>
      <c r="BA1555" s="81"/>
      <c r="BB1555" s="81"/>
    </row>
    <row r="1556" spans="1:54" x14ac:dyDescent="0.35">
      <c r="A1556" s="66" t="s">
        <v>1093</v>
      </c>
      <c r="B1556" s="66" t="s">
        <v>1247</v>
      </c>
      <c r="C1556" s="67"/>
      <c r="D1556" s="68"/>
      <c r="E1556" s="69"/>
      <c r="F1556" s="70"/>
      <c r="G1556" s="67"/>
      <c r="H1556" s="71"/>
      <c r="I1556" s="72"/>
      <c r="J1556" s="72"/>
      <c r="K1556" s="36"/>
      <c r="L1556" s="79"/>
      <c r="M1556" s="79"/>
      <c r="N1556" s="74"/>
      <c r="O1556" s="81" t="s">
        <v>1532</v>
      </c>
      <c r="P1556" s="83">
        <v>44466.349050925928</v>
      </c>
      <c r="Q1556" s="81" t="s">
        <v>2110</v>
      </c>
      <c r="R1556" s="81"/>
      <c r="S1556" s="81"/>
      <c r="T1556" s="86" t="s">
        <v>2667</v>
      </c>
      <c r="U1556" s="84" t="str">
        <f>HYPERLINK("https://pbs.twimg.com/media/FARq0TBVUAYl272.jpg")</f>
        <v>https://pbs.twimg.com/media/FARq0TBVUAYl272.jpg</v>
      </c>
      <c r="V1556" s="84" t="str">
        <f>HYPERLINK("https://pbs.twimg.com/media/FARq0TBVUAYl272.jpg")</f>
        <v>https://pbs.twimg.com/media/FARq0TBVUAYl272.jpg</v>
      </c>
      <c r="W1556" s="83">
        <v>44466.349050925928</v>
      </c>
      <c r="X1556" s="89">
        <v>44466</v>
      </c>
      <c r="Y1556" s="86" t="s">
        <v>3797</v>
      </c>
      <c r="Z1556" s="84" t="str">
        <f>HYPERLINK("https://twitter.com/linomeow_8/status/1442404299640688645")</f>
        <v>https://twitter.com/linomeow_8/status/1442404299640688645</v>
      </c>
      <c r="AA1556" s="81"/>
      <c r="AB1556" s="81"/>
      <c r="AC1556" s="86" t="s">
        <v>5269</v>
      </c>
      <c r="AD1556" s="81"/>
      <c r="AE1556" s="81" t="b">
        <v>0</v>
      </c>
      <c r="AF1556" s="81">
        <v>0</v>
      </c>
      <c r="AG1556" s="86" t="s">
        <v>6240</v>
      </c>
      <c r="AH1556" s="81" t="b">
        <v>0</v>
      </c>
      <c r="AI1556" s="81" t="s">
        <v>6479</v>
      </c>
      <c r="AJ1556" s="81"/>
      <c r="AK1556" s="86" t="s">
        <v>6240</v>
      </c>
      <c r="AL1556" s="81" t="b">
        <v>0</v>
      </c>
      <c r="AM1556" s="81">
        <v>9</v>
      </c>
      <c r="AN1556" s="86" t="s">
        <v>5505</v>
      </c>
      <c r="AO1556" s="86" t="s">
        <v>6505</v>
      </c>
      <c r="AP1556" s="81" t="b">
        <v>0</v>
      </c>
      <c r="AQ1556" s="86" t="s">
        <v>5505</v>
      </c>
      <c r="AR1556" s="81" t="s">
        <v>179</v>
      </c>
      <c r="AS1556" s="81">
        <v>0</v>
      </c>
      <c r="AT1556" s="81">
        <v>0</v>
      </c>
      <c r="AU1556" s="81"/>
      <c r="AV1556" s="81"/>
      <c r="AW1556" s="81"/>
      <c r="AX1556" s="81"/>
      <c r="AY1556" s="81"/>
      <c r="AZ1556" s="81"/>
      <c r="BA1556" s="81"/>
      <c r="BB1556" s="81"/>
    </row>
    <row r="1557" spans="1:54" x14ac:dyDescent="0.35">
      <c r="A1557" s="66" t="s">
        <v>1094</v>
      </c>
      <c r="B1557" s="66" t="s">
        <v>1146</v>
      </c>
      <c r="C1557" s="67"/>
      <c r="D1557" s="68"/>
      <c r="E1557" s="69"/>
      <c r="F1557" s="70"/>
      <c r="G1557" s="67"/>
      <c r="H1557" s="71"/>
      <c r="I1557" s="72"/>
      <c r="J1557" s="72"/>
      <c r="K1557" s="36"/>
      <c r="L1557" s="79"/>
      <c r="M1557" s="79"/>
      <c r="N1557" s="74"/>
      <c r="O1557" s="81" t="s">
        <v>1532</v>
      </c>
      <c r="P1557" s="83">
        <v>44466.349872685183</v>
      </c>
      <c r="Q1557" s="81" t="s">
        <v>2091</v>
      </c>
      <c r="R1557" s="81"/>
      <c r="S1557" s="81"/>
      <c r="T1557" s="81"/>
      <c r="U1557" s="84" t="str">
        <f>HYPERLINK("https://pbs.twimg.com/ext_tw_video_thumb/1442373678990196737/pu/img/UDVgFvOXidN40Fez.jpg")</f>
        <v>https://pbs.twimg.com/ext_tw_video_thumb/1442373678990196737/pu/img/UDVgFvOXidN40Fez.jpg</v>
      </c>
      <c r="V1557" s="84" t="str">
        <f>HYPERLINK("https://pbs.twimg.com/ext_tw_video_thumb/1442373678990196737/pu/img/UDVgFvOXidN40Fez.jpg")</f>
        <v>https://pbs.twimg.com/ext_tw_video_thumb/1442373678990196737/pu/img/UDVgFvOXidN40Fez.jpg</v>
      </c>
      <c r="W1557" s="83">
        <v>44466.349872685183</v>
      </c>
      <c r="X1557" s="89">
        <v>44466</v>
      </c>
      <c r="Y1557" s="86" t="s">
        <v>3798</v>
      </c>
      <c r="Z1557" s="84" t="str">
        <f>HYPERLINK("https://twitter.com/ayoesfa/status/1442404600120709121")</f>
        <v>https://twitter.com/ayoesfa/status/1442404600120709121</v>
      </c>
      <c r="AA1557" s="81"/>
      <c r="AB1557" s="81"/>
      <c r="AC1557" s="86" t="s">
        <v>5270</v>
      </c>
      <c r="AD1557" s="81"/>
      <c r="AE1557" s="81" t="b">
        <v>0</v>
      </c>
      <c r="AF1557" s="81">
        <v>0</v>
      </c>
      <c r="AG1557" s="86" t="s">
        <v>6240</v>
      </c>
      <c r="AH1557" s="81" t="b">
        <v>0</v>
      </c>
      <c r="AI1557" s="81" t="s">
        <v>6478</v>
      </c>
      <c r="AJ1557" s="81"/>
      <c r="AK1557" s="86" t="s">
        <v>6240</v>
      </c>
      <c r="AL1557" s="81" t="b">
        <v>0</v>
      </c>
      <c r="AM1557" s="81">
        <v>30</v>
      </c>
      <c r="AN1557" s="86" t="s">
        <v>5524</v>
      </c>
      <c r="AO1557" s="86" t="s">
        <v>6503</v>
      </c>
      <c r="AP1557" s="81" t="b">
        <v>0</v>
      </c>
      <c r="AQ1557" s="86" t="s">
        <v>5524</v>
      </c>
      <c r="AR1557" s="81" t="s">
        <v>179</v>
      </c>
      <c r="AS1557" s="81">
        <v>0</v>
      </c>
      <c r="AT1557" s="81">
        <v>0</v>
      </c>
      <c r="AU1557" s="81"/>
      <c r="AV1557" s="81"/>
      <c r="AW1557" s="81"/>
      <c r="AX1557" s="81"/>
      <c r="AY1557" s="81"/>
      <c r="AZ1557" s="81"/>
      <c r="BA1557" s="81"/>
      <c r="BB1557" s="81"/>
    </row>
    <row r="1558" spans="1:54" x14ac:dyDescent="0.35">
      <c r="A1558" s="66" t="s">
        <v>1095</v>
      </c>
      <c r="B1558" s="66" t="s">
        <v>1095</v>
      </c>
      <c r="C1558" s="67"/>
      <c r="D1558" s="68"/>
      <c r="E1558" s="69"/>
      <c r="F1558" s="70"/>
      <c r="G1558" s="67"/>
      <c r="H1558" s="71"/>
      <c r="I1558" s="72"/>
      <c r="J1558" s="72"/>
      <c r="K1558" s="36"/>
      <c r="L1558" s="79"/>
      <c r="M1558" s="79"/>
      <c r="N1558" s="74"/>
      <c r="O1558" s="81" t="s">
        <v>179</v>
      </c>
      <c r="P1558" s="83">
        <v>44466.354386574072</v>
      </c>
      <c r="Q1558" s="81" t="s">
        <v>2124</v>
      </c>
      <c r="R1558" s="84" t="str">
        <f>HYPERLINK("https://www.instagram.com/p/CUUYRdvvLu7/?utm_medium=twitter")</f>
        <v>https://www.instagram.com/p/CUUYRdvvLu7/?utm_medium=twitter</v>
      </c>
      <c r="S1558" s="81" t="s">
        <v>2626</v>
      </c>
      <c r="T1558" s="81"/>
      <c r="U1558" s="81"/>
      <c r="V1558" s="84" t="str">
        <f>HYPERLINK("https://pbs.twimg.com/profile_images/1318084356934492160/E-uVlcfM_normal.jpg")</f>
        <v>https://pbs.twimg.com/profile_images/1318084356934492160/E-uVlcfM_normal.jpg</v>
      </c>
      <c r="W1558" s="83">
        <v>44466.354386574072</v>
      </c>
      <c r="X1558" s="89">
        <v>44466</v>
      </c>
      <c r="Y1558" s="86" t="s">
        <v>3799</v>
      </c>
      <c r="Z1558" s="84" t="str">
        <f>HYPERLINK("https://twitter.com/blksamarinda/status/1442406233831616512")</f>
        <v>https://twitter.com/blksamarinda/status/1442406233831616512</v>
      </c>
      <c r="AA1558" s="81"/>
      <c r="AB1558" s="81"/>
      <c r="AC1558" s="86" t="s">
        <v>5271</v>
      </c>
      <c r="AD1558" s="81"/>
      <c r="AE1558" s="81" t="b">
        <v>0</v>
      </c>
      <c r="AF1558" s="81">
        <v>0</v>
      </c>
      <c r="AG1558" s="86" t="s">
        <v>6240</v>
      </c>
      <c r="AH1558" s="81" t="b">
        <v>0</v>
      </c>
      <c r="AI1558" s="81" t="s">
        <v>6478</v>
      </c>
      <c r="AJ1558" s="81"/>
      <c r="AK1558" s="86" t="s">
        <v>6240</v>
      </c>
      <c r="AL1558" s="81" t="b">
        <v>0</v>
      </c>
      <c r="AM1558" s="81">
        <v>0</v>
      </c>
      <c r="AN1558" s="86" t="s">
        <v>6240</v>
      </c>
      <c r="AO1558" s="86" t="s">
        <v>6523</v>
      </c>
      <c r="AP1558" s="81" t="b">
        <v>0</v>
      </c>
      <c r="AQ1558" s="86" t="s">
        <v>5271</v>
      </c>
      <c r="AR1558" s="81" t="s">
        <v>179</v>
      </c>
      <c r="AS1558" s="81">
        <v>0</v>
      </c>
      <c r="AT1558" s="81">
        <v>0</v>
      </c>
      <c r="AU1558" s="81"/>
      <c r="AV1558" s="81"/>
      <c r="AW1558" s="81"/>
      <c r="AX1558" s="81"/>
      <c r="AY1558" s="81"/>
      <c r="AZ1558" s="81"/>
      <c r="BA1558" s="81"/>
      <c r="BB1558" s="81"/>
    </row>
    <row r="1559" spans="1:54" x14ac:dyDescent="0.35">
      <c r="A1559" s="66" t="s">
        <v>1096</v>
      </c>
      <c r="B1559" s="66" t="s">
        <v>1096</v>
      </c>
      <c r="C1559" s="67"/>
      <c r="D1559" s="68"/>
      <c r="E1559" s="69"/>
      <c r="F1559" s="70"/>
      <c r="G1559" s="67"/>
      <c r="H1559" s="71"/>
      <c r="I1559" s="72"/>
      <c r="J1559" s="72"/>
      <c r="K1559" s="36"/>
      <c r="L1559" s="79"/>
      <c r="M1559" s="79"/>
      <c r="N1559" s="74"/>
      <c r="O1559" s="81" t="s">
        <v>179</v>
      </c>
      <c r="P1559" s="83">
        <v>44466.358206018522</v>
      </c>
      <c r="Q1559" s="81" t="s">
        <v>2125</v>
      </c>
      <c r="R1559" s="81"/>
      <c r="S1559" s="81"/>
      <c r="T1559" s="81"/>
      <c r="U1559" s="81"/>
      <c r="V1559" s="84" t="str">
        <f>HYPERLINK("https://pbs.twimg.com/profile_images/1242383179350065152/O3fhw54O_normal.jpg")</f>
        <v>https://pbs.twimg.com/profile_images/1242383179350065152/O3fhw54O_normal.jpg</v>
      </c>
      <c r="W1559" s="83">
        <v>44466.358206018522</v>
      </c>
      <c r="X1559" s="89">
        <v>44466</v>
      </c>
      <c r="Y1559" s="86" t="s">
        <v>3800</v>
      </c>
      <c r="Z1559" s="84" t="str">
        <f>HYPERLINK("https://twitter.com/officialwasa48/status/1442407617603596290")</f>
        <v>https://twitter.com/officialwasa48/status/1442407617603596290</v>
      </c>
      <c r="AA1559" s="81"/>
      <c r="AB1559" s="81"/>
      <c r="AC1559" s="86" t="s">
        <v>5272</v>
      </c>
      <c r="AD1559" s="81"/>
      <c r="AE1559" s="81" t="b">
        <v>0</v>
      </c>
      <c r="AF1559" s="81">
        <v>0</v>
      </c>
      <c r="AG1559" s="86" t="s">
        <v>6240</v>
      </c>
      <c r="AH1559" s="81" t="b">
        <v>0</v>
      </c>
      <c r="AI1559" s="81" t="s">
        <v>6478</v>
      </c>
      <c r="AJ1559" s="81"/>
      <c r="AK1559" s="86" t="s">
        <v>6240</v>
      </c>
      <c r="AL1559" s="81" t="b">
        <v>0</v>
      </c>
      <c r="AM1559" s="81">
        <v>1</v>
      </c>
      <c r="AN1559" s="86" t="s">
        <v>6240</v>
      </c>
      <c r="AO1559" s="86" t="s">
        <v>6503</v>
      </c>
      <c r="AP1559" s="81" t="b">
        <v>0</v>
      </c>
      <c r="AQ1559" s="86" t="s">
        <v>5272</v>
      </c>
      <c r="AR1559" s="81" t="s">
        <v>179</v>
      </c>
      <c r="AS1559" s="81">
        <v>0</v>
      </c>
      <c r="AT1559" s="81">
        <v>0</v>
      </c>
      <c r="AU1559" s="81"/>
      <c r="AV1559" s="81"/>
      <c r="AW1559" s="81"/>
      <c r="AX1559" s="81"/>
      <c r="AY1559" s="81"/>
      <c r="AZ1559" s="81"/>
      <c r="BA1559" s="81"/>
      <c r="BB1559" s="81"/>
    </row>
    <row r="1560" spans="1:54" x14ac:dyDescent="0.35">
      <c r="A1560" s="66" t="s">
        <v>1097</v>
      </c>
      <c r="B1560" s="66" t="s">
        <v>1096</v>
      </c>
      <c r="C1560" s="67"/>
      <c r="D1560" s="68"/>
      <c r="E1560" s="69"/>
      <c r="F1560" s="70"/>
      <c r="G1560" s="67"/>
      <c r="H1560" s="71"/>
      <c r="I1560" s="72"/>
      <c r="J1560" s="72"/>
      <c r="K1560" s="36"/>
      <c r="L1560" s="79"/>
      <c r="M1560" s="79"/>
      <c r="N1560" s="74"/>
      <c r="O1560" s="81" t="s">
        <v>1532</v>
      </c>
      <c r="P1560" s="83">
        <v>44466.358622685184</v>
      </c>
      <c r="Q1560" s="81" t="s">
        <v>2125</v>
      </c>
      <c r="R1560" s="81"/>
      <c r="S1560" s="81"/>
      <c r="T1560" s="81"/>
      <c r="U1560" s="81"/>
      <c r="V1560" s="84" t="str">
        <f>HYPERLINK("https://pbs.twimg.com/profile_images/1384345978673762306/ZBRmx35b_normal.jpg")</f>
        <v>https://pbs.twimg.com/profile_images/1384345978673762306/ZBRmx35b_normal.jpg</v>
      </c>
      <c r="W1560" s="83">
        <v>44466.358622685184</v>
      </c>
      <c r="X1560" s="89">
        <v>44466</v>
      </c>
      <c r="Y1560" s="86" t="s">
        <v>3801</v>
      </c>
      <c r="Z1560" s="84" t="str">
        <f>HYPERLINK("https://twitter.com/lebotquidittg/status/1442407769940930560")</f>
        <v>https://twitter.com/lebotquidittg/status/1442407769940930560</v>
      </c>
      <c r="AA1560" s="81"/>
      <c r="AB1560" s="81"/>
      <c r="AC1560" s="86" t="s">
        <v>5273</v>
      </c>
      <c r="AD1560" s="81"/>
      <c r="AE1560" s="81" t="b">
        <v>0</v>
      </c>
      <c r="AF1560" s="81">
        <v>0</v>
      </c>
      <c r="AG1560" s="86" t="s">
        <v>6240</v>
      </c>
      <c r="AH1560" s="81" t="b">
        <v>0</v>
      </c>
      <c r="AI1560" s="81" t="s">
        <v>6478</v>
      </c>
      <c r="AJ1560" s="81"/>
      <c r="AK1560" s="86" t="s">
        <v>6240</v>
      </c>
      <c r="AL1560" s="81" t="b">
        <v>0</v>
      </c>
      <c r="AM1560" s="81">
        <v>1</v>
      </c>
      <c r="AN1560" s="86" t="s">
        <v>5272</v>
      </c>
      <c r="AO1560" s="86" t="s">
        <v>6531</v>
      </c>
      <c r="AP1560" s="81" t="b">
        <v>0</v>
      </c>
      <c r="AQ1560" s="86" t="s">
        <v>5272</v>
      </c>
      <c r="AR1560" s="81" t="s">
        <v>179</v>
      </c>
      <c r="AS1560" s="81">
        <v>0</v>
      </c>
      <c r="AT1560" s="81">
        <v>0</v>
      </c>
      <c r="AU1560" s="81"/>
      <c r="AV1560" s="81"/>
      <c r="AW1560" s="81"/>
      <c r="AX1560" s="81"/>
      <c r="AY1560" s="81"/>
      <c r="AZ1560" s="81"/>
      <c r="BA1560" s="81"/>
      <c r="BB1560" s="81"/>
    </row>
    <row r="1561" spans="1:54" x14ac:dyDescent="0.35">
      <c r="A1561" s="66" t="s">
        <v>1098</v>
      </c>
      <c r="B1561" s="66" t="s">
        <v>1161</v>
      </c>
      <c r="C1561" s="67"/>
      <c r="D1561" s="68"/>
      <c r="E1561" s="69"/>
      <c r="F1561" s="70"/>
      <c r="G1561" s="67"/>
      <c r="H1561" s="71"/>
      <c r="I1561" s="72"/>
      <c r="J1561" s="72"/>
      <c r="K1561" s="36"/>
      <c r="L1561" s="79"/>
      <c r="M1561" s="79"/>
      <c r="N1561" s="74"/>
      <c r="O1561" s="81" t="s">
        <v>1532</v>
      </c>
      <c r="P1561" s="83">
        <v>44466.366493055553</v>
      </c>
      <c r="Q1561" s="81" t="s">
        <v>2126</v>
      </c>
      <c r="R1561" s="81"/>
      <c r="S1561" s="81"/>
      <c r="T1561" s="81"/>
      <c r="U1561" s="84" t="str">
        <f>HYPERLINK("https://pbs.twimg.com/media/FAR4jYnVQAUmrbm.jpg")</f>
        <v>https://pbs.twimg.com/media/FAR4jYnVQAUmrbm.jpg</v>
      </c>
      <c r="V1561" s="84" t="str">
        <f>HYPERLINK("https://pbs.twimg.com/media/FAR4jYnVQAUmrbm.jpg")</f>
        <v>https://pbs.twimg.com/media/FAR4jYnVQAUmrbm.jpg</v>
      </c>
      <c r="W1561" s="83">
        <v>44466.366493055553</v>
      </c>
      <c r="X1561" s="89">
        <v>44466</v>
      </c>
      <c r="Y1561" s="86" t="s">
        <v>3802</v>
      </c>
      <c r="Z1561" s="84" t="str">
        <f>HYPERLINK("https://twitter.com/jk_daulay/status/1442410623090839556")</f>
        <v>https://twitter.com/jk_daulay/status/1442410623090839556</v>
      </c>
      <c r="AA1561" s="81"/>
      <c r="AB1561" s="81"/>
      <c r="AC1561" s="86" t="s">
        <v>5274</v>
      </c>
      <c r="AD1561" s="81"/>
      <c r="AE1561" s="81" t="b">
        <v>0</v>
      </c>
      <c r="AF1561" s="81">
        <v>0</v>
      </c>
      <c r="AG1561" s="86" t="s">
        <v>6240</v>
      </c>
      <c r="AH1561" s="81" t="b">
        <v>0</v>
      </c>
      <c r="AI1561" s="81" t="s">
        <v>6478</v>
      </c>
      <c r="AJ1561" s="81"/>
      <c r="AK1561" s="86" t="s">
        <v>6240</v>
      </c>
      <c r="AL1561" s="81" t="b">
        <v>0</v>
      </c>
      <c r="AM1561" s="81">
        <v>13</v>
      </c>
      <c r="AN1561" s="86" t="s">
        <v>5350</v>
      </c>
      <c r="AO1561" s="86" t="s">
        <v>6503</v>
      </c>
      <c r="AP1561" s="81" t="b">
        <v>0</v>
      </c>
      <c r="AQ1561" s="86" t="s">
        <v>5350</v>
      </c>
      <c r="AR1561" s="81" t="s">
        <v>179</v>
      </c>
      <c r="AS1561" s="81">
        <v>0</v>
      </c>
      <c r="AT1561" s="81">
        <v>0</v>
      </c>
      <c r="AU1561" s="81"/>
      <c r="AV1561" s="81"/>
      <c r="AW1561" s="81"/>
      <c r="AX1561" s="81"/>
      <c r="AY1561" s="81"/>
      <c r="AZ1561" s="81"/>
      <c r="BA1561" s="81"/>
      <c r="BB1561" s="81"/>
    </row>
    <row r="1562" spans="1:54" x14ac:dyDescent="0.35">
      <c r="A1562" s="66" t="s">
        <v>1099</v>
      </c>
      <c r="B1562" s="66" t="s">
        <v>1161</v>
      </c>
      <c r="C1562" s="67"/>
      <c r="D1562" s="68"/>
      <c r="E1562" s="69"/>
      <c r="F1562" s="70"/>
      <c r="G1562" s="67"/>
      <c r="H1562" s="71"/>
      <c r="I1562" s="72"/>
      <c r="J1562" s="72"/>
      <c r="K1562" s="36"/>
      <c r="L1562" s="79"/>
      <c r="M1562" s="79"/>
      <c r="N1562" s="74"/>
      <c r="O1562" s="81" t="s">
        <v>1532</v>
      </c>
      <c r="P1562" s="83">
        <v>44466.367256944446</v>
      </c>
      <c r="Q1562" s="81" t="s">
        <v>2126</v>
      </c>
      <c r="R1562" s="81"/>
      <c r="S1562" s="81"/>
      <c r="T1562" s="81"/>
      <c r="U1562" s="84" t="str">
        <f>HYPERLINK("https://pbs.twimg.com/media/FAR4jYnVQAUmrbm.jpg")</f>
        <v>https://pbs.twimg.com/media/FAR4jYnVQAUmrbm.jpg</v>
      </c>
      <c r="V1562" s="84" t="str">
        <f>HYPERLINK("https://pbs.twimg.com/media/FAR4jYnVQAUmrbm.jpg")</f>
        <v>https://pbs.twimg.com/media/FAR4jYnVQAUmrbm.jpg</v>
      </c>
      <c r="W1562" s="83">
        <v>44466.367256944446</v>
      </c>
      <c r="X1562" s="89">
        <v>44466</v>
      </c>
      <c r="Y1562" s="86" t="s">
        <v>3803</v>
      </c>
      <c r="Z1562" s="84" t="str">
        <f>HYPERLINK("https://twitter.com/1_shieldnkri/status/1442410900011380737")</f>
        <v>https://twitter.com/1_shieldnkri/status/1442410900011380737</v>
      </c>
      <c r="AA1562" s="81"/>
      <c r="AB1562" s="81"/>
      <c r="AC1562" s="86" t="s">
        <v>5275</v>
      </c>
      <c r="AD1562" s="81"/>
      <c r="AE1562" s="81" t="b">
        <v>0</v>
      </c>
      <c r="AF1562" s="81">
        <v>0</v>
      </c>
      <c r="AG1562" s="86" t="s">
        <v>6240</v>
      </c>
      <c r="AH1562" s="81" t="b">
        <v>0</v>
      </c>
      <c r="AI1562" s="81" t="s">
        <v>6478</v>
      </c>
      <c r="AJ1562" s="81"/>
      <c r="AK1562" s="86" t="s">
        <v>6240</v>
      </c>
      <c r="AL1562" s="81" t="b">
        <v>0</v>
      </c>
      <c r="AM1562" s="81">
        <v>13</v>
      </c>
      <c r="AN1562" s="86" t="s">
        <v>5350</v>
      </c>
      <c r="AO1562" s="86" t="s">
        <v>6503</v>
      </c>
      <c r="AP1562" s="81" t="b">
        <v>0</v>
      </c>
      <c r="AQ1562" s="86" t="s">
        <v>5350</v>
      </c>
      <c r="AR1562" s="81" t="s">
        <v>179</v>
      </c>
      <c r="AS1562" s="81">
        <v>0</v>
      </c>
      <c r="AT1562" s="81">
        <v>0</v>
      </c>
      <c r="AU1562" s="81"/>
      <c r="AV1562" s="81"/>
      <c r="AW1562" s="81"/>
      <c r="AX1562" s="81"/>
      <c r="AY1562" s="81"/>
      <c r="AZ1562" s="81"/>
      <c r="BA1562" s="81"/>
      <c r="BB1562" s="81"/>
    </row>
    <row r="1563" spans="1:54" x14ac:dyDescent="0.35">
      <c r="A1563" s="66" t="s">
        <v>1100</v>
      </c>
      <c r="B1563" s="66" t="s">
        <v>1146</v>
      </c>
      <c r="C1563" s="67"/>
      <c r="D1563" s="68"/>
      <c r="E1563" s="69"/>
      <c r="F1563" s="70"/>
      <c r="G1563" s="67"/>
      <c r="H1563" s="71"/>
      <c r="I1563" s="72"/>
      <c r="J1563" s="72"/>
      <c r="K1563" s="36"/>
      <c r="L1563" s="79"/>
      <c r="M1563" s="79"/>
      <c r="N1563" s="74"/>
      <c r="O1563" s="81" t="s">
        <v>1532</v>
      </c>
      <c r="P1563" s="83">
        <v>44466.368726851855</v>
      </c>
      <c r="Q1563" s="81" t="s">
        <v>2091</v>
      </c>
      <c r="R1563" s="81"/>
      <c r="S1563" s="81"/>
      <c r="T1563" s="81"/>
      <c r="U1563" s="84" t="str">
        <f>HYPERLINK("https://pbs.twimg.com/ext_tw_video_thumb/1442373678990196737/pu/img/UDVgFvOXidN40Fez.jpg")</f>
        <v>https://pbs.twimg.com/ext_tw_video_thumb/1442373678990196737/pu/img/UDVgFvOXidN40Fez.jpg</v>
      </c>
      <c r="V1563" s="84" t="str">
        <f>HYPERLINK("https://pbs.twimg.com/ext_tw_video_thumb/1442373678990196737/pu/img/UDVgFvOXidN40Fez.jpg")</f>
        <v>https://pbs.twimg.com/ext_tw_video_thumb/1442373678990196737/pu/img/UDVgFvOXidN40Fez.jpg</v>
      </c>
      <c r="W1563" s="83">
        <v>44466.368726851855</v>
      </c>
      <c r="X1563" s="89">
        <v>44466</v>
      </c>
      <c r="Y1563" s="86" t="s">
        <v>3804</v>
      </c>
      <c r="Z1563" s="84" t="str">
        <f>HYPERLINK("https://twitter.com/jeeennn/status/1442411432176328709")</f>
        <v>https://twitter.com/jeeennn/status/1442411432176328709</v>
      </c>
      <c r="AA1563" s="81"/>
      <c r="AB1563" s="81"/>
      <c r="AC1563" s="86" t="s">
        <v>5276</v>
      </c>
      <c r="AD1563" s="81"/>
      <c r="AE1563" s="81" t="b">
        <v>0</v>
      </c>
      <c r="AF1563" s="81">
        <v>0</v>
      </c>
      <c r="AG1563" s="86" t="s">
        <v>6240</v>
      </c>
      <c r="AH1563" s="81" t="b">
        <v>0</v>
      </c>
      <c r="AI1563" s="81" t="s">
        <v>6478</v>
      </c>
      <c r="AJ1563" s="81"/>
      <c r="AK1563" s="86" t="s">
        <v>6240</v>
      </c>
      <c r="AL1563" s="81" t="b">
        <v>0</v>
      </c>
      <c r="AM1563" s="81">
        <v>30</v>
      </c>
      <c r="AN1563" s="86" t="s">
        <v>5524</v>
      </c>
      <c r="AO1563" s="86" t="s">
        <v>6503</v>
      </c>
      <c r="AP1563" s="81" t="b">
        <v>0</v>
      </c>
      <c r="AQ1563" s="86" t="s">
        <v>5524</v>
      </c>
      <c r="AR1563" s="81" t="s">
        <v>179</v>
      </c>
      <c r="AS1563" s="81">
        <v>0</v>
      </c>
      <c r="AT1563" s="81">
        <v>0</v>
      </c>
      <c r="AU1563" s="81"/>
      <c r="AV1563" s="81"/>
      <c r="AW1563" s="81"/>
      <c r="AX1563" s="81"/>
      <c r="AY1563" s="81"/>
      <c r="AZ1563" s="81"/>
      <c r="BA1563" s="81"/>
      <c r="BB1563" s="81"/>
    </row>
    <row r="1564" spans="1:54" x14ac:dyDescent="0.35">
      <c r="A1564" s="66" t="s">
        <v>1101</v>
      </c>
      <c r="B1564" s="66" t="s">
        <v>1146</v>
      </c>
      <c r="C1564" s="67"/>
      <c r="D1564" s="68"/>
      <c r="E1564" s="69"/>
      <c r="F1564" s="70"/>
      <c r="G1564" s="67"/>
      <c r="H1564" s="71"/>
      <c r="I1564" s="72"/>
      <c r="J1564" s="72"/>
      <c r="K1564" s="36"/>
      <c r="L1564" s="79"/>
      <c r="M1564" s="79"/>
      <c r="N1564" s="74"/>
      <c r="O1564" s="81" t="s">
        <v>1532</v>
      </c>
      <c r="P1564" s="83">
        <v>44466.370104166665</v>
      </c>
      <c r="Q1564" s="81" t="s">
        <v>2091</v>
      </c>
      <c r="R1564" s="81"/>
      <c r="S1564" s="81"/>
      <c r="T1564" s="81"/>
      <c r="U1564" s="84" t="str">
        <f>HYPERLINK("https://pbs.twimg.com/ext_tw_video_thumb/1442373678990196737/pu/img/UDVgFvOXidN40Fez.jpg")</f>
        <v>https://pbs.twimg.com/ext_tw_video_thumb/1442373678990196737/pu/img/UDVgFvOXidN40Fez.jpg</v>
      </c>
      <c r="V1564" s="84" t="str">
        <f>HYPERLINK("https://pbs.twimg.com/ext_tw_video_thumb/1442373678990196737/pu/img/UDVgFvOXidN40Fez.jpg")</f>
        <v>https://pbs.twimg.com/ext_tw_video_thumb/1442373678990196737/pu/img/UDVgFvOXidN40Fez.jpg</v>
      </c>
      <c r="W1564" s="83">
        <v>44466.370104166665</v>
      </c>
      <c r="X1564" s="89">
        <v>44466</v>
      </c>
      <c r="Y1564" s="86" t="s">
        <v>3805</v>
      </c>
      <c r="Z1564" s="84" t="str">
        <f>HYPERLINK("https://twitter.com/felixsuryadi2/status/1442411928274362369")</f>
        <v>https://twitter.com/felixsuryadi2/status/1442411928274362369</v>
      </c>
      <c r="AA1564" s="81"/>
      <c r="AB1564" s="81"/>
      <c r="AC1564" s="86" t="s">
        <v>5277</v>
      </c>
      <c r="AD1564" s="81"/>
      <c r="AE1564" s="81" t="b">
        <v>0</v>
      </c>
      <c r="AF1564" s="81">
        <v>0</v>
      </c>
      <c r="AG1564" s="86" t="s">
        <v>6240</v>
      </c>
      <c r="AH1564" s="81" t="b">
        <v>0</v>
      </c>
      <c r="AI1564" s="81" t="s">
        <v>6478</v>
      </c>
      <c r="AJ1564" s="81"/>
      <c r="AK1564" s="86" t="s">
        <v>6240</v>
      </c>
      <c r="AL1564" s="81" t="b">
        <v>0</v>
      </c>
      <c r="AM1564" s="81">
        <v>30</v>
      </c>
      <c r="AN1564" s="86" t="s">
        <v>5524</v>
      </c>
      <c r="AO1564" s="86" t="s">
        <v>6503</v>
      </c>
      <c r="AP1564" s="81" t="b">
        <v>0</v>
      </c>
      <c r="AQ1564" s="86" t="s">
        <v>5524</v>
      </c>
      <c r="AR1564" s="81" t="s">
        <v>179</v>
      </c>
      <c r="AS1564" s="81">
        <v>0</v>
      </c>
      <c r="AT1564" s="81">
        <v>0</v>
      </c>
      <c r="AU1564" s="81"/>
      <c r="AV1564" s="81"/>
      <c r="AW1564" s="81"/>
      <c r="AX1564" s="81"/>
      <c r="AY1564" s="81"/>
      <c r="AZ1564" s="81"/>
      <c r="BA1564" s="81"/>
      <c r="BB1564" s="81"/>
    </row>
    <row r="1565" spans="1:54" x14ac:dyDescent="0.35">
      <c r="A1565" s="66" t="s">
        <v>1102</v>
      </c>
      <c r="B1565" s="66" t="s">
        <v>1102</v>
      </c>
      <c r="C1565" s="67"/>
      <c r="D1565" s="68"/>
      <c r="E1565" s="69"/>
      <c r="F1565" s="70"/>
      <c r="G1565" s="67"/>
      <c r="H1565" s="71"/>
      <c r="I1565" s="72"/>
      <c r="J1565" s="72"/>
      <c r="K1565" s="36"/>
      <c r="L1565" s="79"/>
      <c r="M1565" s="79"/>
      <c r="N1565" s="74"/>
      <c r="O1565" s="81" t="s">
        <v>179</v>
      </c>
      <c r="P1565" s="83">
        <v>44466.37060185185</v>
      </c>
      <c r="Q1565" s="81" t="s">
        <v>2127</v>
      </c>
      <c r="R1565" s="81"/>
      <c r="S1565" s="81"/>
      <c r="T1565" s="81"/>
      <c r="U1565" s="81"/>
      <c r="V1565" s="84" t="str">
        <f>HYPERLINK("https://pbs.twimg.com/profile_images/701035821852327936/HhgVMI6K_normal.jpg")</f>
        <v>https://pbs.twimg.com/profile_images/701035821852327936/HhgVMI6K_normal.jpg</v>
      </c>
      <c r="W1565" s="83">
        <v>44466.37060185185</v>
      </c>
      <c r="X1565" s="89">
        <v>44466</v>
      </c>
      <c r="Y1565" s="86" t="s">
        <v>3806</v>
      </c>
      <c r="Z1565" s="84" t="str">
        <f>HYPERLINK("https://twitter.com/himapefsi/status/1442412110911139843")</f>
        <v>https://twitter.com/himapefsi/status/1442412110911139843</v>
      </c>
      <c r="AA1565" s="81"/>
      <c r="AB1565" s="81"/>
      <c r="AC1565" s="86" t="s">
        <v>5278</v>
      </c>
      <c r="AD1565" s="86" t="s">
        <v>6187</v>
      </c>
      <c r="AE1565" s="81" t="b">
        <v>0</v>
      </c>
      <c r="AF1565" s="81">
        <v>0</v>
      </c>
      <c r="AG1565" s="86" t="s">
        <v>6436</v>
      </c>
      <c r="AH1565" s="81" t="b">
        <v>0</v>
      </c>
      <c r="AI1565" s="81" t="s">
        <v>6478</v>
      </c>
      <c r="AJ1565" s="81"/>
      <c r="AK1565" s="86" t="s">
        <v>6240</v>
      </c>
      <c r="AL1565" s="81" t="b">
        <v>0</v>
      </c>
      <c r="AM1565" s="81">
        <v>0</v>
      </c>
      <c r="AN1565" s="86" t="s">
        <v>6240</v>
      </c>
      <c r="AO1565" s="86" t="s">
        <v>6503</v>
      </c>
      <c r="AP1565" s="81" t="b">
        <v>0</v>
      </c>
      <c r="AQ1565" s="86" t="s">
        <v>6187</v>
      </c>
      <c r="AR1565" s="81" t="s">
        <v>179</v>
      </c>
      <c r="AS1565" s="81">
        <v>0</v>
      </c>
      <c r="AT1565" s="81">
        <v>0</v>
      </c>
      <c r="AU1565" s="81"/>
      <c r="AV1565" s="81"/>
      <c r="AW1565" s="81"/>
      <c r="AX1565" s="81"/>
      <c r="AY1565" s="81"/>
      <c r="AZ1565" s="81"/>
      <c r="BA1565" s="81"/>
      <c r="BB1565" s="81"/>
    </row>
    <row r="1566" spans="1:54" x14ac:dyDescent="0.35">
      <c r="A1566" s="66" t="s">
        <v>1102</v>
      </c>
      <c r="B1566" s="66" t="s">
        <v>1102</v>
      </c>
      <c r="C1566" s="67"/>
      <c r="D1566" s="68"/>
      <c r="E1566" s="69"/>
      <c r="F1566" s="70"/>
      <c r="G1566" s="67"/>
      <c r="H1566" s="71"/>
      <c r="I1566" s="72"/>
      <c r="J1566" s="72"/>
      <c r="K1566" s="36"/>
      <c r="L1566" s="79"/>
      <c r="M1566" s="79"/>
      <c r="N1566" s="74"/>
      <c r="O1566" s="81" t="s">
        <v>179</v>
      </c>
      <c r="P1566" s="83">
        <v>44466.37096064815</v>
      </c>
      <c r="Q1566" s="81" t="s">
        <v>2128</v>
      </c>
      <c r="R1566" s="81"/>
      <c r="S1566" s="81"/>
      <c r="T1566" s="81"/>
      <c r="U1566" s="81"/>
      <c r="V1566" s="84" t="str">
        <f>HYPERLINK("https://pbs.twimg.com/profile_images/701035821852327936/HhgVMI6K_normal.jpg")</f>
        <v>https://pbs.twimg.com/profile_images/701035821852327936/HhgVMI6K_normal.jpg</v>
      </c>
      <c r="W1566" s="83">
        <v>44466.37096064815</v>
      </c>
      <c r="X1566" s="89">
        <v>44466</v>
      </c>
      <c r="Y1566" s="86" t="s">
        <v>3807</v>
      </c>
      <c r="Z1566" s="84" t="str">
        <f>HYPERLINK("https://twitter.com/himapefsi/status/1442412241119182849")</f>
        <v>https://twitter.com/himapefsi/status/1442412241119182849</v>
      </c>
      <c r="AA1566" s="81"/>
      <c r="AB1566" s="81"/>
      <c r="AC1566" s="86" t="s">
        <v>5279</v>
      </c>
      <c r="AD1566" s="86" t="s">
        <v>6188</v>
      </c>
      <c r="AE1566" s="81" t="b">
        <v>0</v>
      </c>
      <c r="AF1566" s="81">
        <v>0</v>
      </c>
      <c r="AG1566" s="86" t="s">
        <v>6436</v>
      </c>
      <c r="AH1566" s="81" t="b">
        <v>0</v>
      </c>
      <c r="AI1566" s="81" t="s">
        <v>6478</v>
      </c>
      <c r="AJ1566" s="81"/>
      <c r="AK1566" s="86" t="s">
        <v>6240</v>
      </c>
      <c r="AL1566" s="81" t="b">
        <v>0</v>
      </c>
      <c r="AM1566" s="81">
        <v>0</v>
      </c>
      <c r="AN1566" s="86" t="s">
        <v>6240</v>
      </c>
      <c r="AO1566" s="86" t="s">
        <v>6503</v>
      </c>
      <c r="AP1566" s="81" t="b">
        <v>0</v>
      </c>
      <c r="AQ1566" s="86" t="s">
        <v>6188</v>
      </c>
      <c r="AR1566" s="81" t="s">
        <v>179</v>
      </c>
      <c r="AS1566" s="81">
        <v>0</v>
      </c>
      <c r="AT1566" s="81">
        <v>0</v>
      </c>
      <c r="AU1566" s="81" t="s">
        <v>6541</v>
      </c>
      <c r="AV1566" s="81" t="s">
        <v>6543</v>
      </c>
      <c r="AW1566" s="81" t="s">
        <v>12</v>
      </c>
      <c r="AX1566" s="81" t="s">
        <v>6549</v>
      </c>
      <c r="AY1566" s="81" t="s">
        <v>6556</v>
      </c>
      <c r="AZ1566" s="81" t="s">
        <v>6562</v>
      </c>
      <c r="BA1566" s="81" t="s">
        <v>6564</v>
      </c>
      <c r="BB1566" s="84" t="str">
        <f>HYPERLINK("https://api.twitter.com/1.1/geo/id/32eb831712cde417.json")</f>
        <v>https://api.twitter.com/1.1/geo/id/32eb831712cde417.json</v>
      </c>
    </row>
    <row r="1567" spans="1:54" x14ac:dyDescent="0.35">
      <c r="A1567" s="66" t="s">
        <v>1102</v>
      </c>
      <c r="B1567" s="66" t="s">
        <v>1102</v>
      </c>
      <c r="C1567" s="67"/>
      <c r="D1567" s="68"/>
      <c r="E1567" s="69"/>
      <c r="F1567" s="70"/>
      <c r="G1567" s="67"/>
      <c r="H1567" s="71"/>
      <c r="I1567" s="72"/>
      <c r="J1567" s="72"/>
      <c r="K1567" s="36"/>
      <c r="L1567" s="79"/>
      <c r="M1567" s="79"/>
      <c r="N1567" s="74"/>
      <c r="O1567" s="81" t="s">
        <v>179</v>
      </c>
      <c r="P1567" s="83">
        <v>44466.371018518519</v>
      </c>
      <c r="Q1567" s="81" t="s">
        <v>2129</v>
      </c>
      <c r="R1567" s="81"/>
      <c r="S1567" s="81"/>
      <c r="T1567" s="81"/>
      <c r="U1567" s="81"/>
      <c r="V1567" s="84" t="str">
        <f>HYPERLINK("https://pbs.twimg.com/profile_images/701035821852327936/HhgVMI6K_normal.jpg")</f>
        <v>https://pbs.twimg.com/profile_images/701035821852327936/HhgVMI6K_normal.jpg</v>
      </c>
      <c r="W1567" s="83">
        <v>44466.371018518519</v>
      </c>
      <c r="X1567" s="89">
        <v>44466</v>
      </c>
      <c r="Y1567" s="86" t="s">
        <v>3808</v>
      </c>
      <c r="Z1567" s="84" t="str">
        <f>HYPERLINK("https://twitter.com/himapefsi/status/1442412260647845890")</f>
        <v>https://twitter.com/himapefsi/status/1442412260647845890</v>
      </c>
      <c r="AA1567" s="81"/>
      <c r="AB1567" s="81"/>
      <c r="AC1567" s="86" t="s">
        <v>5280</v>
      </c>
      <c r="AD1567" s="86" t="s">
        <v>5279</v>
      </c>
      <c r="AE1567" s="81" t="b">
        <v>0</v>
      </c>
      <c r="AF1567" s="81">
        <v>0</v>
      </c>
      <c r="AG1567" s="86" t="s">
        <v>6436</v>
      </c>
      <c r="AH1567" s="81" t="b">
        <v>0</v>
      </c>
      <c r="AI1567" s="81" t="s">
        <v>6478</v>
      </c>
      <c r="AJ1567" s="81"/>
      <c r="AK1567" s="86" t="s">
        <v>6240</v>
      </c>
      <c r="AL1567" s="81" t="b">
        <v>0</v>
      </c>
      <c r="AM1567" s="81">
        <v>0</v>
      </c>
      <c r="AN1567" s="86" t="s">
        <v>6240</v>
      </c>
      <c r="AO1567" s="86" t="s">
        <v>6503</v>
      </c>
      <c r="AP1567" s="81" t="b">
        <v>0</v>
      </c>
      <c r="AQ1567" s="86" t="s">
        <v>5279</v>
      </c>
      <c r="AR1567" s="81" t="s">
        <v>179</v>
      </c>
      <c r="AS1567" s="81">
        <v>0</v>
      </c>
      <c r="AT1567" s="81">
        <v>0</v>
      </c>
      <c r="AU1567" s="81" t="s">
        <v>6541</v>
      </c>
      <c r="AV1567" s="81" t="s">
        <v>6543</v>
      </c>
      <c r="AW1567" s="81" t="s">
        <v>12</v>
      </c>
      <c r="AX1567" s="81" t="s">
        <v>6549</v>
      </c>
      <c r="AY1567" s="81" t="s">
        <v>6556</v>
      </c>
      <c r="AZ1567" s="81" t="s">
        <v>6562</v>
      </c>
      <c r="BA1567" s="81" t="s">
        <v>6564</v>
      </c>
      <c r="BB1567" s="84" t="str">
        <f>HYPERLINK("https://api.twitter.com/1.1/geo/id/32eb831712cde417.json")</f>
        <v>https://api.twitter.com/1.1/geo/id/32eb831712cde417.json</v>
      </c>
    </row>
    <row r="1568" spans="1:54" x14ac:dyDescent="0.35">
      <c r="A1568" s="66" t="s">
        <v>1103</v>
      </c>
      <c r="B1568" s="66" t="s">
        <v>1161</v>
      </c>
      <c r="C1568" s="67"/>
      <c r="D1568" s="68"/>
      <c r="E1568" s="69"/>
      <c r="F1568" s="70"/>
      <c r="G1568" s="67"/>
      <c r="H1568" s="71"/>
      <c r="I1568" s="72"/>
      <c r="J1568" s="72"/>
      <c r="K1568" s="36"/>
      <c r="L1568" s="79"/>
      <c r="M1568" s="79"/>
      <c r="N1568" s="74"/>
      <c r="O1568" s="81" t="s">
        <v>1532</v>
      </c>
      <c r="P1568" s="83">
        <v>44466.371365740742</v>
      </c>
      <c r="Q1568" s="81" t="s">
        <v>2126</v>
      </c>
      <c r="R1568" s="81"/>
      <c r="S1568" s="81"/>
      <c r="T1568" s="81"/>
      <c r="U1568" s="84" t="str">
        <f>HYPERLINK("https://pbs.twimg.com/media/FAR4jYnVQAUmrbm.jpg")</f>
        <v>https://pbs.twimg.com/media/FAR4jYnVQAUmrbm.jpg</v>
      </c>
      <c r="V1568" s="84" t="str">
        <f>HYPERLINK("https://pbs.twimg.com/media/FAR4jYnVQAUmrbm.jpg")</f>
        <v>https://pbs.twimg.com/media/FAR4jYnVQAUmrbm.jpg</v>
      </c>
      <c r="W1568" s="83">
        <v>44466.371365740742</v>
      </c>
      <c r="X1568" s="89">
        <v>44466</v>
      </c>
      <c r="Y1568" s="86" t="s">
        <v>3809</v>
      </c>
      <c r="Z1568" s="84" t="str">
        <f>HYPERLINK("https://twitter.com/tatakamu_/status/1442412385466142723")</f>
        <v>https://twitter.com/tatakamu_/status/1442412385466142723</v>
      </c>
      <c r="AA1568" s="81"/>
      <c r="AB1568" s="81"/>
      <c r="AC1568" s="86" t="s">
        <v>5281</v>
      </c>
      <c r="AD1568" s="81"/>
      <c r="AE1568" s="81" t="b">
        <v>0</v>
      </c>
      <c r="AF1568" s="81">
        <v>0</v>
      </c>
      <c r="AG1568" s="86" t="s">
        <v>6240</v>
      </c>
      <c r="AH1568" s="81" t="b">
        <v>0</v>
      </c>
      <c r="AI1568" s="81" t="s">
        <v>6478</v>
      </c>
      <c r="AJ1568" s="81"/>
      <c r="AK1568" s="86" t="s">
        <v>6240</v>
      </c>
      <c r="AL1568" s="81" t="b">
        <v>0</v>
      </c>
      <c r="AM1568" s="81">
        <v>13</v>
      </c>
      <c r="AN1568" s="86" t="s">
        <v>5350</v>
      </c>
      <c r="AO1568" s="86" t="s">
        <v>6503</v>
      </c>
      <c r="AP1568" s="81" t="b">
        <v>0</v>
      </c>
      <c r="AQ1568" s="86" t="s">
        <v>5350</v>
      </c>
      <c r="AR1568" s="81" t="s">
        <v>179</v>
      </c>
      <c r="AS1568" s="81">
        <v>0</v>
      </c>
      <c r="AT1568" s="81">
        <v>0</v>
      </c>
      <c r="AU1568" s="81"/>
      <c r="AV1568" s="81"/>
      <c r="AW1568" s="81"/>
      <c r="AX1568" s="81"/>
      <c r="AY1568" s="81"/>
      <c r="AZ1568" s="81"/>
      <c r="BA1568" s="81"/>
      <c r="BB1568" s="81"/>
    </row>
    <row r="1569" spans="1:54" x14ac:dyDescent="0.35">
      <c r="A1569" s="66" t="s">
        <v>1104</v>
      </c>
      <c r="B1569" s="66" t="s">
        <v>1161</v>
      </c>
      <c r="C1569" s="67"/>
      <c r="D1569" s="68"/>
      <c r="E1569" s="69"/>
      <c r="F1569" s="70"/>
      <c r="G1569" s="67"/>
      <c r="H1569" s="71"/>
      <c r="I1569" s="72"/>
      <c r="J1569" s="72"/>
      <c r="K1569" s="36"/>
      <c r="L1569" s="79"/>
      <c r="M1569" s="79"/>
      <c r="N1569" s="74"/>
      <c r="O1569" s="81" t="s">
        <v>1532</v>
      </c>
      <c r="P1569" s="83">
        <v>44466.372719907406</v>
      </c>
      <c r="Q1569" s="81" t="s">
        <v>2126</v>
      </c>
      <c r="R1569" s="81"/>
      <c r="S1569" s="81"/>
      <c r="T1569" s="81"/>
      <c r="U1569" s="84" t="str">
        <f>HYPERLINK("https://pbs.twimg.com/media/FAR4jYnVQAUmrbm.jpg")</f>
        <v>https://pbs.twimg.com/media/FAR4jYnVQAUmrbm.jpg</v>
      </c>
      <c r="V1569" s="84" t="str">
        <f>HYPERLINK("https://pbs.twimg.com/media/FAR4jYnVQAUmrbm.jpg")</f>
        <v>https://pbs.twimg.com/media/FAR4jYnVQAUmrbm.jpg</v>
      </c>
      <c r="W1569" s="83">
        <v>44466.372719907406</v>
      </c>
      <c r="X1569" s="89">
        <v>44466</v>
      </c>
      <c r="Y1569" s="86" t="s">
        <v>3810</v>
      </c>
      <c r="Z1569" s="84" t="str">
        <f>HYPERLINK("https://twitter.com/tanthiaa/status/1442412876216483840")</f>
        <v>https://twitter.com/tanthiaa/status/1442412876216483840</v>
      </c>
      <c r="AA1569" s="81"/>
      <c r="AB1569" s="81"/>
      <c r="AC1569" s="86" t="s">
        <v>5282</v>
      </c>
      <c r="AD1569" s="81"/>
      <c r="AE1569" s="81" t="b">
        <v>0</v>
      </c>
      <c r="AF1569" s="81">
        <v>0</v>
      </c>
      <c r="AG1569" s="86" t="s">
        <v>6240</v>
      </c>
      <c r="AH1569" s="81" t="b">
        <v>0</v>
      </c>
      <c r="AI1569" s="81" t="s">
        <v>6478</v>
      </c>
      <c r="AJ1569" s="81"/>
      <c r="AK1569" s="86" t="s">
        <v>6240</v>
      </c>
      <c r="AL1569" s="81" t="b">
        <v>0</v>
      </c>
      <c r="AM1569" s="81">
        <v>13</v>
      </c>
      <c r="AN1569" s="86" t="s">
        <v>5350</v>
      </c>
      <c r="AO1569" s="86" t="s">
        <v>6503</v>
      </c>
      <c r="AP1569" s="81" t="b">
        <v>0</v>
      </c>
      <c r="AQ1569" s="86" t="s">
        <v>5350</v>
      </c>
      <c r="AR1569" s="81" t="s">
        <v>179</v>
      </c>
      <c r="AS1569" s="81">
        <v>0</v>
      </c>
      <c r="AT1569" s="81">
        <v>0</v>
      </c>
      <c r="AU1569" s="81"/>
      <c r="AV1569" s="81"/>
      <c r="AW1569" s="81"/>
      <c r="AX1569" s="81"/>
      <c r="AY1569" s="81"/>
      <c r="AZ1569" s="81"/>
      <c r="BA1569" s="81"/>
      <c r="BB1569" s="81"/>
    </row>
    <row r="1570" spans="1:54" x14ac:dyDescent="0.35">
      <c r="A1570" s="66" t="s">
        <v>1105</v>
      </c>
      <c r="B1570" s="66" t="s">
        <v>1105</v>
      </c>
      <c r="C1570" s="67"/>
      <c r="D1570" s="68"/>
      <c r="E1570" s="69"/>
      <c r="F1570" s="70"/>
      <c r="G1570" s="67"/>
      <c r="H1570" s="71"/>
      <c r="I1570" s="72"/>
      <c r="J1570" s="72"/>
      <c r="K1570" s="36"/>
      <c r="L1570" s="79"/>
      <c r="M1570" s="79"/>
      <c r="N1570" s="74"/>
      <c r="O1570" s="81" t="s">
        <v>179</v>
      </c>
      <c r="P1570" s="83">
        <v>44461.177094907405</v>
      </c>
      <c r="Q1570" s="81" t="s">
        <v>2130</v>
      </c>
      <c r="R1570" s="81"/>
      <c r="S1570" s="81"/>
      <c r="T1570" s="86" t="s">
        <v>2722</v>
      </c>
      <c r="U1570" s="81"/>
      <c r="V1570" s="84" t="str">
        <f>HYPERLINK("https://pbs.twimg.com/profile_images/1429390876141182976/A7VJh4dT_normal.jpg")</f>
        <v>https://pbs.twimg.com/profile_images/1429390876141182976/A7VJh4dT_normal.jpg</v>
      </c>
      <c r="W1570" s="83">
        <v>44461.177094907405</v>
      </c>
      <c r="X1570" s="89">
        <v>44461</v>
      </c>
      <c r="Y1570" s="86" t="s">
        <v>3811</v>
      </c>
      <c r="Z1570" s="84" t="str">
        <f>HYPERLINK("https://twitter.com/samsatdigital/status/1440530047199158273")</f>
        <v>https://twitter.com/samsatdigital/status/1440530047199158273</v>
      </c>
      <c r="AA1570" s="81"/>
      <c r="AB1570" s="81"/>
      <c r="AC1570" s="86" t="s">
        <v>5283</v>
      </c>
      <c r="AD1570" s="81"/>
      <c r="AE1570" s="81" t="b">
        <v>0</v>
      </c>
      <c r="AF1570" s="81">
        <v>0</v>
      </c>
      <c r="AG1570" s="86" t="s">
        <v>6240</v>
      </c>
      <c r="AH1570" s="81" t="b">
        <v>0</v>
      </c>
      <c r="AI1570" s="81" t="s">
        <v>6478</v>
      </c>
      <c r="AJ1570" s="81"/>
      <c r="AK1570" s="86" t="s">
        <v>6240</v>
      </c>
      <c r="AL1570" s="81" t="b">
        <v>0</v>
      </c>
      <c r="AM1570" s="81">
        <v>0</v>
      </c>
      <c r="AN1570" s="86" t="s">
        <v>6240</v>
      </c>
      <c r="AO1570" s="86" t="s">
        <v>6521</v>
      </c>
      <c r="AP1570" s="81" t="b">
        <v>0</v>
      </c>
      <c r="AQ1570" s="86" t="s">
        <v>5283</v>
      </c>
      <c r="AR1570" s="81" t="s">
        <v>179</v>
      </c>
      <c r="AS1570" s="81">
        <v>0</v>
      </c>
      <c r="AT1570" s="81">
        <v>0</v>
      </c>
      <c r="AU1570" s="81"/>
      <c r="AV1570" s="81"/>
      <c r="AW1570" s="81"/>
      <c r="AX1570" s="81"/>
      <c r="AY1570" s="81"/>
      <c r="AZ1570" s="81"/>
      <c r="BA1570" s="81"/>
      <c r="BB1570" s="81"/>
    </row>
    <row r="1571" spans="1:54" x14ac:dyDescent="0.35">
      <c r="A1571" s="66" t="s">
        <v>1105</v>
      </c>
      <c r="B1571" s="66" t="s">
        <v>1105</v>
      </c>
      <c r="C1571" s="67"/>
      <c r="D1571" s="68"/>
      <c r="E1571" s="69"/>
      <c r="F1571" s="70"/>
      <c r="G1571" s="67"/>
      <c r="H1571" s="71"/>
      <c r="I1571" s="72"/>
      <c r="J1571" s="72"/>
      <c r="K1571" s="36"/>
      <c r="L1571" s="79"/>
      <c r="M1571" s="79"/>
      <c r="N1571" s="74"/>
      <c r="O1571" s="81" t="s">
        <v>179</v>
      </c>
      <c r="P1571" s="83">
        <v>44464.187523148146</v>
      </c>
      <c r="Q1571" s="81" t="s">
        <v>2131</v>
      </c>
      <c r="R1571" s="81"/>
      <c r="S1571" s="81"/>
      <c r="T1571" s="81"/>
      <c r="U1571" s="81"/>
      <c r="V1571" s="84" t="str">
        <f>HYPERLINK("https://pbs.twimg.com/profile_images/1429390876141182976/A7VJh4dT_normal.jpg")</f>
        <v>https://pbs.twimg.com/profile_images/1429390876141182976/A7VJh4dT_normal.jpg</v>
      </c>
      <c r="W1571" s="83">
        <v>44464.187523148146</v>
      </c>
      <c r="X1571" s="89">
        <v>44464</v>
      </c>
      <c r="Y1571" s="86" t="s">
        <v>3812</v>
      </c>
      <c r="Z1571" s="84" t="str">
        <f>HYPERLINK("https://twitter.com/samsatdigital/status/1441620989071216644")</f>
        <v>https://twitter.com/samsatdigital/status/1441620989071216644</v>
      </c>
      <c r="AA1571" s="81"/>
      <c r="AB1571" s="81"/>
      <c r="AC1571" s="86" t="s">
        <v>5284</v>
      </c>
      <c r="AD1571" s="81"/>
      <c r="AE1571" s="81" t="b">
        <v>0</v>
      </c>
      <c r="AF1571" s="81">
        <v>0</v>
      </c>
      <c r="AG1571" s="86" t="s">
        <v>6240</v>
      </c>
      <c r="AH1571" s="81" t="b">
        <v>0</v>
      </c>
      <c r="AI1571" s="81" t="s">
        <v>6478</v>
      </c>
      <c r="AJ1571" s="81"/>
      <c r="AK1571" s="86" t="s">
        <v>6240</v>
      </c>
      <c r="AL1571" s="81" t="b">
        <v>0</v>
      </c>
      <c r="AM1571" s="81">
        <v>0</v>
      </c>
      <c r="AN1571" s="86" t="s">
        <v>6240</v>
      </c>
      <c r="AO1571" s="86" t="s">
        <v>6521</v>
      </c>
      <c r="AP1571" s="81" t="b">
        <v>0</v>
      </c>
      <c r="AQ1571" s="86" t="s">
        <v>5284</v>
      </c>
      <c r="AR1571" s="81" t="s">
        <v>179</v>
      </c>
      <c r="AS1571" s="81">
        <v>0</v>
      </c>
      <c r="AT1571" s="81">
        <v>0</v>
      </c>
      <c r="AU1571" s="81"/>
      <c r="AV1571" s="81"/>
      <c r="AW1571" s="81"/>
      <c r="AX1571" s="81"/>
      <c r="AY1571" s="81"/>
      <c r="AZ1571" s="81"/>
      <c r="BA1571" s="81"/>
      <c r="BB1571" s="81"/>
    </row>
    <row r="1572" spans="1:54" x14ac:dyDescent="0.35">
      <c r="A1572" s="66" t="s">
        <v>1106</v>
      </c>
      <c r="B1572" s="66" t="s">
        <v>1105</v>
      </c>
      <c r="C1572" s="67"/>
      <c r="D1572" s="68"/>
      <c r="E1572" s="69"/>
      <c r="F1572" s="70"/>
      <c r="G1572" s="67"/>
      <c r="H1572" s="71"/>
      <c r="I1572" s="72"/>
      <c r="J1572" s="72"/>
      <c r="K1572" s="36"/>
      <c r="L1572" s="79"/>
      <c r="M1572" s="79"/>
      <c r="N1572" s="74"/>
      <c r="O1572" s="81" t="s">
        <v>1534</v>
      </c>
      <c r="P1572" s="83">
        <v>44466.372986111113</v>
      </c>
      <c r="Q1572" s="81" t="s">
        <v>2132</v>
      </c>
      <c r="R1572" s="81"/>
      <c r="S1572" s="81"/>
      <c r="T1572" s="81"/>
      <c r="U1572" s="84" t="str">
        <f>HYPERLINK("https://pbs.twimg.com/media/FAR62jaVgAYjl6l.jpg")</f>
        <v>https://pbs.twimg.com/media/FAR62jaVgAYjl6l.jpg</v>
      </c>
      <c r="V1572" s="84" t="str">
        <f>HYPERLINK("https://pbs.twimg.com/media/FAR62jaVgAYjl6l.jpg")</f>
        <v>https://pbs.twimg.com/media/FAR62jaVgAYjl6l.jpg</v>
      </c>
      <c r="W1572" s="83">
        <v>44466.372986111113</v>
      </c>
      <c r="X1572" s="89">
        <v>44466</v>
      </c>
      <c r="Y1572" s="86" t="s">
        <v>3813</v>
      </c>
      <c r="Z1572" s="84" t="str">
        <f>HYPERLINK("https://twitter.com/dickowijaya/status/1442412974145032192")</f>
        <v>https://twitter.com/dickowijaya/status/1442412974145032192</v>
      </c>
      <c r="AA1572" s="81"/>
      <c r="AB1572" s="81"/>
      <c r="AC1572" s="86" t="s">
        <v>5285</v>
      </c>
      <c r="AD1572" s="81"/>
      <c r="AE1572" s="81" t="b">
        <v>0</v>
      </c>
      <c r="AF1572" s="81">
        <v>0</v>
      </c>
      <c r="AG1572" s="86" t="s">
        <v>6437</v>
      </c>
      <c r="AH1572" s="81" t="b">
        <v>0</v>
      </c>
      <c r="AI1572" s="81" t="s">
        <v>6478</v>
      </c>
      <c r="AJ1572" s="81"/>
      <c r="AK1572" s="86" t="s">
        <v>6240</v>
      </c>
      <c r="AL1572" s="81" t="b">
        <v>0</v>
      </c>
      <c r="AM1572" s="81">
        <v>0</v>
      </c>
      <c r="AN1572" s="86" t="s">
        <v>6240</v>
      </c>
      <c r="AO1572" s="86" t="s">
        <v>6507</v>
      </c>
      <c r="AP1572" s="81" t="b">
        <v>0</v>
      </c>
      <c r="AQ1572" s="86" t="s">
        <v>5285</v>
      </c>
      <c r="AR1572" s="81" t="s">
        <v>179</v>
      </c>
      <c r="AS1572" s="81">
        <v>0</v>
      </c>
      <c r="AT1572" s="81">
        <v>0</v>
      </c>
      <c r="AU1572" s="81"/>
      <c r="AV1572" s="81"/>
      <c r="AW1572" s="81"/>
      <c r="AX1572" s="81"/>
      <c r="AY1572" s="81"/>
      <c r="AZ1572" s="81"/>
      <c r="BA1572" s="81"/>
      <c r="BB1572" s="81"/>
    </row>
    <row r="1573" spans="1:54" x14ac:dyDescent="0.35">
      <c r="A1573" s="66" t="s">
        <v>1107</v>
      </c>
      <c r="B1573" s="66" t="s">
        <v>1161</v>
      </c>
      <c r="C1573" s="67"/>
      <c r="D1573" s="68"/>
      <c r="E1573" s="69"/>
      <c r="F1573" s="70"/>
      <c r="G1573" s="67"/>
      <c r="H1573" s="71"/>
      <c r="I1573" s="72"/>
      <c r="J1573" s="72"/>
      <c r="K1573" s="36"/>
      <c r="L1573" s="79"/>
      <c r="M1573" s="79"/>
      <c r="N1573" s="74"/>
      <c r="O1573" s="81" t="s">
        <v>1532</v>
      </c>
      <c r="P1573" s="83">
        <v>44466.373402777775</v>
      </c>
      <c r="Q1573" s="81" t="s">
        <v>2126</v>
      </c>
      <c r="R1573" s="81"/>
      <c r="S1573" s="81"/>
      <c r="T1573" s="81"/>
      <c r="U1573" s="84" t="str">
        <f>HYPERLINK("https://pbs.twimg.com/media/FAR4jYnVQAUmrbm.jpg")</f>
        <v>https://pbs.twimg.com/media/FAR4jYnVQAUmrbm.jpg</v>
      </c>
      <c r="V1573" s="84" t="str">
        <f>HYPERLINK("https://pbs.twimg.com/media/FAR4jYnVQAUmrbm.jpg")</f>
        <v>https://pbs.twimg.com/media/FAR4jYnVQAUmrbm.jpg</v>
      </c>
      <c r="W1573" s="83">
        <v>44466.373402777775</v>
      </c>
      <c r="X1573" s="89">
        <v>44466</v>
      </c>
      <c r="Y1573" s="86" t="s">
        <v>3814</v>
      </c>
      <c r="Z1573" s="84" t="str">
        <f>HYPERLINK("https://twitter.com/rizaldiyos1/status/1442413125051961344")</f>
        <v>https://twitter.com/rizaldiyos1/status/1442413125051961344</v>
      </c>
      <c r="AA1573" s="81"/>
      <c r="AB1573" s="81"/>
      <c r="AC1573" s="86" t="s">
        <v>5286</v>
      </c>
      <c r="AD1573" s="81"/>
      <c r="AE1573" s="81" t="b">
        <v>0</v>
      </c>
      <c r="AF1573" s="81">
        <v>0</v>
      </c>
      <c r="AG1573" s="86" t="s">
        <v>6240</v>
      </c>
      <c r="AH1573" s="81" t="b">
        <v>0</v>
      </c>
      <c r="AI1573" s="81" t="s">
        <v>6478</v>
      </c>
      <c r="AJ1573" s="81"/>
      <c r="AK1573" s="86" t="s">
        <v>6240</v>
      </c>
      <c r="AL1573" s="81" t="b">
        <v>0</v>
      </c>
      <c r="AM1573" s="81">
        <v>13</v>
      </c>
      <c r="AN1573" s="86" t="s">
        <v>5350</v>
      </c>
      <c r="AO1573" s="86" t="s">
        <v>6503</v>
      </c>
      <c r="AP1573" s="81" t="b">
        <v>0</v>
      </c>
      <c r="AQ1573" s="86" t="s">
        <v>5350</v>
      </c>
      <c r="AR1573" s="81" t="s">
        <v>179</v>
      </c>
      <c r="AS1573" s="81">
        <v>0</v>
      </c>
      <c r="AT1573" s="81">
        <v>0</v>
      </c>
      <c r="AU1573" s="81"/>
      <c r="AV1573" s="81"/>
      <c r="AW1573" s="81"/>
      <c r="AX1573" s="81"/>
      <c r="AY1573" s="81"/>
      <c r="AZ1573" s="81"/>
      <c r="BA1573" s="81"/>
      <c r="BB1573" s="81"/>
    </row>
    <row r="1574" spans="1:54" x14ac:dyDescent="0.35">
      <c r="A1574" s="66" t="s">
        <v>1108</v>
      </c>
      <c r="B1574" s="66" t="s">
        <v>1283</v>
      </c>
      <c r="C1574" s="67"/>
      <c r="D1574" s="68"/>
      <c r="E1574" s="69"/>
      <c r="F1574" s="70"/>
      <c r="G1574" s="67"/>
      <c r="H1574" s="71"/>
      <c r="I1574" s="72"/>
      <c r="J1574" s="72"/>
      <c r="K1574" s="36"/>
      <c r="L1574" s="79"/>
      <c r="M1574" s="79"/>
      <c r="N1574" s="74"/>
      <c r="O1574" s="81" t="s">
        <v>1535</v>
      </c>
      <c r="P1574" s="83">
        <v>44461.525127314817</v>
      </c>
      <c r="Q1574" s="81" t="s">
        <v>1771</v>
      </c>
      <c r="R1574" s="84" t="str">
        <f>HYPERLINK("https://kerjha.com/plbn-jagoi-perkuat-kedaulatan-nkri-di-perbatasan-kalbar/")</f>
        <v>https://kerjha.com/plbn-jagoi-perkuat-kedaulatan-nkri-di-perbatasan-kalbar/</v>
      </c>
      <c r="S1574" s="81" t="s">
        <v>2586</v>
      </c>
      <c r="T1574" s="81"/>
      <c r="U1574" s="81"/>
      <c r="V1574" s="84" t="str">
        <f>HYPERLINK("https://pbs.twimg.com/profile_images/1348942039765839873/-ZNEYh3H_normal.jpg")</f>
        <v>https://pbs.twimg.com/profile_images/1348942039765839873/-ZNEYh3H_normal.jpg</v>
      </c>
      <c r="W1574" s="83">
        <v>44461.525127314817</v>
      </c>
      <c r="X1574" s="89">
        <v>44461</v>
      </c>
      <c r="Y1574" s="86" t="s">
        <v>3815</v>
      </c>
      <c r="Z1574" s="84" t="str">
        <f>HYPERLINK("https://twitter.com/ndukla2/status/1440656168859275265")</f>
        <v>https://twitter.com/ndukla2/status/1440656168859275265</v>
      </c>
      <c r="AA1574" s="81"/>
      <c r="AB1574" s="81"/>
      <c r="AC1574" s="86" t="s">
        <v>5287</v>
      </c>
      <c r="AD1574" s="81"/>
      <c r="AE1574" s="81" t="b">
        <v>0</v>
      </c>
      <c r="AF1574" s="81">
        <v>6</v>
      </c>
      <c r="AG1574" s="86" t="s">
        <v>6240</v>
      </c>
      <c r="AH1574" s="81" t="b">
        <v>0</v>
      </c>
      <c r="AI1574" s="81" t="s">
        <v>6478</v>
      </c>
      <c r="AJ1574" s="81"/>
      <c r="AK1574" s="86" t="s">
        <v>6240</v>
      </c>
      <c r="AL1574" s="81" t="b">
        <v>0</v>
      </c>
      <c r="AM1574" s="81">
        <v>5</v>
      </c>
      <c r="AN1574" s="86" t="s">
        <v>6240</v>
      </c>
      <c r="AO1574" s="86" t="s">
        <v>6503</v>
      </c>
      <c r="AP1574" s="81" t="b">
        <v>0</v>
      </c>
      <c r="AQ1574" s="86" t="s">
        <v>5287</v>
      </c>
      <c r="AR1574" s="81" t="s">
        <v>179</v>
      </c>
      <c r="AS1574" s="81">
        <v>0</v>
      </c>
      <c r="AT1574" s="81">
        <v>0</v>
      </c>
      <c r="AU1574" s="81"/>
      <c r="AV1574" s="81"/>
      <c r="AW1574" s="81"/>
      <c r="AX1574" s="81"/>
      <c r="AY1574" s="81"/>
      <c r="AZ1574" s="81"/>
      <c r="BA1574" s="81"/>
      <c r="BB1574" s="81"/>
    </row>
    <row r="1575" spans="1:54" x14ac:dyDescent="0.35">
      <c r="A1575" s="66" t="s">
        <v>1109</v>
      </c>
      <c r="B1575" s="66" t="s">
        <v>1283</v>
      </c>
      <c r="C1575" s="67"/>
      <c r="D1575" s="68"/>
      <c r="E1575" s="69"/>
      <c r="F1575" s="70"/>
      <c r="G1575" s="67"/>
      <c r="H1575" s="71"/>
      <c r="I1575" s="72"/>
      <c r="J1575" s="72"/>
      <c r="K1575" s="36"/>
      <c r="L1575" s="79"/>
      <c r="M1575" s="79"/>
      <c r="N1575" s="74"/>
      <c r="O1575" s="81" t="s">
        <v>1533</v>
      </c>
      <c r="P1575" s="83">
        <v>44461.562048611115</v>
      </c>
      <c r="Q1575" s="81" t="s">
        <v>1771</v>
      </c>
      <c r="R1575" s="84" t="str">
        <f>HYPERLINK("https://kerjha.com/plbn-jagoi-perkuat-kedaulatan-nkri-di-perbatasan-kalbar/")</f>
        <v>https://kerjha.com/plbn-jagoi-perkuat-kedaulatan-nkri-di-perbatasan-kalbar/</v>
      </c>
      <c r="S1575" s="81" t="s">
        <v>2586</v>
      </c>
      <c r="T1575" s="81"/>
      <c r="U1575" s="81"/>
      <c r="V1575" s="84" t="str">
        <f>HYPERLINK("https://pbs.twimg.com/profile_images/1440383078766026758/3YbfG6NR_normal.jpg")</f>
        <v>https://pbs.twimg.com/profile_images/1440383078766026758/3YbfG6NR_normal.jpg</v>
      </c>
      <c r="W1575" s="83">
        <v>44461.562048611115</v>
      </c>
      <c r="X1575" s="89">
        <v>44461</v>
      </c>
      <c r="Y1575" s="86" t="s">
        <v>3816</v>
      </c>
      <c r="Z1575" s="84" t="str">
        <f>HYPERLINK("https://twitter.com/silakmu/status/1440669551063015429")</f>
        <v>https://twitter.com/silakmu/status/1440669551063015429</v>
      </c>
      <c r="AA1575" s="81"/>
      <c r="AB1575" s="81"/>
      <c r="AC1575" s="86" t="s">
        <v>5288</v>
      </c>
      <c r="AD1575" s="81"/>
      <c r="AE1575" s="81" t="b">
        <v>0</v>
      </c>
      <c r="AF1575" s="81">
        <v>0</v>
      </c>
      <c r="AG1575" s="86" t="s">
        <v>6240</v>
      </c>
      <c r="AH1575" s="81" t="b">
        <v>0</v>
      </c>
      <c r="AI1575" s="81" t="s">
        <v>6478</v>
      </c>
      <c r="AJ1575" s="81"/>
      <c r="AK1575" s="86" t="s">
        <v>6240</v>
      </c>
      <c r="AL1575" s="81" t="b">
        <v>0</v>
      </c>
      <c r="AM1575" s="81">
        <v>5</v>
      </c>
      <c r="AN1575" s="86" t="s">
        <v>5287</v>
      </c>
      <c r="AO1575" s="86" t="s">
        <v>6503</v>
      </c>
      <c r="AP1575" s="81" t="b">
        <v>0</v>
      </c>
      <c r="AQ1575" s="86" t="s">
        <v>5287</v>
      </c>
      <c r="AR1575" s="81" t="s">
        <v>179</v>
      </c>
      <c r="AS1575" s="81">
        <v>0</v>
      </c>
      <c r="AT1575" s="81">
        <v>0</v>
      </c>
      <c r="AU1575" s="81"/>
      <c r="AV1575" s="81"/>
      <c r="AW1575" s="81"/>
      <c r="AX1575" s="81"/>
      <c r="AY1575" s="81"/>
      <c r="AZ1575" s="81"/>
      <c r="BA1575" s="81"/>
      <c r="BB1575" s="81"/>
    </row>
    <row r="1576" spans="1:54" x14ac:dyDescent="0.35">
      <c r="A1576" s="66" t="s">
        <v>1109</v>
      </c>
      <c r="B1576" s="66" t="s">
        <v>1108</v>
      </c>
      <c r="C1576" s="67"/>
      <c r="D1576" s="68"/>
      <c r="E1576" s="69"/>
      <c r="F1576" s="70"/>
      <c r="G1576" s="67"/>
      <c r="H1576" s="71"/>
      <c r="I1576" s="72"/>
      <c r="J1576" s="72"/>
      <c r="K1576" s="36"/>
      <c r="L1576" s="79"/>
      <c r="M1576" s="79"/>
      <c r="N1576" s="74"/>
      <c r="O1576" s="81" t="s">
        <v>1532</v>
      </c>
      <c r="P1576" s="83">
        <v>44461.562048611115</v>
      </c>
      <c r="Q1576" s="81" t="s">
        <v>1771</v>
      </c>
      <c r="R1576" s="84" t="str">
        <f>HYPERLINK("https://kerjha.com/plbn-jagoi-perkuat-kedaulatan-nkri-di-perbatasan-kalbar/")</f>
        <v>https://kerjha.com/plbn-jagoi-perkuat-kedaulatan-nkri-di-perbatasan-kalbar/</v>
      </c>
      <c r="S1576" s="81" t="s">
        <v>2586</v>
      </c>
      <c r="T1576" s="81"/>
      <c r="U1576" s="81"/>
      <c r="V1576" s="84" t="str">
        <f>HYPERLINK("https://pbs.twimg.com/profile_images/1440383078766026758/3YbfG6NR_normal.jpg")</f>
        <v>https://pbs.twimg.com/profile_images/1440383078766026758/3YbfG6NR_normal.jpg</v>
      </c>
      <c r="W1576" s="83">
        <v>44461.562048611115</v>
      </c>
      <c r="X1576" s="89">
        <v>44461</v>
      </c>
      <c r="Y1576" s="86" t="s">
        <v>3816</v>
      </c>
      <c r="Z1576" s="84" t="str">
        <f>HYPERLINK("https://twitter.com/silakmu/status/1440669551063015429")</f>
        <v>https://twitter.com/silakmu/status/1440669551063015429</v>
      </c>
      <c r="AA1576" s="81"/>
      <c r="AB1576" s="81"/>
      <c r="AC1576" s="86" t="s">
        <v>5288</v>
      </c>
      <c r="AD1576" s="81"/>
      <c r="AE1576" s="81" t="b">
        <v>0</v>
      </c>
      <c r="AF1576" s="81">
        <v>0</v>
      </c>
      <c r="AG1576" s="86" t="s">
        <v>6240</v>
      </c>
      <c r="AH1576" s="81" t="b">
        <v>0</v>
      </c>
      <c r="AI1576" s="81" t="s">
        <v>6478</v>
      </c>
      <c r="AJ1576" s="81"/>
      <c r="AK1576" s="86" t="s">
        <v>6240</v>
      </c>
      <c r="AL1576" s="81" t="b">
        <v>0</v>
      </c>
      <c r="AM1576" s="81">
        <v>5</v>
      </c>
      <c r="AN1576" s="86" t="s">
        <v>5287</v>
      </c>
      <c r="AO1576" s="86" t="s">
        <v>6503</v>
      </c>
      <c r="AP1576" s="81" t="b">
        <v>0</v>
      </c>
      <c r="AQ1576" s="86" t="s">
        <v>5287</v>
      </c>
      <c r="AR1576" s="81" t="s">
        <v>179</v>
      </c>
      <c r="AS1576" s="81">
        <v>0</v>
      </c>
      <c r="AT1576" s="81">
        <v>0</v>
      </c>
      <c r="AU1576" s="81"/>
      <c r="AV1576" s="81"/>
      <c r="AW1576" s="81"/>
      <c r="AX1576" s="81"/>
      <c r="AY1576" s="81"/>
      <c r="AZ1576" s="81"/>
      <c r="BA1576" s="81"/>
      <c r="BB1576" s="81"/>
    </row>
    <row r="1577" spans="1:54" x14ac:dyDescent="0.35">
      <c r="A1577" s="66" t="s">
        <v>1109</v>
      </c>
      <c r="B1577" s="66" t="s">
        <v>1161</v>
      </c>
      <c r="C1577" s="67"/>
      <c r="D1577" s="68"/>
      <c r="E1577" s="69"/>
      <c r="F1577" s="70"/>
      <c r="G1577" s="67"/>
      <c r="H1577" s="71"/>
      <c r="I1577" s="72"/>
      <c r="J1577" s="72"/>
      <c r="K1577" s="36"/>
      <c r="L1577" s="79"/>
      <c r="M1577" s="79"/>
      <c r="N1577" s="74"/>
      <c r="O1577" s="81" t="s">
        <v>1532</v>
      </c>
      <c r="P1577" s="83">
        <v>44466.373680555553</v>
      </c>
      <c r="Q1577" s="81" t="s">
        <v>2126</v>
      </c>
      <c r="R1577" s="81"/>
      <c r="S1577" s="81"/>
      <c r="T1577" s="81"/>
      <c r="U1577" s="84" t="str">
        <f>HYPERLINK("https://pbs.twimg.com/media/FAR4jYnVQAUmrbm.jpg")</f>
        <v>https://pbs.twimg.com/media/FAR4jYnVQAUmrbm.jpg</v>
      </c>
      <c r="V1577" s="84" t="str">
        <f>HYPERLINK("https://pbs.twimg.com/media/FAR4jYnVQAUmrbm.jpg")</f>
        <v>https://pbs.twimg.com/media/FAR4jYnVQAUmrbm.jpg</v>
      </c>
      <c r="W1577" s="83">
        <v>44466.373680555553</v>
      </c>
      <c r="X1577" s="89">
        <v>44466</v>
      </c>
      <c r="Y1577" s="86" t="s">
        <v>3817</v>
      </c>
      <c r="Z1577" s="84" t="str">
        <f>HYPERLINK("https://twitter.com/silakmu/status/1442413228097617928")</f>
        <v>https://twitter.com/silakmu/status/1442413228097617928</v>
      </c>
      <c r="AA1577" s="81"/>
      <c r="AB1577" s="81"/>
      <c r="AC1577" s="86" t="s">
        <v>5289</v>
      </c>
      <c r="AD1577" s="81"/>
      <c r="AE1577" s="81" t="b">
        <v>0</v>
      </c>
      <c r="AF1577" s="81">
        <v>0</v>
      </c>
      <c r="AG1577" s="86" t="s">
        <v>6240</v>
      </c>
      <c r="AH1577" s="81" t="b">
        <v>0</v>
      </c>
      <c r="AI1577" s="81" t="s">
        <v>6478</v>
      </c>
      <c r="AJ1577" s="81"/>
      <c r="AK1577" s="86" t="s">
        <v>6240</v>
      </c>
      <c r="AL1577" s="81" t="b">
        <v>0</v>
      </c>
      <c r="AM1577" s="81">
        <v>13</v>
      </c>
      <c r="AN1577" s="86" t="s">
        <v>5350</v>
      </c>
      <c r="AO1577" s="86" t="s">
        <v>6503</v>
      </c>
      <c r="AP1577" s="81" t="b">
        <v>0</v>
      </c>
      <c r="AQ1577" s="86" t="s">
        <v>5350</v>
      </c>
      <c r="AR1577" s="81" t="s">
        <v>179</v>
      </c>
      <c r="AS1577" s="81">
        <v>0</v>
      </c>
      <c r="AT1577" s="81">
        <v>0</v>
      </c>
      <c r="AU1577" s="81"/>
      <c r="AV1577" s="81"/>
      <c r="AW1577" s="81"/>
      <c r="AX1577" s="81"/>
      <c r="AY1577" s="81"/>
      <c r="AZ1577" s="81"/>
      <c r="BA1577" s="81"/>
      <c r="BB1577" s="81"/>
    </row>
    <row r="1578" spans="1:54" x14ac:dyDescent="0.35">
      <c r="A1578" s="66" t="s">
        <v>1110</v>
      </c>
      <c r="B1578" s="66" t="s">
        <v>1110</v>
      </c>
      <c r="C1578" s="67"/>
      <c r="D1578" s="68"/>
      <c r="E1578" s="69"/>
      <c r="F1578" s="70"/>
      <c r="G1578" s="67"/>
      <c r="H1578" s="71"/>
      <c r="I1578" s="72"/>
      <c r="J1578" s="72"/>
      <c r="K1578" s="36"/>
      <c r="L1578" s="79"/>
      <c r="M1578" s="79"/>
      <c r="N1578" s="74"/>
      <c r="O1578" s="81" t="s">
        <v>179</v>
      </c>
      <c r="P1578" s="83">
        <v>44466.379178240742</v>
      </c>
      <c r="Q1578" s="81" t="s">
        <v>2133</v>
      </c>
      <c r="R1578" s="81"/>
      <c r="S1578" s="81"/>
      <c r="T1578" s="81"/>
      <c r="U1578" s="81"/>
      <c r="V1578" s="84" t="str">
        <f>HYPERLINK("https://pbs.twimg.com/profile_images/1441076876873650181/jpBV8Ta7_normal.jpg")</f>
        <v>https://pbs.twimg.com/profile_images/1441076876873650181/jpBV8Ta7_normal.jpg</v>
      </c>
      <c r="W1578" s="83">
        <v>44466.379178240742</v>
      </c>
      <c r="X1578" s="89">
        <v>44466</v>
      </c>
      <c r="Y1578" s="86" t="s">
        <v>3818</v>
      </c>
      <c r="Z1578" s="84" t="str">
        <f>HYPERLINK("https://twitter.com/x4riph0bi4/status/1442415216537468934")</f>
        <v>https://twitter.com/x4riph0bi4/status/1442415216537468934</v>
      </c>
      <c r="AA1578" s="81"/>
      <c r="AB1578" s="81"/>
      <c r="AC1578" s="86" t="s">
        <v>5290</v>
      </c>
      <c r="AD1578" s="81"/>
      <c r="AE1578" s="81" t="b">
        <v>0</v>
      </c>
      <c r="AF1578" s="81">
        <v>0</v>
      </c>
      <c r="AG1578" s="86" t="s">
        <v>6240</v>
      </c>
      <c r="AH1578" s="81" t="b">
        <v>0</v>
      </c>
      <c r="AI1578" s="81" t="s">
        <v>6478</v>
      </c>
      <c r="AJ1578" s="81"/>
      <c r="AK1578" s="86" t="s">
        <v>6240</v>
      </c>
      <c r="AL1578" s="81" t="b">
        <v>0</v>
      </c>
      <c r="AM1578" s="81">
        <v>0</v>
      </c>
      <c r="AN1578" s="86" t="s">
        <v>6240</v>
      </c>
      <c r="AO1578" s="86" t="s">
        <v>6505</v>
      </c>
      <c r="AP1578" s="81" t="b">
        <v>0</v>
      </c>
      <c r="AQ1578" s="86" t="s">
        <v>5290</v>
      </c>
      <c r="AR1578" s="81" t="s">
        <v>179</v>
      </c>
      <c r="AS1578" s="81">
        <v>0</v>
      </c>
      <c r="AT1578" s="81">
        <v>0</v>
      </c>
      <c r="AU1578" s="81"/>
      <c r="AV1578" s="81"/>
      <c r="AW1578" s="81"/>
      <c r="AX1578" s="81"/>
      <c r="AY1578" s="81"/>
      <c r="AZ1578" s="81"/>
      <c r="BA1578" s="81"/>
      <c r="BB1578" s="81"/>
    </row>
    <row r="1579" spans="1:54" x14ac:dyDescent="0.35">
      <c r="A1579" s="66" t="s">
        <v>1111</v>
      </c>
      <c r="B1579" s="66" t="s">
        <v>1111</v>
      </c>
      <c r="C1579" s="67"/>
      <c r="D1579" s="68"/>
      <c r="E1579" s="69"/>
      <c r="F1579" s="70"/>
      <c r="G1579" s="67"/>
      <c r="H1579" s="71"/>
      <c r="I1579" s="72"/>
      <c r="J1579" s="72"/>
      <c r="K1579" s="36"/>
      <c r="L1579" s="79"/>
      <c r="M1579" s="79"/>
      <c r="N1579" s="74"/>
      <c r="O1579" s="81" t="s">
        <v>179</v>
      </c>
      <c r="P1579" s="83">
        <v>44459.478321759256</v>
      </c>
      <c r="Q1579" s="81" t="s">
        <v>2134</v>
      </c>
      <c r="R1579" s="81"/>
      <c r="S1579" s="81"/>
      <c r="T1579" s="81"/>
      <c r="U1579" s="81"/>
      <c r="V1579" s="84" t="str">
        <f>HYPERLINK("https://pbs.twimg.com/profile_images/1356232949130092553/JusP7dq9_normal.png")</f>
        <v>https://pbs.twimg.com/profile_images/1356232949130092553/JusP7dq9_normal.png</v>
      </c>
      <c r="W1579" s="83">
        <v>44459.478321759256</v>
      </c>
      <c r="X1579" s="89">
        <v>44459</v>
      </c>
      <c r="Y1579" s="86" t="s">
        <v>3819</v>
      </c>
      <c r="Z1579" s="84" t="str">
        <f>HYPERLINK("https://twitter.com/himapbsifkipur1/status/1439914431190683651")</f>
        <v>https://twitter.com/himapbsifkipur1/status/1439914431190683651</v>
      </c>
      <c r="AA1579" s="81"/>
      <c r="AB1579" s="81"/>
      <c r="AC1579" s="86" t="s">
        <v>5291</v>
      </c>
      <c r="AD1579" s="81"/>
      <c r="AE1579" s="81" t="b">
        <v>0</v>
      </c>
      <c r="AF1579" s="81">
        <v>0</v>
      </c>
      <c r="AG1579" s="86" t="s">
        <v>6240</v>
      </c>
      <c r="AH1579" s="81" t="b">
        <v>0</v>
      </c>
      <c r="AI1579" s="81" t="s">
        <v>6478</v>
      </c>
      <c r="AJ1579" s="81"/>
      <c r="AK1579" s="86" t="s">
        <v>6240</v>
      </c>
      <c r="AL1579" s="81" t="b">
        <v>0</v>
      </c>
      <c r="AM1579" s="81">
        <v>0</v>
      </c>
      <c r="AN1579" s="86" t="s">
        <v>6240</v>
      </c>
      <c r="AO1579" s="86" t="s">
        <v>6503</v>
      </c>
      <c r="AP1579" s="81" t="b">
        <v>0</v>
      </c>
      <c r="AQ1579" s="86" t="s">
        <v>5291</v>
      </c>
      <c r="AR1579" s="81" t="s">
        <v>179</v>
      </c>
      <c r="AS1579" s="81">
        <v>0</v>
      </c>
      <c r="AT1579" s="81">
        <v>0</v>
      </c>
      <c r="AU1579" s="81"/>
      <c r="AV1579" s="81"/>
      <c r="AW1579" s="81"/>
      <c r="AX1579" s="81"/>
      <c r="AY1579" s="81"/>
      <c r="AZ1579" s="81"/>
      <c r="BA1579" s="81"/>
      <c r="BB1579" s="81"/>
    </row>
    <row r="1580" spans="1:54" x14ac:dyDescent="0.35">
      <c r="A1580" s="66" t="s">
        <v>1111</v>
      </c>
      <c r="B1580" s="66" t="s">
        <v>1111</v>
      </c>
      <c r="C1580" s="67"/>
      <c r="D1580" s="68"/>
      <c r="E1580" s="69"/>
      <c r="F1580" s="70"/>
      <c r="G1580" s="67"/>
      <c r="H1580" s="71"/>
      <c r="I1580" s="72"/>
      <c r="J1580" s="72"/>
      <c r="K1580" s="36"/>
      <c r="L1580" s="79"/>
      <c r="M1580" s="79"/>
      <c r="N1580" s="74"/>
      <c r="O1580" s="81" t="s">
        <v>179</v>
      </c>
      <c r="P1580" s="83">
        <v>44459.478321759256</v>
      </c>
      <c r="Q1580" s="81" t="s">
        <v>2135</v>
      </c>
      <c r="R1580" s="81"/>
      <c r="S1580" s="81"/>
      <c r="T1580" s="81"/>
      <c r="U1580" s="81"/>
      <c r="V1580" s="84" t="str">
        <f>HYPERLINK("https://pbs.twimg.com/profile_images/1356232949130092553/JusP7dq9_normal.png")</f>
        <v>https://pbs.twimg.com/profile_images/1356232949130092553/JusP7dq9_normal.png</v>
      </c>
      <c r="W1580" s="83">
        <v>44459.478321759256</v>
      </c>
      <c r="X1580" s="89">
        <v>44459</v>
      </c>
      <c r="Y1580" s="86" t="s">
        <v>3819</v>
      </c>
      <c r="Z1580" s="84" t="str">
        <f>HYPERLINK("https://twitter.com/himapbsifkipur1/status/1439914432784572426")</f>
        <v>https://twitter.com/himapbsifkipur1/status/1439914432784572426</v>
      </c>
      <c r="AA1580" s="81"/>
      <c r="AB1580" s="81"/>
      <c r="AC1580" s="86" t="s">
        <v>5292</v>
      </c>
      <c r="AD1580" s="86" t="s">
        <v>5291</v>
      </c>
      <c r="AE1580" s="81" t="b">
        <v>0</v>
      </c>
      <c r="AF1580" s="81">
        <v>0</v>
      </c>
      <c r="AG1580" s="86" t="s">
        <v>6438</v>
      </c>
      <c r="AH1580" s="81" t="b">
        <v>0</v>
      </c>
      <c r="AI1580" s="81" t="s">
        <v>6478</v>
      </c>
      <c r="AJ1580" s="81"/>
      <c r="AK1580" s="86" t="s">
        <v>6240</v>
      </c>
      <c r="AL1580" s="81" t="b">
        <v>0</v>
      </c>
      <c r="AM1580" s="81">
        <v>0</v>
      </c>
      <c r="AN1580" s="86" t="s">
        <v>6240</v>
      </c>
      <c r="AO1580" s="86" t="s">
        <v>6503</v>
      </c>
      <c r="AP1580" s="81" t="b">
        <v>0</v>
      </c>
      <c r="AQ1580" s="86" t="s">
        <v>5291</v>
      </c>
      <c r="AR1580" s="81" t="s">
        <v>179</v>
      </c>
      <c r="AS1580" s="81">
        <v>0</v>
      </c>
      <c r="AT1580" s="81">
        <v>0</v>
      </c>
      <c r="AU1580" s="81"/>
      <c r="AV1580" s="81"/>
      <c r="AW1580" s="81"/>
      <c r="AX1580" s="81"/>
      <c r="AY1580" s="81"/>
      <c r="AZ1580" s="81"/>
      <c r="BA1580" s="81"/>
      <c r="BB1580" s="81"/>
    </row>
    <row r="1581" spans="1:54" x14ac:dyDescent="0.35">
      <c r="A1581" s="66" t="s">
        <v>1111</v>
      </c>
      <c r="B1581" s="66" t="s">
        <v>1111</v>
      </c>
      <c r="C1581" s="67"/>
      <c r="D1581" s="68"/>
      <c r="E1581" s="69"/>
      <c r="F1581" s="70"/>
      <c r="G1581" s="67"/>
      <c r="H1581" s="71"/>
      <c r="I1581" s="72"/>
      <c r="J1581" s="72"/>
      <c r="K1581" s="36"/>
      <c r="L1581" s="79"/>
      <c r="M1581" s="79"/>
      <c r="N1581" s="74"/>
      <c r="O1581" s="81" t="s">
        <v>179</v>
      </c>
      <c r="P1581" s="83">
        <v>44466.379537037035</v>
      </c>
      <c r="Q1581" s="81" t="s">
        <v>2136</v>
      </c>
      <c r="R1581" s="81"/>
      <c r="S1581" s="81"/>
      <c r="T1581" s="81"/>
      <c r="U1581" s="84" t="str">
        <f>HYPERLINK("https://pbs.twimg.com/media/FAR9HHJVUAU1LQP.jpg")</f>
        <v>https://pbs.twimg.com/media/FAR9HHJVUAU1LQP.jpg</v>
      </c>
      <c r="V1581" s="84" t="str">
        <f>HYPERLINK("https://pbs.twimg.com/media/FAR9HHJVUAU1LQP.jpg")</f>
        <v>https://pbs.twimg.com/media/FAR9HHJVUAU1LQP.jpg</v>
      </c>
      <c r="W1581" s="83">
        <v>44466.379537037035</v>
      </c>
      <c r="X1581" s="89">
        <v>44466</v>
      </c>
      <c r="Y1581" s="86" t="s">
        <v>3820</v>
      </c>
      <c r="Z1581" s="84" t="str">
        <f>HYPERLINK("https://twitter.com/himapbsifkipur1/status/1442415349522046977")</f>
        <v>https://twitter.com/himapbsifkipur1/status/1442415349522046977</v>
      </c>
      <c r="AA1581" s="81"/>
      <c r="AB1581" s="81"/>
      <c r="AC1581" s="86" t="s">
        <v>5293</v>
      </c>
      <c r="AD1581" s="81"/>
      <c r="AE1581" s="81" t="b">
        <v>0</v>
      </c>
      <c r="AF1581" s="81">
        <v>0</v>
      </c>
      <c r="AG1581" s="86" t="s">
        <v>6240</v>
      </c>
      <c r="AH1581" s="81" t="b">
        <v>0</v>
      </c>
      <c r="AI1581" s="81" t="s">
        <v>6478</v>
      </c>
      <c r="AJ1581" s="81"/>
      <c r="AK1581" s="86" t="s">
        <v>6240</v>
      </c>
      <c r="AL1581" s="81" t="b">
        <v>0</v>
      </c>
      <c r="AM1581" s="81">
        <v>0</v>
      </c>
      <c r="AN1581" s="86" t="s">
        <v>6240</v>
      </c>
      <c r="AO1581" s="86" t="s">
        <v>6503</v>
      </c>
      <c r="AP1581" s="81" t="b">
        <v>0</v>
      </c>
      <c r="AQ1581" s="86" t="s">
        <v>5293</v>
      </c>
      <c r="AR1581" s="81" t="s">
        <v>179</v>
      </c>
      <c r="AS1581" s="81">
        <v>0</v>
      </c>
      <c r="AT1581" s="81">
        <v>0</v>
      </c>
      <c r="AU1581" s="81"/>
      <c r="AV1581" s="81"/>
      <c r="AW1581" s="81"/>
      <c r="AX1581" s="81"/>
      <c r="AY1581" s="81"/>
      <c r="AZ1581" s="81"/>
      <c r="BA1581" s="81"/>
      <c r="BB1581" s="81"/>
    </row>
    <row r="1582" spans="1:54" x14ac:dyDescent="0.35">
      <c r="A1582" s="66" t="s">
        <v>1111</v>
      </c>
      <c r="B1582" s="66" t="s">
        <v>1111</v>
      </c>
      <c r="C1582" s="67"/>
      <c r="D1582" s="68"/>
      <c r="E1582" s="69"/>
      <c r="F1582" s="70"/>
      <c r="G1582" s="67"/>
      <c r="H1582" s="71"/>
      <c r="I1582" s="72"/>
      <c r="J1582" s="72"/>
      <c r="K1582" s="36"/>
      <c r="L1582" s="79"/>
      <c r="M1582" s="79"/>
      <c r="N1582" s="74"/>
      <c r="O1582" s="81" t="s">
        <v>179</v>
      </c>
      <c r="P1582" s="83">
        <v>44466.379548611112</v>
      </c>
      <c r="Q1582" s="81" t="s">
        <v>2135</v>
      </c>
      <c r="R1582" s="81"/>
      <c r="S1582" s="81"/>
      <c r="T1582" s="81"/>
      <c r="U1582" s="81"/>
      <c r="V1582" s="84" t="str">
        <f>HYPERLINK("https://pbs.twimg.com/profile_images/1356232949130092553/JusP7dq9_normal.png")</f>
        <v>https://pbs.twimg.com/profile_images/1356232949130092553/JusP7dq9_normal.png</v>
      </c>
      <c r="W1582" s="83">
        <v>44466.379548611112</v>
      </c>
      <c r="X1582" s="89">
        <v>44466</v>
      </c>
      <c r="Y1582" s="86" t="s">
        <v>3821</v>
      </c>
      <c r="Z1582" s="84" t="str">
        <f>HYPERLINK("https://twitter.com/himapbsifkipur1/status/1442415351912800260")</f>
        <v>https://twitter.com/himapbsifkipur1/status/1442415351912800260</v>
      </c>
      <c r="AA1582" s="81"/>
      <c r="AB1582" s="81"/>
      <c r="AC1582" s="86" t="s">
        <v>5294</v>
      </c>
      <c r="AD1582" s="86" t="s">
        <v>5293</v>
      </c>
      <c r="AE1582" s="81" t="b">
        <v>0</v>
      </c>
      <c r="AF1582" s="81">
        <v>0</v>
      </c>
      <c r="AG1582" s="86" t="s">
        <v>6438</v>
      </c>
      <c r="AH1582" s="81" t="b">
        <v>0</v>
      </c>
      <c r="AI1582" s="81" t="s">
        <v>6478</v>
      </c>
      <c r="AJ1582" s="81"/>
      <c r="AK1582" s="86" t="s">
        <v>6240</v>
      </c>
      <c r="AL1582" s="81" t="b">
        <v>0</v>
      </c>
      <c r="AM1582" s="81">
        <v>0</v>
      </c>
      <c r="AN1582" s="86" t="s">
        <v>6240</v>
      </c>
      <c r="AO1582" s="86" t="s">
        <v>6503</v>
      </c>
      <c r="AP1582" s="81" t="b">
        <v>0</v>
      </c>
      <c r="AQ1582" s="86" t="s">
        <v>5293</v>
      </c>
      <c r="AR1582" s="81" t="s">
        <v>179</v>
      </c>
      <c r="AS1582" s="81">
        <v>0</v>
      </c>
      <c r="AT1582" s="81">
        <v>0</v>
      </c>
      <c r="AU1582" s="81"/>
      <c r="AV1582" s="81"/>
      <c r="AW1582" s="81"/>
      <c r="AX1582" s="81"/>
      <c r="AY1582" s="81"/>
      <c r="AZ1582" s="81"/>
      <c r="BA1582" s="81"/>
      <c r="BB1582" s="81"/>
    </row>
    <row r="1583" spans="1:54" x14ac:dyDescent="0.35">
      <c r="A1583" s="66" t="s">
        <v>1111</v>
      </c>
      <c r="B1583" s="66" t="s">
        <v>1111</v>
      </c>
      <c r="C1583" s="67"/>
      <c r="D1583" s="68"/>
      <c r="E1583" s="69"/>
      <c r="F1583" s="70"/>
      <c r="G1583" s="67"/>
      <c r="H1583" s="71"/>
      <c r="I1583" s="72"/>
      <c r="J1583" s="72"/>
      <c r="K1583" s="36"/>
      <c r="L1583" s="79"/>
      <c r="M1583" s="79"/>
      <c r="N1583" s="74"/>
      <c r="O1583" s="81" t="s">
        <v>179</v>
      </c>
      <c r="P1583" s="83">
        <v>44466.379548611112</v>
      </c>
      <c r="Q1583" s="81" t="s">
        <v>2137</v>
      </c>
      <c r="R1583" s="81"/>
      <c r="S1583" s="81"/>
      <c r="T1583" s="81"/>
      <c r="U1583" s="81"/>
      <c r="V1583" s="84" t="str">
        <f>HYPERLINK("https://pbs.twimg.com/profile_images/1356232949130092553/JusP7dq9_normal.png")</f>
        <v>https://pbs.twimg.com/profile_images/1356232949130092553/JusP7dq9_normal.png</v>
      </c>
      <c r="W1583" s="83">
        <v>44466.379548611112</v>
      </c>
      <c r="X1583" s="89">
        <v>44466</v>
      </c>
      <c r="Y1583" s="86" t="s">
        <v>3821</v>
      </c>
      <c r="Z1583" s="84" t="str">
        <f>HYPERLINK("https://twitter.com/himapbsifkipur1/status/1442415353758244865")</f>
        <v>https://twitter.com/himapbsifkipur1/status/1442415353758244865</v>
      </c>
      <c r="AA1583" s="81"/>
      <c r="AB1583" s="81"/>
      <c r="AC1583" s="86" t="s">
        <v>5295</v>
      </c>
      <c r="AD1583" s="86" t="s">
        <v>5294</v>
      </c>
      <c r="AE1583" s="81" t="b">
        <v>0</v>
      </c>
      <c r="AF1583" s="81">
        <v>0</v>
      </c>
      <c r="AG1583" s="86" t="s">
        <v>6438</v>
      </c>
      <c r="AH1583" s="81" t="b">
        <v>0</v>
      </c>
      <c r="AI1583" s="81" t="s">
        <v>6478</v>
      </c>
      <c r="AJ1583" s="81"/>
      <c r="AK1583" s="86" t="s">
        <v>6240</v>
      </c>
      <c r="AL1583" s="81" t="b">
        <v>0</v>
      </c>
      <c r="AM1583" s="81">
        <v>0</v>
      </c>
      <c r="AN1583" s="86" t="s">
        <v>6240</v>
      </c>
      <c r="AO1583" s="86" t="s">
        <v>6503</v>
      </c>
      <c r="AP1583" s="81" t="b">
        <v>0</v>
      </c>
      <c r="AQ1583" s="86" t="s">
        <v>5294</v>
      </c>
      <c r="AR1583" s="81" t="s">
        <v>179</v>
      </c>
      <c r="AS1583" s="81">
        <v>0</v>
      </c>
      <c r="AT1583" s="81">
        <v>0</v>
      </c>
      <c r="AU1583" s="81"/>
      <c r="AV1583" s="81"/>
      <c r="AW1583" s="81"/>
      <c r="AX1583" s="81"/>
      <c r="AY1583" s="81"/>
      <c r="AZ1583" s="81"/>
      <c r="BA1583" s="81"/>
      <c r="BB1583" s="81"/>
    </row>
    <row r="1584" spans="1:54" x14ac:dyDescent="0.35">
      <c r="A1584" s="66" t="s">
        <v>1112</v>
      </c>
      <c r="B1584" s="66" t="s">
        <v>1112</v>
      </c>
      <c r="C1584" s="67"/>
      <c r="D1584" s="68"/>
      <c r="E1584" s="69"/>
      <c r="F1584" s="70"/>
      <c r="G1584" s="67"/>
      <c r="H1584" s="71"/>
      <c r="I1584" s="72"/>
      <c r="J1584" s="72"/>
      <c r="K1584" s="36"/>
      <c r="L1584" s="79"/>
      <c r="M1584" s="79"/>
      <c r="N1584" s="74"/>
      <c r="O1584" s="81" t="s">
        <v>179</v>
      </c>
      <c r="P1584" s="83">
        <v>44466.380219907405</v>
      </c>
      <c r="Q1584" s="81" t="s">
        <v>2138</v>
      </c>
      <c r="R1584" s="81"/>
      <c r="S1584" s="81"/>
      <c r="T1584" s="81"/>
      <c r="U1584" s="81"/>
      <c r="V1584" s="84" t="str">
        <f>HYPERLINK("https://pbs.twimg.com/profile_images/812107715338125312/Hho_ylHR_normal.jpg")</f>
        <v>https://pbs.twimg.com/profile_images/812107715338125312/Hho_ylHR_normal.jpg</v>
      </c>
      <c r="W1584" s="83">
        <v>44466.380219907405</v>
      </c>
      <c r="X1584" s="89">
        <v>44466</v>
      </c>
      <c r="Y1584" s="86" t="s">
        <v>3822</v>
      </c>
      <c r="Z1584" s="84" t="str">
        <f>HYPERLINK("https://twitter.com/himakompolban/status/1442415597837447170")</f>
        <v>https://twitter.com/himakompolban/status/1442415597837447170</v>
      </c>
      <c r="AA1584" s="81"/>
      <c r="AB1584" s="81"/>
      <c r="AC1584" s="86" t="s">
        <v>5296</v>
      </c>
      <c r="AD1584" s="86" t="s">
        <v>6189</v>
      </c>
      <c r="AE1584" s="81" t="b">
        <v>0</v>
      </c>
      <c r="AF1584" s="81">
        <v>0</v>
      </c>
      <c r="AG1584" s="86" t="s">
        <v>6439</v>
      </c>
      <c r="AH1584" s="81" t="b">
        <v>0</v>
      </c>
      <c r="AI1584" s="81" t="s">
        <v>6478</v>
      </c>
      <c r="AJ1584" s="81"/>
      <c r="AK1584" s="86" t="s">
        <v>6240</v>
      </c>
      <c r="AL1584" s="81" t="b">
        <v>0</v>
      </c>
      <c r="AM1584" s="81">
        <v>0</v>
      </c>
      <c r="AN1584" s="86" t="s">
        <v>6240</v>
      </c>
      <c r="AO1584" s="86" t="s">
        <v>6507</v>
      </c>
      <c r="AP1584" s="81" t="b">
        <v>0</v>
      </c>
      <c r="AQ1584" s="86" t="s">
        <v>6189</v>
      </c>
      <c r="AR1584" s="81" t="s">
        <v>179</v>
      </c>
      <c r="AS1584" s="81">
        <v>0</v>
      </c>
      <c r="AT1584" s="81">
        <v>0</v>
      </c>
      <c r="AU1584" s="81"/>
      <c r="AV1584" s="81"/>
      <c r="AW1584" s="81"/>
      <c r="AX1584" s="81"/>
      <c r="AY1584" s="81"/>
      <c r="AZ1584" s="81"/>
      <c r="BA1584" s="81"/>
      <c r="BB1584" s="81"/>
    </row>
    <row r="1585" spans="1:54" x14ac:dyDescent="0.35">
      <c r="A1585" s="66" t="s">
        <v>1113</v>
      </c>
      <c r="B1585" s="66" t="s">
        <v>1161</v>
      </c>
      <c r="C1585" s="67"/>
      <c r="D1585" s="68"/>
      <c r="E1585" s="69"/>
      <c r="F1585" s="70"/>
      <c r="G1585" s="67"/>
      <c r="H1585" s="71"/>
      <c r="I1585" s="72"/>
      <c r="J1585" s="72"/>
      <c r="K1585" s="36"/>
      <c r="L1585" s="79"/>
      <c r="M1585" s="79"/>
      <c r="N1585" s="74"/>
      <c r="O1585" s="81" t="s">
        <v>1532</v>
      </c>
      <c r="P1585" s="83">
        <v>44466.383958333332</v>
      </c>
      <c r="Q1585" s="81" t="s">
        <v>2126</v>
      </c>
      <c r="R1585" s="81"/>
      <c r="S1585" s="81"/>
      <c r="T1585" s="81"/>
      <c r="U1585" s="84" t="str">
        <f>HYPERLINK("https://pbs.twimg.com/media/FAR4jYnVQAUmrbm.jpg")</f>
        <v>https://pbs.twimg.com/media/FAR4jYnVQAUmrbm.jpg</v>
      </c>
      <c r="V1585" s="84" t="str">
        <f>HYPERLINK("https://pbs.twimg.com/media/FAR4jYnVQAUmrbm.jpg")</f>
        <v>https://pbs.twimg.com/media/FAR4jYnVQAUmrbm.jpg</v>
      </c>
      <c r="W1585" s="83">
        <v>44466.383958333332</v>
      </c>
      <c r="X1585" s="89">
        <v>44466</v>
      </c>
      <c r="Y1585" s="86" t="s">
        <v>3823</v>
      </c>
      <c r="Z1585" s="84" t="str">
        <f>HYPERLINK("https://twitter.com/anjasmara_ferry/status/1442416951565766658")</f>
        <v>https://twitter.com/anjasmara_ferry/status/1442416951565766658</v>
      </c>
      <c r="AA1585" s="81"/>
      <c r="AB1585" s="81"/>
      <c r="AC1585" s="86" t="s">
        <v>5297</v>
      </c>
      <c r="AD1585" s="81"/>
      <c r="AE1585" s="81" t="b">
        <v>0</v>
      </c>
      <c r="AF1585" s="81">
        <v>0</v>
      </c>
      <c r="AG1585" s="86" t="s">
        <v>6240</v>
      </c>
      <c r="AH1585" s="81" t="b">
        <v>0</v>
      </c>
      <c r="AI1585" s="81" t="s">
        <v>6478</v>
      </c>
      <c r="AJ1585" s="81"/>
      <c r="AK1585" s="86" t="s">
        <v>6240</v>
      </c>
      <c r="AL1585" s="81" t="b">
        <v>0</v>
      </c>
      <c r="AM1585" s="81">
        <v>13</v>
      </c>
      <c r="AN1585" s="86" t="s">
        <v>5350</v>
      </c>
      <c r="AO1585" s="86" t="s">
        <v>6503</v>
      </c>
      <c r="AP1585" s="81" t="b">
        <v>0</v>
      </c>
      <c r="AQ1585" s="86" t="s">
        <v>5350</v>
      </c>
      <c r="AR1585" s="81" t="s">
        <v>179</v>
      </c>
      <c r="AS1585" s="81">
        <v>0</v>
      </c>
      <c r="AT1585" s="81">
        <v>0</v>
      </c>
      <c r="AU1585" s="81"/>
      <c r="AV1585" s="81"/>
      <c r="AW1585" s="81"/>
      <c r="AX1585" s="81"/>
      <c r="AY1585" s="81"/>
      <c r="AZ1585" s="81"/>
      <c r="BA1585" s="81"/>
      <c r="BB1585" s="81"/>
    </row>
    <row r="1586" spans="1:54" x14ac:dyDescent="0.35">
      <c r="A1586" s="66" t="s">
        <v>1114</v>
      </c>
      <c r="B1586" s="66" t="s">
        <v>1114</v>
      </c>
      <c r="C1586" s="67"/>
      <c r="D1586" s="68"/>
      <c r="E1586" s="69"/>
      <c r="F1586" s="70"/>
      <c r="G1586" s="67"/>
      <c r="H1586" s="71"/>
      <c r="I1586" s="72"/>
      <c r="J1586" s="72"/>
      <c r="K1586" s="36"/>
      <c r="L1586" s="79"/>
      <c r="M1586" s="79"/>
      <c r="N1586" s="74"/>
      <c r="O1586" s="81" t="s">
        <v>179</v>
      </c>
      <c r="P1586" s="83">
        <v>44463.165752314817</v>
      </c>
      <c r="Q1586" s="81" t="s">
        <v>2139</v>
      </c>
      <c r="R1586" s="81"/>
      <c r="S1586" s="81"/>
      <c r="T1586" s="81"/>
      <c r="U1586" s="81"/>
      <c r="V1586" s="84" t="str">
        <f>HYPERLINK("https://pbs.twimg.com/profile_images/1441074686402523136/drSKwo91_normal.jpg")</f>
        <v>https://pbs.twimg.com/profile_images/1441074686402523136/drSKwo91_normal.jpg</v>
      </c>
      <c r="W1586" s="83">
        <v>44463.165752314817</v>
      </c>
      <c r="X1586" s="89">
        <v>44463</v>
      </c>
      <c r="Y1586" s="86" t="s">
        <v>3824</v>
      </c>
      <c r="Z1586" s="84" t="str">
        <f>HYPERLINK("https://twitter.com/teiyongg/status/1441250710503378947")</f>
        <v>https://twitter.com/teiyongg/status/1441250710503378947</v>
      </c>
      <c r="AA1586" s="81"/>
      <c r="AB1586" s="81"/>
      <c r="AC1586" s="86" t="s">
        <v>5298</v>
      </c>
      <c r="AD1586" s="86" t="s">
        <v>6190</v>
      </c>
      <c r="AE1586" s="81" t="b">
        <v>0</v>
      </c>
      <c r="AF1586" s="81">
        <v>1</v>
      </c>
      <c r="AG1586" s="86" t="s">
        <v>6440</v>
      </c>
      <c r="AH1586" s="81" t="b">
        <v>0</v>
      </c>
      <c r="AI1586" s="81" t="s">
        <v>6478</v>
      </c>
      <c r="AJ1586" s="81"/>
      <c r="AK1586" s="86" t="s">
        <v>6240</v>
      </c>
      <c r="AL1586" s="81" t="b">
        <v>0</v>
      </c>
      <c r="AM1586" s="81">
        <v>1</v>
      </c>
      <c r="AN1586" s="86" t="s">
        <v>6240</v>
      </c>
      <c r="AO1586" s="86" t="s">
        <v>6503</v>
      </c>
      <c r="AP1586" s="81" t="b">
        <v>0</v>
      </c>
      <c r="AQ1586" s="86" t="s">
        <v>6190</v>
      </c>
      <c r="AR1586" s="81" t="s">
        <v>179</v>
      </c>
      <c r="AS1586" s="81">
        <v>0</v>
      </c>
      <c r="AT1586" s="81">
        <v>0</v>
      </c>
      <c r="AU1586" s="81"/>
      <c r="AV1586" s="81"/>
      <c r="AW1586" s="81"/>
      <c r="AX1586" s="81"/>
      <c r="AY1586" s="81"/>
      <c r="AZ1586" s="81"/>
      <c r="BA1586" s="81"/>
      <c r="BB1586" s="81"/>
    </row>
    <row r="1587" spans="1:54" x14ac:dyDescent="0.35">
      <c r="A1587" s="66" t="s">
        <v>1115</v>
      </c>
      <c r="B1587" s="66" t="s">
        <v>1114</v>
      </c>
      <c r="C1587" s="67"/>
      <c r="D1587" s="68"/>
      <c r="E1587" s="69"/>
      <c r="F1587" s="70"/>
      <c r="G1587" s="67"/>
      <c r="H1587" s="71"/>
      <c r="I1587" s="72"/>
      <c r="J1587" s="72"/>
      <c r="K1587" s="36"/>
      <c r="L1587" s="79"/>
      <c r="M1587" s="79"/>
      <c r="N1587" s="74"/>
      <c r="O1587" s="81" t="s">
        <v>1532</v>
      </c>
      <c r="P1587" s="83">
        <v>44466.390717592592</v>
      </c>
      <c r="Q1587" s="81" t="s">
        <v>2139</v>
      </c>
      <c r="R1587" s="81"/>
      <c r="S1587" s="81"/>
      <c r="T1587" s="81"/>
      <c r="U1587" s="81"/>
      <c r="V1587" s="84" t="str">
        <f>HYPERLINK("https://pbs.twimg.com/profile_images/1441288691507367942/-OG-S_DX_normal.jpg")</f>
        <v>https://pbs.twimg.com/profile_images/1441288691507367942/-OG-S_DX_normal.jpg</v>
      </c>
      <c r="W1587" s="83">
        <v>44466.390717592592</v>
      </c>
      <c r="X1587" s="89">
        <v>44466</v>
      </c>
      <c r="Y1587" s="86" t="s">
        <v>3825</v>
      </c>
      <c r="Z1587" s="84" t="str">
        <f>HYPERLINK("https://twitter.com/sofyarega/status/1442419400808665091")</f>
        <v>https://twitter.com/sofyarega/status/1442419400808665091</v>
      </c>
      <c r="AA1587" s="81"/>
      <c r="AB1587" s="81"/>
      <c r="AC1587" s="86" t="s">
        <v>5299</v>
      </c>
      <c r="AD1587" s="81"/>
      <c r="AE1587" s="81" t="b">
        <v>0</v>
      </c>
      <c r="AF1587" s="81">
        <v>0</v>
      </c>
      <c r="AG1587" s="86" t="s">
        <v>6240</v>
      </c>
      <c r="AH1587" s="81" t="b">
        <v>0</v>
      </c>
      <c r="AI1587" s="81" t="s">
        <v>6478</v>
      </c>
      <c r="AJ1587" s="81"/>
      <c r="AK1587" s="86" t="s">
        <v>6240</v>
      </c>
      <c r="AL1587" s="81" t="b">
        <v>0</v>
      </c>
      <c r="AM1587" s="81">
        <v>1</v>
      </c>
      <c r="AN1587" s="86" t="s">
        <v>5298</v>
      </c>
      <c r="AO1587" s="86" t="s">
        <v>6503</v>
      </c>
      <c r="AP1587" s="81" t="b">
        <v>0</v>
      </c>
      <c r="AQ1587" s="86" t="s">
        <v>5298</v>
      </c>
      <c r="AR1587" s="81" t="s">
        <v>179</v>
      </c>
      <c r="AS1587" s="81">
        <v>0</v>
      </c>
      <c r="AT1587" s="81">
        <v>0</v>
      </c>
      <c r="AU1587" s="81"/>
      <c r="AV1587" s="81"/>
      <c r="AW1587" s="81"/>
      <c r="AX1587" s="81"/>
      <c r="AY1587" s="81"/>
      <c r="AZ1587" s="81"/>
      <c r="BA1587" s="81"/>
      <c r="BB1587" s="81"/>
    </row>
    <row r="1588" spans="1:54" x14ac:dyDescent="0.35">
      <c r="A1588" s="66" t="s">
        <v>1116</v>
      </c>
      <c r="B1588" s="66" t="s">
        <v>1116</v>
      </c>
      <c r="C1588" s="67"/>
      <c r="D1588" s="68"/>
      <c r="E1588" s="69"/>
      <c r="F1588" s="70"/>
      <c r="G1588" s="67"/>
      <c r="H1588" s="71"/>
      <c r="I1588" s="72"/>
      <c r="J1588" s="72"/>
      <c r="K1588" s="36"/>
      <c r="L1588" s="79"/>
      <c r="M1588" s="79"/>
      <c r="N1588" s="74"/>
      <c r="O1588" s="81" t="s">
        <v>179</v>
      </c>
      <c r="P1588" s="83">
        <v>44464.157789351855</v>
      </c>
      <c r="Q1588" s="81" t="s">
        <v>2140</v>
      </c>
      <c r="R1588" s="81"/>
      <c r="S1588" s="81"/>
      <c r="T1588" s="81"/>
      <c r="U1588" s="81"/>
      <c r="V1588" s="84" t="str">
        <f>HYPERLINK("https://pbs.twimg.com/profile_images/1433447016797851655/cYElKfNs_normal.jpg")</f>
        <v>https://pbs.twimg.com/profile_images/1433447016797851655/cYElKfNs_normal.jpg</v>
      </c>
      <c r="W1588" s="83">
        <v>44464.157789351855</v>
      </c>
      <c r="X1588" s="89">
        <v>44464</v>
      </c>
      <c r="Y1588" s="86" t="s">
        <v>3826</v>
      </c>
      <c r="Z1588" s="84" t="str">
        <f>HYPERLINK("https://twitter.com/mhafizzz19/status/1441610213459591172")</f>
        <v>https://twitter.com/mhafizzz19/status/1441610213459591172</v>
      </c>
      <c r="AA1588" s="81"/>
      <c r="AB1588" s="81"/>
      <c r="AC1588" s="86" t="s">
        <v>5300</v>
      </c>
      <c r="AD1588" s="81"/>
      <c r="AE1588" s="81" t="b">
        <v>0</v>
      </c>
      <c r="AF1588" s="81">
        <v>0</v>
      </c>
      <c r="AG1588" s="86" t="s">
        <v>6240</v>
      </c>
      <c r="AH1588" s="81" t="b">
        <v>0</v>
      </c>
      <c r="AI1588" s="81" t="s">
        <v>6478</v>
      </c>
      <c r="AJ1588" s="81"/>
      <c r="AK1588" s="86" t="s">
        <v>6240</v>
      </c>
      <c r="AL1588" s="81" t="b">
        <v>0</v>
      </c>
      <c r="AM1588" s="81">
        <v>0</v>
      </c>
      <c r="AN1588" s="86" t="s">
        <v>6240</v>
      </c>
      <c r="AO1588" s="86" t="s">
        <v>6505</v>
      </c>
      <c r="AP1588" s="81" t="b">
        <v>0</v>
      </c>
      <c r="AQ1588" s="86" t="s">
        <v>5300</v>
      </c>
      <c r="AR1588" s="81" t="s">
        <v>179</v>
      </c>
      <c r="AS1588" s="81">
        <v>0</v>
      </c>
      <c r="AT1588" s="81">
        <v>0</v>
      </c>
      <c r="AU1588" s="81"/>
      <c r="AV1588" s="81"/>
      <c r="AW1588" s="81"/>
      <c r="AX1588" s="81"/>
      <c r="AY1588" s="81"/>
      <c r="AZ1588" s="81"/>
      <c r="BA1588" s="81"/>
      <c r="BB1588" s="81"/>
    </row>
    <row r="1589" spans="1:54" x14ac:dyDescent="0.35">
      <c r="A1589" s="66" t="s">
        <v>1116</v>
      </c>
      <c r="B1589" s="66" t="s">
        <v>1116</v>
      </c>
      <c r="C1589" s="67"/>
      <c r="D1589" s="68"/>
      <c r="E1589" s="69"/>
      <c r="F1589" s="70"/>
      <c r="G1589" s="67"/>
      <c r="H1589" s="71"/>
      <c r="I1589" s="72"/>
      <c r="J1589" s="72"/>
      <c r="K1589" s="36"/>
      <c r="L1589" s="79"/>
      <c r="M1589" s="79"/>
      <c r="N1589" s="74"/>
      <c r="O1589" s="81" t="s">
        <v>179</v>
      </c>
      <c r="P1589" s="83">
        <v>44466.392881944441</v>
      </c>
      <c r="Q1589" s="81" t="s">
        <v>2141</v>
      </c>
      <c r="R1589" s="81"/>
      <c r="S1589" s="81"/>
      <c r="T1589" s="81"/>
      <c r="U1589" s="81"/>
      <c r="V1589" s="84" t="str">
        <f>HYPERLINK("https://pbs.twimg.com/profile_images/1433447016797851655/cYElKfNs_normal.jpg")</f>
        <v>https://pbs.twimg.com/profile_images/1433447016797851655/cYElKfNs_normal.jpg</v>
      </c>
      <c r="W1589" s="83">
        <v>44466.392881944441</v>
      </c>
      <c r="X1589" s="89">
        <v>44466</v>
      </c>
      <c r="Y1589" s="86" t="s">
        <v>3827</v>
      </c>
      <c r="Z1589" s="84" t="str">
        <f>HYPERLINK("https://twitter.com/mhafizzz19/status/1442420183474192391")</f>
        <v>https://twitter.com/mhafizzz19/status/1442420183474192391</v>
      </c>
      <c r="AA1589" s="81"/>
      <c r="AB1589" s="81"/>
      <c r="AC1589" s="86" t="s">
        <v>5301</v>
      </c>
      <c r="AD1589" s="81"/>
      <c r="AE1589" s="81" t="b">
        <v>0</v>
      </c>
      <c r="AF1589" s="81">
        <v>0</v>
      </c>
      <c r="AG1589" s="86" t="s">
        <v>6240</v>
      </c>
      <c r="AH1589" s="81" t="b">
        <v>0</v>
      </c>
      <c r="AI1589" s="81" t="s">
        <v>6478</v>
      </c>
      <c r="AJ1589" s="81"/>
      <c r="AK1589" s="86" t="s">
        <v>6240</v>
      </c>
      <c r="AL1589" s="81" t="b">
        <v>0</v>
      </c>
      <c r="AM1589" s="81">
        <v>0</v>
      </c>
      <c r="AN1589" s="86" t="s">
        <v>6240</v>
      </c>
      <c r="AO1589" s="86" t="s">
        <v>6505</v>
      </c>
      <c r="AP1589" s="81" t="b">
        <v>0</v>
      </c>
      <c r="AQ1589" s="86" t="s">
        <v>5301</v>
      </c>
      <c r="AR1589" s="81" t="s">
        <v>179</v>
      </c>
      <c r="AS1589" s="81">
        <v>0</v>
      </c>
      <c r="AT1589" s="81">
        <v>0</v>
      </c>
      <c r="AU1589" s="81"/>
      <c r="AV1589" s="81"/>
      <c r="AW1589" s="81"/>
      <c r="AX1589" s="81"/>
      <c r="AY1589" s="81"/>
      <c r="AZ1589" s="81"/>
      <c r="BA1589" s="81"/>
      <c r="BB1589" s="81"/>
    </row>
    <row r="1590" spans="1:54" x14ac:dyDescent="0.35">
      <c r="A1590" s="66" t="s">
        <v>1117</v>
      </c>
      <c r="B1590" s="66" t="s">
        <v>1117</v>
      </c>
      <c r="C1590" s="67"/>
      <c r="D1590" s="68"/>
      <c r="E1590" s="69"/>
      <c r="F1590" s="70"/>
      <c r="G1590" s="67"/>
      <c r="H1590" s="71"/>
      <c r="I1590" s="72"/>
      <c r="J1590" s="72"/>
      <c r="K1590" s="36"/>
      <c r="L1590" s="79"/>
      <c r="M1590" s="79"/>
      <c r="N1590" s="74"/>
      <c r="O1590" s="81" t="s">
        <v>179</v>
      </c>
      <c r="P1590" s="83">
        <v>44466.197685185187</v>
      </c>
      <c r="Q1590" s="81" t="s">
        <v>2072</v>
      </c>
      <c r="R1590" s="81"/>
      <c r="S1590" s="81"/>
      <c r="T1590" s="86" t="s">
        <v>2706</v>
      </c>
      <c r="U1590" s="84" t="str">
        <f>HYPERLINK("https://pbs.twimg.com/media/FARBJdVVQAUnsqY.jpg")</f>
        <v>https://pbs.twimg.com/media/FARBJdVVQAUnsqY.jpg</v>
      </c>
      <c r="V1590" s="84" t="str">
        <f>HYPERLINK("https://pbs.twimg.com/media/FARBJdVVQAUnsqY.jpg")</f>
        <v>https://pbs.twimg.com/media/FARBJdVVQAUnsqY.jpg</v>
      </c>
      <c r="W1590" s="83">
        <v>44466.197685185187</v>
      </c>
      <c r="X1590" s="89">
        <v>44466</v>
      </c>
      <c r="Y1590" s="86" t="s">
        <v>3828</v>
      </c>
      <c r="Z1590" s="84" t="str">
        <f>HYPERLINK("https://twitter.com/bkdjatim/status/1442349445996109825")</f>
        <v>https://twitter.com/bkdjatim/status/1442349445996109825</v>
      </c>
      <c r="AA1590" s="81"/>
      <c r="AB1590" s="81"/>
      <c r="AC1590" s="86" t="s">
        <v>5302</v>
      </c>
      <c r="AD1590" s="81"/>
      <c r="AE1590" s="81" t="b">
        <v>0</v>
      </c>
      <c r="AF1590" s="81">
        <v>12</v>
      </c>
      <c r="AG1590" s="86" t="s">
        <v>6240</v>
      </c>
      <c r="AH1590" s="81" t="b">
        <v>0</v>
      </c>
      <c r="AI1590" s="81" t="s">
        <v>6478</v>
      </c>
      <c r="AJ1590" s="81"/>
      <c r="AK1590" s="86" t="s">
        <v>6240</v>
      </c>
      <c r="AL1590" s="81" t="b">
        <v>0</v>
      </c>
      <c r="AM1590" s="81">
        <v>4</v>
      </c>
      <c r="AN1590" s="86" t="s">
        <v>6240</v>
      </c>
      <c r="AO1590" s="86" t="s">
        <v>6507</v>
      </c>
      <c r="AP1590" s="81" t="b">
        <v>0</v>
      </c>
      <c r="AQ1590" s="86" t="s">
        <v>5302</v>
      </c>
      <c r="AR1590" s="81" t="s">
        <v>179</v>
      </c>
      <c r="AS1590" s="81">
        <v>0</v>
      </c>
      <c r="AT1590" s="81">
        <v>0</v>
      </c>
      <c r="AU1590" s="81"/>
      <c r="AV1590" s="81"/>
      <c r="AW1590" s="81"/>
      <c r="AX1590" s="81"/>
      <c r="AY1590" s="81"/>
      <c r="AZ1590" s="81"/>
      <c r="BA1590" s="81"/>
      <c r="BB1590" s="81"/>
    </row>
    <row r="1591" spans="1:54" x14ac:dyDescent="0.35">
      <c r="A1591" s="66" t="s">
        <v>1118</v>
      </c>
      <c r="B1591" s="66" t="s">
        <v>1117</v>
      </c>
      <c r="C1591" s="67"/>
      <c r="D1591" s="68"/>
      <c r="E1591" s="69"/>
      <c r="F1591" s="70"/>
      <c r="G1591" s="67"/>
      <c r="H1591" s="71"/>
      <c r="I1591" s="72"/>
      <c r="J1591" s="72"/>
      <c r="K1591" s="36"/>
      <c r="L1591" s="79"/>
      <c r="M1591" s="79"/>
      <c r="N1591" s="74"/>
      <c r="O1591" s="81" t="s">
        <v>1532</v>
      </c>
      <c r="P1591" s="83">
        <v>44466.395787037036</v>
      </c>
      <c r="Q1591" s="81" t="s">
        <v>2072</v>
      </c>
      <c r="R1591" s="81"/>
      <c r="S1591" s="81"/>
      <c r="T1591" s="86" t="s">
        <v>2706</v>
      </c>
      <c r="U1591" s="84" t="str">
        <f>HYPERLINK("https://pbs.twimg.com/media/FARBJdVVQAUnsqY.jpg")</f>
        <v>https://pbs.twimg.com/media/FARBJdVVQAUnsqY.jpg</v>
      </c>
      <c r="V1591" s="84" t="str">
        <f>HYPERLINK("https://pbs.twimg.com/media/FARBJdVVQAUnsqY.jpg")</f>
        <v>https://pbs.twimg.com/media/FARBJdVVQAUnsqY.jpg</v>
      </c>
      <c r="W1591" s="83">
        <v>44466.395787037036</v>
      </c>
      <c r="X1591" s="89">
        <v>44466</v>
      </c>
      <c r="Y1591" s="86" t="s">
        <v>3829</v>
      </c>
      <c r="Z1591" s="84" t="str">
        <f>HYPERLINK("https://twitter.com/anfariz92/status/1442421238580711432")</f>
        <v>https://twitter.com/anfariz92/status/1442421238580711432</v>
      </c>
      <c r="AA1591" s="81"/>
      <c r="AB1591" s="81"/>
      <c r="AC1591" s="86" t="s">
        <v>5303</v>
      </c>
      <c r="AD1591" s="81"/>
      <c r="AE1591" s="81" t="b">
        <v>0</v>
      </c>
      <c r="AF1591" s="81">
        <v>0</v>
      </c>
      <c r="AG1591" s="86" t="s">
        <v>6240</v>
      </c>
      <c r="AH1591" s="81" t="b">
        <v>0</v>
      </c>
      <c r="AI1591" s="81" t="s">
        <v>6478</v>
      </c>
      <c r="AJ1591" s="81"/>
      <c r="AK1591" s="86" t="s">
        <v>6240</v>
      </c>
      <c r="AL1591" s="81" t="b">
        <v>0</v>
      </c>
      <c r="AM1591" s="81">
        <v>4</v>
      </c>
      <c r="AN1591" s="86" t="s">
        <v>5302</v>
      </c>
      <c r="AO1591" s="86" t="s">
        <v>6507</v>
      </c>
      <c r="AP1591" s="81" t="b">
        <v>0</v>
      </c>
      <c r="AQ1591" s="86" t="s">
        <v>5302</v>
      </c>
      <c r="AR1591" s="81" t="s">
        <v>179</v>
      </c>
      <c r="AS1591" s="81">
        <v>0</v>
      </c>
      <c r="AT1591" s="81">
        <v>0</v>
      </c>
      <c r="AU1591" s="81"/>
      <c r="AV1591" s="81"/>
      <c r="AW1591" s="81"/>
      <c r="AX1591" s="81"/>
      <c r="AY1591" s="81"/>
      <c r="AZ1591" s="81"/>
      <c r="BA1591" s="81"/>
      <c r="BB1591" s="81"/>
    </row>
    <row r="1592" spans="1:54" x14ac:dyDescent="0.35">
      <c r="A1592" s="66" t="s">
        <v>1119</v>
      </c>
      <c r="B1592" s="66" t="s">
        <v>1119</v>
      </c>
      <c r="C1592" s="67"/>
      <c r="D1592" s="68"/>
      <c r="E1592" s="69"/>
      <c r="F1592" s="70"/>
      <c r="G1592" s="67"/>
      <c r="H1592" s="71"/>
      <c r="I1592" s="72"/>
      <c r="J1592" s="72"/>
      <c r="K1592" s="36"/>
      <c r="L1592" s="79"/>
      <c r="M1592" s="79"/>
      <c r="N1592" s="74"/>
      <c r="O1592" s="81" t="s">
        <v>179</v>
      </c>
      <c r="P1592" s="83">
        <v>44466.40048611111</v>
      </c>
      <c r="Q1592" s="81" t="s">
        <v>2142</v>
      </c>
      <c r="R1592" s="84" t="str">
        <f>HYPERLINK("https://jdih.bumn.go.id/berita/politeknik-pos-indonesia-dan-kemenlu-ri-mou-pusat-studi-asean")</f>
        <v>https://jdih.bumn.go.id/berita/politeknik-pos-indonesia-dan-kemenlu-ri-mou-pusat-studi-asean</v>
      </c>
      <c r="S1592" s="81" t="s">
        <v>2603</v>
      </c>
      <c r="T1592" s="86" t="s">
        <v>2723</v>
      </c>
      <c r="U1592" s="84" t="str">
        <f>HYPERLINK("https://pbs.twimg.com/media/FASD_BkVUAIc_tB.jpg")</f>
        <v>https://pbs.twimg.com/media/FASD_BkVUAIc_tB.jpg</v>
      </c>
      <c r="V1592" s="84" t="str">
        <f>HYPERLINK("https://pbs.twimg.com/media/FASD_BkVUAIc_tB.jpg")</f>
        <v>https://pbs.twimg.com/media/FASD_BkVUAIc_tB.jpg</v>
      </c>
      <c r="W1592" s="83">
        <v>44466.40048611111</v>
      </c>
      <c r="X1592" s="89">
        <v>44466</v>
      </c>
      <c r="Y1592" s="86" t="s">
        <v>3830</v>
      </c>
      <c r="Z1592" s="84" t="str">
        <f>HYPERLINK("https://twitter.com/bumnjdih/status/1442422939559686144")</f>
        <v>https://twitter.com/bumnjdih/status/1442422939559686144</v>
      </c>
      <c r="AA1592" s="81"/>
      <c r="AB1592" s="81"/>
      <c r="AC1592" s="86" t="s">
        <v>5304</v>
      </c>
      <c r="AD1592" s="81"/>
      <c r="AE1592" s="81" t="b">
        <v>0</v>
      </c>
      <c r="AF1592" s="81">
        <v>0</v>
      </c>
      <c r="AG1592" s="86" t="s">
        <v>6240</v>
      </c>
      <c r="AH1592" s="81" t="b">
        <v>0</v>
      </c>
      <c r="AI1592" s="81" t="s">
        <v>6478</v>
      </c>
      <c r="AJ1592" s="81"/>
      <c r="AK1592" s="86" t="s">
        <v>6240</v>
      </c>
      <c r="AL1592" s="81" t="b">
        <v>0</v>
      </c>
      <c r="AM1592" s="81">
        <v>0</v>
      </c>
      <c r="AN1592" s="86" t="s">
        <v>6240</v>
      </c>
      <c r="AO1592" s="86" t="s">
        <v>6503</v>
      </c>
      <c r="AP1592" s="81" t="b">
        <v>0</v>
      </c>
      <c r="AQ1592" s="86" t="s">
        <v>5304</v>
      </c>
      <c r="AR1592" s="81" t="s">
        <v>179</v>
      </c>
      <c r="AS1592" s="81">
        <v>0</v>
      </c>
      <c r="AT1592" s="81">
        <v>0</v>
      </c>
      <c r="AU1592" s="81"/>
      <c r="AV1592" s="81"/>
      <c r="AW1592" s="81"/>
      <c r="AX1592" s="81"/>
      <c r="AY1592" s="81"/>
      <c r="AZ1592" s="81"/>
      <c r="BA1592" s="81"/>
      <c r="BB1592" s="81"/>
    </row>
    <row r="1593" spans="1:54" x14ac:dyDescent="0.35">
      <c r="A1593" s="66" t="s">
        <v>1120</v>
      </c>
      <c r="B1593" s="66" t="s">
        <v>1120</v>
      </c>
      <c r="C1593" s="67"/>
      <c r="D1593" s="68"/>
      <c r="E1593" s="69"/>
      <c r="F1593" s="70"/>
      <c r="G1593" s="67"/>
      <c r="H1593" s="71"/>
      <c r="I1593" s="72"/>
      <c r="J1593" s="72"/>
      <c r="K1593" s="36"/>
      <c r="L1593" s="79"/>
      <c r="M1593" s="79"/>
      <c r="N1593" s="74"/>
      <c r="O1593" s="81" t="s">
        <v>179</v>
      </c>
      <c r="P1593" s="83">
        <v>44466.401909722219</v>
      </c>
      <c r="Q1593" s="81" t="s">
        <v>2143</v>
      </c>
      <c r="R1593" s="81"/>
      <c r="S1593" s="81"/>
      <c r="T1593" s="81"/>
      <c r="U1593" s="81"/>
      <c r="V1593" s="84" t="str">
        <f>HYPERLINK("https://pbs.twimg.com/profile_images/1366717356429348865/Xf7LKXij_normal.jpg")</f>
        <v>https://pbs.twimg.com/profile_images/1366717356429348865/Xf7LKXij_normal.jpg</v>
      </c>
      <c r="W1593" s="83">
        <v>44466.401909722219</v>
      </c>
      <c r="X1593" s="89">
        <v>44466</v>
      </c>
      <c r="Y1593" s="86" t="s">
        <v>3831</v>
      </c>
      <c r="Z1593" s="84" t="str">
        <f>HYPERLINK("https://twitter.com/denpasarkota/status/1442423454616064011")</f>
        <v>https://twitter.com/denpasarkota/status/1442423454616064011</v>
      </c>
      <c r="AA1593" s="81"/>
      <c r="AB1593" s="81"/>
      <c r="AC1593" s="86" t="s">
        <v>5305</v>
      </c>
      <c r="AD1593" s="81"/>
      <c r="AE1593" s="81" t="b">
        <v>0</v>
      </c>
      <c r="AF1593" s="81">
        <v>0</v>
      </c>
      <c r="AG1593" s="86" t="s">
        <v>6240</v>
      </c>
      <c r="AH1593" s="81" t="b">
        <v>0</v>
      </c>
      <c r="AI1593" s="81" t="s">
        <v>6478</v>
      </c>
      <c r="AJ1593" s="81"/>
      <c r="AK1593" s="86" t="s">
        <v>6240</v>
      </c>
      <c r="AL1593" s="81" t="b">
        <v>0</v>
      </c>
      <c r="AM1593" s="81">
        <v>0</v>
      </c>
      <c r="AN1593" s="86" t="s">
        <v>6240</v>
      </c>
      <c r="AO1593" s="86" t="s">
        <v>6507</v>
      </c>
      <c r="AP1593" s="81" t="b">
        <v>0</v>
      </c>
      <c r="AQ1593" s="86" t="s">
        <v>5305</v>
      </c>
      <c r="AR1593" s="81" t="s">
        <v>179</v>
      </c>
      <c r="AS1593" s="81">
        <v>0</v>
      </c>
      <c r="AT1593" s="81">
        <v>0</v>
      </c>
      <c r="AU1593" s="81"/>
      <c r="AV1593" s="81"/>
      <c r="AW1593" s="81"/>
      <c r="AX1593" s="81"/>
      <c r="AY1593" s="81"/>
      <c r="AZ1593" s="81"/>
      <c r="BA1593" s="81"/>
      <c r="BB1593" s="81"/>
    </row>
    <row r="1594" spans="1:54" x14ac:dyDescent="0.35">
      <c r="A1594" s="66" t="s">
        <v>1121</v>
      </c>
      <c r="B1594" s="66" t="s">
        <v>1121</v>
      </c>
      <c r="C1594" s="67"/>
      <c r="D1594" s="68"/>
      <c r="E1594" s="69"/>
      <c r="F1594" s="70"/>
      <c r="G1594" s="67"/>
      <c r="H1594" s="71"/>
      <c r="I1594" s="72"/>
      <c r="J1594" s="72"/>
      <c r="K1594" s="36"/>
      <c r="L1594" s="79"/>
      <c r="M1594" s="79"/>
      <c r="N1594" s="74"/>
      <c r="O1594" s="81" t="s">
        <v>179</v>
      </c>
      <c r="P1594" s="83">
        <v>44466.409004629626</v>
      </c>
      <c r="Q1594" s="81" t="s">
        <v>2144</v>
      </c>
      <c r="R1594" s="81"/>
      <c r="S1594" s="81"/>
      <c r="T1594" s="81"/>
      <c r="U1594" s="84" t="str">
        <f>HYPERLINK("https://pbs.twimg.com/ext_tw_video_thumb/1442426010595512320/pu/img/Rv9RKEPUnCZ0AitR.jpg")</f>
        <v>https://pbs.twimg.com/ext_tw_video_thumb/1442426010595512320/pu/img/Rv9RKEPUnCZ0AitR.jpg</v>
      </c>
      <c r="V1594" s="84" t="str">
        <f>HYPERLINK("https://pbs.twimg.com/ext_tw_video_thumb/1442426010595512320/pu/img/Rv9RKEPUnCZ0AitR.jpg")</f>
        <v>https://pbs.twimg.com/ext_tw_video_thumb/1442426010595512320/pu/img/Rv9RKEPUnCZ0AitR.jpg</v>
      </c>
      <c r="W1594" s="83">
        <v>44466.409004629626</v>
      </c>
      <c r="X1594" s="89">
        <v>44466</v>
      </c>
      <c r="Y1594" s="86" t="s">
        <v>3832</v>
      </c>
      <c r="Z1594" s="84" t="str">
        <f>HYPERLINK("https://twitter.com/citraemillia/status/1442426025195888643")</f>
        <v>https://twitter.com/citraemillia/status/1442426025195888643</v>
      </c>
      <c r="AA1594" s="81"/>
      <c r="AB1594" s="81"/>
      <c r="AC1594" s="86" t="s">
        <v>5306</v>
      </c>
      <c r="AD1594" s="81"/>
      <c r="AE1594" s="81" t="b">
        <v>0</v>
      </c>
      <c r="AF1594" s="81">
        <v>0</v>
      </c>
      <c r="AG1594" s="86" t="s">
        <v>6240</v>
      </c>
      <c r="AH1594" s="81" t="b">
        <v>0</v>
      </c>
      <c r="AI1594" s="81" t="s">
        <v>6478</v>
      </c>
      <c r="AJ1594" s="81"/>
      <c r="AK1594" s="86" t="s">
        <v>6240</v>
      </c>
      <c r="AL1594" s="81" t="b">
        <v>0</v>
      </c>
      <c r="AM1594" s="81">
        <v>0</v>
      </c>
      <c r="AN1594" s="86" t="s">
        <v>6240</v>
      </c>
      <c r="AO1594" s="86" t="s">
        <v>6507</v>
      </c>
      <c r="AP1594" s="81" t="b">
        <v>0</v>
      </c>
      <c r="AQ1594" s="86" t="s">
        <v>5306</v>
      </c>
      <c r="AR1594" s="81" t="s">
        <v>179</v>
      </c>
      <c r="AS1594" s="81">
        <v>0</v>
      </c>
      <c r="AT1594" s="81">
        <v>0</v>
      </c>
      <c r="AU1594" s="81"/>
      <c r="AV1594" s="81"/>
      <c r="AW1594" s="81"/>
      <c r="AX1594" s="81"/>
      <c r="AY1594" s="81"/>
      <c r="AZ1594" s="81"/>
      <c r="BA1594" s="81"/>
      <c r="BB1594" s="81"/>
    </row>
    <row r="1595" spans="1:54" x14ac:dyDescent="0.35">
      <c r="A1595" s="66" t="s">
        <v>1122</v>
      </c>
      <c r="B1595" s="66" t="s">
        <v>1122</v>
      </c>
      <c r="C1595" s="67"/>
      <c r="D1595" s="68"/>
      <c r="E1595" s="69"/>
      <c r="F1595" s="70"/>
      <c r="G1595" s="67"/>
      <c r="H1595" s="71"/>
      <c r="I1595" s="72"/>
      <c r="J1595" s="72"/>
      <c r="K1595" s="36"/>
      <c r="L1595" s="79"/>
      <c r="M1595" s="79"/>
      <c r="N1595" s="74"/>
      <c r="O1595" s="81" t="s">
        <v>179</v>
      </c>
      <c r="P1595" s="83">
        <v>44466.413564814815</v>
      </c>
      <c r="Q1595" s="81" t="s">
        <v>2145</v>
      </c>
      <c r="R1595" s="81"/>
      <c r="S1595" s="81"/>
      <c r="T1595" s="81"/>
      <c r="U1595" s="81"/>
      <c r="V1595" s="84" t="str">
        <f>HYPERLINK("https://pbs.twimg.com/profile_images/1298191915012124679/iErAUmN1_normal.jpg")</f>
        <v>https://pbs.twimg.com/profile_images/1298191915012124679/iErAUmN1_normal.jpg</v>
      </c>
      <c r="W1595" s="83">
        <v>44466.413564814815</v>
      </c>
      <c r="X1595" s="89">
        <v>44466</v>
      </c>
      <c r="Y1595" s="86" t="s">
        <v>3833</v>
      </c>
      <c r="Z1595" s="84" t="str">
        <f>HYPERLINK("https://twitter.com/diskominfopwk/status/1442427680192819202")</f>
        <v>https://twitter.com/diskominfopwk/status/1442427680192819202</v>
      </c>
      <c r="AA1595" s="81"/>
      <c r="AB1595" s="81"/>
      <c r="AC1595" s="86" t="s">
        <v>5307</v>
      </c>
      <c r="AD1595" s="81"/>
      <c r="AE1595" s="81" t="b">
        <v>0</v>
      </c>
      <c r="AF1595" s="81">
        <v>1</v>
      </c>
      <c r="AG1595" s="86" t="s">
        <v>6240</v>
      </c>
      <c r="AH1595" s="81" t="b">
        <v>0</v>
      </c>
      <c r="AI1595" s="81" t="s">
        <v>6478</v>
      </c>
      <c r="AJ1595" s="81"/>
      <c r="AK1595" s="86" t="s">
        <v>6240</v>
      </c>
      <c r="AL1595" s="81" t="b">
        <v>0</v>
      </c>
      <c r="AM1595" s="81">
        <v>0</v>
      </c>
      <c r="AN1595" s="86" t="s">
        <v>6240</v>
      </c>
      <c r="AO1595" s="86" t="s">
        <v>6503</v>
      </c>
      <c r="AP1595" s="81" t="b">
        <v>0</v>
      </c>
      <c r="AQ1595" s="86" t="s">
        <v>5307</v>
      </c>
      <c r="AR1595" s="81" t="s">
        <v>179</v>
      </c>
      <c r="AS1595" s="81">
        <v>0</v>
      </c>
      <c r="AT1595" s="81">
        <v>0</v>
      </c>
      <c r="AU1595" s="81"/>
      <c r="AV1595" s="81"/>
      <c r="AW1595" s="81"/>
      <c r="AX1595" s="81"/>
      <c r="AY1595" s="81"/>
      <c r="AZ1595" s="81"/>
      <c r="BA1595" s="81"/>
      <c r="BB1595" s="81"/>
    </row>
    <row r="1596" spans="1:54" x14ac:dyDescent="0.35">
      <c r="A1596" s="66" t="s">
        <v>1122</v>
      </c>
      <c r="B1596" s="66" t="s">
        <v>1122</v>
      </c>
      <c r="C1596" s="67"/>
      <c r="D1596" s="68"/>
      <c r="E1596" s="69"/>
      <c r="F1596" s="70"/>
      <c r="G1596" s="67"/>
      <c r="H1596" s="71"/>
      <c r="I1596" s="72"/>
      <c r="J1596" s="72"/>
      <c r="K1596" s="36"/>
      <c r="L1596" s="79"/>
      <c r="M1596" s="79"/>
      <c r="N1596" s="74"/>
      <c r="O1596" s="81" t="s">
        <v>179</v>
      </c>
      <c r="P1596" s="83">
        <v>44466.413599537038</v>
      </c>
      <c r="Q1596" s="81" t="s">
        <v>2146</v>
      </c>
      <c r="R1596" s="81"/>
      <c r="S1596" s="81"/>
      <c r="T1596" s="86" t="s">
        <v>2724</v>
      </c>
      <c r="U1596" s="84" t="str">
        <f>HYPERLINK("https://pbs.twimg.com/media/FASIV3NVkAQ3wfP.jpg")</f>
        <v>https://pbs.twimg.com/media/FASIV3NVkAQ3wfP.jpg</v>
      </c>
      <c r="V1596" s="84" t="str">
        <f>HYPERLINK("https://pbs.twimg.com/media/FASIV3NVkAQ3wfP.jpg")</f>
        <v>https://pbs.twimg.com/media/FASIV3NVkAQ3wfP.jpg</v>
      </c>
      <c r="W1596" s="83">
        <v>44466.413599537038</v>
      </c>
      <c r="X1596" s="89">
        <v>44466</v>
      </c>
      <c r="Y1596" s="86" t="s">
        <v>3834</v>
      </c>
      <c r="Z1596" s="84" t="str">
        <f>HYPERLINK("https://twitter.com/diskominfopwk/status/1442427692410834945")</f>
        <v>https://twitter.com/diskominfopwk/status/1442427692410834945</v>
      </c>
      <c r="AA1596" s="81"/>
      <c r="AB1596" s="81"/>
      <c r="AC1596" s="86" t="s">
        <v>5308</v>
      </c>
      <c r="AD1596" s="86" t="s">
        <v>6191</v>
      </c>
      <c r="AE1596" s="81" t="b">
        <v>0</v>
      </c>
      <c r="AF1596" s="81">
        <v>1</v>
      </c>
      <c r="AG1596" s="86" t="s">
        <v>6441</v>
      </c>
      <c r="AH1596" s="81" t="b">
        <v>0</v>
      </c>
      <c r="AI1596" s="81" t="s">
        <v>6478</v>
      </c>
      <c r="AJ1596" s="81"/>
      <c r="AK1596" s="86" t="s">
        <v>6240</v>
      </c>
      <c r="AL1596" s="81" t="b">
        <v>0</v>
      </c>
      <c r="AM1596" s="81">
        <v>0</v>
      </c>
      <c r="AN1596" s="86" t="s">
        <v>6240</v>
      </c>
      <c r="AO1596" s="86" t="s">
        <v>6503</v>
      </c>
      <c r="AP1596" s="81" t="b">
        <v>0</v>
      </c>
      <c r="AQ1596" s="86" t="s">
        <v>6191</v>
      </c>
      <c r="AR1596" s="81" t="s">
        <v>179</v>
      </c>
      <c r="AS1596" s="81">
        <v>0</v>
      </c>
      <c r="AT1596" s="81">
        <v>0</v>
      </c>
      <c r="AU1596" s="81"/>
      <c r="AV1596" s="81"/>
      <c r="AW1596" s="81"/>
      <c r="AX1596" s="81"/>
      <c r="AY1596" s="81"/>
      <c r="AZ1596" s="81"/>
      <c r="BA1596" s="81"/>
      <c r="BB1596" s="81"/>
    </row>
    <row r="1597" spans="1:54" x14ac:dyDescent="0.35">
      <c r="A1597" s="66" t="s">
        <v>1123</v>
      </c>
      <c r="B1597" s="66" t="s">
        <v>1123</v>
      </c>
      <c r="C1597" s="67"/>
      <c r="D1597" s="68"/>
      <c r="E1597" s="69"/>
      <c r="F1597" s="70"/>
      <c r="G1597" s="67"/>
      <c r="H1597" s="71"/>
      <c r="I1597" s="72"/>
      <c r="J1597" s="72"/>
      <c r="K1597" s="36"/>
      <c r="L1597" s="79"/>
      <c r="M1597" s="79"/>
      <c r="N1597" s="74"/>
      <c r="O1597" s="81" t="s">
        <v>179</v>
      </c>
      <c r="P1597" s="83">
        <v>44466.414201388892</v>
      </c>
      <c r="Q1597" s="81" t="s">
        <v>2147</v>
      </c>
      <c r="R1597" s="84" t="str">
        <f>HYPERLINK("https://cutt.ly/dEWobGQ")</f>
        <v>https://cutt.ly/dEWobGQ</v>
      </c>
      <c r="S1597" s="81" t="s">
        <v>2646</v>
      </c>
      <c r="T1597" s="86" t="s">
        <v>1123</v>
      </c>
      <c r="U1597" s="84" t="str">
        <f>HYPERLINK("https://pbs.twimg.com/media/FASFmNpVEAo6GPt.jpg")</f>
        <v>https://pbs.twimg.com/media/FASFmNpVEAo6GPt.jpg</v>
      </c>
      <c r="V1597" s="84" t="str">
        <f>HYPERLINK("https://pbs.twimg.com/media/FASFmNpVEAo6GPt.jpg")</f>
        <v>https://pbs.twimg.com/media/FASFmNpVEAo6GPt.jpg</v>
      </c>
      <c r="W1597" s="83">
        <v>44466.414201388892</v>
      </c>
      <c r="X1597" s="89">
        <v>44466</v>
      </c>
      <c r="Y1597" s="86" t="s">
        <v>3835</v>
      </c>
      <c r="Z1597" s="84" t="str">
        <f>HYPERLINK("https://twitter.com/infobdg/status/1442427909155684357")</f>
        <v>https://twitter.com/infobdg/status/1442427909155684357</v>
      </c>
      <c r="AA1597" s="81"/>
      <c r="AB1597" s="81"/>
      <c r="AC1597" s="86" t="s">
        <v>5309</v>
      </c>
      <c r="AD1597" s="81"/>
      <c r="AE1597" s="81" t="b">
        <v>0</v>
      </c>
      <c r="AF1597" s="81">
        <v>6</v>
      </c>
      <c r="AG1597" s="86" t="s">
        <v>6240</v>
      </c>
      <c r="AH1597" s="81" t="b">
        <v>0</v>
      </c>
      <c r="AI1597" s="81" t="s">
        <v>6478</v>
      </c>
      <c r="AJ1597" s="81"/>
      <c r="AK1597" s="86" t="s">
        <v>6240</v>
      </c>
      <c r="AL1597" s="81" t="b">
        <v>0</v>
      </c>
      <c r="AM1597" s="81">
        <v>0</v>
      </c>
      <c r="AN1597" s="86" t="s">
        <v>6240</v>
      </c>
      <c r="AO1597" s="86" t="s">
        <v>6512</v>
      </c>
      <c r="AP1597" s="81" t="b">
        <v>0</v>
      </c>
      <c r="AQ1597" s="86" t="s">
        <v>5309</v>
      </c>
      <c r="AR1597" s="81" t="s">
        <v>179</v>
      </c>
      <c r="AS1597" s="81">
        <v>0</v>
      </c>
      <c r="AT1597" s="81">
        <v>0</v>
      </c>
      <c r="AU1597" s="81"/>
      <c r="AV1597" s="81"/>
      <c r="AW1597" s="81"/>
      <c r="AX1597" s="81"/>
      <c r="AY1597" s="81"/>
      <c r="AZ1597" s="81"/>
      <c r="BA1597" s="81"/>
      <c r="BB1597" s="81"/>
    </row>
    <row r="1598" spans="1:54" x14ac:dyDescent="0.35">
      <c r="A1598" s="66" t="s">
        <v>1124</v>
      </c>
      <c r="B1598" s="66" t="s">
        <v>1191</v>
      </c>
      <c r="C1598" s="67"/>
      <c r="D1598" s="68"/>
      <c r="E1598" s="69"/>
      <c r="F1598" s="70"/>
      <c r="G1598" s="67"/>
      <c r="H1598" s="71"/>
      <c r="I1598" s="72"/>
      <c r="J1598" s="72"/>
      <c r="K1598" s="36"/>
      <c r="L1598" s="79"/>
      <c r="M1598" s="79"/>
      <c r="N1598" s="74"/>
      <c r="O1598" s="81" t="s">
        <v>1532</v>
      </c>
      <c r="P1598" s="83">
        <v>44466.421574074076</v>
      </c>
      <c r="Q1598" s="81" t="s">
        <v>2019</v>
      </c>
      <c r="R1598" s="81"/>
      <c r="S1598" s="81"/>
      <c r="T1598" s="81"/>
      <c r="U1598" s="84" t="str">
        <f>HYPERLINK("https://pbs.twimg.com/media/FAQNEUJVQAotLIN.jpg")</f>
        <v>https://pbs.twimg.com/media/FAQNEUJVQAotLIN.jpg</v>
      </c>
      <c r="V1598" s="84" t="str">
        <f>HYPERLINK("https://pbs.twimg.com/media/FAQNEUJVQAotLIN.jpg")</f>
        <v>https://pbs.twimg.com/media/FAQNEUJVQAotLIN.jpg</v>
      </c>
      <c r="W1598" s="83">
        <v>44466.421574074076</v>
      </c>
      <c r="X1598" s="89">
        <v>44466</v>
      </c>
      <c r="Y1598" s="86" t="s">
        <v>3836</v>
      </c>
      <c r="Z1598" s="84" t="str">
        <f>HYPERLINK("https://twitter.com/vincentera1/status/1442430582063976448")</f>
        <v>https://twitter.com/vincentera1/status/1442430582063976448</v>
      </c>
      <c r="AA1598" s="81"/>
      <c r="AB1598" s="81"/>
      <c r="AC1598" s="86" t="s">
        <v>5310</v>
      </c>
      <c r="AD1598" s="81"/>
      <c r="AE1598" s="81" t="b">
        <v>0</v>
      </c>
      <c r="AF1598" s="81">
        <v>0</v>
      </c>
      <c r="AG1598" s="86" t="s">
        <v>6240</v>
      </c>
      <c r="AH1598" s="81" t="b">
        <v>0</v>
      </c>
      <c r="AI1598" s="81" t="s">
        <v>6478</v>
      </c>
      <c r="AJ1598" s="81"/>
      <c r="AK1598" s="86" t="s">
        <v>6240</v>
      </c>
      <c r="AL1598" s="81" t="b">
        <v>0</v>
      </c>
      <c r="AM1598" s="81">
        <v>8</v>
      </c>
      <c r="AN1598" s="86" t="s">
        <v>5384</v>
      </c>
      <c r="AO1598" s="86" t="s">
        <v>6503</v>
      </c>
      <c r="AP1598" s="81" t="b">
        <v>0</v>
      </c>
      <c r="AQ1598" s="86" t="s">
        <v>5384</v>
      </c>
      <c r="AR1598" s="81" t="s">
        <v>179</v>
      </c>
      <c r="AS1598" s="81">
        <v>0</v>
      </c>
      <c r="AT1598" s="81">
        <v>0</v>
      </c>
      <c r="AU1598" s="81"/>
      <c r="AV1598" s="81"/>
      <c r="AW1598" s="81"/>
      <c r="AX1598" s="81"/>
      <c r="AY1598" s="81"/>
      <c r="AZ1598" s="81"/>
      <c r="BA1598" s="81"/>
      <c r="BB1598" s="81"/>
    </row>
    <row r="1599" spans="1:54" x14ac:dyDescent="0.35">
      <c r="A1599" s="66" t="s">
        <v>1125</v>
      </c>
      <c r="B1599" s="66" t="s">
        <v>1146</v>
      </c>
      <c r="C1599" s="67"/>
      <c r="D1599" s="68"/>
      <c r="E1599" s="69"/>
      <c r="F1599" s="70"/>
      <c r="G1599" s="67"/>
      <c r="H1599" s="71"/>
      <c r="I1599" s="72"/>
      <c r="J1599" s="72"/>
      <c r="K1599" s="36"/>
      <c r="L1599" s="79"/>
      <c r="M1599" s="79"/>
      <c r="N1599" s="74"/>
      <c r="O1599" s="81" t="s">
        <v>1532</v>
      </c>
      <c r="P1599" s="83">
        <v>44466.425081018519</v>
      </c>
      <c r="Q1599" s="81" t="s">
        <v>2091</v>
      </c>
      <c r="R1599" s="81"/>
      <c r="S1599" s="81"/>
      <c r="T1599" s="81"/>
      <c r="U1599" s="84" t="str">
        <f>HYPERLINK("https://pbs.twimg.com/ext_tw_video_thumb/1442373678990196737/pu/img/UDVgFvOXidN40Fez.jpg")</f>
        <v>https://pbs.twimg.com/ext_tw_video_thumb/1442373678990196737/pu/img/UDVgFvOXidN40Fez.jpg</v>
      </c>
      <c r="V1599" s="84" t="str">
        <f>HYPERLINK("https://pbs.twimg.com/ext_tw_video_thumb/1442373678990196737/pu/img/UDVgFvOXidN40Fez.jpg")</f>
        <v>https://pbs.twimg.com/ext_tw_video_thumb/1442373678990196737/pu/img/UDVgFvOXidN40Fez.jpg</v>
      </c>
      <c r="W1599" s="83">
        <v>44466.425081018519</v>
      </c>
      <c r="X1599" s="89">
        <v>44466</v>
      </c>
      <c r="Y1599" s="86" t="s">
        <v>3837</v>
      </c>
      <c r="Z1599" s="84" t="str">
        <f>HYPERLINK("https://twitter.com/evikaathalia/status/1442431853571366918")</f>
        <v>https://twitter.com/evikaathalia/status/1442431853571366918</v>
      </c>
      <c r="AA1599" s="81"/>
      <c r="AB1599" s="81"/>
      <c r="AC1599" s="86" t="s">
        <v>5311</v>
      </c>
      <c r="AD1599" s="81"/>
      <c r="AE1599" s="81" t="b">
        <v>0</v>
      </c>
      <c r="AF1599" s="81">
        <v>0</v>
      </c>
      <c r="AG1599" s="86" t="s">
        <v>6240</v>
      </c>
      <c r="AH1599" s="81" t="b">
        <v>0</v>
      </c>
      <c r="AI1599" s="81" t="s">
        <v>6478</v>
      </c>
      <c r="AJ1599" s="81"/>
      <c r="AK1599" s="86" t="s">
        <v>6240</v>
      </c>
      <c r="AL1599" s="81" t="b">
        <v>0</v>
      </c>
      <c r="AM1599" s="81">
        <v>30</v>
      </c>
      <c r="AN1599" s="86" t="s">
        <v>5524</v>
      </c>
      <c r="AO1599" s="86" t="s">
        <v>6503</v>
      </c>
      <c r="AP1599" s="81" t="b">
        <v>0</v>
      </c>
      <c r="AQ1599" s="86" t="s">
        <v>5524</v>
      </c>
      <c r="AR1599" s="81" t="s">
        <v>179</v>
      </c>
      <c r="AS1599" s="81">
        <v>0</v>
      </c>
      <c r="AT1599" s="81">
        <v>0</v>
      </c>
      <c r="AU1599" s="81"/>
      <c r="AV1599" s="81"/>
      <c r="AW1599" s="81"/>
      <c r="AX1599" s="81"/>
      <c r="AY1599" s="81"/>
      <c r="AZ1599" s="81"/>
      <c r="BA1599" s="81"/>
      <c r="BB1599" s="81"/>
    </row>
    <row r="1600" spans="1:54" x14ac:dyDescent="0.35">
      <c r="A1600" s="66" t="s">
        <v>1126</v>
      </c>
      <c r="B1600" s="66" t="s">
        <v>1126</v>
      </c>
      <c r="C1600" s="67"/>
      <c r="D1600" s="68"/>
      <c r="E1600" s="69"/>
      <c r="F1600" s="70"/>
      <c r="G1600" s="67"/>
      <c r="H1600" s="71"/>
      <c r="I1600" s="72"/>
      <c r="J1600" s="72"/>
      <c r="K1600" s="36"/>
      <c r="L1600" s="79"/>
      <c r="M1600" s="79"/>
      <c r="N1600" s="74"/>
      <c r="O1600" s="81" t="s">
        <v>179</v>
      </c>
      <c r="P1600" s="83">
        <v>44466.230555555558</v>
      </c>
      <c r="Q1600" s="81" t="s">
        <v>2148</v>
      </c>
      <c r="R1600" s="81"/>
      <c r="S1600" s="81"/>
      <c r="T1600" s="86" t="s">
        <v>2725</v>
      </c>
      <c r="U1600" s="84" t="str">
        <f>HYPERLINK("https://pbs.twimg.com/media/FARMA4MVIAI4A19.jpg")</f>
        <v>https://pbs.twimg.com/media/FARMA4MVIAI4A19.jpg</v>
      </c>
      <c r="V1600" s="84" t="str">
        <f>HYPERLINK("https://pbs.twimg.com/media/FARMA4MVIAI4A19.jpg")</f>
        <v>https://pbs.twimg.com/media/FARMA4MVIAI4A19.jpg</v>
      </c>
      <c r="W1600" s="83">
        <v>44466.230555555558</v>
      </c>
      <c r="X1600" s="89">
        <v>44466</v>
      </c>
      <c r="Y1600" s="86" t="s">
        <v>3838</v>
      </c>
      <c r="Z1600" s="84" t="str">
        <f>HYPERLINK("https://twitter.com/kita_official_/status/1442361361112002563")</f>
        <v>https://twitter.com/kita_official_/status/1442361361112002563</v>
      </c>
      <c r="AA1600" s="81"/>
      <c r="AB1600" s="81"/>
      <c r="AC1600" s="86" t="s">
        <v>5312</v>
      </c>
      <c r="AD1600" s="81"/>
      <c r="AE1600" s="81" t="b">
        <v>0</v>
      </c>
      <c r="AF1600" s="81">
        <v>1</v>
      </c>
      <c r="AG1600" s="86" t="s">
        <v>6240</v>
      </c>
      <c r="AH1600" s="81" t="b">
        <v>0</v>
      </c>
      <c r="AI1600" s="81" t="s">
        <v>6478</v>
      </c>
      <c r="AJ1600" s="81"/>
      <c r="AK1600" s="86" t="s">
        <v>6240</v>
      </c>
      <c r="AL1600" s="81" t="b">
        <v>0</v>
      </c>
      <c r="AM1600" s="81">
        <v>0</v>
      </c>
      <c r="AN1600" s="86" t="s">
        <v>6240</v>
      </c>
      <c r="AO1600" s="86" t="s">
        <v>6503</v>
      </c>
      <c r="AP1600" s="81" t="b">
        <v>0</v>
      </c>
      <c r="AQ1600" s="86" t="s">
        <v>5312</v>
      </c>
      <c r="AR1600" s="81" t="s">
        <v>179</v>
      </c>
      <c r="AS1600" s="81">
        <v>0</v>
      </c>
      <c r="AT1600" s="81">
        <v>0</v>
      </c>
      <c r="AU1600" s="81"/>
      <c r="AV1600" s="81"/>
      <c r="AW1600" s="81"/>
      <c r="AX1600" s="81"/>
      <c r="AY1600" s="81"/>
      <c r="AZ1600" s="81"/>
      <c r="BA1600" s="81"/>
      <c r="BB1600" s="81"/>
    </row>
    <row r="1601" spans="1:54" x14ac:dyDescent="0.35">
      <c r="A1601" s="66" t="s">
        <v>1126</v>
      </c>
      <c r="B1601" s="66" t="s">
        <v>1126</v>
      </c>
      <c r="C1601" s="67"/>
      <c r="D1601" s="68"/>
      <c r="E1601" s="69"/>
      <c r="F1601" s="70"/>
      <c r="G1601" s="67"/>
      <c r="H1601" s="71"/>
      <c r="I1601" s="72"/>
      <c r="J1601" s="72"/>
      <c r="K1601" s="36"/>
      <c r="L1601" s="79"/>
      <c r="M1601" s="79"/>
      <c r="N1601" s="74"/>
      <c r="O1601" s="81" t="s">
        <v>179</v>
      </c>
      <c r="P1601" s="83">
        <v>44466.23710648148</v>
      </c>
      <c r="Q1601" s="81" t="s">
        <v>2149</v>
      </c>
      <c r="R1601" s="81"/>
      <c r="S1601" s="81"/>
      <c r="T1601" s="86" t="s">
        <v>2726</v>
      </c>
      <c r="U1601" s="84" t="str">
        <f>HYPERLINK("https://pbs.twimg.com/media/FAROK3uVcAM-WE9.jpg")</f>
        <v>https://pbs.twimg.com/media/FAROK3uVcAM-WE9.jpg</v>
      </c>
      <c r="V1601" s="84" t="str">
        <f>HYPERLINK("https://pbs.twimg.com/media/FAROK3uVcAM-WE9.jpg")</f>
        <v>https://pbs.twimg.com/media/FAROK3uVcAM-WE9.jpg</v>
      </c>
      <c r="W1601" s="83">
        <v>44466.23710648148</v>
      </c>
      <c r="X1601" s="89">
        <v>44466</v>
      </c>
      <c r="Y1601" s="86" t="s">
        <v>3839</v>
      </c>
      <c r="Z1601" s="84" t="str">
        <f>HYPERLINK("https://twitter.com/kita_official_/status/1442363732026269696")</f>
        <v>https://twitter.com/kita_official_/status/1442363732026269696</v>
      </c>
      <c r="AA1601" s="81"/>
      <c r="AB1601" s="81"/>
      <c r="AC1601" s="86" t="s">
        <v>5313</v>
      </c>
      <c r="AD1601" s="81"/>
      <c r="AE1601" s="81" t="b">
        <v>0</v>
      </c>
      <c r="AF1601" s="81">
        <v>2</v>
      </c>
      <c r="AG1601" s="86" t="s">
        <v>6240</v>
      </c>
      <c r="AH1601" s="81" t="b">
        <v>0</v>
      </c>
      <c r="AI1601" s="81" t="s">
        <v>6478</v>
      </c>
      <c r="AJ1601" s="81"/>
      <c r="AK1601" s="86" t="s">
        <v>6240</v>
      </c>
      <c r="AL1601" s="81" t="b">
        <v>0</v>
      </c>
      <c r="AM1601" s="81">
        <v>0</v>
      </c>
      <c r="AN1601" s="86" t="s">
        <v>6240</v>
      </c>
      <c r="AO1601" s="86" t="s">
        <v>6503</v>
      </c>
      <c r="AP1601" s="81" t="b">
        <v>0</v>
      </c>
      <c r="AQ1601" s="86" t="s">
        <v>5313</v>
      </c>
      <c r="AR1601" s="81" t="s">
        <v>179</v>
      </c>
      <c r="AS1601" s="81">
        <v>0</v>
      </c>
      <c r="AT1601" s="81">
        <v>0</v>
      </c>
      <c r="AU1601" s="81"/>
      <c r="AV1601" s="81"/>
      <c r="AW1601" s="81"/>
      <c r="AX1601" s="81"/>
      <c r="AY1601" s="81"/>
      <c r="AZ1601" s="81"/>
      <c r="BA1601" s="81"/>
      <c r="BB1601" s="81"/>
    </row>
    <row r="1602" spans="1:54" x14ac:dyDescent="0.35">
      <c r="A1602" s="66" t="s">
        <v>1126</v>
      </c>
      <c r="B1602" s="66" t="s">
        <v>1126</v>
      </c>
      <c r="C1602" s="67"/>
      <c r="D1602" s="68"/>
      <c r="E1602" s="69"/>
      <c r="F1602" s="70"/>
      <c r="G1602" s="67"/>
      <c r="H1602" s="71"/>
      <c r="I1602" s="72"/>
      <c r="J1602" s="72"/>
      <c r="K1602" s="36"/>
      <c r="L1602" s="79"/>
      <c r="M1602" s="79"/>
      <c r="N1602" s="74"/>
      <c r="O1602" s="81" t="s">
        <v>179</v>
      </c>
      <c r="P1602" s="83">
        <v>44466.425613425927</v>
      </c>
      <c r="Q1602" s="81" t="s">
        <v>2150</v>
      </c>
      <c r="R1602" s="81"/>
      <c r="S1602" s="81"/>
      <c r="T1602" s="86" t="s">
        <v>2727</v>
      </c>
      <c r="U1602" s="84" t="str">
        <f>HYPERLINK("https://pbs.twimg.com/media/FASMTO2VUAAA-U-.jpg")</f>
        <v>https://pbs.twimg.com/media/FASMTO2VUAAA-U-.jpg</v>
      </c>
      <c r="V1602" s="84" t="str">
        <f>HYPERLINK("https://pbs.twimg.com/media/FASMTO2VUAAA-U-.jpg")</f>
        <v>https://pbs.twimg.com/media/FASMTO2VUAAA-U-.jpg</v>
      </c>
      <c r="W1602" s="83">
        <v>44466.425613425927</v>
      </c>
      <c r="X1602" s="89">
        <v>44466</v>
      </c>
      <c r="Y1602" s="86" t="s">
        <v>3840</v>
      </c>
      <c r="Z1602" s="84" t="str">
        <f>HYPERLINK("https://twitter.com/kita_official_/status/1442432045414641669")</f>
        <v>https://twitter.com/kita_official_/status/1442432045414641669</v>
      </c>
      <c r="AA1602" s="81"/>
      <c r="AB1602" s="81"/>
      <c r="AC1602" s="86" t="s">
        <v>5314</v>
      </c>
      <c r="AD1602" s="81"/>
      <c r="AE1602" s="81" t="b">
        <v>0</v>
      </c>
      <c r="AF1602" s="81">
        <v>0</v>
      </c>
      <c r="AG1602" s="86" t="s">
        <v>6240</v>
      </c>
      <c r="AH1602" s="81" t="b">
        <v>0</v>
      </c>
      <c r="AI1602" s="81" t="s">
        <v>6478</v>
      </c>
      <c r="AJ1602" s="81"/>
      <c r="AK1602" s="86" t="s">
        <v>6240</v>
      </c>
      <c r="AL1602" s="81" t="b">
        <v>0</v>
      </c>
      <c r="AM1602" s="81">
        <v>0</v>
      </c>
      <c r="AN1602" s="86" t="s">
        <v>6240</v>
      </c>
      <c r="AO1602" s="86" t="s">
        <v>6503</v>
      </c>
      <c r="AP1602" s="81" t="b">
        <v>0</v>
      </c>
      <c r="AQ1602" s="86" t="s">
        <v>5314</v>
      </c>
      <c r="AR1602" s="81" t="s">
        <v>179</v>
      </c>
      <c r="AS1602" s="81">
        <v>0</v>
      </c>
      <c r="AT1602" s="81">
        <v>0</v>
      </c>
      <c r="AU1602" s="81"/>
      <c r="AV1602" s="81"/>
      <c r="AW1602" s="81"/>
      <c r="AX1602" s="81"/>
      <c r="AY1602" s="81"/>
      <c r="AZ1602" s="81"/>
      <c r="BA1602" s="81"/>
      <c r="BB1602" s="81"/>
    </row>
    <row r="1603" spans="1:54" x14ac:dyDescent="0.35">
      <c r="A1603" s="66" t="s">
        <v>1127</v>
      </c>
      <c r="B1603" s="66" t="s">
        <v>1127</v>
      </c>
      <c r="C1603" s="67"/>
      <c r="D1603" s="68"/>
      <c r="E1603" s="69"/>
      <c r="F1603" s="70"/>
      <c r="G1603" s="67"/>
      <c r="H1603" s="71"/>
      <c r="I1603" s="72"/>
      <c r="J1603" s="72"/>
      <c r="K1603" s="36"/>
      <c r="L1603" s="79"/>
      <c r="M1603" s="79"/>
      <c r="N1603" s="74"/>
      <c r="O1603" s="81" t="s">
        <v>179</v>
      </c>
      <c r="P1603" s="83">
        <v>44466.427662037036</v>
      </c>
      <c r="Q1603" s="81" t="s">
        <v>2151</v>
      </c>
      <c r="R1603" s="81"/>
      <c r="S1603" s="81"/>
      <c r="T1603" s="81"/>
      <c r="U1603" s="81"/>
      <c r="V1603" s="84" t="str">
        <f>HYPERLINK("https://pbs.twimg.com/profile_images/1442487709885341701/xQruPVQr_normal.jpg")</f>
        <v>https://pbs.twimg.com/profile_images/1442487709885341701/xQruPVQr_normal.jpg</v>
      </c>
      <c r="W1603" s="83">
        <v>44466.427662037036</v>
      </c>
      <c r="X1603" s="89">
        <v>44466</v>
      </c>
      <c r="Y1603" s="86" t="s">
        <v>3841</v>
      </c>
      <c r="Z1603" s="84" t="str">
        <f>HYPERLINK("https://twitter.com/yazmato/status/1442432789316472833")</f>
        <v>https://twitter.com/yazmato/status/1442432789316472833</v>
      </c>
      <c r="AA1603" s="81"/>
      <c r="AB1603" s="81"/>
      <c r="AC1603" s="86" t="s">
        <v>5315</v>
      </c>
      <c r="AD1603" s="81"/>
      <c r="AE1603" s="81" t="b">
        <v>0</v>
      </c>
      <c r="AF1603" s="81">
        <v>0</v>
      </c>
      <c r="AG1603" s="86" t="s">
        <v>6240</v>
      </c>
      <c r="AH1603" s="81" t="b">
        <v>0</v>
      </c>
      <c r="AI1603" s="81" t="s">
        <v>6478</v>
      </c>
      <c r="AJ1603" s="81"/>
      <c r="AK1603" s="86" t="s">
        <v>6240</v>
      </c>
      <c r="AL1603" s="81" t="b">
        <v>0</v>
      </c>
      <c r="AM1603" s="81">
        <v>0</v>
      </c>
      <c r="AN1603" s="86" t="s">
        <v>6240</v>
      </c>
      <c r="AO1603" s="86" t="s">
        <v>6503</v>
      </c>
      <c r="AP1603" s="81" t="b">
        <v>0</v>
      </c>
      <c r="AQ1603" s="86" t="s">
        <v>5315</v>
      </c>
      <c r="AR1603" s="81" t="s">
        <v>179</v>
      </c>
      <c r="AS1603" s="81">
        <v>0</v>
      </c>
      <c r="AT1603" s="81">
        <v>0</v>
      </c>
      <c r="AU1603" s="81"/>
      <c r="AV1603" s="81"/>
      <c r="AW1603" s="81"/>
      <c r="AX1603" s="81"/>
      <c r="AY1603" s="81"/>
      <c r="AZ1603" s="81"/>
      <c r="BA1603" s="81"/>
      <c r="BB1603" s="81"/>
    </row>
    <row r="1604" spans="1:54" x14ac:dyDescent="0.35">
      <c r="A1604" s="66" t="s">
        <v>1128</v>
      </c>
      <c r="B1604" s="66" t="s">
        <v>1348</v>
      </c>
      <c r="C1604" s="67"/>
      <c r="D1604" s="68"/>
      <c r="E1604" s="69"/>
      <c r="F1604" s="70"/>
      <c r="G1604" s="67"/>
      <c r="H1604" s="71"/>
      <c r="I1604" s="72"/>
      <c r="J1604" s="72"/>
      <c r="K1604" s="36"/>
      <c r="L1604" s="79"/>
      <c r="M1604" s="79"/>
      <c r="N1604" s="74"/>
      <c r="O1604" s="81" t="s">
        <v>1534</v>
      </c>
      <c r="P1604" s="83">
        <v>44466.42800925926</v>
      </c>
      <c r="Q1604" s="81" t="s">
        <v>2152</v>
      </c>
      <c r="R1604" s="81"/>
      <c r="S1604" s="81"/>
      <c r="T1604" s="81"/>
      <c r="U1604" s="81"/>
      <c r="V1604" s="84" t="str">
        <f>HYPERLINK("https://pbs.twimg.com/profile_images/1417707143726133248/AkF3gKwj_normal.jpg")</f>
        <v>https://pbs.twimg.com/profile_images/1417707143726133248/AkF3gKwj_normal.jpg</v>
      </c>
      <c r="W1604" s="83">
        <v>44466.42800925926</v>
      </c>
      <c r="X1604" s="89">
        <v>44466</v>
      </c>
      <c r="Y1604" s="86" t="s">
        <v>3842</v>
      </c>
      <c r="Z1604" s="84" t="str">
        <f>HYPERLINK("https://twitter.com/masellbuy/status/1442432914285752323")</f>
        <v>https://twitter.com/masellbuy/status/1442432914285752323</v>
      </c>
      <c r="AA1604" s="81"/>
      <c r="AB1604" s="81"/>
      <c r="AC1604" s="86" t="s">
        <v>5316</v>
      </c>
      <c r="AD1604" s="86" t="s">
        <v>6192</v>
      </c>
      <c r="AE1604" s="81" t="b">
        <v>0</v>
      </c>
      <c r="AF1604" s="81">
        <v>0</v>
      </c>
      <c r="AG1604" s="86" t="s">
        <v>6310</v>
      </c>
      <c r="AH1604" s="81" t="b">
        <v>0</v>
      </c>
      <c r="AI1604" s="81" t="s">
        <v>6478</v>
      </c>
      <c r="AJ1604" s="81"/>
      <c r="AK1604" s="86" t="s">
        <v>6240</v>
      </c>
      <c r="AL1604" s="81" t="b">
        <v>0</v>
      </c>
      <c r="AM1604" s="81">
        <v>0</v>
      </c>
      <c r="AN1604" s="86" t="s">
        <v>6240</v>
      </c>
      <c r="AO1604" s="86" t="s">
        <v>6503</v>
      </c>
      <c r="AP1604" s="81" t="b">
        <v>0</v>
      </c>
      <c r="AQ1604" s="86" t="s">
        <v>6192</v>
      </c>
      <c r="AR1604" s="81" t="s">
        <v>179</v>
      </c>
      <c r="AS1604" s="81">
        <v>0</v>
      </c>
      <c r="AT1604" s="81">
        <v>0</v>
      </c>
      <c r="AU1604" s="81"/>
      <c r="AV1604" s="81"/>
      <c r="AW1604" s="81"/>
      <c r="AX1604" s="81"/>
      <c r="AY1604" s="81"/>
      <c r="AZ1604" s="81"/>
      <c r="BA1604" s="81"/>
      <c r="BB1604" s="81"/>
    </row>
    <row r="1605" spans="1:54" x14ac:dyDescent="0.35">
      <c r="A1605" s="66" t="s">
        <v>1129</v>
      </c>
      <c r="B1605" s="66" t="s">
        <v>1129</v>
      </c>
      <c r="C1605" s="67"/>
      <c r="D1605" s="68"/>
      <c r="E1605" s="69"/>
      <c r="F1605" s="70"/>
      <c r="G1605" s="67"/>
      <c r="H1605" s="71"/>
      <c r="I1605" s="72"/>
      <c r="J1605" s="72"/>
      <c r="K1605" s="36"/>
      <c r="L1605" s="79"/>
      <c r="M1605" s="79"/>
      <c r="N1605" s="74"/>
      <c r="O1605" s="81" t="s">
        <v>179</v>
      </c>
      <c r="P1605" s="83">
        <v>44466.430162037039</v>
      </c>
      <c r="Q1605" s="81" t="s">
        <v>2153</v>
      </c>
      <c r="R1605" s="81"/>
      <c r="S1605" s="81"/>
      <c r="T1605" s="81"/>
      <c r="U1605" s="81"/>
      <c r="V1605" s="84" t="str">
        <f>HYPERLINK("https://pbs.twimg.com/profile_images/1426931626487861248/P5FRzKzh_normal.jpg")</f>
        <v>https://pbs.twimg.com/profile_images/1426931626487861248/P5FRzKzh_normal.jpg</v>
      </c>
      <c r="W1605" s="83">
        <v>44466.430162037039</v>
      </c>
      <c r="X1605" s="89">
        <v>44466</v>
      </c>
      <c r="Y1605" s="86" t="s">
        <v>3843</v>
      </c>
      <c r="Z1605" s="84" t="str">
        <f>HYPERLINK("https://twitter.com/sassysleep_/status/1442433693956468736")</f>
        <v>https://twitter.com/sassysleep_/status/1442433693956468736</v>
      </c>
      <c r="AA1605" s="81"/>
      <c r="AB1605" s="81"/>
      <c r="AC1605" s="86" t="s">
        <v>5317</v>
      </c>
      <c r="AD1605" s="81"/>
      <c r="AE1605" s="81" t="b">
        <v>0</v>
      </c>
      <c r="AF1605" s="81">
        <v>0</v>
      </c>
      <c r="AG1605" s="86" t="s">
        <v>6240</v>
      </c>
      <c r="AH1605" s="81" t="b">
        <v>0</v>
      </c>
      <c r="AI1605" s="81" t="s">
        <v>6478</v>
      </c>
      <c r="AJ1605" s="81"/>
      <c r="AK1605" s="86" t="s">
        <v>6240</v>
      </c>
      <c r="AL1605" s="81" t="b">
        <v>0</v>
      </c>
      <c r="AM1605" s="81">
        <v>0</v>
      </c>
      <c r="AN1605" s="86" t="s">
        <v>6240</v>
      </c>
      <c r="AO1605" s="86" t="s">
        <v>6505</v>
      </c>
      <c r="AP1605" s="81" t="b">
        <v>0</v>
      </c>
      <c r="AQ1605" s="86" t="s">
        <v>5317</v>
      </c>
      <c r="AR1605" s="81" t="s">
        <v>179</v>
      </c>
      <c r="AS1605" s="81">
        <v>0</v>
      </c>
      <c r="AT1605" s="81">
        <v>0</v>
      </c>
      <c r="AU1605" s="81"/>
      <c r="AV1605" s="81"/>
      <c r="AW1605" s="81"/>
      <c r="AX1605" s="81"/>
      <c r="AY1605" s="81"/>
      <c r="AZ1605" s="81"/>
      <c r="BA1605" s="81"/>
      <c r="BB1605" s="81"/>
    </row>
    <row r="1606" spans="1:54" x14ac:dyDescent="0.35">
      <c r="A1606" s="66" t="s">
        <v>1130</v>
      </c>
      <c r="B1606" s="66" t="s">
        <v>1215</v>
      </c>
      <c r="C1606" s="67"/>
      <c r="D1606" s="68"/>
      <c r="E1606" s="69"/>
      <c r="F1606" s="70"/>
      <c r="G1606" s="67"/>
      <c r="H1606" s="71"/>
      <c r="I1606" s="72"/>
      <c r="J1606" s="72"/>
      <c r="K1606" s="36"/>
      <c r="L1606" s="79"/>
      <c r="M1606" s="79"/>
      <c r="N1606" s="74"/>
      <c r="O1606" s="81" t="s">
        <v>1532</v>
      </c>
      <c r="P1606" s="83">
        <v>44466.441365740742</v>
      </c>
      <c r="Q1606" s="81" t="s">
        <v>2154</v>
      </c>
      <c r="R1606" s="81"/>
      <c r="S1606" s="81"/>
      <c r="T1606" s="81"/>
      <c r="U1606" s="84" t="str">
        <f>HYPERLINK("https://pbs.twimg.com/media/FASHjEnUcAMSLOM.jpg")</f>
        <v>https://pbs.twimg.com/media/FASHjEnUcAMSLOM.jpg</v>
      </c>
      <c r="V1606" s="84" t="str">
        <f>HYPERLINK("https://pbs.twimg.com/media/FASHjEnUcAMSLOM.jpg")</f>
        <v>https://pbs.twimg.com/media/FASHjEnUcAMSLOM.jpg</v>
      </c>
      <c r="W1606" s="83">
        <v>44466.441365740742</v>
      </c>
      <c r="X1606" s="89">
        <v>44466</v>
      </c>
      <c r="Y1606" s="86" t="s">
        <v>3844</v>
      </c>
      <c r="Z1606" s="84" t="str">
        <f>HYPERLINK("https://twitter.com/fattireyz/status/1442437753375899650")</f>
        <v>https://twitter.com/fattireyz/status/1442437753375899650</v>
      </c>
      <c r="AA1606" s="81"/>
      <c r="AB1606" s="81"/>
      <c r="AC1606" s="86" t="s">
        <v>5318</v>
      </c>
      <c r="AD1606" s="81"/>
      <c r="AE1606" s="81" t="b">
        <v>0</v>
      </c>
      <c r="AF1606" s="81">
        <v>0</v>
      </c>
      <c r="AG1606" s="86" t="s">
        <v>6240</v>
      </c>
      <c r="AH1606" s="81" t="b">
        <v>0</v>
      </c>
      <c r="AI1606" s="81" t="s">
        <v>6478</v>
      </c>
      <c r="AJ1606" s="81"/>
      <c r="AK1606" s="86" t="s">
        <v>6240</v>
      </c>
      <c r="AL1606" s="81" t="b">
        <v>0</v>
      </c>
      <c r="AM1606" s="81">
        <v>9</v>
      </c>
      <c r="AN1606" s="86" t="s">
        <v>5410</v>
      </c>
      <c r="AO1606" s="86" t="s">
        <v>6503</v>
      </c>
      <c r="AP1606" s="81" t="b">
        <v>0</v>
      </c>
      <c r="AQ1606" s="86" t="s">
        <v>5410</v>
      </c>
      <c r="AR1606" s="81" t="s">
        <v>179</v>
      </c>
      <c r="AS1606" s="81">
        <v>0</v>
      </c>
      <c r="AT1606" s="81">
        <v>0</v>
      </c>
      <c r="AU1606" s="81"/>
      <c r="AV1606" s="81"/>
      <c r="AW1606" s="81"/>
      <c r="AX1606" s="81"/>
      <c r="AY1606" s="81"/>
      <c r="AZ1606" s="81"/>
      <c r="BA1606" s="81"/>
      <c r="BB1606" s="81"/>
    </row>
    <row r="1607" spans="1:54" x14ac:dyDescent="0.35">
      <c r="A1607" s="66" t="s">
        <v>1131</v>
      </c>
      <c r="B1607" s="66" t="s">
        <v>1132</v>
      </c>
      <c r="C1607" s="67"/>
      <c r="D1607" s="68"/>
      <c r="E1607" s="69"/>
      <c r="F1607" s="70"/>
      <c r="G1607" s="67"/>
      <c r="H1607" s="71"/>
      <c r="I1607" s="72"/>
      <c r="J1607" s="72"/>
      <c r="K1607" s="36"/>
      <c r="L1607" s="79"/>
      <c r="M1607" s="79"/>
      <c r="N1607" s="74"/>
      <c r="O1607" s="81" t="s">
        <v>1532</v>
      </c>
      <c r="P1607" s="83">
        <v>44466.442025462966</v>
      </c>
      <c r="Q1607" s="81" t="s">
        <v>2155</v>
      </c>
      <c r="R1607" s="81"/>
      <c r="S1607" s="81"/>
      <c r="T1607" s="81"/>
      <c r="U1607" s="84" t="str">
        <f>HYPERLINK("https://pbs.twimg.com/media/FASQ-JJVQAMIgM0.jpg")</f>
        <v>https://pbs.twimg.com/media/FASQ-JJVQAMIgM0.jpg</v>
      </c>
      <c r="V1607" s="84" t="str">
        <f>HYPERLINK("https://pbs.twimg.com/media/FASQ-JJVQAMIgM0.jpg")</f>
        <v>https://pbs.twimg.com/media/FASQ-JJVQAMIgM0.jpg</v>
      </c>
      <c r="W1607" s="83">
        <v>44466.442025462966</v>
      </c>
      <c r="X1607" s="89">
        <v>44466</v>
      </c>
      <c r="Y1607" s="86" t="s">
        <v>3845</v>
      </c>
      <c r="Z1607" s="84" t="str">
        <f>HYPERLINK("https://twitter.com/skzmarketmy/status/1442437992589631492")</f>
        <v>https://twitter.com/skzmarketmy/status/1442437992589631492</v>
      </c>
      <c r="AA1607" s="81"/>
      <c r="AB1607" s="81"/>
      <c r="AC1607" s="86" t="s">
        <v>5319</v>
      </c>
      <c r="AD1607" s="81"/>
      <c r="AE1607" s="81" t="b">
        <v>0</v>
      </c>
      <c r="AF1607" s="81">
        <v>0</v>
      </c>
      <c r="AG1607" s="86" t="s">
        <v>6240</v>
      </c>
      <c r="AH1607" s="81" t="b">
        <v>0</v>
      </c>
      <c r="AI1607" s="81" t="s">
        <v>6478</v>
      </c>
      <c r="AJ1607" s="81"/>
      <c r="AK1607" s="86" t="s">
        <v>6240</v>
      </c>
      <c r="AL1607" s="81" t="b">
        <v>0</v>
      </c>
      <c r="AM1607" s="81">
        <v>2</v>
      </c>
      <c r="AN1607" s="86" t="s">
        <v>5320</v>
      </c>
      <c r="AO1607" s="86" t="s">
        <v>6505</v>
      </c>
      <c r="AP1607" s="81" t="b">
        <v>0</v>
      </c>
      <c r="AQ1607" s="86" t="s">
        <v>5320</v>
      </c>
      <c r="AR1607" s="81" t="s">
        <v>179</v>
      </c>
      <c r="AS1607" s="81">
        <v>0</v>
      </c>
      <c r="AT1607" s="81">
        <v>0</v>
      </c>
      <c r="AU1607" s="81"/>
      <c r="AV1607" s="81"/>
      <c r="AW1607" s="81"/>
      <c r="AX1607" s="81"/>
      <c r="AY1607" s="81"/>
      <c r="AZ1607" s="81"/>
      <c r="BA1607" s="81"/>
      <c r="BB1607" s="81"/>
    </row>
    <row r="1608" spans="1:54" x14ac:dyDescent="0.35">
      <c r="A1608" s="66" t="s">
        <v>1132</v>
      </c>
      <c r="B1608" s="66" t="s">
        <v>1132</v>
      </c>
      <c r="C1608" s="67"/>
      <c r="D1608" s="68"/>
      <c r="E1608" s="69"/>
      <c r="F1608" s="70"/>
      <c r="G1608" s="67"/>
      <c r="H1608" s="71"/>
      <c r="I1608" s="72"/>
      <c r="J1608" s="72"/>
      <c r="K1608" s="36"/>
      <c r="L1608" s="79"/>
      <c r="M1608" s="79"/>
      <c r="N1608" s="74"/>
      <c r="O1608" s="81" t="s">
        <v>179</v>
      </c>
      <c r="P1608" s="83">
        <v>44466.439837962964</v>
      </c>
      <c r="Q1608" s="81" t="s">
        <v>2155</v>
      </c>
      <c r="R1608" s="81"/>
      <c r="S1608" s="81"/>
      <c r="T1608" s="81"/>
      <c r="U1608" s="84" t="str">
        <f>HYPERLINK("https://pbs.twimg.com/media/FASQ-JJVQAMIgM0.jpg")</f>
        <v>https://pbs.twimg.com/media/FASQ-JJVQAMIgM0.jpg</v>
      </c>
      <c r="V1608" s="84" t="str">
        <f>HYPERLINK("https://pbs.twimg.com/media/FASQ-JJVQAMIgM0.jpg")</f>
        <v>https://pbs.twimg.com/media/FASQ-JJVQAMIgM0.jpg</v>
      </c>
      <c r="W1608" s="83">
        <v>44466.439837962964</v>
      </c>
      <c r="X1608" s="89">
        <v>44466</v>
      </c>
      <c r="Y1608" s="86" t="s">
        <v>3846</v>
      </c>
      <c r="Z1608" s="84" t="str">
        <f>HYPERLINK("https://twitter.com/anade04973624/status/1442437200616906753")</f>
        <v>https://twitter.com/anade04973624/status/1442437200616906753</v>
      </c>
      <c r="AA1608" s="81"/>
      <c r="AB1608" s="81"/>
      <c r="AC1608" s="86" t="s">
        <v>5320</v>
      </c>
      <c r="AD1608" s="81"/>
      <c r="AE1608" s="81" t="b">
        <v>0</v>
      </c>
      <c r="AF1608" s="81">
        <v>1</v>
      </c>
      <c r="AG1608" s="86" t="s">
        <v>6240</v>
      </c>
      <c r="AH1608" s="81" t="b">
        <v>0</v>
      </c>
      <c r="AI1608" s="81" t="s">
        <v>6478</v>
      </c>
      <c r="AJ1608" s="81"/>
      <c r="AK1608" s="86" t="s">
        <v>6240</v>
      </c>
      <c r="AL1608" s="81" t="b">
        <v>0</v>
      </c>
      <c r="AM1608" s="81">
        <v>2</v>
      </c>
      <c r="AN1608" s="86" t="s">
        <v>6240</v>
      </c>
      <c r="AO1608" s="86" t="s">
        <v>6503</v>
      </c>
      <c r="AP1608" s="81" t="b">
        <v>0</v>
      </c>
      <c r="AQ1608" s="86" t="s">
        <v>5320</v>
      </c>
      <c r="AR1608" s="81" t="s">
        <v>179</v>
      </c>
      <c r="AS1608" s="81">
        <v>0</v>
      </c>
      <c r="AT1608" s="81">
        <v>0</v>
      </c>
      <c r="AU1608" s="81"/>
      <c r="AV1608" s="81"/>
      <c r="AW1608" s="81"/>
      <c r="AX1608" s="81"/>
      <c r="AY1608" s="81"/>
      <c r="AZ1608" s="81"/>
      <c r="BA1608" s="81"/>
      <c r="BB1608" s="81"/>
    </row>
    <row r="1609" spans="1:54" x14ac:dyDescent="0.35">
      <c r="A1609" s="66" t="s">
        <v>1133</v>
      </c>
      <c r="B1609" s="66" t="s">
        <v>1132</v>
      </c>
      <c r="C1609" s="67"/>
      <c r="D1609" s="68"/>
      <c r="E1609" s="69"/>
      <c r="F1609" s="70"/>
      <c r="G1609" s="67"/>
      <c r="H1609" s="71"/>
      <c r="I1609" s="72"/>
      <c r="J1609" s="72"/>
      <c r="K1609" s="36"/>
      <c r="L1609" s="79"/>
      <c r="M1609" s="79"/>
      <c r="N1609" s="74"/>
      <c r="O1609" s="81" t="s">
        <v>1532</v>
      </c>
      <c r="P1609" s="83">
        <v>44466.443425925929</v>
      </c>
      <c r="Q1609" s="81" t="s">
        <v>2155</v>
      </c>
      <c r="R1609" s="81"/>
      <c r="S1609" s="81"/>
      <c r="T1609" s="81"/>
      <c r="U1609" s="84" t="str">
        <f>HYPERLINK("https://pbs.twimg.com/media/FASQ-JJVQAMIgM0.jpg")</f>
        <v>https://pbs.twimg.com/media/FASQ-JJVQAMIgM0.jpg</v>
      </c>
      <c r="V1609" s="84" t="str">
        <f>HYPERLINK("https://pbs.twimg.com/media/FASQ-JJVQAMIgM0.jpg")</f>
        <v>https://pbs.twimg.com/media/FASQ-JJVQAMIgM0.jpg</v>
      </c>
      <c r="W1609" s="83">
        <v>44466.443425925929</v>
      </c>
      <c r="X1609" s="89">
        <v>44466</v>
      </c>
      <c r="Y1609" s="86" t="s">
        <v>3847</v>
      </c>
      <c r="Z1609" s="84" t="str">
        <f>HYPERLINK("https://twitter.com/yeoninnie/status/1442438501576822788")</f>
        <v>https://twitter.com/yeoninnie/status/1442438501576822788</v>
      </c>
      <c r="AA1609" s="81"/>
      <c r="AB1609" s="81"/>
      <c r="AC1609" s="86" t="s">
        <v>5321</v>
      </c>
      <c r="AD1609" s="81"/>
      <c r="AE1609" s="81" t="b">
        <v>0</v>
      </c>
      <c r="AF1609" s="81">
        <v>0</v>
      </c>
      <c r="AG1609" s="86" t="s">
        <v>6240</v>
      </c>
      <c r="AH1609" s="81" t="b">
        <v>0</v>
      </c>
      <c r="AI1609" s="81" t="s">
        <v>6478</v>
      </c>
      <c r="AJ1609" s="81"/>
      <c r="AK1609" s="86" t="s">
        <v>6240</v>
      </c>
      <c r="AL1609" s="81" t="b">
        <v>0</v>
      </c>
      <c r="AM1609" s="81">
        <v>2</v>
      </c>
      <c r="AN1609" s="86" t="s">
        <v>5320</v>
      </c>
      <c r="AO1609" s="86" t="s">
        <v>6505</v>
      </c>
      <c r="AP1609" s="81" t="b">
        <v>0</v>
      </c>
      <c r="AQ1609" s="86" t="s">
        <v>5320</v>
      </c>
      <c r="AR1609" s="81" t="s">
        <v>179</v>
      </c>
      <c r="AS1609" s="81">
        <v>0</v>
      </c>
      <c r="AT1609" s="81">
        <v>0</v>
      </c>
      <c r="AU1609" s="81"/>
      <c r="AV1609" s="81"/>
      <c r="AW1609" s="81"/>
      <c r="AX1609" s="81"/>
      <c r="AY1609" s="81"/>
      <c r="AZ1609" s="81"/>
      <c r="BA1609" s="81"/>
      <c r="BB1609" s="81"/>
    </row>
    <row r="1610" spans="1:54" x14ac:dyDescent="0.35">
      <c r="A1610" s="66" t="s">
        <v>1134</v>
      </c>
      <c r="B1610" s="66" t="s">
        <v>1161</v>
      </c>
      <c r="C1610" s="67"/>
      <c r="D1610" s="68"/>
      <c r="E1610" s="69"/>
      <c r="F1610" s="70"/>
      <c r="G1610" s="67"/>
      <c r="H1610" s="71"/>
      <c r="I1610" s="72"/>
      <c r="J1610" s="72"/>
      <c r="K1610" s="36"/>
      <c r="L1610" s="79"/>
      <c r="M1610" s="79"/>
      <c r="N1610" s="74"/>
      <c r="O1610" s="81" t="s">
        <v>1532</v>
      </c>
      <c r="P1610" s="83">
        <v>44466.450833333336</v>
      </c>
      <c r="Q1610" s="81" t="s">
        <v>2126</v>
      </c>
      <c r="R1610" s="81"/>
      <c r="S1610" s="81"/>
      <c r="T1610" s="81"/>
      <c r="U1610" s="84" t="str">
        <f>HYPERLINK("https://pbs.twimg.com/media/FAR4jYnVQAUmrbm.jpg")</f>
        <v>https://pbs.twimg.com/media/FAR4jYnVQAUmrbm.jpg</v>
      </c>
      <c r="V1610" s="84" t="str">
        <f>HYPERLINK("https://pbs.twimg.com/media/FAR4jYnVQAUmrbm.jpg")</f>
        <v>https://pbs.twimg.com/media/FAR4jYnVQAUmrbm.jpg</v>
      </c>
      <c r="W1610" s="83">
        <v>44466.450833333336</v>
      </c>
      <c r="X1610" s="89">
        <v>44466</v>
      </c>
      <c r="Y1610" s="86" t="s">
        <v>3848</v>
      </c>
      <c r="Z1610" s="84" t="str">
        <f>HYPERLINK("https://twitter.com/yseohui96/status/1442441185834921991")</f>
        <v>https://twitter.com/yseohui96/status/1442441185834921991</v>
      </c>
      <c r="AA1610" s="81"/>
      <c r="AB1610" s="81"/>
      <c r="AC1610" s="86" t="s">
        <v>5322</v>
      </c>
      <c r="AD1610" s="81"/>
      <c r="AE1610" s="81" t="b">
        <v>0</v>
      </c>
      <c r="AF1610" s="81">
        <v>0</v>
      </c>
      <c r="AG1610" s="86" t="s">
        <v>6240</v>
      </c>
      <c r="AH1610" s="81" t="b">
        <v>0</v>
      </c>
      <c r="AI1610" s="81" t="s">
        <v>6478</v>
      </c>
      <c r="AJ1610" s="81"/>
      <c r="AK1610" s="86" t="s">
        <v>6240</v>
      </c>
      <c r="AL1610" s="81" t="b">
        <v>0</v>
      </c>
      <c r="AM1610" s="81">
        <v>13</v>
      </c>
      <c r="AN1610" s="86" t="s">
        <v>5350</v>
      </c>
      <c r="AO1610" s="86" t="s">
        <v>6503</v>
      </c>
      <c r="AP1610" s="81" t="b">
        <v>0</v>
      </c>
      <c r="AQ1610" s="86" t="s">
        <v>5350</v>
      </c>
      <c r="AR1610" s="81" t="s">
        <v>179</v>
      </c>
      <c r="AS1610" s="81">
        <v>0</v>
      </c>
      <c r="AT1610" s="81">
        <v>0</v>
      </c>
      <c r="AU1610" s="81"/>
      <c r="AV1610" s="81"/>
      <c r="AW1610" s="81"/>
      <c r="AX1610" s="81"/>
      <c r="AY1610" s="81"/>
      <c r="AZ1610" s="81"/>
      <c r="BA1610" s="81"/>
      <c r="BB1610" s="81"/>
    </row>
    <row r="1611" spans="1:54" x14ac:dyDescent="0.35">
      <c r="A1611" s="66" t="s">
        <v>1135</v>
      </c>
      <c r="B1611" s="66" t="s">
        <v>1135</v>
      </c>
      <c r="C1611" s="67"/>
      <c r="D1611" s="68"/>
      <c r="E1611" s="69"/>
      <c r="F1611" s="70"/>
      <c r="G1611" s="67"/>
      <c r="H1611" s="71"/>
      <c r="I1611" s="72"/>
      <c r="J1611" s="72"/>
      <c r="K1611" s="36"/>
      <c r="L1611" s="79"/>
      <c r="M1611" s="79"/>
      <c r="N1611" s="74"/>
      <c r="O1611" s="81" t="s">
        <v>179</v>
      </c>
      <c r="P1611" s="83">
        <v>44466.452094907407</v>
      </c>
      <c r="Q1611" s="81" t="s">
        <v>2156</v>
      </c>
      <c r="R1611" s="81"/>
      <c r="S1611" s="81"/>
      <c r="T1611" s="81"/>
      <c r="U1611" s="84" t="str">
        <f>HYPERLINK("https://pbs.twimg.com/ext_tw_video_thumb/1442441593005297669/pu/img/i_o-7-Jim95B3spi.jpg")</f>
        <v>https://pbs.twimg.com/ext_tw_video_thumb/1442441593005297669/pu/img/i_o-7-Jim95B3spi.jpg</v>
      </c>
      <c r="V1611" s="84" t="str">
        <f>HYPERLINK("https://pbs.twimg.com/ext_tw_video_thumb/1442441593005297669/pu/img/i_o-7-Jim95B3spi.jpg")</f>
        <v>https://pbs.twimg.com/ext_tw_video_thumb/1442441593005297669/pu/img/i_o-7-Jim95B3spi.jpg</v>
      </c>
      <c r="W1611" s="83">
        <v>44466.452094907407</v>
      </c>
      <c r="X1611" s="89">
        <v>44466</v>
      </c>
      <c r="Y1611" s="86" t="s">
        <v>3849</v>
      </c>
      <c r="Z1611" s="84" t="str">
        <f>HYPERLINK("https://twitter.com/revmen_id/status/1442441642493890567")</f>
        <v>https://twitter.com/revmen_id/status/1442441642493890567</v>
      </c>
      <c r="AA1611" s="81"/>
      <c r="AB1611" s="81"/>
      <c r="AC1611" s="86" t="s">
        <v>5323</v>
      </c>
      <c r="AD1611" s="81"/>
      <c r="AE1611" s="81" t="b">
        <v>0</v>
      </c>
      <c r="AF1611" s="81">
        <v>3</v>
      </c>
      <c r="AG1611" s="86" t="s">
        <v>6240</v>
      </c>
      <c r="AH1611" s="81" t="b">
        <v>0</v>
      </c>
      <c r="AI1611" s="81" t="s">
        <v>6478</v>
      </c>
      <c r="AJ1611" s="81"/>
      <c r="AK1611" s="86" t="s">
        <v>6240</v>
      </c>
      <c r="AL1611" s="81" t="b">
        <v>0</v>
      </c>
      <c r="AM1611" s="81">
        <v>1</v>
      </c>
      <c r="AN1611" s="86" t="s">
        <v>6240</v>
      </c>
      <c r="AO1611" s="86" t="s">
        <v>6505</v>
      </c>
      <c r="AP1611" s="81" t="b">
        <v>0</v>
      </c>
      <c r="AQ1611" s="86" t="s">
        <v>5323</v>
      </c>
      <c r="AR1611" s="81" t="s">
        <v>179</v>
      </c>
      <c r="AS1611" s="81">
        <v>0</v>
      </c>
      <c r="AT1611" s="81">
        <v>0</v>
      </c>
      <c r="AU1611" s="81"/>
      <c r="AV1611" s="81"/>
      <c r="AW1611" s="81"/>
      <c r="AX1611" s="81"/>
      <c r="AY1611" s="81"/>
      <c r="AZ1611" s="81"/>
      <c r="BA1611" s="81"/>
      <c r="BB1611" s="81"/>
    </row>
    <row r="1612" spans="1:54" x14ac:dyDescent="0.35">
      <c r="A1612" s="66" t="s">
        <v>1136</v>
      </c>
      <c r="B1612" s="66" t="s">
        <v>1135</v>
      </c>
      <c r="C1612" s="67"/>
      <c r="D1612" s="68"/>
      <c r="E1612" s="69"/>
      <c r="F1612" s="70"/>
      <c r="G1612" s="67"/>
      <c r="H1612" s="71"/>
      <c r="I1612" s="72"/>
      <c r="J1612" s="72"/>
      <c r="K1612" s="36"/>
      <c r="L1612" s="79"/>
      <c r="M1612" s="79"/>
      <c r="N1612" s="74"/>
      <c r="O1612" s="81" t="s">
        <v>1532</v>
      </c>
      <c r="P1612" s="83">
        <v>44466.457060185188</v>
      </c>
      <c r="Q1612" s="81" t="s">
        <v>2156</v>
      </c>
      <c r="R1612" s="81"/>
      <c r="S1612" s="81"/>
      <c r="T1612" s="81"/>
      <c r="U1612" s="84" t="str">
        <f>HYPERLINK("https://pbs.twimg.com/ext_tw_video_thumb/1442441593005297669/pu/img/i_o-7-Jim95B3spi.jpg")</f>
        <v>https://pbs.twimg.com/ext_tw_video_thumb/1442441593005297669/pu/img/i_o-7-Jim95B3spi.jpg</v>
      </c>
      <c r="V1612" s="84" t="str">
        <f>HYPERLINK("https://pbs.twimg.com/ext_tw_video_thumb/1442441593005297669/pu/img/i_o-7-Jim95B3spi.jpg")</f>
        <v>https://pbs.twimg.com/ext_tw_video_thumb/1442441593005297669/pu/img/i_o-7-Jim95B3spi.jpg</v>
      </c>
      <c r="W1612" s="83">
        <v>44466.457060185188</v>
      </c>
      <c r="X1612" s="89">
        <v>44466</v>
      </c>
      <c r="Y1612" s="86" t="s">
        <v>3850</v>
      </c>
      <c r="Z1612" s="84" t="str">
        <f>HYPERLINK("https://twitter.com/andidewiyahooc1/status/1442443442232070159")</f>
        <v>https://twitter.com/andidewiyahooc1/status/1442443442232070159</v>
      </c>
      <c r="AA1612" s="81"/>
      <c r="AB1612" s="81"/>
      <c r="AC1612" s="86" t="s">
        <v>5324</v>
      </c>
      <c r="AD1612" s="81"/>
      <c r="AE1612" s="81" t="b">
        <v>0</v>
      </c>
      <c r="AF1612" s="81">
        <v>0</v>
      </c>
      <c r="AG1612" s="86" t="s">
        <v>6240</v>
      </c>
      <c r="AH1612" s="81" t="b">
        <v>0</v>
      </c>
      <c r="AI1612" s="81" t="s">
        <v>6478</v>
      </c>
      <c r="AJ1612" s="81"/>
      <c r="AK1612" s="86" t="s">
        <v>6240</v>
      </c>
      <c r="AL1612" s="81" t="b">
        <v>0</v>
      </c>
      <c r="AM1612" s="81">
        <v>1</v>
      </c>
      <c r="AN1612" s="86" t="s">
        <v>5323</v>
      </c>
      <c r="AO1612" s="86" t="s">
        <v>6503</v>
      </c>
      <c r="AP1612" s="81" t="b">
        <v>0</v>
      </c>
      <c r="AQ1612" s="86" t="s">
        <v>5323</v>
      </c>
      <c r="AR1612" s="81" t="s">
        <v>179</v>
      </c>
      <c r="AS1612" s="81">
        <v>0</v>
      </c>
      <c r="AT1612" s="81">
        <v>0</v>
      </c>
      <c r="AU1612" s="81"/>
      <c r="AV1612" s="81"/>
      <c r="AW1612" s="81"/>
      <c r="AX1612" s="81"/>
      <c r="AY1612" s="81"/>
      <c r="AZ1612" s="81"/>
      <c r="BA1612" s="81"/>
      <c r="BB1612" s="81"/>
    </row>
    <row r="1613" spans="1:54" x14ac:dyDescent="0.35">
      <c r="A1613" s="66" t="s">
        <v>1137</v>
      </c>
      <c r="B1613" s="66" t="s">
        <v>1137</v>
      </c>
      <c r="C1613" s="67"/>
      <c r="D1613" s="68"/>
      <c r="E1613" s="69"/>
      <c r="F1613" s="70"/>
      <c r="G1613" s="67"/>
      <c r="H1613" s="71"/>
      <c r="I1613" s="72"/>
      <c r="J1613" s="72"/>
      <c r="K1613" s="36"/>
      <c r="L1613" s="79"/>
      <c r="M1613" s="79"/>
      <c r="N1613" s="74"/>
      <c r="O1613" s="81" t="s">
        <v>179</v>
      </c>
      <c r="P1613" s="83">
        <v>44466.458298611113</v>
      </c>
      <c r="Q1613" s="81" t="s">
        <v>2157</v>
      </c>
      <c r="R1613" s="81"/>
      <c r="S1613" s="81"/>
      <c r="T1613" s="81"/>
      <c r="U1613" s="81"/>
      <c r="V1613" s="84" t="str">
        <f>HYPERLINK("https://pbs.twimg.com/profile_images/1441375390652530690/nuc0y6Gv_normal.jpg")</f>
        <v>https://pbs.twimg.com/profile_images/1441375390652530690/nuc0y6Gv_normal.jpg</v>
      </c>
      <c r="W1613" s="83">
        <v>44466.458298611113</v>
      </c>
      <c r="X1613" s="89">
        <v>44466</v>
      </c>
      <c r="Y1613" s="86" t="s">
        <v>3851</v>
      </c>
      <c r="Z1613" s="84" t="str">
        <f>HYPERLINK("https://twitter.com/aynbla/status/1442443889344847876")</f>
        <v>https://twitter.com/aynbla/status/1442443889344847876</v>
      </c>
      <c r="AA1613" s="81"/>
      <c r="AB1613" s="81"/>
      <c r="AC1613" s="86" t="s">
        <v>5325</v>
      </c>
      <c r="AD1613" s="81"/>
      <c r="AE1613" s="81" t="b">
        <v>0</v>
      </c>
      <c r="AF1613" s="81">
        <v>0</v>
      </c>
      <c r="AG1613" s="86" t="s">
        <v>6240</v>
      </c>
      <c r="AH1613" s="81" t="b">
        <v>0</v>
      </c>
      <c r="AI1613" s="81" t="s">
        <v>6478</v>
      </c>
      <c r="AJ1613" s="81"/>
      <c r="AK1613" s="86" t="s">
        <v>6240</v>
      </c>
      <c r="AL1613" s="81" t="b">
        <v>0</v>
      </c>
      <c r="AM1613" s="81">
        <v>0</v>
      </c>
      <c r="AN1613" s="86" t="s">
        <v>6240</v>
      </c>
      <c r="AO1613" s="86" t="s">
        <v>6505</v>
      </c>
      <c r="AP1613" s="81" t="b">
        <v>0</v>
      </c>
      <c r="AQ1613" s="86" t="s">
        <v>5325</v>
      </c>
      <c r="AR1613" s="81" t="s">
        <v>179</v>
      </c>
      <c r="AS1613" s="81">
        <v>0</v>
      </c>
      <c r="AT1613" s="81">
        <v>0</v>
      </c>
      <c r="AU1613" s="81"/>
      <c r="AV1613" s="81"/>
      <c r="AW1613" s="81"/>
      <c r="AX1613" s="81"/>
      <c r="AY1613" s="81"/>
      <c r="AZ1613" s="81"/>
      <c r="BA1613" s="81"/>
      <c r="BB1613" s="81"/>
    </row>
    <row r="1614" spans="1:54" x14ac:dyDescent="0.35">
      <c r="A1614" s="66" t="s">
        <v>1138</v>
      </c>
      <c r="B1614" s="66" t="s">
        <v>1138</v>
      </c>
      <c r="C1614" s="67"/>
      <c r="D1614" s="68"/>
      <c r="E1614" s="69"/>
      <c r="F1614" s="70"/>
      <c r="G1614" s="67"/>
      <c r="H1614" s="71"/>
      <c r="I1614" s="72"/>
      <c r="J1614" s="72"/>
      <c r="K1614" s="36"/>
      <c r="L1614" s="79"/>
      <c r="M1614" s="79"/>
      <c r="N1614" s="74"/>
      <c r="O1614" s="81" t="s">
        <v>179</v>
      </c>
      <c r="P1614" s="83">
        <v>44466.098344907405</v>
      </c>
      <c r="Q1614" s="81" t="s">
        <v>2158</v>
      </c>
      <c r="R1614" s="81"/>
      <c r="S1614" s="81"/>
      <c r="T1614" s="86" t="s">
        <v>2728</v>
      </c>
      <c r="U1614" s="84" t="str">
        <f>HYPERLINK("https://pbs.twimg.com/media/FAQgbrgUUAIQFmX.jpg")</f>
        <v>https://pbs.twimg.com/media/FAQgbrgUUAIQFmX.jpg</v>
      </c>
      <c r="V1614" s="84" t="str">
        <f>HYPERLINK("https://pbs.twimg.com/media/FAQgbrgUUAIQFmX.jpg")</f>
        <v>https://pbs.twimg.com/media/FAQgbrgUUAIQFmX.jpg</v>
      </c>
      <c r="W1614" s="83">
        <v>44466.098344907405</v>
      </c>
      <c r="X1614" s="89">
        <v>44466</v>
      </c>
      <c r="Y1614" s="86" t="s">
        <v>3852</v>
      </c>
      <c r="Z1614" s="84" t="str">
        <f>HYPERLINK("https://twitter.com/jdihkpumgl/status/1442313449694916611")</f>
        <v>https://twitter.com/jdihkpumgl/status/1442313449694916611</v>
      </c>
      <c r="AA1614" s="81"/>
      <c r="AB1614" s="81"/>
      <c r="AC1614" s="86" t="s">
        <v>5326</v>
      </c>
      <c r="AD1614" s="81"/>
      <c r="AE1614" s="81" t="b">
        <v>0</v>
      </c>
      <c r="AF1614" s="81">
        <v>0</v>
      </c>
      <c r="AG1614" s="86" t="s">
        <v>6240</v>
      </c>
      <c r="AH1614" s="81" t="b">
        <v>0</v>
      </c>
      <c r="AI1614" s="81" t="s">
        <v>6478</v>
      </c>
      <c r="AJ1614" s="81"/>
      <c r="AK1614" s="86" t="s">
        <v>6240</v>
      </c>
      <c r="AL1614" s="81" t="b">
        <v>0</v>
      </c>
      <c r="AM1614" s="81">
        <v>1</v>
      </c>
      <c r="AN1614" s="86" t="s">
        <v>6240</v>
      </c>
      <c r="AO1614" s="86" t="s">
        <v>6503</v>
      </c>
      <c r="AP1614" s="81" t="b">
        <v>0</v>
      </c>
      <c r="AQ1614" s="86" t="s">
        <v>5326</v>
      </c>
      <c r="AR1614" s="81" t="s">
        <v>179</v>
      </c>
      <c r="AS1614" s="81">
        <v>0</v>
      </c>
      <c r="AT1614" s="81">
        <v>0</v>
      </c>
      <c r="AU1614" s="81"/>
      <c r="AV1614" s="81"/>
      <c r="AW1614" s="81"/>
      <c r="AX1614" s="81"/>
      <c r="AY1614" s="81"/>
      <c r="AZ1614" s="81"/>
      <c r="BA1614" s="81"/>
      <c r="BB1614" s="81"/>
    </row>
    <row r="1615" spans="1:54" x14ac:dyDescent="0.35">
      <c r="A1615" s="66" t="s">
        <v>1139</v>
      </c>
      <c r="B1615" s="66" t="s">
        <v>1138</v>
      </c>
      <c r="C1615" s="67"/>
      <c r="D1615" s="68"/>
      <c r="E1615" s="69"/>
      <c r="F1615" s="70"/>
      <c r="G1615" s="67"/>
      <c r="H1615" s="71"/>
      <c r="I1615" s="72"/>
      <c r="J1615" s="72"/>
      <c r="K1615" s="36"/>
      <c r="L1615" s="79"/>
      <c r="M1615" s="79"/>
      <c r="N1615" s="74"/>
      <c r="O1615" s="81" t="s">
        <v>1532</v>
      </c>
      <c r="P1615" s="83">
        <v>44466.462233796294</v>
      </c>
      <c r="Q1615" s="81" t="s">
        <v>2158</v>
      </c>
      <c r="R1615" s="81"/>
      <c r="S1615" s="81"/>
      <c r="T1615" s="86" t="s">
        <v>2728</v>
      </c>
      <c r="U1615" s="84" t="str">
        <f>HYPERLINK("https://pbs.twimg.com/media/FAQgbrgUUAIQFmX.jpg")</f>
        <v>https://pbs.twimg.com/media/FAQgbrgUUAIQFmX.jpg</v>
      </c>
      <c r="V1615" s="84" t="str">
        <f>HYPERLINK("https://pbs.twimg.com/media/FAQgbrgUUAIQFmX.jpg")</f>
        <v>https://pbs.twimg.com/media/FAQgbrgUUAIQFmX.jpg</v>
      </c>
      <c r="W1615" s="83">
        <v>44466.462233796294</v>
      </c>
      <c r="X1615" s="89">
        <v>44466</v>
      </c>
      <c r="Y1615" s="86" t="s">
        <v>3853</v>
      </c>
      <c r="Z1615" s="84" t="str">
        <f>HYPERLINK("https://twitter.com/sitinoerhayati/status/1442445315966050311")</f>
        <v>https://twitter.com/sitinoerhayati/status/1442445315966050311</v>
      </c>
      <c r="AA1615" s="81"/>
      <c r="AB1615" s="81"/>
      <c r="AC1615" s="86" t="s">
        <v>5327</v>
      </c>
      <c r="AD1615" s="81"/>
      <c r="AE1615" s="81" t="b">
        <v>0</v>
      </c>
      <c r="AF1615" s="81">
        <v>0</v>
      </c>
      <c r="AG1615" s="86" t="s">
        <v>6240</v>
      </c>
      <c r="AH1615" s="81" t="b">
        <v>0</v>
      </c>
      <c r="AI1615" s="81" t="s">
        <v>6478</v>
      </c>
      <c r="AJ1615" s="81"/>
      <c r="AK1615" s="86" t="s">
        <v>6240</v>
      </c>
      <c r="AL1615" s="81" t="b">
        <v>0</v>
      </c>
      <c r="AM1615" s="81">
        <v>1</v>
      </c>
      <c r="AN1615" s="86" t="s">
        <v>5326</v>
      </c>
      <c r="AO1615" s="86" t="s">
        <v>6503</v>
      </c>
      <c r="AP1615" s="81" t="b">
        <v>0</v>
      </c>
      <c r="AQ1615" s="86" t="s">
        <v>5326</v>
      </c>
      <c r="AR1615" s="81" t="s">
        <v>179</v>
      </c>
      <c r="AS1615" s="81">
        <v>0</v>
      </c>
      <c r="AT1615" s="81">
        <v>0</v>
      </c>
      <c r="AU1615" s="81"/>
      <c r="AV1615" s="81"/>
      <c r="AW1615" s="81"/>
      <c r="AX1615" s="81"/>
      <c r="AY1615" s="81"/>
      <c r="AZ1615" s="81"/>
      <c r="BA1615" s="81"/>
      <c r="BB1615" s="81"/>
    </row>
    <row r="1616" spans="1:54" x14ac:dyDescent="0.35">
      <c r="A1616" s="66" t="s">
        <v>1140</v>
      </c>
      <c r="B1616" s="66" t="s">
        <v>1140</v>
      </c>
      <c r="C1616" s="67"/>
      <c r="D1616" s="68"/>
      <c r="E1616" s="69"/>
      <c r="F1616" s="70"/>
      <c r="G1616" s="67"/>
      <c r="H1616" s="71"/>
      <c r="I1616" s="72"/>
      <c r="J1616" s="72"/>
      <c r="K1616" s="36"/>
      <c r="L1616" s="79"/>
      <c r="M1616" s="79"/>
      <c r="N1616" s="74"/>
      <c r="O1616" s="81" t="s">
        <v>179</v>
      </c>
      <c r="P1616" s="83">
        <v>44466.468888888892</v>
      </c>
      <c r="Q1616" s="81" t="s">
        <v>2159</v>
      </c>
      <c r="R1616" s="81"/>
      <c r="S1616" s="81"/>
      <c r="T1616" s="81"/>
      <c r="U1616" s="81"/>
      <c r="V1616" s="84" t="str">
        <f>HYPERLINK("https://pbs.twimg.com/profile_images/1441632650037383172/w5tyrTV__normal.jpg")</f>
        <v>https://pbs.twimg.com/profile_images/1441632650037383172/w5tyrTV__normal.jpg</v>
      </c>
      <c r="W1616" s="83">
        <v>44466.468888888892</v>
      </c>
      <c r="X1616" s="89">
        <v>44466</v>
      </c>
      <c r="Y1616" s="86" t="s">
        <v>3854</v>
      </c>
      <c r="Z1616" s="84" t="str">
        <f>HYPERLINK("https://twitter.com/juyeonspicy/status/1442447728160559105")</f>
        <v>https://twitter.com/juyeonspicy/status/1442447728160559105</v>
      </c>
      <c r="AA1616" s="81"/>
      <c r="AB1616" s="81"/>
      <c r="AC1616" s="86" t="s">
        <v>5328</v>
      </c>
      <c r="AD1616" s="86" t="s">
        <v>6193</v>
      </c>
      <c r="AE1616" s="81" t="b">
        <v>0</v>
      </c>
      <c r="AF1616" s="81">
        <v>0</v>
      </c>
      <c r="AG1616" s="86" t="s">
        <v>6442</v>
      </c>
      <c r="AH1616" s="81" t="b">
        <v>0</v>
      </c>
      <c r="AI1616" s="81" t="s">
        <v>6478</v>
      </c>
      <c r="AJ1616" s="81"/>
      <c r="AK1616" s="86" t="s">
        <v>6240</v>
      </c>
      <c r="AL1616" s="81" t="b">
        <v>0</v>
      </c>
      <c r="AM1616" s="81">
        <v>0</v>
      </c>
      <c r="AN1616" s="86" t="s">
        <v>6240</v>
      </c>
      <c r="AO1616" s="86" t="s">
        <v>6503</v>
      </c>
      <c r="AP1616" s="81" t="b">
        <v>0</v>
      </c>
      <c r="AQ1616" s="86" t="s">
        <v>6193</v>
      </c>
      <c r="AR1616" s="81" t="s">
        <v>179</v>
      </c>
      <c r="AS1616" s="81">
        <v>0</v>
      </c>
      <c r="AT1616" s="81">
        <v>0</v>
      </c>
      <c r="AU1616" s="81"/>
      <c r="AV1616" s="81"/>
      <c r="AW1616" s="81"/>
      <c r="AX1616" s="81"/>
      <c r="AY1616" s="81"/>
      <c r="AZ1616" s="81"/>
      <c r="BA1616" s="81"/>
      <c r="BB1616" s="81"/>
    </row>
    <row r="1617" spans="1:54" x14ac:dyDescent="0.35">
      <c r="A1617" s="66" t="s">
        <v>1141</v>
      </c>
      <c r="B1617" s="66" t="s">
        <v>1161</v>
      </c>
      <c r="C1617" s="67"/>
      <c r="D1617" s="68"/>
      <c r="E1617" s="69"/>
      <c r="F1617" s="70"/>
      <c r="G1617" s="67"/>
      <c r="H1617" s="71"/>
      <c r="I1617" s="72"/>
      <c r="J1617" s="72"/>
      <c r="K1617" s="36"/>
      <c r="L1617" s="79"/>
      <c r="M1617" s="79"/>
      <c r="N1617" s="74"/>
      <c r="O1617" s="81" t="s">
        <v>1532</v>
      </c>
      <c r="P1617" s="83">
        <v>44466.47047453704</v>
      </c>
      <c r="Q1617" s="81" t="s">
        <v>2126</v>
      </c>
      <c r="R1617" s="81"/>
      <c r="S1617" s="81"/>
      <c r="T1617" s="81"/>
      <c r="U1617" s="84" t="str">
        <f>HYPERLINK("https://pbs.twimg.com/media/FAR4jYnVQAUmrbm.jpg")</f>
        <v>https://pbs.twimg.com/media/FAR4jYnVQAUmrbm.jpg</v>
      </c>
      <c r="V1617" s="84" t="str">
        <f>HYPERLINK("https://pbs.twimg.com/media/FAR4jYnVQAUmrbm.jpg")</f>
        <v>https://pbs.twimg.com/media/FAR4jYnVQAUmrbm.jpg</v>
      </c>
      <c r="W1617" s="83">
        <v>44466.47047453704</v>
      </c>
      <c r="X1617" s="89">
        <v>44466</v>
      </c>
      <c r="Y1617" s="86" t="s">
        <v>3855</v>
      </c>
      <c r="Z1617" s="84" t="str">
        <f>HYPERLINK("https://twitter.com/herlin_673yp/status/1442448302402727937")</f>
        <v>https://twitter.com/herlin_673yp/status/1442448302402727937</v>
      </c>
      <c r="AA1617" s="81"/>
      <c r="AB1617" s="81"/>
      <c r="AC1617" s="86" t="s">
        <v>5329</v>
      </c>
      <c r="AD1617" s="81"/>
      <c r="AE1617" s="81" t="b">
        <v>0</v>
      </c>
      <c r="AF1617" s="81">
        <v>0</v>
      </c>
      <c r="AG1617" s="86" t="s">
        <v>6240</v>
      </c>
      <c r="AH1617" s="81" t="b">
        <v>0</v>
      </c>
      <c r="AI1617" s="81" t="s">
        <v>6478</v>
      </c>
      <c r="AJ1617" s="81"/>
      <c r="AK1617" s="86" t="s">
        <v>6240</v>
      </c>
      <c r="AL1617" s="81" t="b">
        <v>0</v>
      </c>
      <c r="AM1617" s="81">
        <v>13</v>
      </c>
      <c r="AN1617" s="86" t="s">
        <v>5350</v>
      </c>
      <c r="AO1617" s="86" t="s">
        <v>6503</v>
      </c>
      <c r="AP1617" s="81" t="b">
        <v>0</v>
      </c>
      <c r="AQ1617" s="86" t="s">
        <v>5350</v>
      </c>
      <c r="AR1617" s="81" t="s">
        <v>179</v>
      </c>
      <c r="AS1617" s="81">
        <v>0</v>
      </c>
      <c r="AT1617" s="81">
        <v>0</v>
      </c>
      <c r="AU1617" s="81"/>
      <c r="AV1617" s="81"/>
      <c r="AW1617" s="81"/>
      <c r="AX1617" s="81"/>
      <c r="AY1617" s="81"/>
      <c r="AZ1617" s="81"/>
      <c r="BA1617" s="81"/>
      <c r="BB1617" s="81"/>
    </row>
    <row r="1618" spans="1:54" x14ac:dyDescent="0.35">
      <c r="A1618" s="66" t="s">
        <v>1142</v>
      </c>
      <c r="B1618" s="66" t="s">
        <v>1142</v>
      </c>
      <c r="C1618" s="67"/>
      <c r="D1618" s="68"/>
      <c r="E1618" s="69"/>
      <c r="F1618" s="70"/>
      <c r="G1618" s="67"/>
      <c r="H1618" s="71"/>
      <c r="I1618" s="72"/>
      <c r="J1618" s="72"/>
      <c r="K1618" s="36"/>
      <c r="L1618" s="79"/>
      <c r="M1618" s="79"/>
      <c r="N1618" s="74"/>
      <c r="O1618" s="81" t="s">
        <v>179</v>
      </c>
      <c r="P1618" s="83">
        <v>44466.477384259262</v>
      </c>
      <c r="Q1618" s="81" t="s">
        <v>2160</v>
      </c>
      <c r="R1618" s="81"/>
      <c r="S1618" s="81"/>
      <c r="T1618" s="81"/>
      <c r="U1618" s="84" t="str">
        <f>HYPERLINK("https://pbs.twimg.com/media/FASdWIHVIAUG9ln.jpg")</f>
        <v>https://pbs.twimg.com/media/FASdWIHVIAUG9ln.jpg</v>
      </c>
      <c r="V1618" s="84" t="str">
        <f>HYPERLINK("https://pbs.twimg.com/media/FASdWIHVIAUG9ln.jpg")</f>
        <v>https://pbs.twimg.com/media/FASdWIHVIAUG9ln.jpg</v>
      </c>
      <c r="W1618" s="83">
        <v>44466.477384259262</v>
      </c>
      <c r="X1618" s="89">
        <v>44466</v>
      </c>
      <c r="Y1618" s="86" t="s">
        <v>3856</v>
      </c>
      <c r="Z1618" s="84" t="str">
        <f>HYPERLINK("https://twitter.com/flobamoraglobal/status/1442450806217732098")</f>
        <v>https://twitter.com/flobamoraglobal/status/1442450806217732098</v>
      </c>
      <c r="AA1618" s="81"/>
      <c r="AB1618" s="81"/>
      <c r="AC1618" s="86" t="s">
        <v>5330</v>
      </c>
      <c r="AD1618" s="81"/>
      <c r="AE1618" s="81" t="b">
        <v>0</v>
      </c>
      <c r="AF1618" s="81">
        <v>0</v>
      </c>
      <c r="AG1618" s="86" t="s">
        <v>6240</v>
      </c>
      <c r="AH1618" s="81" t="b">
        <v>0</v>
      </c>
      <c r="AI1618" s="81" t="s">
        <v>6478</v>
      </c>
      <c r="AJ1618" s="81"/>
      <c r="AK1618" s="86" t="s">
        <v>6240</v>
      </c>
      <c r="AL1618" s="81" t="b">
        <v>0</v>
      </c>
      <c r="AM1618" s="81">
        <v>0</v>
      </c>
      <c r="AN1618" s="86" t="s">
        <v>6240</v>
      </c>
      <c r="AO1618" s="86" t="s">
        <v>6503</v>
      </c>
      <c r="AP1618" s="81" t="b">
        <v>0</v>
      </c>
      <c r="AQ1618" s="86" t="s">
        <v>5330</v>
      </c>
      <c r="AR1618" s="81" t="s">
        <v>179</v>
      </c>
      <c r="AS1618" s="81">
        <v>0</v>
      </c>
      <c r="AT1618" s="81">
        <v>0</v>
      </c>
      <c r="AU1618" s="81"/>
      <c r="AV1618" s="81"/>
      <c r="AW1618" s="81"/>
      <c r="AX1618" s="81"/>
      <c r="AY1618" s="81"/>
      <c r="AZ1618" s="81"/>
      <c r="BA1618" s="81"/>
      <c r="BB1618" s="81"/>
    </row>
    <row r="1619" spans="1:54" x14ac:dyDescent="0.35">
      <c r="A1619" s="66" t="s">
        <v>1143</v>
      </c>
      <c r="B1619" s="66" t="s">
        <v>1143</v>
      </c>
      <c r="C1619" s="67"/>
      <c r="D1619" s="68"/>
      <c r="E1619" s="69"/>
      <c r="F1619" s="70"/>
      <c r="G1619" s="67"/>
      <c r="H1619" s="71"/>
      <c r="I1619" s="72"/>
      <c r="J1619" s="72"/>
      <c r="K1619" s="36"/>
      <c r="L1619" s="79"/>
      <c r="M1619" s="79"/>
      <c r="N1619" s="74"/>
      <c r="O1619" s="81" t="s">
        <v>179</v>
      </c>
      <c r="P1619" s="83">
        <v>44466.478634259256</v>
      </c>
      <c r="Q1619" s="81" t="s">
        <v>2161</v>
      </c>
      <c r="R1619" s="81"/>
      <c r="S1619" s="81"/>
      <c r="T1619" s="81"/>
      <c r="U1619" s="81"/>
      <c r="V1619" s="84" t="str">
        <f>HYPERLINK("https://pbs.twimg.com/profile_images/1307219680436711424/SeUn4vA2_normal.jpg")</f>
        <v>https://pbs.twimg.com/profile_images/1307219680436711424/SeUn4vA2_normal.jpg</v>
      </c>
      <c r="W1619" s="83">
        <v>44466.478634259256</v>
      </c>
      <c r="X1619" s="89">
        <v>44466</v>
      </c>
      <c r="Y1619" s="86" t="s">
        <v>3857</v>
      </c>
      <c r="Z1619" s="84" t="str">
        <f>HYPERLINK("https://twitter.com/mmrrllssyyffqq/status/1442451259873652740")</f>
        <v>https://twitter.com/mmrrllssyyffqq/status/1442451259873652740</v>
      </c>
      <c r="AA1619" s="81"/>
      <c r="AB1619" s="81"/>
      <c r="AC1619" s="86" t="s">
        <v>5331</v>
      </c>
      <c r="AD1619" s="81"/>
      <c r="AE1619" s="81" t="b">
        <v>0</v>
      </c>
      <c r="AF1619" s="81">
        <v>0</v>
      </c>
      <c r="AG1619" s="86" t="s">
        <v>6240</v>
      </c>
      <c r="AH1619" s="81" t="b">
        <v>0</v>
      </c>
      <c r="AI1619" s="81" t="s">
        <v>6478</v>
      </c>
      <c r="AJ1619" s="81"/>
      <c r="AK1619" s="86" t="s">
        <v>6240</v>
      </c>
      <c r="AL1619" s="81" t="b">
        <v>0</v>
      </c>
      <c r="AM1619" s="81">
        <v>0</v>
      </c>
      <c r="AN1619" s="86" t="s">
        <v>6240</v>
      </c>
      <c r="AO1619" s="86" t="s">
        <v>6505</v>
      </c>
      <c r="AP1619" s="81" t="b">
        <v>0</v>
      </c>
      <c r="AQ1619" s="86" t="s">
        <v>5331</v>
      </c>
      <c r="AR1619" s="81" t="s">
        <v>179</v>
      </c>
      <c r="AS1619" s="81">
        <v>0</v>
      </c>
      <c r="AT1619" s="81">
        <v>0</v>
      </c>
      <c r="AU1619" s="81"/>
      <c r="AV1619" s="81"/>
      <c r="AW1619" s="81"/>
      <c r="AX1619" s="81"/>
      <c r="AY1619" s="81"/>
      <c r="AZ1619" s="81"/>
      <c r="BA1619" s="81"/>
      <c r="BB1619" s="81"/>
    </row>
    <row r="1620" spans="1:54" x14ac:dyDescent="0.35">
      <c r="A1620" s="66" t="s">
        <v>1144</v>
      </c>
      <c r="B1620" s="66" t="s">
        <v>1144</v>
      </c>
      <c r="C1620" s="67"/>
      <c r="D1620" s="68"/>
      <c r="E1620" s="69"/>
      <c r="F1620" s="70"/>
      <c r="G1620" s="67"/>
      <c r="H1620" s="71"/>
      <c r="I1620" s="72"/>
      <c r="J1620" s="72"/>
      <c r="K1620" s="36"/>
      <c r="L1620" s="79"/>
      <c r="M1620" s="79"/>
      <c r="N1620" s="74"/>
      <c r="O1620" s="81" t="s">
        <v>179</v>
      </c>
      <c r="P1620" s="83">
        <v>44466.488645833335</v>
      </c>
      <c r="Q1620" s="81" t="s">
        <v>2162</v>
      </c>
      <c r="R1620" s="81"/>
      <c r="S1620" s="81"/>
      <c r="T1620" s="81"/>
      <c r="U1620" s="81"/>
      <c r="V1620" s="84" t="str">
        <f>HYPERLINK("https://pbs.twimg.com/profile_images/1441259725912350724/fhTswPtR_normal.jpg")</f>
        <v>https://pbs.twimg.com/profile_images/1441259725912350724/fhTswPtR_normal.jpg</v>
      </c>
      <c r="W1620" s="83">
        <v>44466.488645833335</v>
      </c>
      <c r="X1620" s="89">
        <v>44466</v>
      </c>
      <c r="Y1620" s="86" t="s">
        <v>3858</v>
      </c>
      <c r="Z1620" s="84" t="str">
        <f>HYPERLINK("https://twitter.com/swoozidk/status/1442454889225801743")</f>
        <v>https://twitter.com/swoozidk/status/1442454889225801743</v>
      </c>
      <c r="AA1620" s="81"/>
      <c r="AB1620" s="81"/>
      <c r="AC1620" s="86" t="s">
        <v>5332</v>
      </c>
      <c r="AD1620" s="81"/>
      <c r="AE1620" s="81" t="b">
        <v>0</v>
      </c>
      <c r="AF1620" s="81">
        <v>0</v>
      </c>
      <c r="AG1620" s="86" t="s">
        <v>6240</v>
      </c>
      <c r="AH1620" s="81" t="b">
        <v>0</v>
      </c>
      <c r="AI1620" s="81" t="s">
        <v>6478</v>
      </c>
      <c r="AJ1620" s="81"/>
      <c r="AK1620" s="86" t="s">
        <v>6240</v>
      </c>
      <c r="AL1620" s="81" t="b">
        <v>0</v>
      </c>
      <c r="AM1620" s="81">
        <v>0</v>
      </c>
      <c r="AN1620" s="86" t="s">
        <v>6240</v>
      </c>
      <c r="AO1620" s="86" t="s">
        <v>6503</v>
      </c>
      <c r="AP1620" s="81" t="b">
        <v>0</v>
      </c>
      <c r="AQ1620" s="86" t="s">
        <v>5332</v>
      </c>
      <c r="AR1620" s="81" t="s">
        <v>179</v>
      </c>
      <c r="AS1620" s="81">
        <v>0</v>
      </c>
      <c r="AT1620" s="81">
        <v>0</v>
      </c>
      <c r="AU1620" s="81"/>
      <c r="AV1620" s="81"/>
      <c r="AW1620" s="81"/>
      <c r="AX1620" s="81"/>
      <c r="AY1620" s="81"/>
      <c r="AZ1620" s="81"/>
      <c r="BA1620" s="81"/>
      <c r="BB1620" s="81"/>
    </row>
    <row r="1621" spans="1:54" x14ac:dyDescent="0.35">
      <c r="A1621" s="66" t="s">
        <v>1145</v>
      </c>
      <c r="B1621" s="66" t="s">
        <v>1144</v>
      </c>
      <c r="C1621" s="67"/>
      <c r="D1621" s="68"/>
      <c r="E1621" s="69"/>
      <c r="F1621" s="70"/>
      <c r="G1621" s="67"/>
      <c r="H1621" s="71"/>
      <c r="I1621" s="72"/>
      <c r="J1621" s="72"/>
      <c r="K1621" s="36"/>
      <c r="L1621" s="79"/>
      <c r="M1621" s="79"/>
      <c r="N1621" s="74"/>
      <c r="O1621" s="81" t="s">
        <v>1534</v>
      </c>
      <c r="P1621" s="83">
        <v>44466.490949074076</v>
      </c>
      <c r="Q1621" s="81" t="s">
        <v>2163</v>
      </c>
      <c r="R1621" s="81"/>
      <c r="S1621" s="81"/>
      <c r="T1621" s="81"/>
      <c r="U1621" s="81"/>
      <c r="V1621" s="84" t="str">
        <f>HYPERLINK("https://pbs.twimg.com/profile_images/1437210481597431808/EyrzKyw1_normal.jpg")</f>
        <v>https://pbs.twimg.com/profile_images/1437210481597431808/EyrzKyw1_normal.jpg</v>
      </c>
      <c r="W1621" s="83">
        <v>44466.490949074076</v>
      </c>
      <c r="X1621" s="89">
        <v>44466</v>
      </c>
      <c r="Y1621" s="86" t="s">
        <v>3859</v>
      </c>
      <c r="Z1621" s="84" t="str">
        <f>HYPERLINK("https://twitter.com/lcvingwoo_/status/1442455724701802497")</f>
        <v>https://twitter.com/lcvingwoo_/status/1442455724701802497</v>
      </c>
      <c r="AA1621" s="81"/>
      <c r="AB1621" s="81"/>
      <c r="AC1621" s="86" t="s">
        <v>5333</v>
      </c>
      <c r="AD1621" s="86" t="s">
        <v>5332</v>
      </c>
      <c r="AE1621" s="81" t="b">
        <v>0</v>
      </c>
      <c r="AF1621" s="81">
        <v>0</v>
      </c>
      <c r="AG1621" s="86" t="s">
        <v>6443</v>
      </c>
      <c r="AH1621" s="81" t="b">
        <v>0</v>
      </c>
      <c r="AI1621" s="81" t="s">
        <v>6478</v>
      </c>
      <c r="AJ1621" s="81"/>
      <c r="AK1621" s="86" t="s">
        <v>6240</v>
      </c>
      <c r="AL1621" s="81" t="b">
        <v>0</v>
      </c>
      <c r="AM1621" s="81">
        <v>0</v>
      </c>
      <c r="AN1621" s="86" t="s">
        <v>6240</v>
      </c>
      <c r="AO1621" s="86" t="s">
        <v>6503</v>
      </c>
      <c r="AP1621" s="81" t="b">
        <v>0</v>
      </c>
      <c r="AQ1621" s="86" t="s">
        <v>5332</v>
      </c>
      <c r="AR1621" s="81" t="s">
        <v>179</v>
      </c>
      <c r="AS1621" s="81">
        <v>0</v>
      </c>
      <c r="AT1621" s="81">
        <v>0</v>
      </c>
      <c r="AU1621" s="81"/>
      <c r="AV1621" s="81"/>
      <c r="AW1621" s="81"/>
      <c r="AX1621" s="81"/>
      <c r="AY1621" s="81"/>
      <c r="AZ1621" s="81"/>
      <c r="BA1621" s="81"/>
      <c r="BB1621" s="81"/>
    </row>
    <row r="1622" spans="1:54" x14ac:dyDescent="0.35">
      <c r="A1622" s="66" t="s">
        <v>1146</v>
      </c>
      <c r="B1622" s="66" t="s">
        <v>1315</v>
      </c>
      <c r="C1622" s="67"/>
      <c r="D1622" s="68"/>
      <c r="E1622" s="69"/>
      <c r="F1622" s="70"/>
      <c r="G1622" s="67"/>
      <c r="H1622" s="71"/>
      <c r="I1622" s="72"/>
      <c r="J1622" s="72"/>
      <c r="K1622" s="36"/>
      <c r="L1622" s="79"/>
      <c r="M1622" s="79"/>
      <c r="N1622" s="74"/>
      <c r="O1622" s="81" t="s">
        <v>1535</v>
      </c>
      <c r="P1622" s="83">
        <v>44448.171006944445</v>
      </c>
      <c r="Q1622" s="81" t="s">
        <v>1664</v>
      </c>
      <c r="R1622" s="81"/>
      <c r="S1622" s="81"/>
      <c r="T1622" s="86" t="s">
        <v>2669</v>
      </c>
      <c r="U1622" s="84" t="str">
        <f>HYPERLINK("https://pbs.twimg.com/media/E-0Lw78VIAMB9z2.jpg")</f>
        <v>https://pbs.twimg.com/media/E-0Lw78VIAMB9z2.jpg</v>
      </c>
      <c r="V1622" s="84" t="str">
        <f>HYPERLINK("https://pbs.twimg.com/media/E-0Lw78VIAMB9z2.jpg")</f>
        <v>https://pbs.twimg.com/media/E-0Lw78VIAMB9z2.jpg</v>
      </c>
      <c r="W1622" s="83">
        <v>44448.171006944445</v>
      </c>
      <c r="X1622" s="89">
        <v>44448</v>
      </c>
      <c r="Y1622" s="86" t="s">
        <v>3860</v>
      </c>
      <c r="Z1622" s="84" t="str">
        <f>HYPERLINK("https://twitter.com/telkomindonesia/status/1435816799421927424")</f>
        <v>https://twitter.com/telkomindonesia/status/1435816799421927424</v>
      </c>
      <c r="AA1622" s="81"/>
      <c r="AB1622" s="81"/>
      <c r="AC1622" s="86" t="s">
        <v>5334</v>
      </c>
      <c r="AD1622" s="81"/>
      <c r="AE1622" s="81" t="b">
        <v>0</v>
      </c>
      <c r="AF1622" s="81">
        <v>24</v>
      </c>
      <c r="AG1622" s="86" t="s">
        <v>6240</v>
      </c>
      <c r="AH1622" s="81" t="b">
        <v>0</v>
      </c>
      <c r="AI1622" s="81" t="s">
        <v>6478</v>
      </c>
      <c r="AJ1622" s="81"/>
      <c r="AK1622" s="86" t="s">
        <v>6240</v>
      </c>
      <c r="AL1622" s="81" t="b">
        <v>0</v>
      </c>
      <c r="AM1622" s="81">
        <v>44</v>
      </c>
      <c r="AN1622" s="86" t="s">
        <v>6240</v>
      </c>
      <c r="AO1622" s="86" t="s">
        <v>6505</v>
      </c>
      <c r="AP1622" s="81" t="b">
        <v>0</v>
      </c>
      <c r="AQ1622" s="86" t="s">
        <v>5334</v>
      </c>
      <c r="AR1622" s="81" t="s">
        <v>1532</v>
      </c>
      <c r="AS1622" s="81">
        <v>0</v>
      </c>
      <c r="AT1622" s="81">
        <v>0</v>
      </c>
      <c r="AU1622" s="81"/>
      <c r="AV1622" s="81"/>
      <c r="AW1622" s="81"/>
      <c r="AX1622" s="81"/>
      <c r="AY1622" s="81"/>
      <c r="AZ1622" s="81"/>
      <c r="BA1622" s="81"/>
      <c r="BB1622" s="81"/>
    </row>
    <row r="1623" spans="1:54" x14ac:dyDescent="0.35">
      <c r="A1623" s="66" t="s">
        <v>1147</v>
      </c>
      <c r="B1623" s="66" t="s">
        <v>1315</v>
      </c>
      <c r="C1623" s="67"/>
      <c r="D1623" s="68"/>
      <c r="E1623" s="69"/>
      <c r="F1623" s="70"/>
      <c r="G1623" s="67"/>
      <c r="H1623" s="71"/>
      <c r="I1623" s="72"/>
      <c r="J1623" s="72"/>
      <c r="K1623" s="36"/>
      <c r="L1623" s="79"/>
      <c r="M1623" s="79"/>
      <c r="N1623" s="74"/>
      <c r="O1623" s="81" t="s">
        <v>1535</v>
      </c>
      <c r="P1623" s="83">
        <v>44466.494629629633</v>
      </c>
      <c r="Q1623" s="81" t="s">
        <v>2164</v>
      </c>
      <c r="R1623" s="81"/>
      <c r="S1623" s="81"/>
      <c r="T1623" s="86" t="s">
        <v>2729</v>
      </c>
      <c r="U1623" s="84" t="str">
        <f>HYPERLINK("https://pbs.twimg.com/media/FASjDACVEAsFqxz.jpg")</f>
        <v>https://pbs.twimg.com/media/FASjDACVEAsFqxz.jpg</v>
      </c>
      <c r="V1623" s="84" t="str">
        <f>HYPERLINK("https://pbs.twimg.com/media/FASjDACVEAsFqxz.jpg")</f>
        <v>https://pbs.twimg.com/media/FASjDACVEAsFqxz.jpg</v>
      </c>
      <c r="W1623" s="83">
        <v>44466.494629629633</v>
      </c>
      <c r="X1623" s="89">
        <v>44466</v>
      </c>
      <c r="Y1623" s="86" t="s">
        <v>3861</v>
      </c>
      <c r="Z1623" s="84" t="str">
        <f>HYPERLINK("https://twitter.com/humasjabar/status/1442457057987227660")</f>
        <v>https://twitter.com/humasjabar/status/1442457057987227660</v>
      </c>
      <c r="AA1623" s="81"/>
      <c r="AB1623" s="81"/>
      <c r="AC1623" s="86" t="s">
        <v>5335</v>
      </c>
      <c r="AD1623" s="81"/>
      <c r="AE1623" s="81" t="b">
        <v>0</v>
      </c>
      <c r="AF1623" s="81">
        <v>4</v>
      </c>
      <c r="AG1623" s="86" t="s">
        <v>6240</v>
      </c>
      <c r="AH1623" s="81" t="b">
        <v>0</v>
      </c>
      <c r="AI1623" s="81" t="s">
        <v>6478</v>
      </c>
      <c r="AJ1623" s="81"/>
      <c r="AK1623" s="86" t="s">
        <v>6240</v>
      </c>
      <c r="AL1623" s="81" t="b">
        <v>0</v>
      </c>
      <c r="AM1623" s="81">
        <v>0</v>
      </c>
      <c r="AN1623" s="86" t="s">
        <v>6240</v>
      </c>
      <c r="AO1623" s="86" t="s">
        <v>6505</v>
      </c>
      <c r="AP1623" s="81" t="b">
        <v>0</v>
      </c>
      <c r="AQ1623" s="86" t="s">
        <v>5335</v>
      </c>
      <c r="AR1623" s="81" t="s">
        <v>179</v>
      </c>
      <c r="AS1623" s="81">
        <v>0</v>
      </c>
      <c r="AT1623" s="81">
        <v>0</v>
      </c>
      <c r="AU1623" s="81"/>
      <c r="AV1623" s="81"/>
      <c r="AW1623" s="81"/>
      <c r="AX1623" s="81"/>
      <c r="AY1623" s="81"/>
      <c r="AZ1623" s="81"/>
      <c r="BA1623" s="81"/>
      <c r="BB1623" s="81"/>
    </row>
    <row r="1624" spans="1:54" x14ac:dyDescent="0.35">
      <c r="A1624" s="66" t="s">
        <v>1148</v>
      </c>
      <c r="B1624" s="66" t="s">
        <v>1493</v>
      </c>
      <c r="C1624" s="67"/>
      <c r="D1624" s="68"/>
      <c r="E1624" s="69"/>
      <c r="F1624" s="70"/>
      <c r="G1624" s="67"/>
      <c r="H1624" s="71"/>
      <c r="I1624" s="72"/>
      <c r="J1624" s="72"/>
      <c r="K1624" s="36"/>
      <c r="L1624" s="79"/>
      <c r="M1624" s="79"/>
      <c r="N1624" s="74"/>
      <c r="O1624" s="81" t="s">
        <v>1534</v>
      </c>
      <c r="P1624" s="83">
        <v>44466.501585648148</v>
      </c>
      <c r="Q1624" s="81" t="s">
        <v>2165</v>
      </c>
      <c r="R1624" s="81"/>
      <c r="S1624" s="81"/>
      <c r="T1624" s="81"/>
      <c r="U1624" s="81"/>
      <c r="V1624" s="84" t="str">
        <f>HYPERLINK("https://pbs.twimg.com/profile_images/1022491401689300992/z39-NKi0_normal.jpg")</f>
        <v>https://pbs.twimg.com/profile_images/1022491401689300992/z39-NKi0_normal.jpg</v>
      </c>
      <c r="W1624" s="83">
        <v>44466.501585648148</v>
      </c>
      <c r="X1624" s="89">
        <v>44466</v>
      </c>
      <c r="Y1624" s="86" t="s">
        <v>3862</v>
      </c>
      <c r="Z1624" s="84" t="str">
        <f>HYPERLINK("https://twitter.com/repkemanz/status/1442459576800997378")</f>
        <v>https://twitter.com/repkemanz/status/1442459576800997378</v>
      </c>
      <c r="AA1624" s="81"/>
      <c r="AB1624" s="81"/>
      <c r="AC1624" s="86" t="s">
        <v>5336</v>
      </c>
      <c r="AD1624" s="86" t="s">
        <v>6194</v>
      </c>
      <c r="AE1624" s="81" t="b">
        <v>0</v>
      </c>
      <c r="AF1624" s="81">
        <v>0</v>
      </c>
      <c r="AG1624" s="86" t="s">
        <v>6444</v>
      </c>
      <c r="AH1624" s="81" t="b">
        <v>0</v>
      </c>
      <c r="AI1624" s="81" t="s">
        <v>6478</v>
      </c>
      <c r="AJ1624" s="81"/>
      <c r="AK1624" s="86" t="s">
        <v>6240</v>
      </c>
      <c r="AL1624" s="81" t="b">
        <v>0</v>
      </c>
      <c r="AM1624" s="81">
        <v>0</v>
      </c>
      <c r="AN1624" s="86" t="s">
        <v>6240</v>
      </c>
      <c r="AO1624" s="86" t="s">
        <v>6503</v>
      </c>
      <c r="AP1624" s="81" t="b">
        <v>0</v>
      </c>
      <c r="AQ1624" s="86" t="s">
        <v>6194</v>
      </c>
      <c r="AR1624" s="81" t="s">
        <v>179</v>
      </c>
      <c r="AS1624" s="81">
        <v>0</v>
      </c>
      <c r="AT1624" s="81">
        <v>0</v>
      </c>
      <c r="AU1624" s="81"/>
      <c r="AV1624" s="81"/>
      <c r="AW1624" s="81"/>
      <c r="AX1624" s="81"/>
      <c r="AY1624" s="81"/>
      <c r="AZ1624" s="81"/>
      <c r="BA1624" s="81"/>
      <c r="BB1624" s="81"/>
    </row>
    <row r="1625" spans="1:54" x14ac:dyDescent="0.35">
      <c r="A1625" s="66" t="s">
        <v>1149</v>
      </c>
      <c r="B1625" s="66" t="s">
        <v>1215</v>
      </c>
      <c r="C1625" s="67"/>
      <c r="D1625" s="68"/>
      <c r="E1625" s="69"/>
      <c r="F1625" s="70"/>
      <c r="G1625" s="67"/>
      <c r="H1625" s="71"/>
      <c r="I1625" s="72"/>
      <c r="J1625" s="72"/>
      <c r="K1625" s="36"/>
      <c r="L1625" s="79"/>
      <c r="M1625" s="79"/>
      <c r="N1625" s="74"/>
      <c r="O1625" s="81" t="s">
        <v>1532</v>
      </c>
      <c r="P1625" s="83">
        <v>44466.503171296295</v>
      </c>
      <c r="Q1625" s="81" t="s">
        <v>2154</v>
      </c>
      <c r="R1625" s="81"/>
      <c r="S1625" s="81"/>
      <c r="T1625" s="81"/>
      <c r="U1625" s="84" t="str">
        <f>HYPERLINK("https://pbs.twimg.com/media/FASHjEnUcAMSLOM.jpg")</f>
        <v>https://pbs.twimg.com/media/FASHjEnUcAMSLOM.jpg</v>
      </c>
      <c r="V1625" s="84" t="str">
        <f>HYPERLINK("https://pbs.twimg.com/media/FASHjEnUcAMSLOM.jpg")</f>
        <v>https://pbs.twimg.com/media/FASHjEnUcAMSLOM.jpg</v>
      </c>
      <c r="W1625" s="83">
        <v>44466.503171296295</v>
      </c>
      <c r="X1625" s="89">
        <v>44466</v>
      </c>
      <c r="Y1625" s="86" t="s">
        <v>3863</v>
      </c>
      <c r="Z1625" s="84" t="str">
        <f>HYPERLINK("https://twitter.com/ide2nesia/status/1442460150082641920")</f>
        <v>https://twitter.com/ide2nesia/status/1442460150082641920</v>
      </c>
      <c r="AA1625" s="81"/>
      <c r="AB1625" s="81"/>
      <c r="AC1625" s="86" t="s">
        <v>5337</v>
      </c>
      <c r="AD1625" s="81"/>
      <c r="AE1625" s="81" t="b">
        <v>0</v>
      </c>
      <c r="AF1625" s="81">
        <v>0</v>
      </c>
      <c r="AG1625" s="86" t="s">
        <v>6240</v>
      </c>
      <c r="AH1625" s="81" t="b">
        <v>0</v>
      </c>
      <c r="AI1625" s="81" t="s">
        <v>6478</v>
      </c>
      <c r="AJ1625" s="81"/>
      <c r="AK1625" s="86" t="s">
        <v>6240</v>
      </c>
      <c r="AL1625" s="81" t="b">
        <v>0</v>
      </c>
      <c r="AM1625" s="81">
        <v>9</v>
      </c>
      <c r="AN1625" s="86" t="s">
        <v>5410</v>
      </c>
      <c r="AO1625" s="86" t="s">
        <v>6507</v>
      </c>
      <c r="AP1625" s="81" t="b">
        <v>0</v>
      </c>
      <c r="AQ1625" s="86" t="s">
        <v>5410</v>
      </c>
      <c r="AR1625" s="81" t="s">
        <v>179</v>
      </c>
      <c r="AS1625" s="81">
        <v>0</v>
      </c>
      <c r="AT1625" s="81">
        <v>0</v>
      </c>
      <c r="AU1625" s="81"/>
      <c r="AV1625" s="81"/>
      <c r="AW1625" s="81"/>
      <c r="AX1625" s="81"/>
      <c r="AY1625" s="81"/>
      <c r="AZ1625" s="81"/>
      <c r="BA1625" s="81"/>
      <c r="BB1625" s="81"/>
    </row>
    <row r="1626" spans="1:54" x14ac:dyDescent="0.35">
      <c r="A1626" s="66" t="s">
        <v>1150</v>
      </c>
      <c r="B1626" s="66" t="s">
        <v>1161</v>
      </c>
      <c r="C1626" s="67"/>
      <c r="D1626" s="68"/>
      <c r="E1626" s="69"/>
      <c r="F1626" s="70"/>
      <c r="G1626" s="67"/>
      <c r="H1626" s="71"/>
      <c r="I1626" s="72"/>
      <c r="J1626" s="72"/>
      <c r="K1626" s="36"/>
      <c r="L1626" s="79"/>
      <c r="M1626" s="79"/>
      <c r="N1626" s="74"/>
      <c r="O1626" s="81" t="s">
        <v>1532</v>
      </c>
      <c r="P1626" s="83">
        <v>44466.505208333336</v>
      </c>
      <c r="Q1626" s="81" t="s">
        <v>2126</v>
      </c>
      <c r="R1626" s="81"/>
      <c r="S1626" s="81"/>
      <c r="T1626" s="81"/>
      <c r="U1626" s="84" t="str">
        <f>HYPERLINK("https://pbs.twimg.com/media/FAR4jYnVQAUmrbm.jpg")</f>
        <v>https://pbs.twimg.com/media/FAR4jYnVQAUmrbm.jpg</v>
      </c>
      <c r="V1626" s="84" t="str">
        <f>HYPERLINK("https://pbs.twimg.com/media/FAR4jYnVQAUmrbm.jpg")</f>
        <v>https://pbs.twimg.com/media/FAR4jYnVQAUmrbm.jpg</v>
      </c>
      <c r="W1626" s="83">
        <v>44466.505208333336</v>
      </c>
      <c r="X1626" s="89">
        <v>44466</v>
      </c>
      <c r="Y1626" s="86" t="s">
        <v>3864</v>
      </c>
      <c r="Z1626" s="84" t="str">
        <f>HYPERLINK("https://twitter.com/mudha_satriya/status/1442460889253236747")</f>
        <v>https://twitter.com/mudha_satriya/status/1442460889253236747</v>
      </c>
      <c r="AA1626" s="81"/>
      <c r="AB1626" s="81"/>
      <c r="AC1626" s="86" t="s">
        <v>5338</v>
      </c>
      <c r="AD1626" s="81"/>
      <c r="AE1626" s="81" t="b">
        <v>0</v>
      </c>
      <c r="AF1626" s="81">
        <v>0</v>
      </c>
      <c r="AG1626" s="86" t="s">
        <v>6240</v>
      </c>
      <c r="AH1626" s="81" t="b">
        <v>0</v>
      </c>
      <c r="AI1626" s="81" t="s">
        <v>6478</v>
      </c>
      <c r="AJ1626" s="81"/>
      <c r="AK1626" s="86" t="s">
        <v>6240</v>
      </c>
      <c r="AL1626" s="81" t="b">
        <v>0</v>
      </c>
      <c r="AM1626" s="81">
        <v>13</v>
      </c>
      <c r="AN1626" s="86" t="s">
        <v>5350</v>
      </c>
      <c r="AO1626" s="86" t="s">
        <v>6503</v>
      </c>
      <c r="AP1626" s="81" t="b">
        <v>0</v>
      </c>
      <c r="AQ1626" s="86" t="s">
        <v>5350</v>
      </c>
      <c r="AR1626" s="81" t="s">
        <v>179</v>
      </c>
      <c r="AS1626" s="81">
        <v>0</v>
      </c>
      <c r="AT1626" s="81">
        <v>0</v>
      </c>
      <c r="AU1626" s="81"/>
      <c r="AV1626" s="81"/>
      <c r="AW1626" s="81"/>
      <c r="AX1626" s="81"/>
      <c r="AY1626" s="81"/>
      <c r="AZ1626" s="81"/>
      <c r="BA1626" s="81"/>
      <c r="BB1626" s="81"/>
    </row>
    <row r="1627" spans="1:54" x14ac:dyDescent="0.35">
      <c r="A1627" s="66" t="s">
        <v>1151</v>
      </c>
      <c r="B1627" s="66" t="s">
        <v>1151</v>
      </c>
      <c r="C1627" s="67"/>
      <c r="D1627" s="68"/>
      <c r="E1627" s="69"/>
      <c r="F1627" s="70"/>
      <c r="G1627" s="67"/>
      <c r="H1627" s="71"/>
      <c r="I1627" s="72"/>
      <c r="J1627" s="72"/>
      <c r="K1627" s="36"/>
      <c r="L1627" s="79"/>
      <c r="M1627" s="79"/>
      <c r="N1627" s="74"/>
      <c r="O1627" s="81" t="s">
        <v>179</v>
      </c>
      <c r="P1627" s="83">
        <v>44466.506782407407</v>
      </c>
      <c r="Q1627" s="81" t="s">
        <v>2166</v>
      </c>
      <c r="R1627" s="81"/>
      <c r="S1627" s="81"/>
      <c r="T1627" s="81"/>
      <c r="U1627" s="81"/>
      <c r="V1627" s="84" t="str">
        <f>HYPERLINK("https://pbs.twimg.com/profile_images/1438432618953928705/X21tt8HN_normal.jpg")</f>
        <v>https://pbs.twimg.com/profile_images/1438432618953928705/X21tt8HN_normal.jpg</v>
      </c>
      <c r="W1627" s="83">
        <v>44466.506782407407</v>
      </c>
      <c r="X1627" s="89">
        <v>44466</v>
      </c>
      <c r="Y1627" s="86" t="s">
        <v>3865</v>
      </c>
      <c r="Z1627" s="84" t="str">
        <f>HYPERLINK("https://twitter.com/nikfaez_/status/1442461458965536774")</f>
        <v>https://twitter.com/nikfaez_/status/1442461458965536774</v>
      </c>
      <c r="AA1627" s="81"/>
      <c r="AB1627" s="81"/>
      <c r="AC1627" s="86" t="s">
        <v>5339</v>
      </c>
      <c r="AD1627" s="81"/>
      <c r="AE1627" s="81" t="b">
        <v>0</v>
      </c>
      <c r="AF1627" s="81">
        <v>0</v>
      </c>
      <c r="AG1627" s="86" t="s">
        <v>6240</v>
      </c>
      <c r="AH1627" s="81" t="b">
        <v>0</v>
      </c>
      <c r="AI1627" s="81" t="s">
        <v>6478</v>
      </c>
      <c r="AJ1627" s="81"/>
      <c r="AK1627" s="86" t="s">
        <v>6240</v>
      </c>
      <c r="AL1627" s="81" t="b">
        <v>0</v>
      </c>
      <c r="AM1627" s="81">
        <v>0</v>
      </c>
      <c r="AN1627" s="86" t="s">
        <v>6240</v>
      </c>
      <c r="AO1627" s="86" t="s">
        <v>6503</v>
      </c>
      <c r="AP1627" s="81" t="b">
        <v>0</v>
      </c>
      <c r="AQ1627" s="86" t="s">
        <v>5339</v>
      </c>
      <c r="AR1627" s="81" t="s">
        <v>179</v>
      </c>
      <c r="AS1627" s="81">
        <v>0</v>
      </c>
      <c r="AT1627" s="81">
        <v>0</v>
      </c>
      <c r="AU1627" s="81"/>
      <c r="AV1627" s="81"/>
      <c r="AW1627" s="81"/>
      <c r="AX1627" s="81"/>
      <c r="AY1627" s="81"/>
      <c r="AZ1627" s="81"/>
      <c r="BA1627" s="81"/>
      <c r="BB1627" s="81"/>
    </row>
    <row r="1628" spans="1:54" x14ac:dyDescent="0.35">
      <c r="A1628" s="66" t="s">
        <v>1152</v>
      </c>
      <c r="B1628" s="66" t="s">
        <v>1494</v>
      </c>
      <c r="C1628" s="67"/>
      <c r="D1628" s="68"/>
      <c r="E1628" s="69"/>
      <c r="F1628" s="70"/>
      <c r="G1628" s="67"/>
      <c r="H1628" s="71"/>
      <c r="I1628" s="72"/>
      <c r="J1628" s="72"/>
      <c r="K1628" s="36"/>
      <c r="L1628" s="79"/>
      <c r="M1628" s="79"/>
      <c r="N1628" s="74"/>
      <c r="O1628" s="81" t="s">
        <v>1534</v>
      </c>
      <c r="P1628" s="83">
        <v>44466.516782407409</v>
      </c>
      <c r="Q1628" s="81" t="s">
        <v>2167</v>
      </c>
      <c r="R1628" s="81"/>
      <c r="S1628" s="81"/>
      <c r="T1628" s="81"/>
      <c r="U1628" s="81"/>
      <c r="V1628" s="84" t="str">
        <f>HYPERLINK("https://pbs.twimg.com/profile_images/1401628124417167361/jKslQbMv_normal.jpg")</f>
        <v>https://pbs.twimg.com/profile_images/1401628124417167361/jKslQbMv_normal.jpg</v>
      </c>
      <c r="W1628" s="83">
        <v>44466.516782407409</v>
      </c>
      <c r="X1628" s="89">
        <v>44466</v>
      </c>
      <c r="Y1628" s="86" t="s">
        <v>3866</v>
      </c>
      <c r="Z1628" s="84" t="str">
        <f>HYPERLINK("https://twitter.com/marwansr/status/1442465083129401348")</f>
        <v>https://twitter.com/marwansr/status/1442465083129401348</v>
      </c>
      <c r="AA1628" s="81"/>
      <c r="AB1628" s="81"/>
      <c r="AC1628" s="86" t="s">
        <v>5340</v>
      </c>
      <c r="AD1628" s="81"/>
      <c r="AE1628" s="81" t="b">
        <v>0</v>
      </c>
      <c r="AF1628" s="81">
        <v>0</v>
      </c>
      <c r="AG1628" s="86" t="s">
        <v>6445</v>
      </c>
      <c r="AH1628" s="81" t="b">
        <v>0</v>
      </c>
      <c r="AI1628" s="81" t="s">
        <v>6478</v>
      </c>
      <c r="AJ1628" s="81"/>
      <c r="AK1628" s="86" t="s">
        <v>6240</v>
      </c>
      <c r="AL1628" s="81" t="b">
        <v>0</v>
      </c>
      <c r="AM1628" s="81">
        <v>0</v>
      </c>
      <c r="AN1628" s="86" t="s">
        <v>6240</v>
      </c>
      <c r="AO1628" s="86" t="s">
        <v>6503</v>
      </c>
      <c r="AP1628" s="81" t="b">
        <v>0</v>
      </c>
      <c r="AQ1628" s="86" t="s">
        <v>5340</v>
      </c>
      <c r="AR1628" s="81" t="s">
        <v>179</v>
      </c>
      <c r="AS1628" s="81">
        <v>0</v>
      </c>
      <c r="AT1628" s="81">
        <v>0</v>
      </c>
      <c r="AU1628" s="81"/>
      <c r="AV1628" s="81"/>
      <c r="AW1628" s="81"/>
      <c r="AX1628" s="81"/>
      <c r="AY1628" s="81"/>
      <c r="AZ1628" s="81"/>
      <c r="BA1628" s="81"/>
      <c r="BB1628" s="81"/>
    </row>
    <row r="1629" spans="1:54" x14ac:dyDescent="0.35">
      <c r="A1629" s="66" t="s">
        <v>1152</v>
      </c>
      <c r="B1629" s="66" t="s">
        <v>1232</v>
      </c>
      <c r="C1629" s="67"/>
      <c r="D1629" s="68"/>
      <c r="E1629" s="69"/>
      <c r="F1629" s="70"/>
      <c r="G1629" s="67"/>
      <c r="H1629" s="71"/>
      <c r="I1629" s="72"/>
      <c r="J1629" s="72"/>
      <c r="K1629" s="36"/>
      <c r="L1629" s="79"/>
      <c r="M1629" s="79"/>
      <c r="N1629" s="74"/>
      <c r="O1629" s="81" t="s">
        <v>1534</v>
      </c>
      <c r="P1629" s="83">
        <v>44466.48878472222</v>
      </c>
      <c r="Q1629" s="81" t="s">
        <v>2168</v>
      </c>
      <c r="R1629" s="81"/>
      <c r="S1629" s="81"/>
      <c r="T1629" s="81"/>
      <c r="U1629" s="81"/>
      <c r="V1629" s="84" t="str">
        <f>HYPERLINK("https://pbs.twimg.com/profile_images/1401628124417167361/jKslQbMv_normal.jpg")</f>
        <v>https://pbs.twimg.com/profile_images/1401628124417167361/jKslQbMv_normal.jpg</v>
      </c>
      <c r="W1629" s="83">
        <v>44466.48878472222</v>
      </c>
      <c r="X1629" s="89">
        <v>44466</v>
      </c>
      <c r="Y1629" s="86" t="s">
        <v>3867</v>
      </c>
      <c r="Z1629" s="84" t="str">
        <f>HYPERLINK("https://twitter.com/marwansr/status/1442454937351245833")</f>
        <v>https://twitter.com/marwansr/status/1442454937351245833</v>
      </c>
      <c r="AA1629" s="81"/>
      <c r="AB1629" s="81"/>
      <c r="AC1629" s="86" t="s">
        <v>5341</v>
      </c>
      <c r="AD1629" s="81"/>
      <c r="AE1629" s="81" t="b">
        <v>0</v>
      </c>
      <c r="AF1629" s="81">
        <v>0</v>
      </c>
      <c r="AG1629" s="86" t="s">
        <v>6352</v>
      </c>
      <c r="AH1629" s="81" t="b">
        <v>0</v>
      </c>
      <c r="AI1629" s="81" t="s">
        <v>6478</v>
      </c>
      <c r="AJ1629" s="81"/>
      <c r="AK1629" s="86" t="s">
        <v>6240</v>
      </c>
      <c r="AL1629" s="81" t="b">
        <v>0</v>
      </c>
      <c r="AM1629" s="81">
        <v>0</v>
      </c>
      <c r="AN1629" s="86" t="s">
        <v>6240</v>
      </c>
      <c r="AO1629" s="86" t="s">
        <v>6503</v>
      </c>
      <c r="AP1629" s="81" t="b">
        <v>0</v>
      </c>
      <c r="AQ1629" s="86" t="s">
        <v>5341</v>
      </c>
      <c r="AR1629" s="81" t="s">
        <v>179</v>
      </c>
      <c r="AS1629" s="81">
        <v>0</v>
      </c>
      <c r="AT1629" s="81">
        <v>0</v>
      </c>
      <c r="AU1629" s="81"/>
      <c r="AV1629" s="81"/>
      <c r="AW1629" s="81"/>
      <c r="AX1629" s="81"/>
      <c r="AY1629" s="81"/>
      <c r="AZ1629" s="81"/>
      <c r="BA1629" s="81"/>
      <c r="BB1629" s="81"/>
    </row>
    <row r="1630" spans="1:54" x14ac:dyDescent="0.35">
      <c r="A1630" s="66" t="s">
        <v>1153</v>
      </c>
      <c r="B1630" s="66" t="s">
        <v>1153</v>
      </c>
      <c r="C1630" s="67"/>
      <c r="D1630" s="68"/>
      <c r="E1630" s="69"/>
      <c r="F1630" s="70"/>
      <c r="G1630" s="67"/>
      <c r="H1630" s="71"/>
      <c r="I1630" s="72"/>
      <c r="J1630" s="72"/>
      <c r="K1630" s="36"/>
      <c r="L1630" s="79"/>
      <c r="M1630" s="79"/>
      <c r="N1630" s="74"/>
      <c r="O1630" s="81" t="s">
        <v>179</v>
      </c>
      <c r="P1630" s="83">
        <v>44466.519305555557</v>
      </c>
      <c r="Q1630" s="81" t="s">
        <v>2169</v>
      </c>
      <c r="R1630" s="81"/>
      <c r="S1630" s="81"/>
      <c r="T1630" s="86" t="s">
        <v>2730</v>
      </c>
      <c r="U1630" s="84" t="str">
        <f>HYPERLINK("https://pbs.twimg.com/media/FASrLT7VIAkzMD9.jpg")</f>
        <v>https://pbs.twimg.com/media/FASrLT7VIAkzMD9.jpg</v>
      </c>
      <c r="V1630" s="84" t="str">
        <f>HYPERLINK("https://pbs.twimg.com/media/FASrLT7VIAkzMD9.jpg")</f>
        <v>https://pbs.twimg.com/media/FASrLT7VIAkzMD9.jpg</v>
      </c>
      <c r="W1630" s="83">
        <v>44466.519305555557</v>
      </c>
      <c r="X1630" s="89">
        <v>44466</v>
      </c>
      <c r="Y1630" s="86" t="s">
        <v>3868</v>
      </c>
      <c r="Z1630" s="84" t="str">
        <f>HYPERLINK("https://twitter.com/djppikominfo/status/1442465998649511945")</f>
        <v>https://twitter.com/djppikominfo/status/1442465998649511945</v>
      </c>
      <c r="AA1630" s="81"/>
      <c r="AB1630" s="81"/>
      <c r="AC1630" s="86" t="s">
        <v>5342</v>
      </c>
      <c r="AD1630" s="81"/>
      <c r="AE1630" s="81" t="b">
        <v>0</v>
      </c>
      <c r="AF1630" s="81">
        <v>0</v>
      </c>
      <c r="AG1630" s="86" t="s">
        <v>6240</v>
      </c>
      <c r="AH1630" s="81" t="b">
        <v>0</v>
      </c>
      <c r="AI1630" s="81" t="s">
        <v>6478</v>
      </c>
      <c r="AJ1630" s="81"/>
      <c r="AK1630" s="86" t="s">
        <v>6240</v>
      </c>
      <c r="AL1630" s="81" t="b">
        <v>0</v>
      </c>
      <c r="AM1630" s="81">
        <v>0</v>
      </c>
      <c r="AN1630" s="86" t="s">
        <v>6240</v>
      </c>
      <c r="AO1630" s="86" t="s">
        <v>6505</v>
      </c>
      <c r="AP1630" s="81" t="b">
        <v>0</v>
      </c>
      <c r="AQ1630" s="86" t="s">
        <v>5342</v>
      </c>
      <c r="AR1630" s="81" t="s">
        <v>179</v>
      </c>
      <c r="AS1630" s="81">
        <v>0</v>
      </c>
      <c r="AT1630" s="81">
        <v>0</v>
      </c>
      <c r="AU1630" s="81"/>
      <c r="AV1630" s="81"/>
      <c r="AW1630" s="81"/>
      <c r="AX1630" s="81"/>
      <c r="AY1630" s="81"/>
      <c r="AZ1630" s="81"/>
      <c r="BA1630" s="81"/>
      <c r="BB1630" s="81"/>
    </row>
    <row r="1631" spans="1:54" x14ac:dyDescent="0.35">
      <c r="A1631" s="66" t="s">
        <v>1154</v>
      </c>
      <c r="B1631" s="66" t="s">
        <v>1154</v>
      </c>
      <c r="C1631" s="67"/>
      <c r="D1631" s="68"/>
      <c r="E1631" s="69"/>
      <c r="F1631" s="70"/>
      <c r="G1631" s="67"/>
      <c r="H1631" s="71"/>
      <c r="I1631" s="72"/>
      <c r="J1631" s="72"/>
      <c r="K1631" s="36"/>
      <c r="L1631" s="79"/>
      <c r="M1631" s="79"/>
      <c r="N1631" s="74"/>
      <c r="O1631" s="81" t="s">
        <v>179</v>
      </c>
      <c r="P1631" s="83">
        <v>44466.519467592596</v>
      </c>
      <c r="Q1631" s="81" t="s">
        <v>2170</v>
      </c>
      <c r="R1631" s="81"/>
      <c r="S1631" s="81"/>
      <c r="T1631" s="81"/>
      <c r="U1631" s="81"/>
      <c r="V1631" s="84" t="str">
        <f>HYPERLINK("https://pbs.twimg.com/profile_images/1438541233249394698/xzEkQyB7_normal.jpg")</f>
        <v>https://pbs.twimg.com/profile_images/1438541233249394698/xzEkQyB7_normal.jpg</v>
      </c>
      <c r="W1631" s="83">
        <v>44466.519467592596</v>
      </c>
      <c r="X1631" s="89">
        <v>44466</v>
      </c>
      <c r="Y1631" s="86" t="s">
        <v>3869</v>
      </c>
      <c r="Z1631" s="84" t="str">
        <f>HYPERLINK("https://twitter.com/joshyyyy111/status/1442466055654305802")</f>
        <v>https://twitter.com/joshyyyy111/status/1442466055654305802</v>
      </c>
      <c r="AA1631" s="81"/>
      <c r="AB1631" s="81"/>
      <c r="AC1631" s="86" t="s">
        <v>5343</v>
      </c>
      <c r="AD1631" s="86" t="s">
        <v>6195</v>
      </c>
      <c r="AE1631" s="81" t="b">
        <v>0</v>
      </c>
      <c r="AF1631" s="81">
        <v>0</v>
      </c>
      <c r="AG1631" s="86" t="s">
        <v>6446</v>
      </c>
      <c r="AH1631" s="81" t="b">
        <v>0</v>
      </c>
      <c r="AI1631" s="81" t="s">
        <v>6488</v>
      </c>
      <c r="AJ1631" s="81"/>
      <c r="AK1631" s="86" t="s">
        <v>6240</v>
      </c>
      <c r="AL1631" s="81" t="b">
        <v>0</v>
      </c>
      <c r="AM1631" s="81">
        <v>0</v>
      </c>
      <c r="AN1631" s="86" t="s">
        <v>6240</v>
      </c>
      <c r="AO1631" s="86" t="s">
        <v>6505</v>
      </c>
      <c r="AP1631" s="81" t="b">
        <v>0</v>
      </c>
      <c r="AQ1631" s="86" t="s">
        <v>6195</v>
      </c>
      <c r="AR1631" s="81" t="s">
        <v>179</v>
      </c>
      <c r="AS1631" s="81">
        <v>0</v>
      </c>
      <c r="AT1631" s="81">
        <v>0</v>
      </c>
      <c r="AU1631" s="81"/>
      <c r="AV1631" s="81"/>
      <c r="AW1631" s="81"/>
      <c r="AX1631" s="81"/>
      <c r="AY1631" s="81"/>
      <c r="AZ1631" s="81"/>
      <c r="BA1631" s="81"/>
      <c r="BB1631" s="81"/>
    </row>
    <row r="1632" spans="1:54" x14ac:dyDescent="0.35">
      <c r="A1632" s="66" t="s">
        <v>1155</v>
      </c>
      <c r="B1632" s="66" t="s">
        <v>1155</v>
      </c>
      <c r="C1632" s="67"/>
      <c r="D1632" s="68"/>
      <c r="E1632" s="69"/>
      <c r="F1632" s="70"/>
      <c r="G1632" s="67"/>
      <c r="H1632" s="71"/>
      <c r="I1632" s="72"/>
      <c r="J1632" s="72"/>
      <c r="K1632" s="36"/>
      <c r="L1632" s="79"/>
      <c r="M1632" s="79"/>
      <c r="N1632" s="74"/>
      <c r="O1632" s="81" t="s">
        <v>179</v>
      </c>
      <c r="P1632" s="83">
        <v>44466.527719907404</v>
      </c>
      <c r="Q1632" s="81" t="s">
        <v>2171</v>
      </c>
      <c r="R1632" s="81"/>
      <c r="S1632" s="81"/>
      <c r="T1632" s="81"/>
      <c r="U1632" s="84" t="str">
        <f>HYPERLINK("https://pbs.twimg.com/media/FASt8kaVIAAX3XX.jpg")</f>
        <v>https://pbs.twimg.com/media/FASt8kaVIAAX3XX.jpg</v>
      </c>
      <c r="V1632" s="84" t="str">
        <f>HYPERLINK("https://pbs.twimg.com/media/FASt8kaVIAAX3XX.jpg")</f>
        <v>https://pbs.twimg.com/media/FASt8kaVIAAX3XX.jpg</v>
      </c>
      <c r="W1632" s="83">
        <v>44466.527719907404</v>
      </c>
      <c r="X1632" s="89">
        <v>44466</v>
      </c>
      <c r="Y1632" s="86" t="s">
        <v>3870</v>
      </c>
      <c r="Z1632" s="84" t="str">
        <f>HYPERLINK("https://twitter.com/polresrembang86/status/1442469047640018944")</f>
        <v>https://twitter.com/polresrembang86/status/1442469047640018944</v>
      </c>
      <c r="AA1632" s="81"/>
      <c r="AB1632" s="81"/>
      <c r="AC1632" s="86" t="s">
        <v>5344</v>
      </c>
      <c r="AD1632" s="81"/>
      <c r="AE1632" s="81" t="b">
        <v>0</v>
      </c>
      <c r="AF1632" s="81">
        <v>0</v>
      </c>
      <c r="AG1632" s="86" t="s">
        <v>6240</v>
      </c>
      <c r="AH1632" s="81" t="b">
        <v>0</v>
      </c>
      <c r="AI1632" s="81" t="s">
        <v>6478</v>
      </c>
      <c r="AJ1632" s="81"/>
      <c r="AK1632" s="86" t="s">
        <v>6240</v>
      </c>
      <c r="AL1632" s="81" t="b">
        <v>0</v>
      </c>
      <c r="AM1632" s="81">
        <v>0</v>
      </c>
      <c r="AN1632" s="86" t="s">
        <v>6240</v>
      </c>
      <c r="AO1632" s="86" t="s">
        <v>6503</v>
      </c>
      <c r="AP1632" s="81" t="b">
        <v>0</v>
      </c>
      <c r="AQ1632" s="86" t="s">
        <v>5344</v>
      </c>
      <c r="AR1632" s="81" t="s">
        <v>179</v>
      </c>
      <c r="AS1632" s="81">
        <v>0</v>
      </c>
      <c r="AT1632" s="81">
        <v>0</v>
      </c>
      <c r="AU1632" s="81"/>
      <c r="AV1632" s="81"/>
      <c r="AW1632" s="81"/>
      <c r="AX1632" s="81"/>
      <c r="AY1632" s="81"/>
      <c r="AZ1632" s="81"/>
      <c r="BA1632" s="81"/>
      <c r="BB1632" s="81"/>
    </row>
    <row r="1633" spans="1:54" x14ac:dyDescent="0.35">
      <c r="A1633" s="66" t="s">
        <v>1156</v>
      </c>
      <c r="B1633" s="66" t="s">
        <v>1215</v>
      </c>
      <c r="C1633" s="67"/>
      <c r="D1633" s="68"/>
      <c r="E1633" s="69"/>
      <c r="F1633" s="70"/>
      <c r="G1633" s="67"/>
      <c r="H1633" s="71"/>
      <c r="I1633" s="72"/>
      <c r="J1633" s="72"/>
      <c r="K1633" s="36"/>
      <c r="L1633" s="79"/>
      <c r="M1633" s="79"/>
      <c r="N1633" s="74"/>
      <c r="O1633" s="81" t="s">
        <v>1532</v>
      </c>
      <c r="P1633" s="83">
        <v>44466.543391203704</v>
      </c>
      <c r="Q1633" s="81" t="s">
        <v>2154</v>
      </c>
      <c r="R1633" s="81"/>
      <c r="S1633" s="81"/>
      <c r="T1633" s="81"/>
      <c r="U1633" s="84" t="str">
        <f>HYPERLINK("https://pbs.twimg.com/media/FASHjEnUcAMSLOM.jpg")</f>
        <v>https://pbs.twimg.com/media/FASHjEnUcAMSLOM.jpg</v>
      </c>
      <c r="V1633" s="84" t="str">
        <f>HYPERLINK("https://pbs.twimg.com/media/FASHjEnUcAMSLOM.jpg")</f>
        <v>https://pbs.twimg.com/media/FASHjEnUcAMSLOM.jpg</v>
      </c>
      <c r="W1633" s="83">
        <v>44466.543391203704</v>
      </c>
      <c r="X1633" s="89">
        <v>44466</v>
      </c>
      <c r="Y1633" s="86" t="s">
        <v>3871</v>
      </c>
      <c r="Z1633" s="84" t="str">
        <f>HYPERLINK("https://twitter.com/gojekmilitan/status/1442474725108711436")</f>
        <v>https://twitter.com/gojekmilitan/status/1442474725108711436</v>
      </c>
      <c r="AA1633" s="81"/>
      <c r="AB1633" s="81"/>
      <c r="AC1633" s="86" t="s">
        <v>5345</v>
      </c>
      <c r="AD1633" s="81"/>
      <c r="AE1633" s="81" t="b">
        <v>0</v>
      </c>
      <c r="AF1633" s="81">
        <v>0</v>
      </c>
      <c r="AG1633" s="86" t="s">
        <v>6240</v>
      </c>
      <c r="AH1633" s="81" t="b">
        <v>0</v>
      </c>
      <c r="AI1633" s="81" t="s">
        <v>6478</v>
      </c>
      <c r="AJ1633" s="81"/>
      <c r="AK1633" s="86" t="s">
        <v>6240</v>
      </c>
      <c r="AL1633" s="81" t="b">
        <v>0</v>
      </c>
      <c r="AM1633" s="81">
        <v>9</v>
      </c>
      <c r="AN1633" s="86" t="s">
        <v>5410</v>
      </c>
      <c r="AO1633" s="86" t="s">
        <v>6503</v>
      </c>
      <c r="AP1633" s="81" t="b">
        <v>0</v>
      </c>
      <c r="AQ1633" s="86" t="s">
        <v>5410</v>
      </c>
      <c r="AR1633" s="81" t="s">
        <v>179</v>
      </c>
      <c r="AS1633" s="81">
        <v>0</v>
      </c>
      <c r="AT1633" s="81">
        <v>0</v>
      </c>
      <c r="AU1633" s="81"/>
      <c r="AV1633" s="81"/>
      <c r="AW1633" s="81"/>
      <c r="AX1633" s="81"/>
      <c r="AY1633" s="81"/>
      <c r="AZ1633" s="81"/>
      <c r="BA1633" s="81"/>
      <c r="BB1633" s="81"/>
    </row>
    <row r="1634" spans="1:54" x14ac:dyDescent="0.35">
      <c r="A1634" s="66" t="s">
        <v>1157</v>
      </c>
      <c r="B1634" s="66" t="s">
        <v>1495</v>
      </c>
      <c r="C1634" s="67"/>
      <c r="D1634" s="68"/>
      <c r="E1634" s="69"/>
      <c r="F1634" s="70"/>
      <c r="G1634" s="67"/>
      <c r="H1634" s="71"/>
      <c r="I1634" s="72"/>
      <c r="J1634" s="72"/>
      <c r="K1634" s="36"/>
      <c r="L1634" s="79"/>
      <c r="M1634" s="79"/>
      <c r="N1634" s="74"/>
      <c r="O1634" s="81" t="s">
        <v>1534</v>
      </c>
      <c r="P1634" s="83">
        <v>44466.54414351852</v>
      </c>
      <c r="Q1634" s="81" t="s">
        <v>2172</v>
      </c>
      <c r="R1634" s="81"/>
      <c r="S1634" s="81"/>
      <c r="T1634" s="81"/>
      <c r="U1634" s="81"/>
      <c r="V1634" s="84" t="str">
        <f>HYPERLINK("https://pbs.twimg.com/profile_images/1442142533488836610/NG24KRxQ_normal.jpg")</f>
        <v>https://pbs.twimg.com/profile_images/1442142533488836610/NG24KRxQ_normal.jpg</v>
      </c>
      <c r="W1634" s="83">
        <v>44466.54414351852</v>
      </c>
      <c r="X1634" s="89">
        <v>44466</v>
      </c>
      <c r="Y1634" s="86" t="s">
        <v>3872</v>
      </c>
      <c r="Z1634" s="84" t="str">
        <f>HYPERLINK("https://twitter.com/psychoddle/status/1442475001144168451")</f>
        <v>https://twitter.com/psychoddle/status/1442475001144168451</v>
      </c>
      <c r="AA1634" s="81"/>
      <c r="AB1634" s="81"/>
      <c r="AC1634" s="86" t="s">
        <v>5346</v>
      </c>
      <c r="AD1634" s="86" t="s">
        <v>6196</v>
      </c>
      <c r="AE1634" s="81" t="b">
        <v>0</v>
      </c>
      <c r="AF1634" s="81">
        <v>0</v>
      </c>
      <c r="AG1634" s="86" t="s">
        <v>6447</v>
      </c>
      <c r="AH1634" s="81" t="b">
        <v>0</v>
      </c>
      <c r="AI1634" s="81" t="s">
        <v>6478</v>
      </c>
      <c r="AJ1634" s="81"/>
      <c r="AK1634" s="86" t="s">
        <v>6240</v>
      </c>
      <c r="AL1634" s="81" t="b">
        <v>0</v>
      </c>
      <c r="AM1634" s="81">
        <v>0</v>
      </c>
      <c r="AN1634" s="86" t="s">
        <v>6240</v>
      </c>
      <c r="AO1634" s="86" t="s">
        <v>6505</v>
      </c>
      <c r="AP1634" s="81" t="b">
        <v>0</v>
      </c>
      <c r="AQ1634" s="86" t="s">
        <v>6196</v>
      </c>
      <c r="AR1634" s="81" t="s">
        <v>179</v>
      </c>
      <c r="AS1634" s="81">
        <v>0</v>
      </c>
      <c r="AT1634" s="81">
        <v>0</v>
      </c>
      <c r="AU1634" s="81"/>
      <c r="AV1634" s="81"/>
      <c r="AW1634" s="81"/>
      <c r="AX1634" s="81"/>
      <c r="AY1634" s="81"/>
      <c r="AZ1634" s="81"/>
      <c r="BA1634" s="81"/>
      <c r="BB1634" s="81"/>
    </row>
    <row r="1635" spans="1:54" x14ac:dyDescent="0.35">
      <c r="A1635" s="66" t="s">
        <v>1158</v>
      </c>
      <c r="B1635" s="66" t="s">
        <v>1146</v>
      </c>
      <c r="C1635" s="67"/>
      <c r="D1635" s="68"/>
      <c r="E1635" s="69"/>
      <c r="F1635" s="70"/>
      <c r="G1635" s="67"/>
      <c r="H1635" s="71"/>
      <c r="I1635" s="72"/>
      <c r="J1635" s="72"/>
      <c r="K1635" s="36"/>
      <c r="L1635" s="79"/>
      <c r="M1635" s="79"/>
      <c r="N1635" s="74"/>
      <c r="O1635" s="81" t="s">
        <v>1532</v>
      </c>
      <c r="P1635" s="83">
        <v>44466.544259259259</v>
      </c>
      <c r="Q1635" s="81" t="s">
        <v>2091</v>
      </c>
      <c r="R1635" s="81"/>
      <c r="S1635" s="81"/>
      <c r="T1635" s="81"/>
      <c r="U1635" s="84" t="str">
        <f>HYPERLINK("https://pbs.twimg.com/ext_tw_video_thumb/1442373678990196737/pu/img/UDVgFvOXidN40Fez.jpg")</f>
        <v>https://pbs.twimg.com/ext_tw_video_thumb/1442373678990196737/pu/img/UDVgFvOXidN40Fez.jpg</v>
      </c>
      <c r="V1635" s="84" t="str">
        <f>HYPERLINK("https://pbs.twimg.com/ext_tw_video_thumb/1442373678990196737/pu/img/UDVgFvOXidN40Fez.jpg")</f>
        <v>https://pbs.twimg.com/ext_tw_video_thumb/1442373678990196737/pu/img/UDVgFvOXidN40Fez.jpg</v>
      </c>
      <c r="W1635" s="83">
        <v>44466.544259259259</v>
      </c>
      <c r="X1635" s="89">
        <v>44466</v>
      </c>
      <c r="Y1635" s="86" t="s">
        <v>3873</v>
      </c>
      <c r="Z1635" s="84" t="str">
        <f>HYPERLINK("https://twitter.com/tiarakhansaaa/status/1442475042932080648")</f>
        <v>https://twitter.com/tiarakhansaaa/status/1442475042932080648</v>
      </c>
      <c r="AA1635" s="81"/>
      <c r="AB1635" s="81"/>
      <c r="AC1635" s="86" t="s">
        <v>5347</v>
      </c>
      <c r="AD1635" s="81"/>
      <c r="AE1635" s="81" t="b">
        <v>0</v>
      </c>
      <c r="AF1635" s="81">
        <v>0</v>
      </c>
      <c r="AG1635" s="86" t="s">
        <v>6240</v>
      </c>
      <c r="AH1635" s="81" t="b">
        <v>0</v>
      </c>
      <c r="AI1635" s="81" t="s">
        <v>6478</v>
      </c>
      <c r="AJ1635" s="81"/>
      <c r="AK1635" s="86" t="s">
        <v>6240</v>
      </c>
      <c r="AL1635" s="81" t="b">
        <v>0</v>
      </c>
      <c r="AM1635" s="81">
        <v>30</v>
      </c>
      <c r="AN1635" s="86" t="s">
        <v>5524</v>
      </c>
      <c r="AO1635" s="86" t="s">
        <v>6505</v>
      </c>
      <c r="AP1635" s="81" t="b">
        <v>0</v>
      </c>
      <c r="AQ1635" s="86" t="s">
        <v>5524</v>
      </c>
      <c r="AR1635" s="81" t="s">
        <v>179</v>
      </c>
      <c r="AS1635" s="81">
        <v>0</v>
      </c>
      <c r="AT1635" s="81">
        <v>0</v>
      </c>
      <c r="AU1635" s="81"/>
      <c r="AV1635" s="81"/>
      <c r="AW1635" s="81"/>
      <c r="AX1635" s="81"/>
      <c r="AY1635" s="81"/>
      <c r="AZ1635" s="81"/>
      <c r="BA1635" s="81"/>
      <c r="BB1635" s="81"/>
    </row>
    <row r="1636" spans="1:54" x14ac:dyDescent="0.35">
      <c r="A1636" s="66" t="s">
        <v>1159</v>
      </c>
      <c r="B1636" s="66" t="s">
        <v>1159</v>
      </c>
      <c r="C1636" s="67"/>
      <c r="D1636" s="68"/>
      <c r="E1636" s="69"/>
      <c r="F1636" s="70"/>
      <c r="G1636" s="67"/>
      <c r="H1636" s="71"/>
      <c r="I1636" s="72"/>
      <c r="J1636" s="72"/>
      <c r="K1636" s="36"/>
      <c r="L1636" s="79"/>
      <c r="M1636" s="79"/>
      <c r="N1636" s="74"/>
      <c r="O1636" s="81" t="s">
        <v>179</v>
      </c>
      <c r="P1636" s="83">
        <v>44466.545069444444</v>
      </c>
      <c r="Q1636" s="81" t="s">
        <v>2173</v>
      </c>
      <c r="R1636" s="81"/>
      <c r="S1636" s="81"/>
      <c r="T1636" s="81"/>
      <c r="U1636" s="81"/>
      <c r="V1636" s="84" t="str">
        <f>HYPERLINK("https://pbs.twimg.com/profile_images/1414279213985660938/0fbg4ekt_normal.jpg")</f>
        <v>https://pbs.twimg.com/profile_images/1414279213985660938/0fbg4ekt_normal.jpg</v>
      </c>
      <c r="W1636" s="83">
        <v>44466.545069444444</v>
      </c>
      <c r="X1636" s="89">
        <v>44466</v>
      </c>
      <c r="Y1636" s="86" t="s">
        <v>3874</v>
      </c>
      <c r="Z1636" s="84" t="str">
        <f>HYPERLINK("https://twitter.com/_averain99/status/1442475335295979521")</f>
        <v>https://twitter.com/_averain99/status/1442475335295979521</v>
      </c>
      <c r="AA1636" s="81"/>
      <c r="AB1636" s="81"/>
      <c r="AC1636" s="86" t="s">
        <v>5348</v>
      </c>
      <c r="AD1636" s="81"/>
      <c r="AE1636" s="81" t="b">
        <v>0</v>
      </c>
      <c r="AF1636" s="81">
        <v>0</v>
      </c>
      <c r="AG1636" s="86" t="s">
        <v>6240</v>
      </c>
      <c r="AH1636" s="81" t="b">
        <v>0</v>
      </c>
      <c r="AI1636" s="81" t="s">
        <v>6478</v>
      </c>
      <c r="AJ1636" s="81"/>
      <c r="AK1636" s="86" t="s">
        <v>6240</v>
      </c>
      <c r="AL1636" s="81" t="b">
        <v>0</v>
      </c>
      <c r="AM1636" s="81">
        <v>0</v>
      </c>
      <c r="AN1636" s="86" t="s">
        <v>6240</v>
      </c>
      <c r="AO1636" s="86" t="s">
        <v>6503</v>
      </c>
      <c r="AP1636" s="81" t="b">
        <v>0</v>
      </c>
      <c r="AQ1636" s="86" t="s">
        <v>5348</v>
      </c>
      <c r="AR1636" s="81" t="s">
        <v>179</v>
      </c>
      <c r="AS1636" s="81">
        <v>0</v>
      </c>
      <c r="AT1636" s="81">
        <v>0</v>
      </c>
      <c r="AU1636" s="81"/>
      <c r="AV1636" s="81"/>
      <c r="AW1636" s="81"/>
      <c r="AX1636" s="81"/>
      <c r="AY1636" s="81"/>
      <c r="AZ1636" s="81"/>
      <c r="BA1636" s="81"/>
      <c r="BB1636" s="81"/>
    </row>
    <row r="1637" spans="1:54" x14ac:dyDescent="0.35">
      <c r="A1637" s="66" t="s">
        <v>1160</v>
      </c>
      <c r="B1637" s="66" t="s">
        <v>1201</v>
      </c>
      <c r="C1637" s="67"/>
      <c r="D1637" s="68"/>
      <c r="E1637" s="69"/>
      <c r="F1637" s="70"/>
      <c r="G1637" s="67"/>
      <c r="H1637" s="71"/>
      <c r="I1637" s="72"/>
      <c r="J1637" s="72"/>
      <c r="K1637" s="36"/>
      <c r="L1637" s="79"/>
      <c r="M1637" s="79"/>
      <c r="N1637" s="74"/>
      <c r="O1637" s="81" t="s">
        <v>1532</v>
      </c>
      <c r="P1637" s="83">
        <v>44466.545763888891</v>
      </c>
      <c r="Q1637" s="81" t="s">
        <v>2174</v>
      </c>
      <c r="R1637" s="81"/>
      <c r="S1637" s="81"/>
      <c r="T1637" s="86" t="s">
        <v>599</v>
      </c>
      <c r="U1637" s="84" t="str">
        <f>HYPERLINK("https://pbs.twimg.com/media/FASyu2tUcAYA_sv.jpg")</f>
        <v>https://pbs.twimg.com/media/FASyu2tUcAYA_sv.jpg</v>
      </c>
      <c r="V1637" s="84" t="str">
        <f>HYPERLINK("https://pbs.twimg.com/media/FASyu2tUcAYA_sv.jpg")</f>
        <v>https://pbs.twimg.com/media/FASyu2tUcAYA_sv.jpg</v>
      </c>
      <c r="W1637" s="83">
        <v>44466.545763888891</v>
      </c>
      <c r="X1637" s="89">
        <v>44466</v>
      </c>
      <c r="Y1637" s="86" t="s">
        <v>3875</v>
      </c>
      <c r="Z1637" s="84" t="str">
        <f>HYPERLINK("https://twitter.com/nynassuh/status/1442475585071042562")</f>
        <v>https://twitter.com/nynassuh/status/1442475585071042562</v>
      </c>
      <c r="AA1637" s="81"/>
      <c r="AB1637" s="81"/>
      <c r="AC1637" s="86" t="s">
        <v>5349</v>
      </c>
      <c r="AD1637" s="81"/>
      <c r="AE1637" s="81" t="b">
        <v>0</v>
      </c>
      <c r="AF1637" s="81">
        <v>0</v>
      </c>
      <c r="AG1637" s="86" t="s">
        <v>6240</v>
      </c>
      <c r="AH1637" s="81" t="b">
        <v>0</v>
      </c>
      <c r="AI1637" s="81" t="s">
        <v>6479</v>
      </c>
      <c r="AJ1637" s="81"/>
      <c r="AK1637" s="86" t="s">
        <v>6240</v>
      </c>
      <c r="AL1637" s="81" t="b">
        <v>0</v>
      </c>
      <c r="AM1637" s="81">
        <v>2</v>
      </c>
      <c r="AN1637" s="86" t="s">
        <v>5394</v>
      </c>
      <c r="AO1637" s="86" t="s">
        <v>6503</v>
      </c>
      <c r="AP1637" s="81" t="b">
        <v>0</v>
      </c>
      <c r="AQ1637" s="86" t="s">
        <v>5394</v>
      </c>
      <c r="AR1637" s="81" t="s">
        <v>179</v>
      </c>
      <c r="AS1637" s="81">
        <v>0</v>
      </c>
      <c r="AT1637" s="81">
        <v>0</v>
      </c>
      <c r="AU1637" s="81"/>
      <c r="AV1637" s="81"/>
      <c r="AW1637" s="81"/>
      <c r="AX1637" s="81"/>
      <c r="AY1637" s="81"/>
      <c r="AZ1637" s="81"/>
      <c r="BA1637" s="81"/>
      <c r="BB1637" s="81"/>
    </row>
    <row r="1638" spans="1:54" x14ac:dyDescent="0.35">
      <c r="A1638" s="66" t="s">
        <v>1161</v>
      </c>
      <c r="B1638" s="66" t="s">
        <v>1161</v>
      </c>
      <c r="C1638" s="67"/>
      <c r="D1638" s="68"/>
      <c r="E1638" s="69"/>
      <c r="F1638" s="70"/>
      <c r="G1638" s="67"/>
      <c r="H1638" s="71"/>
      <c r="I1638" s="72"/>
      <c r="J1638" s="72"/>
      <c r="K1638" s="36"/>
      <c r="L1638" s="79"/>
      <c r="M1638" s="79"/>
      <c r="N1638" s="74"/>
      <c r="O1638" s="81" t="s">
        <v>179</v>
      </c>
      <c r="P1638" s="83">
        <v>44466.365740740737</v>
      </c>
      <c r="Q1638" s="81" t="s">
        <v>2126</v>
      </c>
      <c r="R1638" s="81"/>
      <c r="S1638" s="81"/>
      <c r="T1638" s="81"/>
      <c r="U1638" s="84" t="str">
        <f>HYPERLINK("https://pbs.twimg.com/media/FAR4jYnVQAUmrbm.jpg")</f>
        <v>https://pbs.twimg.com/media/FAR4jYnVQAUmrbm.jpg</v>
      </c>
      <c r="V1638" s="84" t="str">
        <f>HYPERLINK("https://pbs.twimg.com/media/FAR4jYnVQAUmrbm.jpg")</f>
        <v>https://pbs.twimg.com/media/FAR4jYnVQAUmrbm.jpg</v>
      </c>
      <c r="W1638" s="83">
        <v>44466.365740740737</v>
      </c>
      <c r="X1638" s="89">
        <v>44466</v>
      </c>
      <c r="Y1638" s="86" t="s">
        <v>3876</v>
      </c>
      <c r="Z1638" s="84" t="str">
        <f>HYPERLINK("https://twitter.com/divhumas_polri/status/1442410347839639559")</f>
        <v>https://twitter.com/divhumas_polri/status/1442410347839639559</v>
      </c>
      <c r="AA1638" s="81"/>
      <c r="AB1638" s="81"/>
      <c r="AC1638" s="86" t="s">
        <v>5350</v>
      </c>
      <c r="AD1638" s="81"/>
      <c r="AE1638" s="81" t="b">
        <v>0</v>
      </c>
      <c r="AF1638" s="81">
        <v>88</v>
      </c>
      <c r="AG1638" s="86" t="s">
        <v>6240</v>
      </c>
      <c r="AH1638" s="81" t="b">
        <v>0</v>
      </c>
      <c r="AI1638" s="81" t="s">
        <v>6478</v>
      </c>
      <c r="AJ1638" s="81"/>
      <c r="AK1638" s="86" t="s">
        <v>6240</v>
      </c>
      <c r="AL1638" s="81" t="b">
        <v>0</v>
      </c>
      <c r="AM1638" s="81">
        <v>13</v>
      </c>
      <c r="AN1638" s="86" t="s">
        <v>6240</v>
      </c>
      <c r="AO1638" s="86" t="s">
        <v>6507</v>
      </c>
      <c r="AP1638" s="81" t="b">
        <v>0</v>
      </c>
      <c r="AQ1638" s="86" t="s">
        <v>5350</v>
      </c>
      <c r="AR1638" s="81" t="s">
        <v>179</v>
      </c>
      <c r="AS1638" s="81">
        <v>0</v>
      </c>
      <c r="AT1638" s="81">
        <v>0</v>
      </c>
      <c r="AU1638" s="81"/>
      <c r="AV1638" s="81"/>
      <c r="AW1638" s="81"/>
      <c r="AX1638" s="81"/>
      <c r="AY1638" s="81"/>
      <c r="AZ1638" s="81"/>
      <c r="BA1638" s="81"/>
      <c r="BB1638" s="81"/>
    </row>
    <row r="1639" spans="1:54" x14ac:dyDescent="0.35">
      <c r="A1639" s="66" t="s">
        <v>1162</v>
      </c>
      <c r="B1639" s="66" t="s">
        <v>1161</v>
      </c>
      <c r="C1639" s="67"/>
      <c r="D1639" s="68"/>
      <c r="E1639" s="69"/>
      <c r="F1639" s="70"/>
      <c r="G1639" s="67"/>
      <c r="H1639" s="71"/>
      <c r="I1639" s="72"/>
      <c r="J1639" s="72"/>
      <c r="K1639" s="36"/>
      <c r="L1639" s="79"/>
      <c r="M1639" s="79"/>
      <c r="N1639" s="74"/>
      <c r="O1639" s="81" t="s">
        <v>1532</v>
      </c>
      <c r="P1639" s="83">
        <v>44466.547488425924</v>
      </c>
      <c r="Q1639" s="81" t="s">
        <v>2126</v>
      </c>
      <c r="R1639" s="81"/>
      <c r="S1639" s="81"/>
      <c r="T1639" s="81"/>
      <c r="U1639" s="84" t="str">
        <f>HYPERLINK("https://pbs.twimg.com/media/FAR4jYnVQAUmrbm.jpg")</f>
        <v>https://pbs.twimg.com/media/FAR4jYnVQAUmrbm.jpg</v>
      </c>
      <c r="V1639" s="84" t="str">
        <f>HYPERLINK("https://pbs.twimg.com/media/FAR4jYnVQAUmrbm.jpg")</f>
        <v>https://pbs.twimg.com/media/FAR4jYnVQAUmrbm.jpg</v>
      </c>
      <c r="W1639" s="83">
        <v>44466.547488425924</v>
      </c>
      <c r="X1639" s="89">
        <v>44466</v>
      </c>
      <c r="Y1639" s="86" t="s">
        <v>3877</v>
      </c>
      <c r="Z1639" s="84" t="str">
        <f>HYPERLINK("https://twitter.com/permanamukim/status/1442476213839151110")</f>
        <v>https://twitter.com/permanamukim/status/1442476213839151110</v>
      </c>
      <c r="AA1639" s="81"/>
      <c r="AB1639" s="81"/>
      <c r="AC1639" s="86" t="s">
        <v>5351</v>
      </c>
      <c r="AD1639" s="81"/>
      <c r="AE1639" s="81" t="b">
        <v>0</v>
      </c>
      <c r="AF1639" s="81">
        <v>0</v>
      </c>
      <c r="AG1639" s="86" t="s">
        <v>6240</v>
      </c>
      <c r="AH1639" s="81" t="b">
        <v>0</v>
      </c>
      <c r="AI1639" s="81" t="s">
        <v>6478</v>
      </c>
      <c r="AJ1639" s="81"/>
      <c r="AK1639" s="86" t="s">
        <v>6240</v>
      </c>
      <c r="AL1639" s="81" t="b">
        <v>0</v>
      </c>
      <c r="AM1639" s="81">
        <v>13</v>
      </c>
      <c r="AN1639" s="86" t="s">
        <v>5350</v>
      </c>
      <c r="AO1639" s="86" t="s">
        <v>6503</v>
      </c>
      <c r="AP1639" s="81" t="b">
        <v>0</v>
      </c>
      <c r="AQ1639" s="86" t="s">
        <v>5350</v>
      </c>
      <c r="AR1639" s="81" t="s">
        <v>179</v>
      </c>
      <c r="AS1639" s="81">
        <v>0</v>
      </c>
      <c r="AT1639" s="81">
        <v>0</v>
      </c>
      <c r="AU1639" s="81"/>
      <c r="AV1639" s="81"/>
      <c r="AW1639" s="81"/>
      <c r="AX1639" s="81"/>
      <c r="AY1639" s="81"/>
      <c r="AZ1639" s="81"/>
      <c r="BA1639" s="81"/>
      <c r="BB1639" s="81"/>
    </row>
    <row r="1640" spans="1:54" x14ac:dyDescent="0.35">
      <c r="A1640" s="66" t="s">
        <v>1163</v>
      </c>
      <c r="B1640" s="66" t="s">
        <v>1146</v>
      </c>
      <c r="C1640" s="67"/>
      <c r="D1640" s="68"/>
      <c r="E1640" s="69"/>
      <c r="F1640" s="70"/>
      <c r="G1640" s="67"/>
      <c r="H1640" s="71"/>
      <c r="I1640" s="72"/>
      <c r="J1640" s="72"/>
      <c r="K1640" s="36"/>
      <c r="L1640" s="79"/>
      <c r="M1640" s="79"/>
      <c r="N1640" s="74"/>
      <c r="O1640" s="81" t="s">
        <v>1532</v>
      </c>
      <c r="P1640" s="83">
        <v>44466.550046296295</v>
      </c>
      <c r="Q1640" s="81" t="s">
        <v>2091</v>
      </c>
      <c r="R1640" s="81"/>
      <c r="S1640" s="81"/>
      <c r="T1640" s="81"/>
      <c r="U1640" s="84" t="str">
        <f>HYPERLINK("https://pbs.twimg.com/ext_tw_video_thumb/1442373678990196737/pu/img/UDVgFvOXidN40Fez.jpg")</f>
        <v>https://pbs.twimg.com/ext_tw_video_thumb/1442373678990196737/pu/img/UDVgFvOXidN40Fez.jpg</v>
      </c>
      <c r="V1640" s="84" t="str">
        <f>HYPERLINK("https://pbs.twimg.com/ext_tw_video_thumb/1442373678990196737/pu/img/UDVgFvOXidN40Fez.jpg")</f>
        <v>https://pbs.twimg.com/ext_tw_video_thumb/1442373678990196737/pu/img/UDVgFvOXidN40Fez.jpg</v>
      </c>
      <c r="W1640" s="83">
        <v>44466.550046296295</v>
      </c>
      <c r="X1640" s="89">
        <v>44466</v>
      </c>
      <c r="Y1640" s="86" t="s">
        <v>3878</v>
      </c>
      <c r="Z1640" s="84" t="str">
        <f>HYPERLINK("https://twitter.com/davinardsyah/status/1442477138972610566")</f>
        <v>https://twitter.com/davinardsyah/status/1442477138972610566</v>
      </c>
      <c r="AA1640" s="81"/>
      <c r="AB1640" s="81"/>
      <c r="AC1640" s="86" t="s">
        <v>5352</v>
      </c>
      <c r="AD1640" s="81"/>
      <c r="AE1640" s="81" t="b">
        <v>0</v>
      </c>
      <c r="AF1640" s="81">
        <v>0</v>
      </c>
      <c r="AG1640" s="86" t="s">
        <v>6240</v>
      </c>
      <c r="AH1640" s="81" t="b">
        <v>0</v>
      </c>
      <c r="AI1640" s="81" t="s">
        <v>6478</v>
      </c>
      <c r="AJ1640" s="81"/>
      <c r="AK1640" s="86" t="s">
        <v>6240</v>
      </c>
      <c r="AL1640" s="81" t="b">
        <v>0</v>
      </c>
      <c r="AM1640" s="81">
        <v>30</v>
      </c>
      <c r="AN1640" s="86" t="s">
        <v>5524</v>
      </c>
      <c r="AO1640" s="86" t="s">
        <v>6505</v>
      </c>
      <c r="AP1640" s="81" t="b">
        <v>0</v>
      </c>
      <c r="AQ1640" s="86" t="s">
        <v>5524</v>
      </c>
      <c r="AR1640" s="81" t="s">
        <v>179</v>
      </c>
      <c r="AS1640" s="81">
        <v>0</v>
      </c>
      <c r="AT1640" s="81">
        <v>0</v>
      </c>
      <c r="AU1640" s="81"/>
      <c r="AV1640" s="81"/>
      <c r="AW1640" s="81"/>
      <c r="AX1640" s="81"/>
      <c r="AY1640" s="81"/>
      <c r="AZ1640" s="81"/>
      <c r="BA1640" s="81"/>
      <c r="BB1640" s="81"/>
    </row>
    <row r="1641" spans="1:54" x14ac:dyDescent="0.35">
      <c r="A1641" s="66" t="s">
        <v>1164</v>
      </c>
      <c r="B1641" s="66" t="s">
        <v>1164</v>
      </c>
      <c r="C1641" s="67"/>
      <c r="D1641" s="68"/>
      <c r="E1641" s="69"/>
      <c r="F1641" s="70"/>
      <c r="G1641" s="67"/>
      <c r="H1641" s="71"/>
      <c r="I1641" s="72"/>
      <c r="J1641" s="72"/>
      <c r="K1641" s="36"/>
      <c r="L1641" s="79"/>
      <c r="M1641" s="79"/>
      <c r="N1641" s="74"/>
      <c r="O1641" s="81" t="s">
        <v>179</v>
      </c>
      <c r="P1641" s="83">
        <v>44457.968333333331</v>
      </c>
      <c r="Q1641" s="81" t="s">
        <v>2175</v>
      </c>
      <c r="R1641" s="81"/>
      <c r="S1641" s="81"/>
      <c r="T1641" s="81"/>
      <c r="U1641" s="84" t="str">
        <f>HYPERLINK("https://pbs.twimg.com/media/Be0uGQiCEAEP_hI.jpg")</f>
        <v>https://pbs.twimg.com/media/Be0uGQiCEAEP_hI.jpg</v>
      </c>
      <c r="V1641" s="84" t="str">
        <f>HYPERLINK("https://pbs.twimg.com/media/Be0uGQiCEAEP_hI.jpg")</f>
        <v>https://pbs.twimg.com/media/Be0uGQiCEAEP_hI.jpg</v>
      </c>
      <c r="W1641" s="83">
        <v>44457.968333333331</v>
      </c>
      <c r="X1641" s="89">
        <v>44457</v>
      </c>
      <c r="Y1641" s="86" t="s">
        <v>3879</v>
      </c>
      <c r="Z1641" s="84" t="str">
        <f>HYPERLINK("https://twitter.com/bikinlaparmata/status/1439367228537724931")</f>
        <v>https://twitter.com/bikinlaparmata/status/1439367228537724931</v>
      </c>
      <c r="AA1641" s="81"/>
      <c r="AB1641" s="81"/>
      <c r="AC1641" s="86" t="s">
        <v>5353</v>
      </c>
      <c r="AD1641" s="81"/>
      <c r="AE1641" s="81" t="b">
        <v>0</v>
      </c>
      <c r="AF1641" s="81">
        <v>1</v>
      </c>
      <c r="AG1641" s="86" t="s">
        <v>6240</v>
      </c>
      <c r="AH1641" s="81" t="b">
        <v>0</v>
      </c>
      <c r="AI1641" s="81" t="s">
        <v>6478</v>
      </c>
      <c r="AJ1641" s="81"/>
      <c r="AK1641" s="86" t="s">
        <v>6240</v>
      </c>
      <c r="AL1641" s="81" t="b">
        <v>0</v>
      </c>
      <c r="AM1641" s="81">
        <v>0</v>
      </c>
      <c r="AN1641" s="86" t="s">
        <v>6240</v>
      </c>
      <c r="AO1641" s="86" t="s">
        <v>6506</v>
      </c>
      <c r="AP1641" s="81" t="b">
        <v>0</v>
      </c>
      <c r="AQ1641" s="86" t="s">
        <v>5353</v>
      </c>
      <c r="AR1641" s="81" t="s">
        <v>179</v>
      </c>
      <c r="AS1641" s="81">
        <v>0</v>
      </c>
      <c r="AT1641" s="81">
        <v>0</v>
      </c>
      <c r="AU1641" s="81"/>
      <c r="AV1641" s="81"/>
      <c r="AW1641" s="81"/>
      <c r="AX1641" s="81"/>
      <c r="AY1641" s="81"/>
      <c r="AZ1641" s="81"/>
      <c r="BA1641" s="81"/>
      <c r="BB1641" s="81"/>
    </row>
    <row r="1642" spans="1:54" x14ac:dyDescent="0.35">
      <c r="A1642" s="66" t="s">
        <v>1164</v>
      </c>
      <c r="B1642" s="66" t="s">
        <v>1164</v>
      </c>
      <c r="C1642" s="67"/>
      <c r="D1642" s="68"/>
      <c r="E1642" s="69"/>
      <c r="F1642" s="70"/>
      <c r="G1642" s="67"/>
      <c r="H1642" s="71"/>
      <c r="I1642" s="72"/>
      <c r="J1642" s="72"/>
      <c r="K1642" s="36"/>
      <c r="L1642" s="79"/>
      <c r="M1642" s="79"/>
      <c r="N1642" s="74"/>
      <c r="O1642" s="81" t="s">
        <v>179</v>
      </c>
      <c r="P1642" s="83">
        <v>44466.550381944442</v>
      </c>
      <c r="Q1642" s="81" t="s">
        <v>2175</v>
      </c>
      <c r="R1642" s="81"/>
      <c r="S1642" s="81"/>
      <c r="T1642" s="81"/>
      <c r="U1642" s="84" t="str">
        <f>HYPERLINK("https://pbs.twimg.com/media/Be0uGQiCEAEP_hI.jpg")</f>
        <v>https://pbs.twimg.com/media/Be0uGQiCEAEP_hI.jpg</v>
      </c>
      <c r="V1642" s="84" t="str">
        <f>HYPERLINK("https://pbs.twimg.com/media/Be0uGQiCEAEP_hI.jpg")</f>
        <v>https://pbs.twimg.com/media/Be0uGQiCEAEP_hI.jpg</v>
      </c>
      <c r="W1642" s="83">
        <v>44466.550381944442</v>
      </c>
      <c r="X1642" s="89">
        <v>44466</v>
      </c>
      <c r="Y1642" s="86" t="s">
        <v>2997</v>
      </c>
      <c r="Z1642" s="84" t="str">
        <f>HYPERLINK("https://twitter.com/bikinlaparmata/status/1442477259873419271")</f>
        <v>https://twitter.com/bikinlaparmata/status/1442477259873419271</v>
      </c>
      <c r="AA1642" s="81"/>
      <c r="AB1642" s="81"/>
      <c r="AC1642" s="86" t="s">
        <v>5354</v>
      </c>
      <c r="AD1642" s="81"/>
      <c r="AE1642" s="81" t="b">
        <v>0</v>
      </c>
      <c r="AF1642" s="81">
        <v>0</v>
      </c>
      <c r="AG1642" s="86" t="s">
        <v>6240</v>
      </c>
      <c r="AH1642" s="81" t="b">
        <v>0</v>
      </c>
      <c r="AI1642" s="81" t="s">
        <v>6478</v>
      </c>
      <c r="AJ1642" s="81"/>
      <c r="AK1642" s="86" t="s">
        <v>6240</v>
      </c>
      <c r="AL1642" s="81" t="b">
        <v>0</v>
      </c>
      <c r="AM1642" s="81">
        <v>0</v>
      </c>
      <c r="AN1642" s="86" t="s">
        <v>6240</v>
      </c>
      <c r="AO1642" s="86" t="s">
        <v>6506</v>
      </c>
      <c r="AP1642" s="81" t="b">
        <v>0</v>
      </c>
      <c r="AQ1642" s="86" t="s">
        <v>5354</v>
      </c>
      <c r="AR1642" s="81" t="s">
        <v>179</v>
      </c>
      <c r="AS1642" s="81">
        <v>0</v>
      </c>
      <c r="AT1642" s="81">
        <v>0</v>
      </c>
      <c r="AU1642" s="81"/>
      <c r="AV1642" s="81"/>
      <c r="AW1642" s="81"/>
      <c r="AX1642" s="81"/>
      <c r="AY1642" s="81"/>
      <c r="AZ1642" s="81"/>
      <c r="BA1642" s="81"/>
      <c r="BB1642" s="81"/>
    </row>
    <row r="1643" spans="1:54" x14ac:dyDescent="0.35">
      <c r="A1643" s="66" t="s">
        <v>1165</v>
      </c>
      <c r="B1643" s="66" t="s">
        <v>1261</v>
      </c>
      <c r="C1643" s="67"/>
      <c r="D1643" s="68"/>
      <c r="E1643" s="69"/>
      <c r="F1643" s="70"/>
      <c r="G1643" s="67"/>
      <c r="H1643" s="71"/>
      <c r="I1643" s="72"/>
      <c r="J1643" s="72"/>
      <c r="K1643" s="36"/>
      <c r="L1643" s="79"/>
      <c r="M1643" s="79"/>
      <c r="N1643" s="74"/>
      <c r="O1643" s="81" t="s">
        <v>1532</v>
      </c>
      <c r="P1643" s="83">
        <v>44466.560439814813</v>
      </c>
      <c r="Q1643" s="81" t="s">
        <v>1653</v>
      </c>
      <c r="R1643" s="84" t="str">
        <f>HYPERLINK("https://api.whatsapp.com/send?phone=6281222353823")</f>
        <v>https://api.whatsapp.com/send?phone=6281222353823</v>
      </c>
      <c r="S1643" s="81" t="s">
        <v>2597</v>
      </c>
      <c r="T1643" s="81"/>
      <c r="U1643" s="84" t="str">
        <f>HYPERLINK("https://pbs.twimg.com/media/E_P_XMQWYAUXeaR.jpg")</f>
        <v>https://pbs.twimg.com/media/E_P_XMQWYAUXeaR.jpg</v>
      </c>
      <c r="V1643" s="84" t="str">
        <f>HYPERLINK("https://pbs.twimg.com/media/E_P_XMQWYAUXeaR.jpg")</f>
        <v>https://pbs.twimg.com/media/E_P_XMQWYAUXeaR.jpg</v>
      </c>
      <c r="W1643" s="83">
        <v>44466.560439814813</v>
      </c>
      <c r="X1643" s="89">
        <v>44466</v>
      </c>
      <c r="Y1643" s="86" t="s">
        <v>3880</v>
      </c>
      <c r="Z1643" s="84" t="str">
        <f>HYPERLINK("https://twitter.com/tuanwidi/status/1442480906925600768")</f>
        <v>https://twitter.com/tuanwidi/status/1442480906925600768</v>
      </c>
      <c r="AA1643" s="81"/>
      <c r="AB1643" s="81"/>
      <c r="AC1643" s="86" t="s">
        <v>5355</v>
      </c>
      <c r="AD1643" s="81"/>
      <c r="AE1643" s="81" t="b">
        <v>0</v>
      </c>
      <c r="AF1643" s="81">
        <v>0</v>
      </c>
      <c r="AG1643" s="86" t="s">
        <v>6240</v>
      </c>
      <c r="AH1643" s="81" t="b">
        <v>0</v>
      </c>
      <c r="AI1643" s="81" t="s">
        <v>6478</v>
      </c>
      <c r="AJ1643" s="81"/>
      <c r="AK1643" s="86" t="s">
        <v>6240</v>
      </c>
      <c r="AL1643" s="81" t="b">
        <v>0</v>
      </c>
      <c r="AM1643" s="81">
        <v>49</v>
      </c>
      <c r="AN1643" s="86" t="s">
        <v>5526</v>
      </c>
      <c r="AO1643" s="86" t="s">
        <v>6505</v>
      </c>
      <c r="AP1643" s="81" t="b">
        <v>0</v>
      </c>
      <c r="AQ1643" s="86" t="s">
        <v>5526</v>
      </c>
      <c r="AR1643" s="81" t="s">
        <v>179</v>
      </c>
      <c r="AS1643" s="81">
        <v>0</v>
      </c>
      <c r="AT1643" s="81">
        <v>0</v>
      </c>
      <c r="AU1643" s="81"/>
      <c r="AV1643" s="81"/>
      <c r="AW1643" s="81"/>
      <c r="AX1643" s="81"/>
      <c r="AY1643" s="81"/>
      <c r="AZ1643" s="81"/>
      <c r="BA1643" s="81"/>
      <c r="BB1643" s="81"/>
    </row>
    <row r="1644" spans="1:54" x14ac:dyDescent="0.35">
      <c r="A1644" s="66" t="s">
        <v>1166</v>
      </c>
      <c r="B1644" s="66" t="s">
        <v>1261</v>
      </c>
      <c r="C1644" s="67"/>
      <c r="D1644" s="68"/>
      <c r="E1644" s="69"/>
      <c r="F1644" s="70"/>
      <c r="G1644" s="67"/>
      <c r="H1644" s="71"/>
      <c r="I1644" s="72"/>
      <c r="J1644" s="72"/>
      <c r="K1644" s="36"/>
      <c r="L1644" s="79"/>
      <c r="M1644" s="79"/>
      <c r="N1644" s="74"/>
      <c r="O1644" s="81" t="s">
        <v>1532</v>
      </c>
      <c r="P1644" s="83">
        <v>44466.56046296296</v>
      </c>
      <c r="Q1644" s="81" t="s">
        <v>1653</v>
      </c>
      <c r="R1644" s="84" t="str">
        <f>HYPERLINK("https://api.whatsapp.com/send?phone=6281222353823")</f>
        <v>https://api.whatsapp.com/send?phone=6281222353823</v>
      </c>
      <c r="S1644" s="81" t="s">
        <v>2597</v>
      </c>
      <c r="T1644" s="81"/>
      <c r="U1644" s="84" t="str">
        <f>HYPERLINK("https://pbs.twimg.com/media/E_P_XMQWYAUXeaR.jpg")</f>
        <v>https://pbs.twimg.com/media/E_P_XMQWYAUXeaR.jpg</v>
      </c>
      <c r="V1644" s="84" t="str">
        <f>HYPERLINK("https://pbs.twimg.com/media/E_P_XMQWYAUXeaR.jpg")</f>
        <v>https://pbs.twimg.com/media/E_P_XMQWYAUXeaR.jpg</v>
      </c>
      <c r="W1644" s="83">
        <v>44466.56046296296</v>
      </c>
      <c r="X1644" s="89">
        <v>44466</v>
      </c>
      <c r="Y1644" s="86" t="s">
        <v>3881</v>
      </c>
      <c r="Z1644" s="84" t="str">
        <f>HYPERLINK("https://twitter.com/whenscarves/status/1442480912474652680")</f>
        <v>https://twitter.com/whenscarves/status/1442480912474652680</v>
      </c>
      <c r="AA1644" s="81"/>
      <c r="AB1644" s="81"/>
      <c r="AC1644" s="86" t="s">
        <v>5356</v>
      </c>
      <c r="AD1644" s="81"/>
      <c r="AE1644" s="81" t="b">
        <v>0</v>
      </c>
      <c r="AF1644" s="81">
        <v>0</v>
      </c>
      <c r="AG1644" s="86" t="s">
        <v>6240</v>
      </c>
      <c r="AH1644" s="81" t="b">
        <v>0</v>
      </c>
      <c r="AI1644" s="81" t="s">
        <v>6478</v>
      </c>
      <c r="AJ1644" s="81"/>
      <c r="AK1644" s="86" t="s">
        <v>6240</v>
      </c>
      <c r="AL1644" s="81" t="b">
        <v>0</v>
      </c>
      <c r="AM1644" s="81">
        <v>49</v>
      </c>
      <c r="AN1644" s="86" t="s">
        <v>5526</v>
      </c>
      <c r="AO1644" s="86" t="s">
        <v>6503</v>
      </c>
      <c r="AP1644" s="81" t="b">
        <v>0</v>
      </c>
      <c r="AQ1644" s="86" t="s">
        <v>5526</v>
      </c>
      <c r="AR1644" s="81" t="s">
        <v>179</v>
      </c>
      <c r="AS1644" s="81">
        <v>0</v>
      </c>
      <c r="AT1644" s="81">
        <v>0</v>
      </c>
      <c r="AU1644" s="81"/>
      <c r="AV1644" s="81"/>
      <c r="AW1644" s="81"/>
      <c r="AX1644" s="81"/>
      <c r="AY1644" s="81"/>
      <c r="AZ1644" s="81"/>
      <c r="BA1644" s="81"/>
      <c r="BB1644" s="81"/>
    </row>
    <row r="1645" spans="1:54" x14ac:dyDescent="0.35">
      <c r="A1645" s="66" t="s">
        <v>1167</v>
      </c>
      <c r="B1645" s="66" t="s">
        <v>1261</v>
      </c>
      <c r="C1645" s="67"/>
      <c r="D1645" s="68"/>
      <c r="E1645" s="69"/>
      <c r="F1645" s="70"/>
      <c r="G1645" s="67"/>
      <c r="H1645" s="71"/>
      <c r="I1645" s="72"/>
      <c r="J1645" s="72"/>
      <c r="K1645" s="36"/>
      <c r="L1645" s="79"/>
      <c r="M1645" s="79"/>
      <c r="N1645" s="74"/>
      <c r="O1645" s="81" t="s">
        <v>1532</v>
      </c>
      <c r="P1645" s="83">
        <v>44466.560706018521</v>
      </c>
      <c r="Q1645" s="81" t="s">
        <v>1653</v>
      </c>
      <c r="R1645" s="84" t="str">
        <f>HYPERLINK("https://api.whatsapp.com/send?phone=6281222353823")</f>
        <v>https://api.whatsapp.com/send?phone=6281222353823</v>
      </c>
      <c r="S1645" s="81" t="s">
        <v>2597</v>
      </c>
      <c r="T1645" s="81"/>
      <c r="U1645" s="84" t="str">
        <f>HYPERLINK("https://pbs.twimg.com/media/E_P_XMQWYAUXeaR.jpg")</f>
        <v>https://pbs.twimg.com/media/E_P_XMQWYAUXeaR.jpg</v>
      </c>
      <c r="V1645" s="84" t="str">
        <f>HYPERLINK("https://pbs.twimg.com/media/E_P_XMQWYAUXeaR.jpg")</f>
        <v>https://pbs.twimg.com/media/E_P_XMQWYAUXeaR.jpg</v>
      </c>
      <c r="W1645" s="83">
        <v>44466.560706018521</v>
      </c>
      <c r="X1645" s="89">
        <v>44466</v>
      </c>
      <c r="Y1645" s="86" t="s">
        <v>3882</v>
      </c>
      <c r="Z1645" s="84" t="str">
        <f>HYPERLINK("https://twitter.com/jiaeffendie/status/1442481001578438658")</f>
        <v>https://twitter.com/jiaeffendie/status/1442481001578438658</v>
      </c>
      <c r="AA1645" s="81"/>
      <c r="AB1645" s="81"/>
      <c r="AC1645" s="86" t="s">
        <v>5357</v>
      </c>
      <c r="AD1645" s="81"/>
      <c r="AE1645" s="81" t="b">
        <v>0</v>
      </c>
      <c r="AF1645" s="81">
        <v>0</v>
      </c>
      <c r="AG1645" s="86" t="s">
        <v>6240</v>
      </c>
      <c r="AH1645" s="81" t="b">
        <v>0</v>
      </c>
      <c r="AI1645" s="81" t="s">
        <v>6478</v>
      </c>
      <c r="AJ1645" s="81"/>
      <c r="AK1645" s="86" t="s">
        <v>6240</v>
      </c>
      <c r="AL1645" s="81" t="b">
        <v>0</v>
      </c>
      <c r="AM1645" s="81">
        <v>49</v>
      </c>
      <c r="AN1645" s="86" t="s">
        <v>5526</v>
      </c>
      <c r="AO1645" s="86" t="s">
        <v>6507</v>
      </c>
      <c r="AP1645" s="81" t="b">
        <v>0</v>
      </c>
      <c r="AQ1645" s="86" t="s">
        <v>5526</v>
      </c>
      <c r="AR1645" s="81" t="s">
        <v>179</v>
      </c>
      <c r="AS1645" s="81">
        <v>0</v>
      </c>
      <c r="AT1645" s="81">
        <v>0</v>
      </c>
      <c r="AU1645" s="81"/>
      <c r="AV1645" s="81"/>
      <c r="AW1645" s="81"/>
      <c r="AX1645" s="81"/>
      <c r="AY1645" s="81"/>
      <c r="AZ1645" s="81"/>
      <c r="BA1645" s="81"/>
      <c r="BB1645" s="81"/>
    </row>
    <row r="1646" spans="1:54" x14ac:dyDescent="0.35">
      <c r="A1646" s="66" t="s">
        <v>1168</v>
      </c>
      <c r="B1646" s="66" t="s">
        <v>1261</v>
      </c>
      <c r="C1646" s="67"/>
      <c r="D1646" s="68"/>
      <c r="E1646" s="69"/>
      <c r="F1646" s="70"/>
      <c r="G1646" s="67"/>
      <c r="H1646" s="71"/>
      <c r="I1646" s="72"/>
      <c r="J1646" s="72"/>
      <c r="K1646" s="36"/>
      <c r="L1646" s="79"/>
      <c r="M1646" s="79"/>
      <c r="N1646" s="74"/>
      <c r="O1646" s="81" t="s">
        <v>1532</v>
      </c>
      <c r="P1646" s="83">
        <v>44466.561365740738</v>
      </c>
      <c r="Q1646" s="81" t="s">
        <v>1653</v>
      </c>
      <c r="R1646" s="84" t="str">
        <f>HYPERLINK("https://api.whatsapp.com/send?phone=6281222353823")</f>
        <v>https://api.whatsapp.com/send?phone=6281222353823</v>
      </c>
      <c r="S1646" s="81" t="s">
        <v>2597</v>
      </c>
      <c r="T1646" s="81"/>
      <c r="U1646" s="84" t="str">
        <f>HYPERLINK("https://pbs.twimg.com/media/E_P_XMQWYAUXeaR.jpg")</f>
        <v>https://pbs.twimg.com/media/E_P_XMQWYAUXeaR.jpg</v>
      </c>
      <c r="V1646" s="84" t="str">
        <f>HYPERLINK("https://pbs.twimg.com/media/E_P_XMQWYAUXeaR.jpg")</f>
        <v>https://pbs.twimg.com/media/E_P_XMQWYAUXeaR.jpg</v>
      </c>
      <c r="W1646" s="83">
        <v>44466.561365740738</v>
      </c>
      <c r="X1646" s="89">
        <v>44466</v>
      </c>
      <c r="Y1646" s="86" t="s">
        <v>3883</v>
      </c>
      <c r="Z1646" s="84" t="str">
        <f>HYPERLINK("https://twitter.com/torantula/status/1442481240985137161")</f>
        <v>https://twitter.com/torantula/status/1442481240985137161</v>
      </c>
      <c r="AA1646" s="81"/>
      <c r="AB1646" s="81"/>
      <c r="AC1646" s="86" t="s">
        <v>5358</v>
      </c>
      <c r="AD1646" s="81"/>
      <c r="AE1646" s="81" t="b">
        <v>0</v>
      </c>
      <c r="AF1646" s="81">
        <v>0</v>
      </c>
      <c r="AG1646" s="86" t="s">
        <v>6240</v>
      </c>
      <c r="AH1646" s="81" t="b">
        <v>0</v>
      </c>
      <c r="AI1646" s="81" t="s">
        <v>6478</v>
      </c>
      <c r="AJ1646" s="81"/>
      <c r="AK1646" s="86" t="s">
        <v>6240</v>
      </c>
      <c r="AL1646" s="81" t="b">
        <v>0</v>
      </c>
      <c r="AM1646" s="81">
        <v>49</v>
      </c>
      <c r="AN1646" s="86" t="s">
        <v>5526</v>
      </c>
      <c r="AO1646" s="86" t="s">
        <v>6503</v>
      </c>
      <c r="AP1646" s="81" t="b">
        <v>0</v>
      </c>
      <c r="AQ1646" s="86" t="s">
        <v>5526</v>
      </c>
      <c r="AR1646" s="81" t="s">
        <v>179</v>
      </c>
      <c r="AS1646" s="81">
        <v>0</v>
      </c>
      <c r="AT1646" s="81">
        <v>0</v>
      </c>
      <c r="AU1646" s="81"/>
      <c r="AV1646" s="81"/>
      <c r="AW1646" s="81"/>
      <c r="AX1646" s="81"/>
      <c r="AY1646" s="81"/>
      <c r="AZ1646" s="81"/>
      <c r="BA1646" s="81"/>
      <c r="BB1646" s="81"/>
    </row>
    <row r="1647" spans="1:54" x14ac:dyDescent="0.35">
      <c r="A1647" s="66" t="s">
        <v>1169</v>
      </c>
      <c r="B1647" s="66" t="s">
        <v>1261</v>
      </c>
      <c r="C1647" s="67"/>
      <c r="D1647" s="68"/>
      <c r="E1647" s="69"/>
      <c r="F1647" s="70"/>
      <c r="G1647" s="67"/>
      <c r="H1647" s="71"/>
      <c r="I1647" s="72"/>
      <c r="J1647" s="72"/>
      <c r="K1647" s="36"/>
      <c r="L1647" s="79"/>
      <c r="M1647" s="79"/>
      <c r="N1647" s="74"/>
      <c r="O1647" s="81" t="s">
        <v>1532</v>
      </c>
      <c r="P1647" s="83">
        <v>44466.562638888892</v>
      </c>
      <c r="Q1647" s="81" t="s">
        <v>1653</v>
      </c>
      <c r="R1647" s="84" t="str">
        <f>HYPERLINK("https://api.whatsapp.com/send?phone=6281222353823")</f>
        <v>https://api.whatsapp.com/send?phone=6281222353823</v>
      </c>
      <c r="S1647" s="81" t="s">
        <v>2597</v>
      </c>
      <c r="T1647" s="81"/>
      <c r="U1647" s="84" t="str">
        <f>HYPERLINK("https://pbs.twimg.com/media/E_P_XMQWYAUXeaR.jpg")</f>
        <v>https://pbs.twimg.com/media/E_P_XMQWYAUXeaR.jpg</v>
      </c>
      <c r="V1647" s="84" t="str">
        <f>HYPERLINK("https://pbs.twimg.com/media/E_P_XMQWYAUXeaR.jpg")</f>
        <v>https://pbs.twimg.com/media/E_P_XMQWYAUXeaR.jpg</v>
      </c>
      <c r="W1647" s="83">
        <v>44466.562638888892</v>
      </c>
      <c r="X1647" s="89">
        <v>44466</v>
      </c>
      <c r="Y1647" s="86" t="s">
        <v>3884</v>
      </c>
      <c r="Z1647" s="84" t="str">
        <f>HYPERLINK("https://twitter.com/funjunkies/status/1442481700517212160")</f>
        <v>https://twitter.com/funjunkies/status/1442481700517212160</v>
      </c>
      <c r="AA1647" s="81"/>
      <c r="AB1647" s="81"/>
      <c r="AC1647" s="86" t="s">
        <v>5359</v>
      </c>
      <c r="AD1647" s="81"/>
      <c r="AE1647" s="81" t="b">
        <v>0</v>
      </c>
      <c r="AF1647" s="81">
        <v>0</v>
      </c>
      <c r="AG1647" s="86" t="s">
        <v>6240</v>
      </c>
      <c r="AH1647" s="81" t="b">
        <v>0</v>
      </c>
      <c r="AI1647" s="81" t="s">
        <v>6478</v>
      </c>
      <c r="AJ1647" s="81"/>
      <c r="AK1647" s="86" t="s">
        <v>6240</v>
      </c>
      <c r="AL1647" s="81" t="b">
        <v>0</v>
      </c>
      <c r="AM1647" s="81">
        <v>49</v>
      </c>
      <c r="AN1647" s="86" t="s">
        <v>5526</v>
      </c>
      <c r="AO1647" s="86" t="s">
        <v>6503</v>
      </c>
      <c r="AP1647" s="81" t="b">
        <v>0</v>
      </c>
      <c r="AQ1647" s="86" t="s">
        <v>5526</v>
      </c>
      <c r="AR1647" s="81" t="s">
        <v>179</v>
      </c>
      <c r="AS1647" s="81">
        <v>0</v>
      </c>
      <c r="AT1647" s="81">
        <v>0</v>
      </c>
      <c r="AU1647" s="81"/>
      <c r="AV1647" s="81"/>
      <c r="AW1647" s="81"/>
      <c r="AX1647" s="81"/>
      <c r="AY1647" s="81"/>
      <c r="AZ1647" s="81"/>
      <c r="BA1647" s="81"/>
      <c r="BB1647" s="81"/>
    </row>
    <row r="1648" spans="1:54" x14ac:dyDescent="0.35">
      <c r="A1648" s="66" t="s">
        <v>1170</v>
      </c>
      <c r="B1648" s="66" t="s">
        <v>1218</v>
      </c>
      <c r="C1648" s="67"/>
      <c r="D1648" s="68"/>
      <c r="E1648" s="69"/>
      <c r="F1648" s="70"/>
      <c r="G1648" s="67"/>
      <c r="H1648" s="71"/>
      <c r="I1648" s="72"/>
      <c r="J1648" s="72"/>
      <c r="K1648" s="36"/>
      <c r="L1648" s="79"/>
      <c r="M1648" s="79"/>
      <c r="N1648" s="74"/>
      <c r="O1648" s="81" t="s">
        <v>1533</v>
      </c>
      <c r="P1648" s="83">
        <v>44466.565104166664</v>
      </c>
      <c r="Q1648" s="81" t="s">
        <v>2176</v>
      </c>
      <c r="R1648" s="84" t="str">
        <f>HYPERLINK("https://pmikabupatensemarang.com/")</f>
        <v>https://pmikabupatensemarang.com/</v>
      </c>
      <c r="S1648" s="81" t="s">
        <v>2647</v>
      </c>
      <c r="T1648" s="86" t="s">
        <v>2731</v>
      </c>
      <c r="U1648" s="84" t="str">
        <f>HYPERLINK("https://pbs.twimg.com/media/FAS6CahXoAIagz4.jpg")</f>
        <v>https://pbs.twimg.com/media/FAS6CahXoAIagz4.jpg</v>
      </c>
      <c r="V1648" s="84" t="str">
        <f>HYPERLINK("https://pbs.twimg.com/media/FAS6CahXoAIagz4.jpg")</f>
        <v>https://pbs.twimg.com/media/FAS6CahXoAIagz4.jpg</v>
      </c>
      <c r="W1648" s="83">
        <v>44466.565104166664</v>
      </c>
      <c r="X1648" s="89">
        <v>44466</v>
      </c>
      <c r="Y1648" s="86" t="s">
        <v>3885</v>
      </c>
      <c r="Z1648" s="84" t="str">
        <f>HYPERLINK("https://twitter.com/dipurwantto/status/1442482595091005450")</f>
        <v>https://twitter.com/dipurwantto/status/1442482595091005450</v>
      </c>
      <c r="AA1648" s="81"/>
      <c r="AB1648" s="81"/>
      <c r="AC1648" s="86" t="s">
        <v>5360</v>
      </c>
      <c r="AD1648" s="81"/>
      <c r="AE1648" s="81" t="b">
        <v>0</v>
      </c>
      <c r="AF1648" s="81">
        <v>0</v>
      </c>
      <c r="AG1648" s="86" t="s">
        <v>6240</v>
      </c>
      <c r="AH1648" s="81" t="b">
        <v>0</v>
      </c>
      <c r="AI1648" s="81" t="s">
        <v>6478</v>
      </c>
      <c r="AJ1648" s="81"/>
      <c r="AK1648" s="86" t="s">
        <v>6240</v>
      </c>
      <c r="AL1648" s="81" t="b">
        <v>0</v>
      </c>
      <c r="AM1648" s="81">
        <v>1</v>
      </c>
      <c r="AN1648" s="86" t="s">
        <v>5440</v>
      </c>
      <c r="AO1648" s="86" t="s">
        <v>6503</v>
      </c>
      <c r="AP1648" s="81" t="b">
        <v>0</v>
      </c>
      <c r="AQ1648" s="86" t="s">
        <v>5440</v>
      </c>
      <c r="AR1648" s="81" t="s">
        <v>179</v>
      </c>
      <c r="AS1648" s="81">
        <v>0</v>
      </c>
      <c r="AT1648" s="81">
        <v>0</v>
      </c>
      <c r="AU1648" s="81"/>
      <c r="AV1648" s="81"/>
      <c r="AW1648" s="81"/>
      <c r="AX1648" s="81"/>
      <c r="AY1648" s="81"/>
      <c r="AZ1648" s="81"/>
      <c r="BA1648" s="81"/>
      <c r="BB1648" s="81"/>
    </row>
    <row r="1649" spans="1:54" x14ac:dyDescent="0.35">
      <c r="A1649" s="66" t="s">
        <v>1170</v>
      </c>
      <c r="B1649" s="66" t="s">
        <v>1221</v>
      </c>
      <c r="C1649" s="67"/>
      <c r="D1649" s="68"/>
      <c r="E1649" s="69"/>
      <c r="F1649" s="70"/>
      <c r="G1649" s="67"/>
      <c r="H1649" s="71"/>
      <c r="I1649" s="72"/>
      <c r="J1649" s="72"/>
      <c r="K1649" s="36"/>
      <c r="L1649" s="79"/>
      <c r="M1649" s="79"/>
      <c r="N1649" s="74"/>
      <c r="O1649" s="81" t="s">
        <v>1532</v>
      </c>
      <c r="P1649" s="83">
        <v>44466.565104166664</v>
      </c>
      <c r="Q1649" s="81" t="s">
        <v>2176</v>
      </c>
      <c r="R1649" s="84" t="str">
        <f>HYPERLINK("https://pmikabupatensemarang.com/")</f>
        <v>https://pmikabupatensemarang.com/</v>
      </c>
      <c r="S1649" s="81" t="s">
        <v>2647</v>
      </c>
      <c r="T1649" s="86" t="s">
        <v>2731</v>
      </c>
      <c r="U1649" s="84" t="str">
        <f>HYPERLINK("https://pbs.twimg.com/media/FAS6CahXoAIagz4.jpg")</f>
        <v>https://pbs.twimg.com/media/FAS6CahXoAIagz4.jpg</v>
      </c>
      <c r="V1649" s="84" t="str">
        <f>HYPERLINK("https://pbs.twimg.com/media/FAS6CahXoAIagz4.jpg")</f>
        <v>https://pbs.twimg.com/media/FAS6CahXoAIagz4.jpg</v>
      </c>
      <c r="W1649" s="83">
        <v>44466.565104166664</v>
      </c>
      <c r="X1649" s="89">
        <v>44466</v>
      </c>
      <c r="Y1649" s="86" t="s">
        <v>3885</v>
      </c>
      <c r="Z1649" s="84" t="str">
        <f>HYPERLINK("https://twitter.com/dipurwantto/status/1442482595091005450")</f>
        <v>https://twitter.com/dipurwantto/status/1442482595091005450</v>
      </c>
      <c r="AA1649" s="81"/>
      <c r="AB1649" s="81"/>
      <c r="AC1649" s="86" t="s">
        <v>5360</v>
      </c>
      <c r="AD1649" s="81"/>
      <c r="AE1649" s="81" t="b">
        <v>0</v>
      </c>
      <c r="AF1649" s="81">
        <v>0</v>
      </c>
      <c r="AG1649" s="86" t="s">
        <v>6240</v>
      </c>
      <c r="AH1649" s="81" t="b">
        <v>0</v>
      </c>
      <c r="AI1649" s="81" t="s">
        <v>6478</v>
      </c>
      <c r="AJ1649" s="81"/>
      <c r="AK1649" s="86" t="s">
        <v>6240</v>
      </c>
      <c r="AL1649" s="81" t="b">
        <v>0</v>
      </c>
      <c r="AM1649" s="81">
        <v>1</v>
      </c>
      <c r="AN1649" s="86" t="s">
        <v>5440</v>
      </c>
      <c r="AO1649" s="86" t="s">
        <v>6503</v>
      </c>
      <c r="AP1649" s="81" t="b">
        <v>0</v>
      </c>
      <c r="AQ1649" s="86" t="s">
        <v>5440</v>
      </c>
      <c r="AR1649" s="81" t="s">
        <v>179</v>
      </c>
      <c r="AS1649" s="81">
        <v>0</v>
      </c>
      <c r="AT1649" s="81">
        <v>0</v>
      </c>
      <c r="AU1649" s="81"/>
      <c r="AV1649" s="81"/>
      <c r="AW1649" s="81"/>
      <c r="AX1649" s="81"/>
      <c r="AY1649" s="81"/>
      <c r="AZ1649" s="81"/>
      <c r="BA1649" s="81"/>
      <c r="BB1649" s="81"/>
    </row>
    <row r="1650" spans="1:54" x14ac:dyDescent="0.35">
      <c r="A1650" s="66" t="s">
        <v>1171</v>
      </c>
      <c r="B1650" s="66" t="s">
        <v>1261</v>
      </c>
      <c r="C1650" s="67"/>
      <c r="D1650" s="68"/>
      <c r="E1650" s="69"/>
      <c r="F1650" s="70"/>
      <c r="G1650" s="67"/>
      <c r="H1650" s="71"/>
      <c r="I1650" s="72"/>
      <c r="J1650" s="72"/>
      <c r="K1650" s="36"/>
      <c r="L1650" s="79"/>
      <c r="M1650" s="79"/>
      <c r="N1650" s="74"/>
      <c r="O1650" s="81" t="s">
        <v>1532</v>
      </c>
      <c r="P1650" s="83">
        <v>44466.566736111112</v>
      </c>
      <c r="Q1650" s="81" t="s">
        <v>1653</v>
      </c>
      <c r="R1650" s="84" t="str">
        <f>HYPERLINK("https://api.whatsapp.com/send?phone=6281222353823")</f>
        <v>https://api.whatsapp.com/send?phone=6281222353823</v>
      </c>
      <c r="S1650" s="81" t="s">
        <v>2597</v>
      </c>
      <c r="T1650" s="81"/>
      <c r="U1650" s="84" t="str">
        <f>HYPERLINK("https://pbs.twimg.com/media/E_P_XMQWYAUXeaR.jpg")</f>
        <v>https://pbs.twimg.com/media/E_P_XMQWYAUXeaR.jpg</v>
      </c>
      <c r="V1650" s="84" t="str">
        <f>HYPERLINK("https://pbs.twimg.com/media/E_P_XMQWYAUXeaR.jpg")</f>
        <v>https://pbs.twimg.com/media/E_P_XMQWYAUXeaR.jpg</v>
      </c>
      <c r="W1650" s="83">
        <v>44466.566736111112</v>
      </c>
      <c r="X1650" s="89">
        <v>44466</v>
      </c>
      <c r="Y1650" s="86" t="s">
        <v>3886</v>
      </c>
      <c r="Z1650" s="84" t="str">
        <f>HYPERLINK("https://twitter.com/dw19kur/status/1442483187028881408")</f>
        <v>https://twitter.com/dw19kur/status/1442483187028881408</v>
      </c>
      <c r="AA1650" s="81"/>
      <c r="AB1650" s="81"/>
      <c r="AC1650" s="86" t="s">
        <v>5361</v>
      </c>
      <c r="AD1650" s="81"/>
      <c r="AE1650" s="81" t="b">
        <v>0</v>
      </c>
      <c r="AF1650" s="81">
        <v>0</v>
      </c>
      <c r="AG1650" s="86" t="s">
        <v>6240</v>
      </c>
      <c r="AH1650" s="81" t="b">
        <v>0</v>
      </c>
      <c r="AI1650" s="81" t="s">
        <v>6478</v>
      </c>
      <c r="AJ1650" s="81"/>
      <c r="AK1650" s="86" t="s">
        <v>6240</v>
      </c>
      <c r="AL1650" s="81" t="b">
        <v>0</v>
      </c>
      <c r="AM1650" s="81">
        <v>49</v>
      </c>
      <c r="AN1650" s="86" t="s">
        <v>5526</v>
      </c>
      <c r="AO1650" s="86" t="s">
        <v>6507</v>
      </c>
      <c r="AP1650" s="81" t="b">
        <v>0</v>
      </c>
      <c r="AQ1650" s="86" t="s">
        <v>5526</v>
      </c>
      <c r="AR1650" s="81" t="s">
        <v>179</v>
      </c>
      <c r="AS1650" s="81">
        <v>0</v>
      </c>
      <c r="AT1650" s="81">
        <v>0</v>
      </c>
      <c r="AU1650" s="81"/>
      <c r="AV1650" s="81"/>
      <c r="AW1650" s="81"/>
      <c r="AX1650" s="81"/>
      <c r="AY1650" s="81"/>
      <c r="AZ1650" s="81"/>
      <c r="BA1650" s="81"/>
      <c r="BB1650" s="81"/>
    </row>
    <row r="1651" spans="1:54" x14ac:dyDescent="0.35">
      <c r="A1651" s="66" t="s">
        <v>1172</v>
      </c>
      <c r="B1651" s="66" t="s">
        <v>1193</v>
      </c>
      <c r="C1651" s="67"/>
      <c r="D1651" s="68"/>
      <c r="E1651" s="69"/>
      <c r="F1651" s="70"/>
      <c r="G1651" s="67"/>
      <c r="H1651" s="71"/>
      <c r="I1651" s="72"/>
      <c r="J1651" s="72"/>
      <c r="K1651" s="36"/>
      <c r="L1651" s="79"/>
      <c r="M1651" s="79"/>
      <c r="N1651" s="74"/>
      <c r="O1651" s="81" t="s">
        <v>1532</v>
      </c>
      <c r="P1651" s="83">
        <v>44466.567986111113</v>
      </c>
      <c r="Q1651" s="81" t="s">
        <v>2177</v>
      </c>
      <c r="R1651" s="81"/>
      <c r="S1651" s="81"/>
      <c r="T1651" s="86" t="s">
        <v>2732</v>
      </c>
      <c r="U1651" s="84" t="str">
        <f>HYPERLINK("https://pbs.twimg.com/media/FAQRAomVkAcgt4H.jpg")</f>
        <v>https://pbs.twimg.com/media/FAQRAomVkAcgt4H.jpg</v>
      </c>
      <c r="V1651" s="84" t="str">
        <f>HYPERLINK("https://pbs.twimg.com/media/FAQRAomVkAcgt4H.jpg")</f>
        <v>https://pbs.twimg.com/media/FAQRAomVkAcgt4H.jpg</v>
      </c>
      <c r="W1651" s="83">
        <v>44466.567986111113</v>
      </c>
      <c r="X1651" s="89">
        <v>44466</v>
      </c>
      <c r="Y1651" s="86" t="s">
        <v>3887</v>
      </c>
      <c r="Z1651" s="84" t="str">
        <f>HYPERLINK("https://twitter.com/itsnaini_alan/status/1442483639959240704")</f>
        <v>https://twitter.com/itsnaini_alan/status/1442483639959240704</v>
      </c>
      <c r="AA1651" s="81"/>
      <c r="AB1651" s="81"/>
      <c r="AC1651" s="86" t="s">
        <v>5362</v>
      </c>
      <c r="AD1651" s="81"/>
      <c r="AE1651" s="81" t="b">
        <v>0</v>
      </c>
      <c r="AF1651" s="81">
        <v>0</v>
      </c>
      <c r="AG1651" s="86" t="s">
        <v>6240</v>
      </c>
      <c r="AH1651" s="81" t="b">
        <v>0</v>
      </c>
      <c r="AI1651" s="81" t="s">
        <v>6478</v>
      </c>
      <c r="AJ1651" s="81"/>
      <c r="AK1651" s="86" t="s">
        <v>6240</v>
      </c>
      <c r="AL1651" s="81" t="b">
        <v>0</v>
      </c>
      <c r="AM1651" s="81">
        <v>2</v>
      </c>
      <c r="AN1651" s="86" t="s">
        <v>5386</v>
      </c>
      <c r="AO1651" s="86" t="s">
        <v>6503</v>
      </c>
      <c r="AP1651" s="81" t="b">
        <v>0</v>
      </c>
      <c r="AQ1651" s="86" t="s">
        <v>5386</v>
      </c>
      <c r="AR1651" s="81" t="s">
        <v>179</v>
      </c>
      <c r="AS1651" s="81">
        <v>0</v>
      </c>
      <c r="AT1651" s="81">
        <v>0</v>
      </c>
      <c r="AU1651" s="81"/>
      <c r="AV1651" s="81"/>
      <c r="AW1651" s="81"/>
      <c r="AX1651" s="81"/>
      <c r="AY1651" s="81"/>
      <c r="AZ1651" s="81"/>
      <c r="BA1651" s="81"/>
      <c r="BB1651" s="81"/>
    </row>
    <row r="1652" spans="1:54" x14ac:dyDescent="0.35">
      <c r="A1652" s="66" t="s">
        <v>1173</v>
      </c>
      <c r="B1652" s="66" t="s">
        <v>1261</v>
      </c>
      <c r="C1652" s="67"/>
      <c r="D1652" s="68"/>
      <c r="E1652" s="69"/>
      <c r="F1652" s="70"/>
      <c r="G1652" s="67"/>
      <c r="H1652" s="71"/>
      <c r="I1652" s="72"/>
      <c r="J1652" s="72"/>
      <c r="K1652" s="36"/>
      <c r="L1652" s="79"/>
      <c r="M1652" s="79"/>
      <c r="N1652" s="74"/>
      <c r="O1652" s="81" t="s">
        <v>1532</v>
      </c>
      <c r="P1652" s="83">
        <v>44466.573344907411</v>
      </c>
      <c r="Q1652" s="81" t="s">
        <v>1653</v>
      </c>
      <c r="R1652" s="84" t="str">
        <f>HYPERLINK("https://api.whatsapp.com/send?phone=6281222353823")</f>
        <v>https://api.whatsapp.com/send?phone=6281222353823</v>
      </c>
      <c r="S1652" s="81" t="s">
        <v>2597</v>
      </c>
      <c r="T1652" s="81"/>
      <c r="U1652" s="84" t="str">
        <f>HYPERLINK("https://pbs.twimg.com/media/E_P_XMQWYAUXeaR.jpg")</f>
        <v>https://pbs.twimg.com/media/E_P_XMQWYAUXeaR.jpg</v>
      </c>
      <c r="V1652" s="84" t="str">
        <f>HYPERLINK("https://pbs.twimg.com/media/E_P_XMQWYAUXeaR.jpg")</f>
        <v>https://pbs.twimg.com/media/E_P_XMQWYAUXeaR.jpg</v>
      </c>
      <c r="W1652" s="83">
        <v>44466.573344907411</v>
      </c>
      <c r="X1652" s="89">
        <v>44466</v>
      </c>
      <c r="Y1652" s="86" t="s">
        <v>3888</v>
      </c>
      <c r="Z1652" s="84" t="str">
        <f>HYPERLINK("https://twitter.com/anisprasety/status/1442485582572048391")</f>
        <v>https://twitter.com/anisprasety/status/1442485582572048391</v>
      </c>
      <c r="AA1652" s="81"/>
      <c r="AB1652" s="81"/>
      <c r="AC1652" s="86" t="s">
        <v>5363</v>
      </c>
      <c r="AD1652" s="81"/>
      <c r="AE1652" s="81" t="b">
        <v>0</v>
      </c>
      <c r="AF1652" s="81">
        <v>0</v>
      </c>
      <c r="AG1652" s="86" t="s">
        <v>6240</v>
      </c>
      <c r="AH1652" s="81" t="b">
        <v>0</v>
      </c>
      <c r="AI1652" s="81" t="s">
        <v>6478</v>
      </c>
      <c r="AJ1652" s="81"/>
      <c r="AK1652" s="86" t="s">
        <v>6240</v>
      </c>
      <c r="AL1652" s="81" t="b">
        <v>0</v>
      </c>
      <c r="AM1652" s="81">
        <v>49</v>
      </c>
      <c r="AN1652" s="86" t="s">
        <v>5526</v>
      </c>
      <c r="AO1652" s="86" t="s">
        <v>6503</v>
      </c>
      <c r="AP1652" s="81" t="b">
        <v>0</v>
      </c>
      <c r="AQ1652" s="86" t="s">
        <v>5526</v>
      </c>
      <c r="AR1652" s="81" t="s">
        <v>179</v>
      </c>
      <c r="AS1652" s="81">
        <v>0</v>
      </c>
      <c r="AT1652" s="81">
        <v>0</v>
      </c>
      <c r="AU1652" s="81"/>
      <c r="AV1652" s="81"/>
      <c r="AW1652" s="81"/>
      <c r="AX1652" s="81"/>
      <c r="AY1652" s="81"/>
      <c r="AZ1652" s="81"/>
      <c r="BA1652" s="81"/>
      <c r="BB1652" s="81"/>
    </row>
    <row r="1653" spans="1:54" x14ac:dyDescent="0.35">
      <c r="A1653" s="66" t="s">
        <v>1174</v>
      </c>
      <c r="B1653" s="66" t="s">
        <v>1261</v>
      </c>
      <c r="C1653" s="67"/>
      <c r="D1653" s="68"/>
      <c r="E1653" s="69"/>
      <c r="F1653" s="70"/>
      <c r="G1653" s="67"/>
      <c r="H1653" s="71"/>
      <c r="I1653" s="72"/>
      <c r="J1653" s="72"/>
      <c r="K1653" s="36"/>
      <c r="L1653" s="79"/>
      <c r="M1653" s="79"/>
      <c r="N1653" s="74"/>
      <c r="O1653" s="81" t="s">
        <v>1532</v>
      </c>
      <c r="P1653" s="83">
        <v>44466.573449074072</v>
      </c>
      <c r="Q1653" s="81" t="s">
        <v>1653</v>
      </c>
      <c r="R1653" s="84" t="str">
        <f>HYPERLINK("https://api.whatsapp.com/send?phone=6281222353823")</f>
        <v>https://api.whatsapp.com/send?phone=6281222353823</v>
      </c>
      <c r="S1653" s="81" t="s">
        <v>2597</v>
      </c>
      <c r="T1653" s="81"/>
      <c r="U1653" s="84" t="str">
        <f>HYPERLINK("https://pbs.twimg.com/media/E_P_XMQWYAUXeaR.jpg")</f>
        <v>https://pbs.twimg.com/media/E_P_XMQWYAUXeaR.jpg</v>
      </c>
      <c r="V1653" s="84" t="str">
        <f>HYPERLINK("https://pbs.twimg.com/media/E_P_XMQWYAUXeaR.jpg")</f>
        <v>https://pbs.twimg.com/media/E_P_XMQWYAUXeaR.jpg</v>
      </c>
      <c r="W1653" s="83">
        <v>44466.573449074072</v>
      </c>
      <c r="X1653" s="89">
        <v>44466</v>
      </c>
      <c r="Y1653" s="86" t="s">
        <v>3889</v>
      </c>
      <c r="Z1653" s="84" t="str">
        <f>HYPERLINK("https://twitter.com/el_maqnuah/status/1442485620354404357")</f>
        <v>https://twitter.com/el_maqnuah/status/1442485620354404357</v>
      </c>
      <c r="AA1653" s="81"/>
      <c r="AB1653" s="81"/>
      <c r="AC1653" s="86" t="s">
        <v>5364</v>
      </c>
      <c r="AD1653" s="81"/>
      <c r="AE1653" s="81" t="b">
        <v>0</v>
      </c>
      <c r="AF1653" s="81">
        <v>0</v>
      </c>
      <c r="AG1653" s="86" t="s">
        <v>6240</v>
      </c>
      <c r="AH1653" s="81" t="b">
        <v>0</v>
      </c>
      <c r="AI1653" s="81" t="s">
        <v>6478</v>
      </c>
      <c r="AJ1653" s="81"/>
      <c r="AK1653" s="86" t="s">
        <v>6240</v>
      </c>
      <c r="AL1653" s="81" t="b">
        <v>0</v>
      </c>
      <c r="AM1653" s="81">
        <v>49</v>
      </c>
      <c r="AN1653" s="86" t="s">
        <v>5526</v>
      </c>
      <c r="AO1653" s="86" t="s">
        <v>6503</v>
      </c>
      <c r="AP1653" s="81" t="b">
        <v>0</v>
      </c>
      <c r="AQ1653" s="86" t="s">
        <v>5526</v>
      </c>
      <c r="AR1653" s="81" t="s">
        <v>179</v>
      </c>
      <c r="AS1653" s="81">
        <v>0</v>
      </c>
      <c r="AT1653" s="81">
        <v>0</v>
      </c>
      <c r="AU1653" s="81"/>
      <c r="AV1653" s="81"/>
      <c r="AW1653" s="81"/>
      <c r="AX1653" s="81"/>
      <c r="AY1653" s="81"/>
      <c r="AZ1653" s="81"/>
      <c r="BA1653" s="81"/>
      <c r="BB1653" s="81"/>
    </row>
    <row r="1654" spans="1:54" x14ac:dyDescent="0.35">
      <c r="A1654" s="66" t="s">
        <v>1175</v>
      </c>
      <c r="B1654" s="66" t="s">
        <v>1496</v>
      </c>
      <c r="C1654" s="67"/>
      <c r="D1654" s="68"/>
      <c r="E1654" s="69"/>
      <c r="F1654" s="70"/>
      <c r="G1654" s="67"/>
      <c r="H1654" s="71"/>
      <c r="I1654" s="72"/>
      <c r="J1654" s="72"/>
      <c r="K1654" s="36"/>
      <c r="L1654" s="79"/>
      <c r="M1654" s="79"/>
      <c r="N1654" s="74"/>
      <c r="O1654" s="81" t="s">
        <v>1534</v>
      </c>
      <c r="P1654" s="83">
        <v>44466.574293981481</v>
      </c>
      <c r="Q1654" s="81" t="s">
        <v>2178</v>
      </c>
      <c r="R1654" s="81"/>
      <c r="S1654" s="81"/>
      <c r="T1654" s="81"/>
      <c r="U1654" s="81"/>
      <c r="V1654" s="84" t="str">
        <f>HYPERLINK("https://pbs.twimg.com/profile_images/1289976442655129600/5CJ3Qk-a_normal.jpg")</f>
        <v>https://pbs.twimg.com/profile_images/1289976442655129600/5CJ3Qk-a_normal.jpg</v>
      </c>
      <c r="W1654" s="83">
        <v>44466.574293981481</v>
      </c>
      <c r="X1654" s="89">
        <v>44466</v>
      </c>
      <c r="Y1654" s="86" t="s">
        <v>3890</v>
      </c>
      <c r="Z1654" s="84" t="str">
        <f>HYPERLINK("https://twitter.com/_u5er5_/status/1442485924479127562")</f>
        <v>https://twitter.com/_u5er5_/status/1442485924479127562</v>
      </c>
      <c r="AA1654" s="81"/>
      <c r="AB1654" s="81"/>
      <c r="AC1654" s="86" t="s">
        <v>5365</v>
      </c>
      <c r="AD1654" s="86" t="s">
        <v>6197</v>
      </c>
      <c r="AE1654" s="81" t="b">
        <v>0</v>
      </c>
      <c r="AF1654" s="81">
        <v>0</v>
      </c>
      <c r="AG1654" s="86" t="s">
        <v>6448</v>
      </c>
      <c r="AH1654" s="81" t="b">
        <v>0</v>
      </c>
      <c r="AI1654" s="81" t="s">
        <v>6478</v>
      </c>
      <c r="AJ1654" s="81"/>
      <c r="AK1654" s="86" t="s">
        <v>6240</v>
      </c>
      <c r="AL1654" s="81" t="b">
        <v>0</v>
      </c>
      <c r="AM1654" s="81">
        <v>0</v>
      </c>
      <c r="AN1654" s="86" t="s">
        <v>6240</v>
      </c>
      <c r="AO1654" s="86" t="s">
        <v>6503</v>
      </c>
      <c r="AP1654" s="81" t="b">
        <v>0</v>
      </c>
      <c r="AQ1654" s="86" t="s">
        <v>6197</v>
      </c>
      <c r="AR1654" s="81" t="s">
        <v>179</v>
      </c>
      <c r="AS1654" s="81">
        <v>0</v>
      </c>
      <c r="AT1654" s="81">
        <v>0</v>
      </c>
      <c r="AU1654" s="81"/>
      <c r="AV1654" s="81"/>
      <c r="AW1654" s="81"/>
      <c r="AX1654" s="81"/>
      <c r="AY1654" s="81"/>
      <c r="AZ1654" s="81"/>
      <c r="BA1654" s="81"/>
      <c r="BB1654" s="81"/>
    </row>
    <row r="1655" spans="1:54" x14ac:dyDescent="0.35">
      <c r="A1655" s="66" t="s">
        <v>1176</v>
      </c>
      <c r="B1655" s="66" t="s">
        <v>1176</v>
      </c>
      <c r="C1655" s="67"/>
      <c r="D1655" s="68"/>
      <c r="E1655" s="69"/>
      <c r="F1655" s="70"/>
      <c r="G1655" s="67"/>
      <c r="H1655" s="71"/>
      <c r="I1655" s="72"/>
      <c r="J1655" s="72"/>
      <c r="K1655" s="36"/>
      <c r="L1655" s="79"/>
      <c r="M1655" s="79"/>
      <c r="N1655" s="74"/>
      <c r="O1655" s="81" t="s">
        <v>179</v>
      </c>
      <c r="P1655" s="83">
        <v>44466.577881944446</v>
      </c>
      <c r="Q1655" s="81" t="s">
        <v>2179</v>
      </c>
      <c r="R1655" s="84" t="str">
        <f>HYPERLINK("https://www.instagram.com/p/CUU9GmPhe1f/?utm_medium=twitter")</f>
        <v>https://www.instagram.com/p/CUU9GmPhe1f/?utm_medium=twitter</v>
      </c>
      <c r="S1655" s="81" t="s">
        <v>2626</v>
      </c>
      <c r="T1655" s="81"/>
      <c r="U1655" s="81"/>
      <c r="V1655" s="84" t="str">
        <f>HYPERLINK("https://pbs.twimg.com/profile_images/1342090869290110976/LvlCGsjd_normal.jpg")</f>
        <v>https://pbs.twimg.com/profile_images/1342090869290110976/LvlCGsjd_normal.jpg</v>
      </c>
      <c r="W1655" s="83">
        <v>44466.577881944446</v>
      </c>
      <c r="X1655" s="89">
        <v>44466</v>
      </c>
      <c r="Y1655" s="86" t="s">
        <v>3891</v>
      </c>
      <c r="Z1655" s="84" t="str">
        <f>HYPERLINK("https://twitter.com/reskrimrestaptk/status/1442487224231075841")</f>
        <v>https://twitter.com/reskrimrestaptk/status/1442487224231075841</v>
      </c>
      <c r="AA1655" s="81"/>
      <c r="AB1655" s="81"/>
      <c r="AC1655" s="86" t="s">
        <v>5366</v>
      </c>
      <c r="AD1655" s="81"/>
      <c r="AE1655" s="81" t="b">
        <v>0</v>
      </c>
      <c r="AF1655" s="81">
        <v>1</v>
      </c>
      <c r="AG1655" s="86" t="s">
        <v>6240</v>
      </c>
      <c r="AH1655" s="81" t="b">
        <v>0</v>
      </c>
      <c r="AI1655" s="81" t="s">
        <v>6478</v>
      </c>
      <c r="AJ1655" s="81"/>
      <c r="AK1655" s="86" t="s">
        <v>6240</v>
      </c>
      <c r="AL1655" s="81" t="b">
        <v>0</v>
      </c>
      <c r="AM1655" s="81">
        <v>0</v>
      </c>
      <c r="AN1655" s="86" t="s">
        <v>6240</v>
      </c>
      <c r="AO1655" s="86" t="s">
        <v>6523</v>
      </c>
      <c r="AP1655" s="81" t="b">
        <v>0</v>
      </c>
      <c r="AQ1655" s="86" t="s">
        <v>5366</v>
      </c>
      <c r="AR1655" s="81" t="s">
        <v>179</v>
      </c>
      <c r="AS1655" s="81">
        <v>0</v>
      </c>
      <c r="AT1655" s="81">
        <v>0</v>
      </c>
      <c r="AU1655" s="81"/>
      <c r="AV1655" s="81"/>
      <c r="AW1655" s="81"/>
      <c r="AX1655" s="81"/>
      <c r="AY1655" s="81"/>
      <c r="AZ1655" s="81"/>
      <c r="BA1655" s="81"/>
      <c r="BB1655" s="81"/>
    </row>
    <row r="1656" spans="1:54" x14ac:dyDescent="0.35">
      <c r="A1656" s="66" t="s">
        <v>1177</v>
      </c>
      <c r="B1656" s="66" t="s">
        <v>1261</v>
      </c>
      <c r="C1656" s="67"/>
      <c r="D1656" s="68"/>
      <c r="E1656" s="69"/>
      <c r="F1656" s="70"/>
      <c r="G1656" s="67"/>
      <c r="H1656" s="71"/>
      <c r="I1656" s="72"/>
      <c r="J1656" s="72"/>
      <c r="K1656" s="36"/>
      <c r="L1656" s="79"/>
      <c r="M1656" s="79"/>
      <c r="N1656" s="74"/>
      <c r="O1656" s="81" t="s">
        <v>1532</v>
      </c>
      <c r="P1656" s="83">
        <v>44466.583981481483</v>
      </c>
      <c r="Q1656" s="81" t="s">
        <v>1653</v>
      </c>
      <c r="R1656" s="84" t="str">
        <f>HYPERLINK("https://api.whatsapp.com/send?phone=6281222353823")</f>
        <v>https://api.whatsapp.com/send?phone=6281222353823</v>
      </c>
      <c r="S1656" s="81" t="s">
        <v>2597</v>
      </c>
      <c r="T1656" s="81"/>
      <c r="U1656" s="84" t="str">
        <f>HYPERLINK("https://pbs.twimg.com/media/E_P_XMQWYAUXeaR.jpg")</f>
        <v>https://pbs.twimg.com/media/E_P_XMQWYAUXeaR.jpg</v>
      </c>
      <c r="V1656" s="84" t="str">
        <f>HYPERLINK("https://pbs.twimg.com/media/E_P_XMQWYAUXeaR.jpg")</f>
        <v>https://pbs.twimg.com/media/E_P_XMQWYAUXeaR.jpg</v>
      </c>
      <c r="W1656" s="83">
        <v>44466.583981481483</v>
      </c>
      <c r="X1656" s="89">
        <v>44466</v>
      </c>
      <c r="Y1656" s="86" t="s">
        <v>3892</v>
      </c>
      <c r="Z1656" s="84" t="str">
        <f>HYPERLINK("https://twitter.com/nararara17/status/1442489437133307905")</f>
        <v>https://twitter.com/nararara17/status/1442489437133307905</v>
      </c>
      <c r="AA1656" s="81"/>
      <c r="AB1656" s="81"/>
      <c r="AC1656" s="86" t="s">
        <v>5367</v>
      </c>
      <c r="AD1656" s="81"/>
      <c r="AE1656" s="81" t="b">
        <v>0</v>
      </c>
      <c r="AF1656" s="81">
        <v>0</v>
      </c>
      <c r="AG1656" s="86" t="s">
        <v>6240</v>
      </c>
      <c r="AH1656" s="81" t="b">
        <v>0</v>
      </c>
      <c r="AI1656" s="81" t="s">
        <v>6478</v>
      </c>
      <c r="AJ1656" s="81"/>
      <c r="AK1656" s="86" t="s">
        <v>6240</v>
      </c>
      <c r="AL1656" s="81" t="b">
        <v>0</v>
      </c>
      <c r="AM1656" s="81">
        <v>49</v>
      </c>
      <c r="AN1656" s="86" t="s">
        <v>5526</v>
      </c>
      <c r="AO1656" s="86" t="s">
        <v>6503</v>
      </c>
      <c r="AP1656" s="81" t="b">
        <v>0</v>
      </c>
      <c r="AQ1656" s="86" t="s">
        <v>5526</v>
      </c>
      <c r="AR1656" s="81" t="s">
        <v>179</v>
      </c>
      <c r="AS1656" s="81">
        <v>0</v>
      </c>
      <c r="AT1656" s="81">
        <v>0</v>
      </c>
      <c r="AU1656" s="81"/>
      <c r="AV1656" s="81"/>
      <c r="AW1656" s="81"/>
      <c r="AX1656" s="81"/>
      <c r="AY1656" s="81"/>
      <c r="AZ1656" s="81"/>
      <c r="BA1656" s="81"/>
      <c r="BB1656" s="81"/>
    </row>
    <row r="1657" spans="1:54" x14ac:dyDescent="0.35">
      <c r="A1657" s="66" t="s">
        <v>1178</v>
      </c>
      <c r="B1657" s="66" t="s">
        <v>1272</v>
      </c>
      <c r="C1657" s="67"/>
      <c r="D1657" s="68"/>
      <c r="E1657" s="69"/>
      <c r="F1657" s="70"/>
      <c r="G1657" s="67"/>
      <c r="H1657" s="71"/>
      <c r="I1657" s="72"/>
      <c r="J1657" s="72"/>
      <c r="K1657" s="36"/>
      <c r="L1657" s="79"/>
      <c r="M1657" s="79"/>
      <c r="N1657" s="74"/>
      <c r="O1657" s="81" t="s">
        <v>1534</v>
      </c>
      <c r="P1657" s="83">
        <v>44466.585682870369</v>
      </c>
      <c r="Q1657" s="81" t="s">
        <v>2180</v>
      </c>
      <c r="R1657" s="81"/>
      <c r="S1657" s="81"/>
      <c r="T1657" s="81"/>
      <c r="U1657" s="81"/>
      <c r="V1657" s="84" t="str">
        <f>HYPERLINK("https://pbs.twimg.com/profile_images/1283699520614707200/wYMU0kc0_normal.jpg")</f>
        <v>https://pbs.twimg.com/profile_images/1283699520614707200/wYMU0kc0_normal.jpg</v>
      </c>
      <c r="W1657" s="83">
        <v>44466.585682870369</v>
      </c>
      <c r="X1657" s="89">
        <v>44466</v>
      </c>
      <c r="Y1657" s="86" t="s">
        <v>3893</v>
      </c>
      <c r="Z1657" s="84" t="str">
        <f>HYPERLINK("https://twitter.com/hendrichalid/status/1442490054589304838")</f>
        <v>https://twitter.com/hendrichalid/status/1442490054589304838</v>
      </c>
      <c r="AA1657" s="81"/>
      <c r="AB1657" s="81"/>
      <c r="AC1657" s="86" t="s">
        <v>5368</v>
      </c>
      <c r="AD1657" s="86" t="s">
        <v>6198</v>
      </c>
      <c r="AE1657" s="81" t="b">
        <v>0</v>
      </c>
      <c r="AF1657" s="81">
        <v>0</v>
      </c>
      <c r="AG1657" s="86" t="s">
        <v>6449</v>
      </c>
      <c r="AH1657" s="81" t="b">
        <v>0</v>
      </c>
      <c r="AI1657" s="81" t="s">
        <v>6478</v>
      </c>
      <c r="AJ1657" s="81"/>
      <c r="AK1657" s="86" t="s">
        <v>6240</v>
      </c>
      <c r="AL1657" s="81" t="b">
        <v>0</v>
      </c>
      <c r="AM1657" s="81">
        <v>0</v>
      </c>
      <c r="AN1657" s="86" t="s">
        <v>6240</v>
      </c>
      <c r="AO1657" s="86" t="s">
        <v>6503</v>
      </c>
      <c r="AP1657" s="81" t="b">
        <v>0</v>
      </c>
      <c r="AQ1657" s="86" t="s">
        <v>6198</v>
      </c>
      <c r="AR1657" s="81" t="s">
        <v>179</v>
      </c>
      <c r="AS1657" s="81">
        <v>0</v>
      </c>
      <c r="AT1657" s="81">
        <v>0</v>
      </c>
      <c r="AU1657" s="81"/>
      <c r="AV1657" s="81"/>
      <c r="AW1657" s="81"/>
      <c r="AX1657" s="81"/>
      <c r="AY1657" s="81"/>
      <c r="AZ1657" s="81"/>
      <c r="BA1657" s="81"/>
      <c r="BB1657" s="81"/>
    </row>
    <row r="1658" spans="1:54" x14ac:dyDescent="0.35">
      <c r="A1658" s="66" t="s">
        <v>1179</v>
      </c>
      <c r="B1658" s="66" t="s">
        <v>1215</v>
      </c>
      <c r="C1658" s="67"/>
      <c r="D1658" s="68"/>
      <c r="E1658" s="69"/>
      <c r="F1658" s="70"/>
      <c r="G1658" s="67"/>
      <c r="H1658" s="71"/>
      <c r="I1658" s="72"/>
      <c r="J1658" s="72"/>
      <c r="K1658" s="36"/>
      <c r="L1658" s="79"/>
      <c r="M1658" s="79"/>
      <c r="N1658" s="74"/>
      <c r="O1658" s="81" t="s">
        <v>1532</v>
      </c>
      <c r="P1658" s="83">
        <v>44466.586377314816</v>
      </c>
      <c r="Q1658" s="81" t="s">
        <v>2154</v>
      </c>
      <c r="R1658" s="81"/>
      <c r="S1658" s="81"/>
      <c r="T1658" s="81"/>
      <c r="U1658" s="84" t="str">
        <f>HYPERLINK("https://pbs.twimg.com/media/FASHjEnUcAMSLOM.jpg")</f>
        <v>https://pbs.twimg.com/media/FASHjEnUcAMSLOM.jpg</v>
      </c>
      <c r="V1658" s="84" t="str">
        <f>HYPERLINK("https://pbs.twimg.com/media/FASHjEnUcAMSLOM.jpg")</f>
        <v>https://pbs.twimg.com/media/FASHjEnUcAMSLOM.jpg</v>
      </c>
      <c r="W1658" s="83">
        <v>44466.586377314816</v>
      </c>
      <c r="X1658" s="89">
        <v>44466</v>
      </c>
      <c r="Y1658" s="86" t="s">
        <v>3894</v>
      </c>
      <c r="Z1658" s="84" t="str">
        <f>HYPERLINK("https://twitter.com/negarakecil/status/1442490305803022343")</f>
        <v>https://twitter.com/negarakecil/status/1442490305803022343</v>
      </c>
      <c r="AA1658" s="81"/>
      <c r="AB1658" s="81"/>
      <c r="AC1658" s="86" t="s">
        <v>5369</v>
      </c>
      <c r="AD1658" s="81"/>
      <c r="AE1658" s="81" t="b">
        <v>0</v>
      </c>
      <c r="AF1658" s="81">
        <v>0</v>
      </c>
      <c r="AG1658" s="86" t="s">
        <v>6240</v>
      </c>
      <c r="AH1658" s="81" t="b">
        <v>0</v>
      </c>
      <c r="AI1658" s="81" t="s">
        <v>6478</v>
      </c>
      <c r="AJ1658" s="81"/>
      <c r="AK1658" s="86" t="s">
        <v>6240</v>
      </c>
      <c r="AL1658" s="81" t="b">
        <v>0</v>
      </c>
      <c r="AM1658" s="81">
        <v>9</v>
      </c>
      <c r="AN1658" s="86" t="s">
        <v>5410</v>
      </c>
      <c r="AO1658" s="86" t="s">
        <v>6503</v>
      </c>
      <c r="AP1658" s="81" t="b">
        <v>0</v>
      </c>
      <c r="AQ1658" s="86" t="s">
        <v>5410</v>
      </c>
      <c r="AR1658" s="81" t="s">
        <v>179</v>
      </c>
      <c r="AS1658" s="81">
        <v>0</v>
      </c>
      <c r="AT1658" s="81">
        <v>0</v>
      </c>
      <c r="AU1658" s="81"/>
      <c r="AV1658" s="81"/>
      <c r="AW1658" s="81"/>
      <c r="AX1658" s="81"/>
      <c r="AY1658" s="81"/>
      <c r="AZ1658" s="81"/>
      <c r="BA1658" s="81"/>
      <c r="BB1658" s="81"/>
    </row>
    <row r="1659" spans="1:54" x14ac:dyDescent="0.35">
      <c r="A1659" s="66" t="s">
        <v>1180</v>
      </c>
      <c r="B1659" s="66" t="s">
        <v>1146</v>
      </c>
      <c r="C1659" s="67"/>
      <c r="D1659" s="68"/>
      <c r="E1659" s="69"/>
      <c r="F1659" s="70"/>
      <c r="G1659" s="67"/>
      <c r="H1659" s="71"/>
      <c r="I1659" s="72"/>
      <c r="J1659" s="72"/>
      <c r="K1659" s="36"/>
      <c r="L1659" s="79"/>
      <c r="M1659" s="79"/>
      <c r="N1659" s="74"/>
      <c r="O1659" s="81" t="s">
        <v>1532</v>
      </c>
      <c r="P1659" s="83">
        <v>44466.588541666664</v>
      </c>
      <c r="Q1659" s="81" t="s">
        <v>2091</v>
      </c>
      <c r="R1659" s="81"/>
      <c r="S1659" s="81"/>
      <c r="T1659" s="81"/>
      <c r="U1659" s="84" t="str">
        <f>HYPERLINK("https://pbs.twimg.com/ext_tw_video_thumb/1442373678990196737/pu/img/UDVgFvOXidN40Fez.jpg")</f>
        <v>https://pbs.twimg.com/ext_tw_video_thumb/1442373678990196737/pu/img/UDVgFvOXidN40Fez.jpg</v>
      </c>
      <c r="V1659" s="84" t="str">
        <f>HYPERLINK("https://pbs.twimg.com/ext_tw_video_thumb/1442373678990196737/pu/img/UDVgFvOXidN40Fez.jpg")</f>
        <v>https://pbs.twimg.com/ext_tw_video_thumb/1442373678990196737/pu/img/UDVgFvOXidN40Fez.jpg</v>
      </c>
      <c r="W1659" s="83">
        <v>44466.588541666664</v>
      </c>
      <c r="X1659" s="89">
        <v>44466</v>
      </c>
      <c r="Y1659" s="86" t="s">
        <v>3895</v>
      </c>
      <c r="Z1659" s="84" t="str">
        <f>HYPERLINK("https://twitter.com/ekapuspitaward1/status/1442491088904724495")</f>
        <v>https://twitter.com/ekapuspitaward1/status/1442491088904724495</v>
      </c>
      <c r="AA1659" s="81"/>
      <c r="AB1659" s="81"/>
      <c r="AC1659" s="86" t="s">
        <v>5370</v>
      </c>
      <c r="AD1659" s="81"/>
      <c r="AE1659" s="81" t="b">
        <v>0</v>
      </c>
      <c r="AF1659" s="81">
        <v>0</v>
      </c>
      <c r="AG1659" s="86" t="s">
        <v>6240</v>
      </c>
      <c r="AH1659" s="81" t="b">
        <v>0</v>
      </c>
      <c r="AI1659" s="81" t="s">
        <v>6478</v>
      </c>
      <c r="AJ1659" s="81"/>
      <c r="AK1659" s="86" t="s">
        <v>6240</v>
      </c>
      <c r="AL1659" s="81" t="b">
        <v>0</v>
      </c>
      <c r="AM1659" s="81">
        <v>30</v>
      </c>
      <c r="AN1659" s="86" t="s">
        <v>5524</v>
      </c>
      <c r="AO1659" s="86" t="s">
        <v>6503</v>
      </c>
      <c r="AP1659" s="81" t="b">
        <v>0</v>
      </c>
      <c r="AQ1659" s="86" t="s">
        <v>5524</v>
      </c>
      <c r="AR1659" s="81" t="s">
        <v>179</v>
      </c>
      <c r="AS1659" s="81">
        <v>0</v>
      </c>
      <c r="AT1659" s="81">
        <v>0</v>
      </c>
      <c r="AU1659" s="81"/>
      <c r="AV1659" s="81"/>
      <c r="AW1659" s="81"/>
      <c r="AX1659" s="81"/>
      <c r="AY1659" s="81"/>
      <c r="AZ1659" s="81"/>
      <c r="BA1659" s="81"/>
      <c r="BB1659" s="81"/>
    </row>
    <row r="1660" spans="1:54" x14ac:dyDescent="0.35">
      <c r="A1660" s="66" t="s">
        <v>1181</v>
      </c>
      <c r="B1660" s="66" t="s">
        <v>1181</v>
      </c>
      <c r="C1660" s="67"/>
      <c r="D1660" s="68"/>
      <c r="E1660" s="69"/>
      <c r="F1660" s="70"/>
      <c r="G1660" s="67"/>
      <c r="H1660" s="71"/>
      <c r="I1660" s="72"/>
      <c r="J1660" s="72"/>
      <c r="K1660" s="36"/>
      <c r="L1660" s="79"/>
      <c r="M1660" s="79"/>
      <c r="N1660" s="74"/>
      <c r="O1660" s="81" t="s">
        <v>179</v>
      </c>
      <c r="P1660" s="83">
        <v>44466.588819444441</v>
      </c>
      <c r="Q1660" s="81" t="s">
        <v>2181</v>
      </c>
      <c r="R1660" s="81"/>
      <c r="S1660" s="81"/>
      <c r="T1660" s="86" t="s">
        <v>2733</v>
      </c>
      <c r="U1660" s="84" t="str">
        <f>HYPERLINK("https://pbs.twimg.com/media/FATCFgnVUAMb8f2.jpg")</f>
        <v>https://pbs.twimg.com/media/FATCFgnVUAMb8f2.jpg</v>
      </c>
      <c r="V1660" s="84" t="str">
        <f>HYPERLINK("https://pbs.twimg.com/media/FATCFgnVUAMb8f2.jpg")</f>
        <v>https://pbs.twimg.com/media/FATCFgnVUAMb8f2.jpg</v>
      </c>
      <c r="W1660" s="83">
        <v>44466.588819444441</v>
      </c>
      <c r="X1660" s="89">
        <v>44466</v>
      </c>
      <c r="Y1660" s="86" t="s">
        <v>3896</v>
      </c>
      <c r="Z1660" s="84" t="str">
        <f>HYPERLINK("https://twitter.com/humaspemkotbkl/status/1442491191015010313")</f>
        <v>https://twitter.com/humaspemkotbkl/status/1442491191015010313</v>
      </c>
      <c r="AA1660" s="81"/>
      <c r="AB1660" s="81"/>
      <c r="AC1660" s="86" t="s">
        <v>5371</v>
      </c>
      <c r="AD1660" s="81"/>
      <c r="AE1660" s="81" t="b">
        <v>0</v>
      </c>
      <c r="AF1660" s="81">
        <v>1</v>
      </c>
      <c r="AG1660" s="86" t="s">
        <v>6240</v>
      </c>
      <c r="AH1660" s="81" t="b">
        <v>0</v>
      </c>
      <c r="AI1660" s="81" t="s">
        <v>6478</v>
      </c>
      <c r="AJ1660" s="81"/>
      <c r="AK1660" s="86" t="s">
        <v>6240</v>
      </c>
      <c r="AL1660" s="81" t="b">
        <v>0</v>
      </c>
      <c r="AM1660" s="81">
        <v>0</v>
      </c>
      <c r="AN1660" s="86" t="s">
        <v>6240</v>
      </c>
      <c r="AO1660" s="86" t="s">
        <v>6503</v>
      </c>
      <c r="AP1660" s="81" t="b">
        <v>0</v>
      </c>
      <c r="AQ1660" s="86" t="s">
        <v>5371</v>
      </c>
      <c r="AR1660" s="81" t="s">
        <v>179</v>
      </c>
      <c r="AS1660" s="81">
        <v>0</v>
      </c>
      <c r="AT1660" s="81">
        <v>0</v>
      </c>
      <c r="AU1660" s="81"/>
      <c r="AV1660" s="81"/>
      <c r="AW1660" s="81"/>
      <c r="AX1660" s="81"/>
      <c r="AY1660" s="81"/>
      <c r="AZ1660" s="81"/>
      <c r="BA1660" s="81"/>
      <c r="BB1660" s="81"/>
    </row>
    <row r="1661" spans="1:54" x14ac:dyDescent="0.35">
      <c r="A1661" s="66" t="s">
        <v>1182</v>
      </c>
      <c r="B1661" s="66" t="s">
        <v>1497</v>
      </c>
      <c r="C1661" s="67"/>
      <c r="D1661" s="68"/>
      <c r="E1661" s="69"/>
      <c r="F1661" s="70"/>
      <c r="G1661" s="67"/>
      <c r="H1661" s="71"/>
      <c r="I1661" s="72"/>
      <c r="J1661" s="72"/>
      <c r="K1661" s="36"/>
      <c r="L1661" s="79"/>
      <c r="M1661" s="79"/>
      <c r="N1661" s="74"/>
      <c r="O1661" s="81" t="s">
        <v>1534</v>
      </c>
      <c r="P1661" s="83">
        <v>44466.590243055558</v>
      </c>
      <c r="Q1661" s="81" t="s">
        <v>2182</v>
      </c>
      <c r="R1661" s="81"/>
      <c r="S1661" s="81"/>
      <c r="T1661" s="81"/>
      <c r="U1661" s="81"/>
      <c r="V1661" s="84" t="str">
        <f>HYPERLINK("https://pbs.twimg.com/profile_images/1370794159666176000/uYKyyR22_normal.jpg")</f>
        <v>https://pbs.twimg.com/profile_images/1370794159666176000/uYKyyR22_normal.jpg</v>
      </c>
      <c r="W1661" s="83">
        <v>44466.590243055558</v>
      </c>
      <c r="X1661" s="89">
        <v>44466</v>
      </c>
      <c r="Y1661" s="86" t="s">
        <v>3897</v>
      </c>
      <c r="Z1661" s="84" t="str">
        <f>HYPERLINK("https://twitter.com/rezanurazar/status/1442491706172067843")</f>
        <v>https://twitter.com/rezanurazar/status/1442491706172067843</v>
      </c>
      <c r="AA1661" s="81"/>
      <c r="AB1661" s="81"/>
      <c r="AC1661" s="86" t="s">
        <v>5372</v>
      </c>
      <c r="AD1661" s="86" t="s">
        <v>6199</v>
      </c>
      <c r="AE1661" s="81" t="b">
        <v>0</v>
      </c>
      <c r="AF1661" s="81">
        <v>0</v>
      </c>
      <c r="AG1661" s="86" t="s">
        <v>6450</v>
      </c>
      <c r="AH1661" s="81" t="b">
        <v>0</v>
      </c>
      <c r="AI1661" s="81" t="s">
        <v>6478</v>
      </c>
      <c r="AJ1661" s="81"/>
      <c r="AK1661" s="86" t="s">
        <v>6240</v>
      </c>
      <c r="AL1661" s="81" t="b">
        <v>0</v>
      </c>
      <c r="AM1661" s="81">
        <v>0</v>
      </c>
      <c r="AN1661" s="86" t="s">
        <v>6240</v>
      </c>
      <c r="AO1661" s="86" t="s">
        <v>6507</v>
      </c>
      <c r="AP1661" s="81" t="b">
        <v>0</v>
      </c>
      <c r="AQ1661" s="86" t="s">
        <v>6199</v>
      </c>
      <c r="AR1661" s="81" t="s">
        <v>179</v>
      </c>
      <c r="AS1661" s="81">
        <v>0</v>
      </c>
      <c r="AT1661" s="81">
        <v>0</v>
      </c>
      <c r="AU1661" s="81"/>
      <c r="AV1661" s="81"/>
      <c r="AW1661" s="81"/>
      <c r="AX1661" s="81"/>
      <c r="AY1661" s="81"/>
      <c r="AZ1661" s="81"/>
      <c r="BA1661" s="81"/>
      <c r="BB1661" s="81"/>
    </row>
    <row r="1662" spans="1:54" x14ac:dyDescent="0.35">
      <c r="A1662" s="66" t="s">
        <v>1183</v>
      </c>
      <c r="B1662" s="66" t="s">
        <v>1183</v>
      </c>
      <c r="C1662" s="67"/>
      <c r="D1662" s="68"/>
      <c r="E1662" s="69"/>
      <c r="F1662" s="70"/>
      <c r="G1662" s="67"/>
      <c r="H1662" s="71"/>
      <c r="I1662" s="72"/>
      <c r="J1662" s="72"/>
      <c r="K1662" s="36"/>
      <c r="L1662" s="79"/>
      <c r="M1662" s="79"/>
      <c r="N1662" s="74"/>
      <c r="O1662" s="81" t="s">
        <v>179</v>
      </c>
      <c r="P1662" s="83">
        <v>44466.594444444447</v>
      </c>
      <c r="Q1662" s="81" t="s">
        <v>2183</v>
      </c>
      <c r="R1662" s="81"/>
      <c r="S1662" s="81"/>
      <c r="T1662" s="81"/>
      <c r="U1662" s="81"/>
      <c r="V1662" s="84" t="str">
        <f>HYPERLINK("https://pbs.twimg.com/profile_images/1441087944396197901/TKs8ZdDv_normal.jpg")</f>
        <v>https://pbs.twimg.com/profile_images/1441087944396197901/TKs8ZdDv_normal.jpg</v>
      </c>
      <c r="W1662" s="83">
        <v>44466.594444444447</v>
      </c>
      <c r="X1662" s="89">
        <v>44466</v>
      </c>
      <c r="Y1662" s="86" t="s">
        <v>3898</v>
      </c>
      <c r="Z1662" s="84" t="str">
        <f>HYPERLINK("https://twitter.com/moncherriees/status/1442493226791759872")</f>
        <v>https://twitter.com/moncherriees/status/1442493226791759872</v>
      </c>
      <c r="AA1662" s="81"/>
      <c r="AB1662" s="81"/>
      <c r="AC1662" s="86" t="s">
        <v>5373</v>
      </c>
      <c r="AD1662" s="81"/>
      <c r="AE1662" s="81" t="b">
        <v>0</v>
      </c>
      <c r="AF1662" s="81">
        <v>0</v>
      </c>
      <c r="AG1662" s="86" t="s">
        <v>6240</v>
      </c>
      <c r="AH1662" s="81" t="b">
        <v>0</v>
      </c>
      <c r="AI1662" s="81" t="s">
        <v>6478</v>
      </c>
      <c r="AJ1662" s="81"/>
      <c r="AK1662" s="86" t="s">
        <v>6240</v>
      </c>
      <c r="AL1662" s="81" t="b">
        <v>0</v>
      </c>
      <c r="AM1662" s="81">
        <v>0</v>
      </c>
      <c r="AN1662" s="86" t="s">
        <v>6240</v>
      </c>
      <c r="AO1662" s="86" t="s">
        <v>6505</v>
      </c>
      <c r="AP1662" s="81" t="b">
        <v>0</v>
      </c>
      <c r="AQ1662" s="86" t="s">
        <v>5373</v>
      </c>
      <c r="AR1662" s="81" t="s">
        <v>179</v>
      </c>
      <c r="AS1662" s="81">
        <v>0</v>
      </c>
      <c r="AT1662" s="81">
        <v>0</v>
      </c>
      <c r="AU1662" s="81"/>
      <c r="AV1662" s="81"/>
      <c r="AW1662" s="81"/>
      <c r="AX1662" s="81"/>
      <c r="AY1662" s="81"/>
      <c r="AZ1662" s="81"/>
      <c r="BA1662" s="81"/>
      <c r="BB1662" s="81"/>
    </row>
    <row r="1663" spans="1:54" x14ac:dyDescent="0.35">
      <c r="A1663" s="66" t="s">
        <v>1184</v>
      </c>
      <c r="B1663" s="66" t="s">
        <v>1247</v>
      </c>
      <c r="C1663" s="67"/>
      <c r="D1663" s="68"/>
      <c r="E1663" s="69"/>
      <c r="F1663" s="70"/>
      <c r="G1663" s="67"/>
      <c r="H1663" s="71"/>
      <c r="I1663" s="72"/>
      <c r="J1663" s="72"/>
      <c r="K1663" s="36"/>
      <c r="L1663" s="79"/>
      <c r="M1663" s="79"/>
      <c r="N1663" s="74"/>
      <c r="O1663" s="81" t="s">
        <v>1532</v>
      </c>
      <c r="P1663" s="83">
        <v>44459.498368055552</v>
      </c>
      <c r="Q1663" s="81" t="s">
        <v>1650</v>
      </c>
      <c r="R1663" s="81"/>
      <c r="S1663" s="81"/>
      <c r="T1663" s="86" t="s">
        <v>2667</v>
      </c>
      <c r="U1663" s="84" t="str">
        <f>HYPERLINK("https://pbs.twimg.com/media/E_ubZIHUYAESLiB.jpg")</f>
        <v>https://pbs.twimg.com/media/E_ubZIHUYAESLiB.jpg</v>
      </c>
      <c r="V1663" s="84" t="str">
        <f>HYPERLINK("https://pbs.twimg.com/media/E_ubZIHUYAESLiB.jpg")</f>
        <v>https://pbs.twimg.com/media/E_ubZIHUYAESLiB.jpg</v>
      </c>
      <c r="W1663" s="83">
        <v>44459.498368055552</v>
      </c>
      <c r="X1663" s="89">
        <v>44459</v>
      </c>
      <c r="Y1663" s="86" t="s">
        <v>3899</v>
      </c>
      <c r="Z1663" s="84" t="str">
        <f>HYPERLINK("https://twitter.com/mykimchillstore/status/1439921694924177413")</f>
        <v>https://twitter.com/mykimchillstore/status/1439921694924177413</v>
      </c>
      <c r="AA1663" s="81"/>
      <c r="AB1663" s="81"/>
      <c r="AC1663" s="86" t="s">
        <v>5374</v>
      </c>
      <c r="AD1663" s="81"/>
      <c r="AE1663" s="81" t="b">
        <v>0</v>
      </c>
      <c r="AF1663" s="81">
        <v>0</v>
      </c>
      <c r="AG1663" s="86" t="s">
        <v>6240</v>
      </c>
      <c r="AH1663" s="81" t="b">
        <v>0</v>
      </c>
      <c r="AI1663" s="81" t="s">
        <v>6479</v>
      </c>
      <c r="AJ1663" s="81"/>
      <c r="AK1663" s="86" t="s">
        <v>6240</v>
      </c>
      <c r="AL1663" s="81" t="b">
        <v>0</v>
      </c>
      <c r="AM1663" s="81">
        <v>27</v>
      </c>
      <c r="AN1663" s="86" t="s">
        <v>5503</v>
      </c>
      <c r="AO1663" s="86" t="s">
        <v>6505</v>
      </c>
      <c r="AP1663" s="81" t="b">
        <v>0</v>
      </c>
      <c r="AQ1663" s="86" t="s">
        <v>5503</v>
      </c>
      <c r="AR1663" s="81" t="s">
        <v>179</v>
      </c>
      <c r="AS1663" s="81">
        <v>0</v>
      </c>
      <c r="AT1663" s="81">
        <v>0</v>
      </c>
      <c r="AU1663" s="81"/>
      <c r="AV1663" s="81"/>
      <c r="AW1663" s="81"/>
      <c r="AX1663" s="81"/>
      <c r="AY1663" s="81"/>
      <c r="AZ1663" s="81"/>
      <c r="BA1663" s="81"/>
      <c r="BB1663" s="81"/>
    </row>
    <row r="1664" spans="1:54" x14ac:dyDescent="0.35">
      <c r="A1664" s="66" t="s">
        <v>1184</v>
      </c>
      <c r="B1664" s="66" t="s">
        <v>1247</v>
      </c>
      <c r="C1664" s="67"/>
      <c r="D1664" s="68"/>
      <c r="E1664" s="69"/>
      <c r="F1664" s="70"/>
      <c r="G1664" s="67"/>
      <c r="H1664" s="71"/>
      <c r="I1664" s="72"/>
      <c r="J1664" s="72"/>
      <c r="K1664" s="36"/>
      <c r="L1664" s="79"/>
      <c r="M1664" s="79"/>
      <c r="N1664" s="74"/>
      <c r="O1664" s="81" t="s">
        <v>1532</v>
      </c>
      <c r="P1664" s="83">
        <v>44461.33803240741</v>
      </c>
      <c r="Q1664" s="81" t="s">
        <v>1755</v>
      </c>
      <c r="R1664" s="81"/>
      <c r="S1664" s="81"/>
      <c r="T1664" s="86" t="s">
        <v>2667</v>
      </c>
      <c r="U1664" s="84" t="str">
        <f>HYPERLINK("https://pbs.twimg.com/media/E_38CFLVkAAf4fL.jpg")</f>
        <v>https://pbs.twimg.com/media/E_38CFLVkAAf4fL.jpg</v>
      </c>
      <c r="V1664" s="84" t="str">
        <f>HYPERLINK("https://pbs.twimg.com/media/E_38CFLVkAAf4fL.jpg")</f>
        <v>https://pbs.twimg.com/media/E_38CFLVkAAf4fL.jpg</v>
      </c>
      <c r="W1664" s="83">
        <v>44461.33803240741</v>
      </c>
      <c r="X1664" s="89">
        <v>44461</v>
      </c>
      <c r="Y1664" s="86" t="s">
        <v>3900</v>
      </c>
      <c r="Z1664" s="84" t="str">
        <f>HYPERLINK("https://twitter.com/mykimchillstore/status/1440588367410827270")</f>
        <v>https://twitter.com/mykimchillstore/status/1440588367410827270</v>
      </c>
      <c r="AA1664" s="81"/>
      <c r="AB1664" s="81"/>
      <c r="AC1664" s="86" t="s">
        <v>5375</v>
      </c>
      <c r="AD1664" s="81"/>
      <c r="AE1664" s="81" t="b">
        <v>0</v>
      </c>
      <c r="AF1664" s="81">
        <v>0</v>
      </c>
      <c r="AG1664" s="86" t="s">
        <v>6240</v>
      </c>
      <c r="AH1664" s="81" t="b">
        <v>0</v>
      </c>
      <c r="AI1664" s="81" t="s">
        <v>6479</v>
      </c>
      <c r="AJ1664" s="81"/>
      <c r="AK1664" s="86" t="s">
        <v>6240</v>
      </c>
      <c r="AL1664" s="81" t="b">
        <v>0</v>
      </c>
      <c r="AM1664" s="81">
        <v>25</v>
      </c>
      <c r="AN1664" s="86" t="s">
        <v>5504</v>
      </c>
      <c r="AO1664" s="86" t="s">
        <v>6505</v>
      </c>
      <c r="AP1664" s="81" t="b">
        <v>0</v>
      </c>
      <c r="AQ1664" s="86" t="s">
        <v>5504</v>
      </c>
      <c r="AR1664" s="81" t="s">
        <v>179</v>
      </c>
      <c r="AS1664" s="81">
        <v>0</v>
      </c>
      <c r="AT1664" s="81">
        <v>0</v>
      </c>
      <c r="AU1664" s="81"/>
      <c r="AV1664" s="81"/>
      <c r="AW1664" s="81"/>
      <c r="AX1664" s="81"/>
      <c r="AY1664" s="81"/>
      <c r="AZ1664" s="81"/>
      <c r="BA1664" s="81"/>
      <c r="BB1664" s="81"/>
    </row>
    <row r="1665" spans="1:54" x14ac:dyDescent="0.35">
      <c r="A1665" s="66" t="s">
        <v>1184</v>
      </c>
      <c r="B1665" s="66" t="s">
        <v>1247</v>
      </c>
      <c r="C1665" s="67"/>
      <c r="D1665" s="68"/>
      <c r="E1665" s="69"/>
      <c r="F1665" s="70"/>
      <c r="G1665" s="67"/>
      <c r="H1665" s="71"/>
      <c r="I1665" s="72"/>
      <c r="J1665" s="72"/>
      <c r="K1665" s="36"/>
      <c r="L1665" s="79"/>
      <c r="M1665" s="79"/>
      <c r="N1665" s="74"/>
      <c r="O1665" s="81" t="s">
        <v>1532</v>
      </c>
      <c r="P1665" s="83">
        <v>44466.336111111108</v>
      </c>
      <c r="Q1665" s="81" t="s">
        <v>2110</v>
      </c>
      <c r="R1665" s="81"/>
      <c r="S1665" s="81"/>
      <c r="T1665" s="86" t="s">
        <v>2667</v>
      </c>
      <c r="U1665" s="84" t="str">
        <f>HYPERLINK("https://pbs.twimg.com/media/FARq0TBVUAYl272.jpg")</f>
        <v>https://pbs.twimg.com/media/FARq0TBVUAYl272.jpg</v>
      </c>
      <c r="V1665" s="84" t="str">
        <f>HYPERLINK("https://pbs.twimg.com/media/FARq0TBVUAYl272.jpg")</f>
        <v>https://pbs.twimg.com/media/FARq0TBVUAYl272.jpg</v>
      </c>
      <c r="W1665" s="83">
        <v>44466.336111111108</v>
      </c>
      <c r="X1665" s="89">
        <v>44466</v>
      </c>
      <c r="Y1665" s="86" t="s">
        <v>3901</v>
      </c>
      <c r="Z1665" s="84" t="str">
        <f>HYPERLINK("https://twitter.com/mykimchillstore/status/1442399610689888264")</f>
        <v>https://twitter.com/mykimchillstore/status/1442399610689888264</v>
      </c>
      <c r="AA1665" s="81"/>
      <c r="AB1665" s="81"/>
      <c r="AC1665" s="86" t="s">
        <v>5376</v>
      </c>
      <c r="AD1665" s="81"/>
      <c r="AE1665" s="81" t="b">
        <v>0</v>
      </c>
      <c r="AF1665" s="81">
        <v>0</v>
      </c>
      <c r="AG1665" s="86" t="s">
        <v>6240</v>
      </c>
      <c r="AH1665" s="81" t="b">
        <v>0</v>
      </c>
      <c r="AI1665" s="81" t="s">
        <v>6479</v>
      </c>
      <c r="AJ1665" s="81"/>
      <c r="AK1665" s="86" t="s">
        <v>6240</v>
      </c>
      <c r="AL1665" s="81" t="b">
        <v>0</v>
      </c>
      <c r="AM1665" s="81">
        <v>9</v>
      </c>
      <c r="AN1665" s="86" t="s">
        <v>5505</v>
      </c>
      <c r="AO1665" s="86" t="s">
        <v>6505</v>
      </c>
      <c r="AP1665" s="81" t="b">
        <v>0</v>
      </c>
      <c r="AQ1665" s="86" t="s">
        <v>5505</v>
      </c>
      <c r="AR1665" s="81" t="s">
        <v>179</v>
      </c>
      <c r="AS1665" s="81">
        <v>0</v>
      </c>
      <c r="AT1665" s="81">
        <v>0</v>
      </c>
      <c r="AU1665" s="81"/>
      <c r="AV1665" s="81"/>
      <c r="AW1665" s="81"/>
      <c r="AX1665" s="81"/>
      <c r="AY1665" s="81"/>
      <c r="AZ1665" s="81"/>
      <c r="BA1665" s="81"/>
      <c r="BB1665" s="81"/>
    </row>
    <row r="1666" spans="1:54" x14ac:dyDescent="0.35">
      <c r="A1666" s="66" t="s">
        <v>1184</v>
      </c>
      <c r="B1666" s="66" t="s">
        <v>1247</v>
      </c>
      <c r="C1666" s="67"/>
      <c r="D1666" s="68"/>
      <c r="E1666" s="69"/>
      <c r="F1666" s="70"/>
      <c r="G1666" s="67"/>
      <c r="H1666" s="71"/>
      <c r="I1666" s="72"/>
      <c r="J1666" s="72"/>
      <c r="K1666" s="36"/>
      <c r="L1666" s="79"/>
      <c r="M1666" s="79"/>
      <c r="N1666" s="74"/>
      <c r="O1666" s="81" t="s">
        <v>1532</v>
      </c>
      <c r="P1666" s="83">
        <v>44466.594733796293</v>
      </c>
      <c r="Q1666" s="81" t="s">
        <v>2184</v>
      </c>
      <c r="R1666" s="81"/>
      <c r="S1666" s="81"/>
      <c r="T1666" s="86" t="s">
        <v>2667</v>
      </c>
      <c r="U1666" s="84" t="str">
        <f>HYPERLINK("https://pbs.twimg.com/media/FATDiHHVEAIdbWq.jpg")</f>
        <v>https://pbs.twimg.com/media/FATDiHHVEAIdbWq.jpg</v>
      </c>
      <c r="V1666" s="84" t="str">
        <f>HYPERLINK("https://pbs.twimg.com/media/FATDiHHVEAIdbWq.jpg")</f>
        <v>https://pbs.twimg.com/media/FATDiHHVEAIdbWq.jpg</v>
      </c>
      <c r="W1666" s="83">
        <v>44466.594733796293</v>
      </c>
      <c r="X1666" s="89">
        <v>44466</v>
      </c>
      <c r="Y1666" s="86" t="s">
        <v>3902</v>
      </c>
      <c r="Z1666" s="84" t="str">
        <f>HYPERLINK("https://twitter.com/mykimchillstore/status/1442493333796839426")</f>
        <v>https://twitter.com/mykimchillstore/status/1442493333796839426</v>
      </c>
      <c r="AA1666" s="81"/>
      <c r="AB1666" s="81"/>
      <c r="AC1666" s="86" t="s">
        <v>5377</v>
      </c>
      <c r="AD1666" s="81"/>
      <c r="AE1666" s="81" t="b">
        <v>0</v>
      </c>
      <c r="AF1666" s="81">
        <v>0</v>
      </c>
      <c r="AG1666" s="86" t="s">
        <v>6240</v>
      </c>
      <c r="AH1666" s="81" t="b">
        <v>0</v>
      </c>
      <c r="AI1666" s="81" t="s">
        <v>6479</v>
      </c>
      <c r="AJ1666" s="81"/>
      <c r="AK1666" s="86" t="s">
        <v>6240</v>
      </c>
      <c r="AL1666" s="81" t="b">
        <v>0</v>
      </c>
      <c r="AM1666" s="81">
        <v>2</v>
      </c>
      <c r="AN1666" s="86" t="s">
        <v>5506</v>
      </c>
      <c r="AO1666" s="86" t="s">
        <v>6505</v>
      </c>
      <c r="AP1666" s="81" t="b">
        <v>0</v>
      </c>
      <c r="AQ1666" s="86" t="s">
        <v>5506</v>
      </c>
      <c r="AR1666" s="81" t="s">
        <v>179</v>
      </c>
      <c r="AS1666" s="81">
        <v>0</v>
      </c>
      <c r="AT1666" s="81">
        <v>0</v>
      </c>
      <c r="AU1666" s="81"/>
      <c r="AV1666" s="81"/>
      <c r="AW1666" s="81"/>
      <c r="AX1666" s="81"/>
      <c r="AY1666" s="81"/>
      <c r="AZ1666" s="81"/>
      <c r="BA1666" s="81"/>
      <c r="BB1666" s="81"/>
    </row>
    <row r="1667" spans="1:54" x14ac:dyDescent="0.35">
      <c r="A1667" s="66" t="s">
        <v>1185</v>
      </c>
      <c r="B1667" s="66" t="s">
        <v>1261</v>
      </c>
      <c r="C1667" s="67"/>
      <c r="D1667" s="68"/>
      <c r="E1667" s="69"/>
      <c r="F1667" s="70"/>
      <c r="G1667" s="67"/>
      <c r="H1667" s="71"/>
      <c r="I1667" s="72"/>
      <c r="J1667" s="72"/>
      <c r="K1667" s="36"/>
      <c r="L1667" s="79"/>
      <c r="M1667" s="79"/>
      <c r="N1667" s="74"/>
      <c r="O1667" s="81" t="s">
        <v>1532</v>
      </c>
      <c r="P1667" s="83">
        <v>44466.600543981483</v>
      </c>
      <c r="Q1667" s="81" t="s">
        <v>1653</v>
      </c>
      <c r="R1667" s="84" t="str">
        <f>HYPERLINK("https://api.whatsapp.com/send?phone=6281222353823")</f>
        <v>https://api.whatsapp.com/send?phone=6281222353823</v>
      </c>
      <c r="S1667" s="81" t="s">
        <v>2597</v>
      </c>
      <c r="T1667" s="81"/>
      <c r="U1667" s="84" t="str">
        <f>HYPERLINK("https://pbs.twimg.com/media/E_P_XMQWYAUXeaR.jpg")</f>
        <v>https://pbs.twimg.com/media/E_P_XMQWYAUXeaR.jpg</v>
      </c>
      <c r="V1667" s="84" t="str">
        <f>HYPERLINK("https://pbs.twimg.com/media/E_P_XMQWYAUXeaR.jpg")</f>
        <v>https://pbs.twimg.com/media/E_P_XMQWYAUXeaR.jpg</v>
      </c>
      <c r="W1667" s="83">
        <v>44466.600543981483</v>
      </c>
      <c r="X1667" s="89">
        <v>44466</v>
      </c>
      <c r="Y1667" s="86" t="s">
        <v>3903</v>
      </c>
      <c r="Z1667" s="84" t="str">
        <f>HYPERLINK("https://twitter.com/elgowh/status/1442495437835890694")</f>
        <v>https://twitter.com/elgowh/status/1442495437835890694</v>
      </c>
      <c r="AA1667" s="81"/>
      <c r="AB1667" s="81"/>
      <c r="AC1667" s="86" t="s">
        <v>5378</v>
      </c>
      <c r="AD1667" s="81"/>
      <c r="AE1667" s="81" t="b">
        <v>0</v>
      </c>
      <c r="AF1667" s="81">
        <v>0</v>
      </c>
      <c r="AG1667" s="86" t="s">
        <v>6240</v>
      </c>
      <c r="AH1667" s="81" t="b">
        <v>0</v>
      </c>
      <c r="AI1667" s="81" t="s">
        <v>6478</v>
      </c>
      <c r="AJ1667" s="81"/>
      <c r="AK1667" s="86" t="s">
        <v>6240</v>
      </c>
      <c r="AL1667" s="81" t="b">
        <v>0</v>
      </c>
      <c r="AM1667" s="81">
        <v>49</v>
      </c>
      <c r="AN1667" s="86" t="s">
        <v>5526</v>
      </c>
      <c r="AO1667" s="86" t="s">
        <v>6532</v>
      </c>
      <c r="AP1667" s="81" t="b">
        <v>0</v>
      </c>
      <c r="AQ1667" s="86" t="s">
        <v>5526</v>
      </c>
      <c r="AR1667" s="81" t="s">
        <v>179</v>
      </c>
      <c r="AS1667" s="81">
        <v>0</v>
      </c>
      <c r="AT1667" s="81">
        <v>0</v>
      </c>
      <c r="AU1667" s="81"/>
      <c r="AV1667" s="81"/>
      <c r="AW1667" s="81"/>
      <c r="AX1667" s="81"/>
      <c r="AY1667" s="81"/>
      <c r="AZ1667" s="81"/>
      <c r="BA1667" s="81"/>
      <c r="BB1667" s="81"/>
    </row>
    <row r="1668" spans="1:54" x14ac:dyDescent="0.35">
      <c r="A1668" s="66" t="s">
        <v>1186</v>
      </c>
      <c r="B1668" s="66" t="s">
        <v>1186</v>
      </c>
      <c r="C1668" s="67"/>
      <c r="D1668" s="68"/>
      <c r="E1668" s="69"/>
      <c r="F1668" s="70"/>
      <c r="G1668" s="67"/>
      <c r="H1668" s="71"/>
      <c r="I1668" s="72"/>
      <c r="J1668" s="72"/>
      <c r="K1668" s="36"/>
      <c r="L1668" s="79"/>
      <c r="M1668" s="79"/>
      <c r="N1668" s="74"/>
      <c r="O1668" s="81" t="s">
        <v>179</v>
      </c>
      <c r="P1668" s="83">
        <v>44466.604826388888</v>
      </c>
      <c r="Q1668" s="81" t="s">
        <v>2185</v>
      </c>
      <c r="R1668" s="84" t="str">
        <f>HYPERLINK("https://www.instagram.com/p/CUVBi29puGM/?utm_medium=twitter")</f>
        <v>https://www.instagram.com/p/CUVBi29puGM/?utm_medium=twitter</v>
      </c>
      <c r="S1668" s="81" t="s">
        <v>2626</v>
      </c>
      <c r="T1668" s="86" t="s">
        <v>2734</v>
      </c>
      <c r="U1668" s="81"/>
      <c r="V1668" s="84" t="str">
        <f>HYPERLINK("https://pbs.twimg.com/profile_images/897718509182087168/WFJgfwCn_normal.jpg")</f>
        <v>https://pbs.twimg.com/profile_images/897718509182087168/WFJgfwCn_normal.jpg</v>
      </c>
      <c r="W1668" s="83">
        <v>44466.604826388888</v>
      </c>
      <c r="X1668" s="89">
        <v>44466</v>
      </c>
      <c r="Y1668" s="86" t="s">
        <v>3904</v>
      </c>
      <c r="Z1668" s="84" t="str">
        <f>HYPERLINK("https://twitter.com/bbplk_serang/status/1442496990890319873")</f>
        <v>https://twitter.com/bbplk_serang/status/1442496990890319873</v>
      </c>
      <c r="AA1668" s="81"/>
      <c r="AB1668" s="81"/>
      <c r="AC1668" s="86" t="s">
        <v>5379</v>
      </c>
      <c r="AD1668" s="81"/>
      <c r="AE1668" s="81" t="b">
        <v>0</v>
      </c>
      <c r="AF1668" s="81">
        <v>0</v>
      </c>
      <c r="AG1668" s="86" t="s">
        <v>6240</v>
      </c>
      <c r="AH1668" s="81" t="b">
        <v>0</v>
      </c>
      <c r="AI1668" s="81" t="s">
        <v>6478</v>
      </c>
      <c r="AJ1668" s="81"/>
      <c r="AK1668" s="86" t="s">
        <v>6240</v>
      </c>
      <c r="AL1668" s="81" t="b">
        <v>0</v>
      </c>
      <c r="AM1668" s="81">
        <v>0</v>
      </c>
      <c r="AN1668" s="86" t="s">
        <v>6240</v>
      </c>
      <c r="AO1668" s="86" t="s">
        <v>6523</v>
      </c>
      <c r="AP1668" s="81" t="b">
        <v>0</v>
      </c>
      <c r="AQ1668" s="86" t="s">
        <v>5379</v>
      </c>
      <c r="AR1668" s="81" t="s">
        <v>179</v>
      </c>
      <c r="AS1668" s="81">
        <v>0</v>
      </c>
      <c r="AT1668" s="81">
        <v>0</v>
      </c>
      <c r="AU1668" s="81"/>
      <c r="AV1668" s="81"/>
      <c r="AW1668" s="81"/>
      <c r="AX1668" s="81"/>
      <c r="AY1668" s="81"/>
      <c r="AZ1668" s="81"/>
      <c r="BA1668" s="81"/>
      <c r="BB1668" s="81"/>
    </row>
    <row r="1669" spans="1:54" x14ac:dyDescent="0.35">
      <c r="A1669" s="66" t="s">
        <v>1187</v>
      </c>
      <c r="B1669" s="66" t="s">
        <v>1498</v>
      </c>
      <c r="C1669" s="67"/>
      <c r="D1669" s="68"/>
      <c r="E1669" s="69"/>
      <c r="F1669" s="70"/>
      <c r="G1669" s="67"/>
      <c r="H1669" s="71"/>
      <c r="I1669" s="72"/>
      <c r="J1669" s="72"/>
      <c r="K1669" s="36"/>
      <c r="L1669" s="79"/>
      <c r="M1669" s="79"/>
      <c r="N1669" s="74"/>
      <c r="O1669" s="81" t="s">
        <v>1534</v>
      </c>
      <c r="P1669" s="83">
        <v>44466.604849537034</v>
      </c>
      <c r="Q1669" s="81" t="s">
        <v>2186</v>
      </c>
      <c r="R1669" s="81"/>
      <c r="S1669" s="81"/>
      <c r="T1669" s="81"/>
      <c r="U1669" s="81"/>
      <c r="V1669" s="84" t="str">
        <f>HYPERLINK("https://pbs.twimg.com/profile_images/1442527905259479043/KCyjZ3kH_normal.jpg")</f>
        <v>https://pbs.twimg.com/profile_images/1442527905259479043/KCyjZ3kH_normal.jpg</v>
      </c>
      <c r="W1669" s="83">
        <v>44466.604849537034</v>
      </c>
      <c r="X1669" s="89">
        <v>44466</v>
      </c>
      <c r="Y1669" s="86" t="s">
        <v>3905</v>
      </c>
      <c r="Z1669" s="84" t="str">
        <f>HYPERLINK("https://twitter.com/hash1r4_/status/1442496998733611014")</f>
        <v>https://twitter.com/hash1r4_/status/1442496998733611014</v>
      </c>
      <c r="AA1669" s="81"/>
      <c r="AB1669" s="81"/>
      <c r="AC1669" s="86" t="s">
        <v>5380</v>
      </c>
      <c r="AD1669" s="86" t="s">
        <v>6200</v>
      </c>
      <c r="AE1669" s="81" t="b">
        <v>0</v>
      </c>
      <c r="AF1669" s="81">
        <v>0</v>
      </c>
      <c r="AG1669" s="86" t="s">
        <v>6451</v>
      </c>
      <c r="AH1669" s="81" t="b">
        <v>0</v>
      </c>
      <c r="AI1669" s="81" t="s">
        <v>6478</v>
      </c>
      <c r="AJ1669" s="81"/>
      <c r="AK1669" s="86" t="s">
        <v>6240</v>
      </c>
      <c r="AL1669" s="81" t="b">
        <v>0</v>
      </c>
      <c r="AM1669" s="81">
        <v>0</v>
      </c>
      <c r="AN1669" s="86" t="s">
        <v>6240</v>
      </c>
      <c r="AO1669" s="86" t="s">
        <v>6505</v>
      </c>
      <c r="AP1669" s="81" t="b">
        <v>0</v>
      </c>
      <c r="AQ1669" s="86" t="s">
        <v>6200</v>
      </c>
      <c r="AR1669" s="81" t="s">
        <v>179</v>
      </c>
      <c r="AS1669" s="81">
        <v>0</v>
      </c>
      <c r="AT1669" s="81">
        <v>0</v>
      </c>
      <c r="AU1669" s="81"/>
      <c r="AV1669" s="81"/>
      <c r="AW1669" s="81"/>
      <c r="AX1669" s="81"/>
      <c r="AY1669" s="81"/>
      <c r="AZ1669" s="81"/>
      <c r="BA1669" s="81"/>
      <c r="BB1669" s="81"/>
    </row>
    <row r="1670" spans="1:54" x14ac:dyDescent="0.35">
      <c r="A1670" s="66" t="s">
        <v>1188</v>
      </c>
      <c r="B1670" s="66" t="s">
        <v>1189</v>
      </c>
      <c r="C1670" s="67"/>
      <c r="D1670" s="68"/>
      <c r="E1670" s="69"/>
      <c r="F1670" s="70"/>
      <c r="G1670" s="67"/>
      <c r="H1670" s="71"/>
      <c r="I1670" s="72"/>
      <c r="J1670" s="72"/>
      <c r="K1670" s="36"/>
      <c r="L1670" s="79"/>
      <c r="M1670" s="79"/>
      <c r="N1670" s="74"/>
      <c r="O1670" s="81" t="s">
        <v>1534</v>
      </c>
      <c r="P1670" s="83">
        <v>44466.606620370374</v>
      </c>
      <c r="Q1670" s="81" t="s">
        <v>2187</v>
      </c>
      <c r="R1670" s="81"/>
      <c r="S1670" s="81"/>
      <c r="T1670" s="81"/>
      <c r="U1670" s="81"/>
      <c r="V1670" s="84" t="str">
        <f>HYPERLINK("https://pbs.twimg.com/profile_images/1433705550605262848/-R8nyHHY_normal.jpg")</f>
        <v>https://pbs.twimg.com/profile_images/1433705550605262848/-R8nyHHY_normal.jpg</v>
      </c>
      <c r="W1670" s="83">
        <v>44466.606620370374</v>
      </c>
      <c r="X1670" s="89">
        <v>44466</v>
      </c>
      <c r="Y1670" s="86" t="s">
        <v>3906</v>
      </c>
      <c r="Z1670" s="84" t="str">
        <f>HYPERLINK("https://twitter.com/wicaksono_pe/status/1442497642332778501")</f>
        <v>https://twitter.com/wicaksono_pe/status/1442497642332778501</v>
      </c>
      <c r="AA1670" s="81"/>
      <c r="AB1670" s="81"/>
      <c r="AC1670" s="86" t="s">
        <v>5381</v>
      </c>
      <c r="AD1670" s="86" t="s">
        <v>6201</v>
      </c>
      <c r="AE1670" s="81" t="b">
        <v>0</v>
      </c>
      <c r="AF1670" s="81">
        <v>1</v>
      </c>
      <c r="AG1670" s="86" t="s">
        <v>6452</v>
      </c>
      <c r="AH1670" s="81" t="b">
        <v>0</v>
      </c>
      <c r="AI1670" s="81" t="s">
        <v>6479</v>
      </c>
      <c r="AJ1670" s="81"/>
      <c r="AK1670" s="86" t="s">
        <v>6240</v>
      </c>
      <c r="AL1670" s="81" t="b">
        <v>0</v>
      </c>
      <c r="AM1670" s="81">
        <v>0</v>
      </c>
      <c r="AN1670" s="86" t="s">
        <v>6240</v>
      </c>
      <c r="AO1670" s="86" t="s">
        <v>6507</v>
      </c>
      <c r="AP1670" s="81" t="b">
        <v>0</v>
      </c>
      <c r="AQ1670" s="86" t="s">
        <v>6201</v>
      </c>
      <c r="AR1670" s="81" t="s">
        <v>179</v>
      </c>
      <c r="AS1670" s="81">
        <v>0</v>
      </c>
      <c r="AT1670" s="81">
        <v>0</v>
      </c>
      <c r="AU1670" s="81"/>
      <c r="AV1670" s="81"/>
      <c r="AW1670" s="81"/>
      <c r="AX1670" s="81"/>
      <c r="AY1670" s="81"/>
      <c r="AZ1670" s="81"/>
      <c r="BA1670" s="81"/>
      <c r="BB1670" s="81"/>
    </row>
    <row r="1671" spans="1:54" x14ac:dyDescent="0.35">
      <c r="A1671" s="66" t="s">
        <v>1189</v>
      </c>
      <c r="B1671" s="66" t="s">
        <v>1189</v>
      </c>
      <c r="C1671" s="67"/>
      <c r="D1671" s="68"/>
      <c r="E1671" s="69"/>
      <c r="F1671" s="70"/>
      <c r="G1671" s="67"/>
      <c r="H1671" s="71"/>
      <c r="I1671" s="72"/>
      <c r="J1671" s="72"/>
      <c r="K1671" s="36"/>
      <c r="L1671" s="79"/>
      <c r="M1671" s="79"/>
      <c r="N1671" s="74"/>
      <c r="O1671" s="81" t="s">
        <v>179</v>
      </c>
      <c r="P1671" s="83">
        <v>44466.608344907407</v>
      </c>
      <c r="Q1671" s="81" t="s">
        <v>2188</v>
      </c>
      <c r="R1671" s="84" t="str">
        <f>HYPERLINK("https://twitter.com/Wicaksono_pe/status/1442497642332778501")</f>
        <v>https://twitter.com/Wicaksono_pe/status/1442497642332778501</v>
      </c>
      <c r="S1671" s="81" t="s">
        <v>2588</v>
      </c>
      <c r="T1671" s="81"/>
      <c r="U1671" s="81"/>
      <c r="V1671" s="84" t="str">
        <f>HYPERLINK("https://pbs.twimg.com/profile_images/1434103240988119040/IWpRojT5_normal.jpg")</f>
        <v>https://pbs.twimg.com/profile_images/1434103240988119040/IWpRojT5_normal.jpg</v>
      </c>
      <c r="W1671" s="83">
        <v>44466.608344907407</v>
      </c>
      <c r="X1671" s="89">
        <v>44466</v>
      </c>
      <c r="Y1671" s="86" t="s">
        <v>3907</v>
      </c>
      <c r="Z1671" s="84" t="str">
        <f>HYPERLINK("https://twitter.com/minanggermanic/status/1442498266197676035")</f>
        <v>https://twitter.com/minanggermanic/status/1442498266197676035</v>
      </c>
      <c r="AA1671" s="81"/>
      <c r="AB1671" s="81"/>
      <c r="AC1671" s="86" t="s">
        <v>5382</v>
      </c>
      <c r="AD1671" s="81"/>
      <c r="AE1671" s="81" t="b">
        <v>0</v>
      </c>
      <c r="AF1671" s="81">
        <v>3</v>
      </c>
      <c r="AG1671" s="86" t="s">
        <v>6240</v>
      </c>
      <c r="AH1671" s="81" t="b">
        <v>1</v>
      </c>
      <c r="AI1671" s="81" t="s">
        <v>6479</v>
      </c>
      <c r="AJ1671" s="81"/>
      <c r="AK1671" s="86" t="s">
        <v>5381</v>
      </c>
      <c r="AL1671" s="81" t="b">
        <v>0</v>
      </c>
      <c r="AM1671" s="81">
        <v>0</v>
      </c>
      <c r="AN1671" s="86" t="s">
        <v>6240</v>
      </c>
      <c r="AO1671" s="86" t="s">
        <v>6503</v>
      </c>
      <c r="AP1671" s="81" t="b">
        <v>0</v>
      </c>
      <c r="AQ1671" s="86" t="s">
        <v>5382</v>
      </c>
      <c r="AR1671" s="81" t="s">
        <v>179</v>
      </c>
      <c r="AS1671" s="81">
        <v>0</v>
      </c>
      <c r="AT1671" s="81">
        <v>0</v>
      </c>
      <c r="AU1671" s="81"/>
      <c r="AV1671" s="81"/>
      <c r="AW1671" s="81"/>
      <c r="AX1671" s="81"/>
      <c r="AY1671" s="81"/>
      <c r="AZ1671" s="81"/>
      <c r="BA1671" s="81"/>
      <c r="BB1671" s="81"/>
    </row>
    <row r="1672" spans="1:54" x14ac:dyDescent="0.35">
      <c r="A1672" s="66" t="s">
        <v>1190</v>
      </c>
      <c r="B1672" s="66" t="s">
        <v>1499</v>
      </c>
      <c r="C1672" s="67"/>
      <c r="D1672" s="68"/>
      <c r="E1672" s="69"/>
      <c r="F1672" s="70"/>
      <c r="G1672" s="67"/>
      <c r="H1672" s="71"/>
      <c r="I1672" s="72"/>
      <c r="J1672" s="72"/>
      <c r="K1672" s="36"/>
      <c r="L1672" s="79"/>
      <c r="M1672" s="79"/>
      <c r="N1672" s="74"/>
      <c r="O1672" s="81" t="s">
        <v>1535</v>
      </c>
      <c r="P1672" s="83">
        <v>44466.613530092596</v>
      </c>
      <c r="Q1672" s="81" t="s">
        <v>2189</v>
      </c>
      <c r="R1672" s="81"/>
      <c r="S1672" s="81"/>
      <c r="T1672" s="81"/>
      <c r="U1672" s="81"/>
      <c r="V1672" s="84" t="str">
        <f>HYPERLINK("https://pbs.twimg.com/profile_images/1432989171841306628/CnWCbwd4_normal.jpg")</f>
        <v>https://pbs.twimg.com/profile_images/1432989171841306628/CnWCbwd4_normal.jpg</v>
      </c>
      <c r="W1672" s="83">
        <v>44466.613530092596</v>
      </c>
      <c r="X1672" s="89">
        <v>44466</v>
      </c>
      <c r="Y1672" s="86" t="s">
        <v>3908</v>
      </c>
      <c r="Z1672" s="84" t="str">
        <f>HYPERLINK("https://twitter.com/spy_zone85/status/1442500146168664070")</f>
        <v>https://twitter.com/spy_zone85/status/1442500146168664070</v>
      </c>
      <c r="AA1672" s="81"/>
      <c r="AB1672" s="81"/>
      <c r="AC1672" s="86" t="s">
        <v>5383</v>
      </c>
      <c r="AD1672" s="86" t="s">
        <v>6202</v>
      </c>
      <c r="AE1672" s="81" t="b">
        <v>0</v>
      </c>
      <c r="AF1672" s="81">
        <v>0</v>
      </c>
      <c r="AG1672" s="86" t="s">
        <v>6453</v>
      </c>
      <c r="AH1672" s="81" t="b">
        <v>0</v>
      </c>
      <c r="AI1672" s="81" t="s">
        <v>6478</v>
      </c>
      <c r="AJ1672" s="81"/>
      <c r="AK1672" s="86" t="s">
        <v>6240</v>
      </c>
      <c r="AL1672" s="81" t="b">
        <v>0</v>
      </c>
      <c r="AM1672" s="81">
        <v>0</v>
      </c>
      <c r="AN1672" s="86" t="s">
        <v>6240</v>
      </c>
      <c r="AO1672" s="86" t="s">
        <v>6503</v>
      </c>
      <c r="AP1672" s="81" t="b">
        <v>0</v>
      </c>
      <c r="AQ1672" s="86" t="s">
        <v>6202</v>
      </c>
      <c r="AR1672" s="81" t="s">
        <v>179</v>
      </c>
      <c r="AS1672" s="81">
        <v>0</v>
      </c>
      <c r="AT1672" s="81">
        <v>0</v>
      </c>
      <c r="AU1672" s="81"/>
      <c r="AV1672" s="81"/>
      <c r="AW1672" s="81"/>
      <c r="AX1672" s="81"/>
      <c r="AY1672" s="81"/>
      <c r="AZ1672" s="81"/>
      <c r="BA1672" s="81"/>
      <c r="BB1672" s="81"/>
    </row>
    <row r="1673" spans="1:54" x14ac:dyDescent="0.35">
      <c r="A1673" s="66" t="s">
        <v>1190</v>
      </c>
      <c r="B1673" s="66" t="s">
        <v>1500</v>
      </c>
      <c r="C1673" s="67"/>
      <c r="D1673" s="68"/>
      <c r="E1673" s="69"/>
      <c r="F1673" s="70"/>
      <c r="G1673" s="67"/>
      <c r="H1673" s="71"/>
      <c r="I1673" s="72"/>
      <c r="J1673" s="72"/>
      <c r="K1673" s="36"/>
      <c r="L1673" s="79"/>
      <c r="M1673" s="79"/>
      <c r="N1673" s="74"/>
      <c r="O1673" s="81" t="s">
        <v>1535</v>
      </c>
      <c r="P1673" s="83">
        <v>44466.613530092596</v>
      </c>
      <c r="Q1673" s="81" t="s">
        <v>2189</v>
      </c>
      <c r="R1673" s="81"/>
      <c r="S1673" s="81"/>
      <c r="T1673" s="81"/>
      <c r="U1673" s="81"/>
      <c r="V1673" s="84" t="str">
        <f>HYPERLINK("https://pbs.twimg.com/profile_images/1432989171841306628/CnWCbwd4_normal.jpg")</f>
        <v>https://pbs.twimg.com/profile_images/1432989171841306628/CnWCbwd4_normal.jpg</v>
      </c>
      <c r="W1673" s="83">
        <v>44466.613530092596</v>
      </c>
      <c r="X1673" s="89">
        <v>44466</v>
      </c>
      <c r="Y1673" s="86" t="s">
        <v>3908</v>
      </c>
      <c r="Z1673" s="84" t="str">
        <f>HYPERLINK("https://twitter.com/spy_zone85/status/1442500146168664070")</f>
        <v>https://twitter.com/spy_zone85/status/1442500146168664070</v>
      </c>
      <c r="AA1673" s="81"/>
      <c r="AB1673" s="81"/>
      <c r="AC1673" s="86" t="s">
        <v>5383</v>
      </c>
      <c r="AD1673" s="86" t="s">
        <v>6202</v>
      </c>
      <c r="AE1673" s="81" t="b">
        <v>0</v>
      </c>
      <c r="AF1673" s="81">
        <v>0</v>
      </c>
      <c r="AG1673" s="86" t="s">
        <v>6453</v>
      </c>
      <c r="AH1673" s="81" t="b">
        <v>0</v>
      </c>
      <c r="AI1673" s="81" t="s">
        <v>6478</v>
      </c>
      <c r="AJ1673" s="81"/>
      <c r="AK1673" s="86" t="s">
        <v>6240</v>
      </c>
      <c r="AL1673" s="81" t="b">
        <v>0</v>
      </c>
      <c r="AM1673" s="81">
        <v>0</v>
      </c>
      <c r="AN1673" s="86" t="s">
        <v>6240</v>
      </c>
      <c r="AO1673" s="86" t="s">
        <v>6503</v>
      </c>
      <c r="AP1673" s="81" t="b">
        <v>0</v>
      </c>
      <c r="AQ1673" s="86" t="s">
        <v>6202</v>
      </c>
      <c r="AR1673" s="81" t="s">
        <v>179</v>
      </c>
      <c r="AS1673" s="81">
        <v>0</v>
      </c>
      <c r="AT1673" s="81">
        <v>0</v>
      </c>
      <c r="AU1673" s="81"/>
      <c r="AV1673" s="81"/>
      <c r="AW1673" s="81"/>
      <c r="AX1673" s="81"/>
      <c r="AY1673" s="81"/>
      <c r="AZ1673" s="81"/>
      <c r="BA1673" s="81"/>
      <c r="BB1673" s="81"/>
    </row>
    <row r="1674" spans="1:54" x14ac:dyDescent="0.35">
      <c r="A1674" s="66" t="s">
        <v>1190</v>
      </c>
      <c r="B1674" s="66" t="s">
        <v>1501</v>
      </c>
      <c r="C1674" s="67"/>
      <c r="D1674" s="68"/>
      <c r="E1674" s="69"/>
      <c r="F1674" s="70"/>
      <c r="G1674" s="67"/>
      <c r="H1674" s="71"/>
      <c r="I1674" s="72"/>
      <c r="J1674" s="72"/>
      <c r="K1674" s="36"/>
      <c r="L1674" s="79"/>
      <c r="M1674" s="79"/>
      <c r="N1674" s="74"/>
      <c r="O1674" s="81" t="s">
        <v>1535</v>
      </c>
      <c r="P1674" s="83">
        <v>44466.613530092596</v>
      </c>
      <c r="Q1674" s="81" t="s">
        <v>2189</v>
      </c>
      <c r="R1674" s="81"/>
      <c r="S1674" s="81"/>
      <c r="T1674" s="81"/>
      <c r="U1674" s="81"/>
      <c r="V1674" s="84" t="str">
        <f>HYPERLINK("https://pbs.twimg.com/profile_images/1432989171841306628/CnWCbwd4_normal.jpg")</f>
        <v>https://pbs.twimg.com/profile_images/1432989171841306628/CnWCbwd4_normal.jpg</v>
      </c>
      <c r="W1674" s="83">
        <v>44466.613530092596</v>
      </c>
      <c r="X1674" s="89">
        <v>44466</v>
      </c>
      <c r="Y1674" s="86" t="s">
        <v>3908</v>
      </c>
      <c r="Z1674" s="84" t="str">
        <f>HYPERLINK("https://twitter.com/spy_zone85/status/1442500146168664070")</f>
        <v>https://twitter.com/spy_zone85/status/1442500146168664070</v>
      </c>
      <c r="AA1674" s="81"/>
      <c r="AB1674" s="81"/>
      <c r="AC1674" s="86" t="s">
        <v>5383</v>
      </c>
      <c r="AD1674" s="86" t="s">
        <v>6202</v>
      </c>
      <c r="AE1674" s="81" t="b">
        <v>0</v>
      </c>
      <c r="AF1674" s="81">
        <v>0</v>
      </c>
      <c r="AG1674" s="86" t="s">
        <v>6453</v>
      </c>
      <c r="AH1674" s="81" t="b">
        <v>0</v>
      </c>
      <c r="AI1674" s="81" t="s">
        <v>6478</v>
      </c>
      <c r="AJ1674" s="81"/>
      <c r="AK1674" s="86" t="s">
        <v>6240</v>
      </c>
      <c r="AL1674" s="81" t="b">
        <v>0</v>
      </c>
      <c r="AM1674" s="81">
        <v>0</v>
      </c>
      <c r="AN1674" s="86" t="s">
        <v>6240</v>
      </c>
      <c r="AO1674" s="86" t="s">
        <v>6503</v>
      </c>
      <c r="AP1674" s="81" t="b">
        <v>0</v>
      </c>
      <c r="AQ1674" s="86" t="s">
        <v>6202</v>
      </c>
      <c r="AR1674" s="81" t="s">
        <v>179</v>
      </c>
      <c r="AS1674" s="81">
        <v>0</v>
      </c>
      <c r="AT1674" s="81">
        <v>0</v>
      </c>
      <c r="AU1674" s="81"/>
      <c r="AV1674" s="81"/>
      <c r="AW1674" s="81"/>
      <c r="AX1674" s="81"/>
      <c r="AY1674" s="81"/>
      <c r="AZ1674" s="81"/>
      <c r="BA1674" s="81"/>
      <c r="BB1674" s="81"/>
    </row>
    <row r="1675" spans="1:54" x14ac:dyDescent="0.35">
      <c r="A1675" s="66" t="s">
        <v>1190</v>
      </c>
      <c r="B1675" s="66" t="s">
        <v>1502</v>
      </c>
      <c r="C1675" s="67"/>
      <c r="D1675" s="68"/>
      <c r="E1675" s="69"/>
      <c r="F1675" s="70"/>
      <c r="G1675" s="67"/>
      <c r="H1675" s="71"/>
      <c r="I1675" s="72"/>
      <c r="J1675" s="72"/>
      <c r="K1675" s="36"/>
      <c r="L1675" s="79"/>
      <c r="M1675" s="79"/>
      <c r="N1675" s="74"/>
      <c r="O1675" s="81" t="s">
        <v>1535</v>
      </c>
      <c r="P1675" s="83">
        <v>44466.613530092596</v>
      </c>
      <c r="Q1675" s="81" t="s">
        <v>2189</v>
      </c>
      <c r="R1675" s="81"/>
      <c r="S1675" s="81"/>
      <c r="T1675" s="81"/>
      <c r="U1675" s="81"/>
      <c r="V1675" s="84" t="str">
        <f>HYPERLINK("https://pbs.twimg.com/profile_images/1432989171841306628/CnWCbwd4_normal.jpg")</f>
        <v>https://pbs.twimg.com/profile_images/1432989171841306628/CnWCbwd4_normal.jpg</v>
      </c>
      <c r="W1675" s="83">
        <v>44466.613530092596</v>
      </c>
      <c r="X1675" s="89">
        <v>44466</v>
      </c>
      <c r="Y1675" s="86" t="s">
        <v>3908</v>
      </c>
      <c r="Z1675" s="84" t="str">
        <f>HYPERLINK("https://twitter.com/spy_zone85/status/1442500146168664070")</f>
        <v>https://twitter.com/spy_zone85/status/1442500146168664070</v>
      </c>
      <c r="AA1675" s="81"/>
      <c r="AB1675" s="81"/>
      <c r="AC1675" s="86" t="s">
        <v>5383</v>
      </c>
      <c r="AD1675" s="86" t="s">
        <v>6202</v>
      </c>
      <c r="AE1675" s="81" t="b">
        <v>0</v>
      </c>
      <c r="AF1675" s="81">
        <v>0</v>
      </c>
      <c r="AG1675" s="86" t="s">
        <v>6453</v>
      </c>
      <c r="AH1675" s="81" t="b">
        <v>0</v>
      </c>
      <c r="AI1675" s="81" t="s">
        <v>6478</v>
      </c>
      <c r="AJ1675" s="81"/>
      <c r="AK1675" s="86" t="s">
        <v>6240</v>
      </c>
      <c r="AL1675" s="81" t="b">
        <v>0</v>
      </c>
      <c r="AM1675" s="81">
        <v>0</v>
      </c>
      <c r="AN1675" s="86" t="s">
        <v>6240</v>
      </c>
      <c r="AO1675" s="86" t="s">
        <v>6503</v>
      </c>
      <c r="AP1675" s="81" t="b">
        <v>0</v>
      </c>
      <c r="AQ1675" s="86" t="s">
        <v>6202</v>
      </c>
      <c r="AR1675" s="81" t="s">
        <v>179</v>
      </c>
      <c r="AS1675" s="81">
        <v>0</v>
      </c>
      <c r="AT1675" s="81">
        <v>0</v>
      </c>
      <c r="AU1675" s="81"/>
      <c r="AV1675" s="81"/>
      <c r="AW1675" s="81"/>
      <c r="AX1675" s="81"/>
      <c r="AY1675" s="81"/>
      <c r="AZ1675" s="81"/>
      <c r="BA1675" s="81"/>
      <c r="BB1675" s="81"/>
    </row>
    <row r="1676" spans="1:54" x14ac:dyDescent="0.35">
      <c r="A1676" s="66" t="s">
        <v>1190</v>
      </c>
      <c r="B1676" s="66" t="s">
        <v>1503</v>
      </c>
      <c r="C1676" s="67"/>
      <c r="D1676" s="68"/>
      <c r="E1676" s="69"/>
      <c r="F1676" s="70"/>
      <c r="G1676" s="67"/>
      <c r="H1676" s="71"/>
      <c r="I1676" s="72"/>
      <c r="J1676" s="72"/>
      <c r="K1676" s="36"/>
      <c r="L1676" s="79"/>
      <c r="M1676" s="79"/>
      <c r="N1676" s="74"/>
      <c r="O1676" s="81" t="s">
        <v>1535</v>
      </c>
      <c r="P1676" s="83">
        <v>44466.613530092596</v>
      </c>
      <c r="Q1676" s="81" t="s">
        <v>2189</v>
      </c>
      <c r="R1676" s="81"/>
      <c r="S1676" s="81"/>
      <c r="T1676" s="81"/>
      <c r="U1676" s="81"/>
      <c r="V1676" s="84" t="str">
        <f>HYPERLINK("https://pbs.twimg.com/profile_images/1432989171841306628/CnWCbwd4_normal.jpg")</f>
        <v>https://pbs.twimg.com/profile_images/1432989171841306628/CnWCbwd4_normal.jpg</v>
      </c>
      <c r="W1676" s="83">
        <v>44466.613530092596</v>
      </c>
      <c r="X1676" s="89">
        <v>44466</v>
      </c>
      <c r="Y1676" s="86" t="s">
        <v>3908</v>
      </c>
      <c r="Z1676" s="84" t="str">
        <f>HYPERLINK("https://twitter.com/spy_zone85/status/1442500146168664070")</f>
        <v>https://twitter.com/spy_zone85/status/1442500146168664070</v>
      </c>
      <c r="AA1676" s="81"/>
      <c r="AB1676" s="81"/>
      <c r="AC1676" s="86" t="s">
        <v>5383</v>
      </c>
      <c r="AD1676" s="86" t="s">
        <v>6202</v>
      </c>
      <c r="AE1676" s="81" t="b">
        <v>0</v>
      </c>
      <c r="AF1676" s="81">
        <v>0</v>
      </c>
      <c r="AG1676" s="86" t="s">
        <v>6453</v>
      </c>
      <c r="AH1676" s="81" t="b">
        <v>0</v>
      </c>
      <c r="AI1676" s="81" t="s">
        <v>6478</v>
      </c>
      <c r="AJ1676" s="81"/>
      <c r="AK1676" s="86" t="s">
        <v>6240</v>
      </c>
      <c r="AL1676" s="81" t="b">
        <v>0</v>
      </c>
      <c r="AM1676" s="81">
        <v>0</v>
      </c>
      <c r="AN1676" s="86" t="s">
        <v>6240</v>
      </c>
      <c r="AO1676" s="86" t="s">
        <v>6503</v>
      </c>
      <c r="AP1676" s="81" t="b">
        <v>0</v>
      </c>
      <c r="AQ1676" s="86" t="s">
        <v>6202</v>
      </c>
      <c r="AR1676" s="81" t="s">
        <v>179</v>
      </c>
      <c r="AS1676" s="81">
        <v>0</v>
      </c>
      <c r="AT1676" s="81">
        <v>0</v>
      </c>
      <c r="AU1676" s="81"/>
      <c r="AV1676" s="81"/>
      <c r="AW1676" s="81"/>
      <c r="AX1676" s="81"/>
      <c r="AY1676" s="81"/>
      <c r="AZ1676" s="81"/>
      <c r="BA1676" s="81"/>
      <c r="BB1676" s="81"/>
    </row>
    <row r="1677" spans="1:54" x14ac:dyDescent="0.35">
      <c r="A1677" s="66" t="s">
        <v>1190</v>
      </c>
      <c r="B1677" s="66" t="s">
        <v>1504</v>
      </c>
      <c r="C1677" s="67"/>
      <c r="D1677" s="68"/>
      <c r="E1677" s="69"/>
      <c r="F1677" s="70"/>
      <c r="G1677" s="67"/>
      <c r="H1677" s="71"/>
      <c r="I1677" s="72"/>
      <c r="J1677" s="72"/>
      <c r="K1677" s="36"/>
      <c r="L1677" s="79"/>
      <c r="M1677" s="79"/>
      <c r="N1677" s="74"/>
      <c r="O1677" s="81" t="s">
        <v>1535</v>
      </c>
      <c r="P1677" s="83">
        <v>44466.613530092596</v>
      </c>
      <c r="Q1677" s="81" t="s">
        <v>2189</v>
      </c>
      <c r="R1677" s="81"/>
      <c r="S1677" s="81"/>
      <c r="T1677" s="81"/>
      <c r="U1677" s="81"/>
      <c r="V1677" s="84" t="str">
        <f>HYPERLINK("https://pbs.twimg.com/profile_images/1432989171841306628/CnWCbwd4_normal.jpg")</f>
        <v>https://pbs.twimg.com/profile_images/1432989171841306628/CnWCbwd4_normal.jpg</v>
      </c>
      <c r="W1677" s="83">
        <v>44466.613530092596</v>
      </c>
      <c r="X1677" s="89">
        <v>44466</v>
      </c>
      <c r="Y1677" s="86" t="s">
        <v>3908</v>
      </c>
      <c r="Z1677" s="84" t="str">
        <f>HYPERLINK("https://twitter.com/spy_zone85/status/1442500146168664070")</f>
        <v>https://twitter.com/spy_zone85/status/1442500146168664070</v>
      </c>
      <c r="AA1677" s="81"/>
      <c r="AB1677" s="81"/>
      <c r="AC1677" s="86" t="s">
        <v>5383</v>
      </c>
      <c r="AD1677" s="86" t="s">
        <v>6202</v>
      </c>
      <c r="AE1677" s="81" t="b">
        <v>0</v>
      </c>
      <c r="AF1677" s="81">
        <v>0</v>
      </c>
      <c r="AG1677" s="86" t="s">
        <v>6453</v>
      </c>
      <c r="AH1677" s="81" t="b">
        <v>0</v>
      </c>
      <c r="AI1677" s="81" t="s">
        <v>6478</v>
      </c>
      <c r="AJ1677" s="81"/>
      <c r="AK1677" s="86" t="s">
        <v>6240</v>
      </c>
      <c r="AL1677" s="81" t="b">
        <v>0</v>
      </c>
      <c r="AM1677" s="81">
        <v>0</v>
      </c>
      <c r="AN1677" s="86" t="s">
        <v>6240</v>
      </c>
      <c r="AO1677" s="86" t="s">
        <v>6503</v>
      </c>
      <c r="AP1677" s="81" t="b">
        <v>0</v>
      </c>
      <c r="AQ1677" s="86" t="s">
        <v>6202</v>
      </c>
      <c r="AR1677" s="81" t="s">
        <v>179</v>
      </c>
      <c r="AS1677" s="81">
        <v>0</v>
      </c>
      <c r="AT1677" s="81">
        <v>0</v>
      </c>
      <c r="AU1677" s="81"/>
      <c r="AV1677" s="81"/>
      <c r="AW1677" s="81"/>
      <c r="AX1677" s="81"/>
      <c r="AY1677" s="81"/>
      <c r="AZ1677" s="81"/>
      <c r="BA1677" s="81"/>
      <c r="BB1677" s="81"/>
    </row>
    <row r="1678" spans="1:54" x14ac:dyDescent="0.35">
      <c r="A1678" s="66" t="s">
        <v>1190</v>
      </c>
      <c r="B1678" s="66" t="s">
        <v>1505</v>
      </c>
      <c r="C1678" s="67"/>
      <c r="D1678" s="68"/>
      <c r="E1678" s="69"/>
      <c r="F1678" s="70"/>
      <c r="G1678" s="67"/>
      <c r="H1678" s="71"/>
      <c r="I1678" s="72"/>
      <c r="J1678" s="72"/>
      <c r="K1678" s="36"/>
      <c r="L1678" s="79"/>
      <c r="M1678" s="79"/>
      <c r="N1678" s="74"/>
      <c r="O1678" s="81" t="s">
        <v>1535</v>
      </c>
      <c r="P1678" s="83">
        <v>44466.613530092596</v>
      </c>
      <c r="Q1678" s="81" t="s">
        <v>2189</v>
      </c>
      <c r="R1678" s="81"/>
      <c r="S1678" s="81"/>
      <c r="T1678" s="81"/>
      <c r="U1678" s="81"/>
      <c r="V1678" s="84" t="str">
        <f>HYPERLINK("https://pbs.twimg.com/profile_images/1432989171841306628/CnWCbwd4_normal.jpg")</f>
        <v>https://pbs.twimg.com/profile_images/1432989171841306628/CnWCbwd4_normal.jpg</v>
      </c>
      <c r="W1678" s="83">
        <v>44466.613530092596</v>
      </c>
      <c r="X1678" s="89">
        <v>44466</v>
      </c>
      <c r="Y1678" s="86" t="s">
        <v>3908</v>
      </c>
      <c r="Z1678" s="84" t="str">
        <f>HYPERLINK("https://twitter.com/spy_zone85/status/1442500146168664070")</f>
        <v>https://twitter.com/spy_zone85/status/1442500146168664070</v>
      </c>
      <c r="AA1678" s="81"/>
      <c r="AB1678" s="81"/>
      <c r="AC1678" s="86" t="s">
        <v>5383</v>
      </c>
      <c r="AD1678" s="86" t="s">
        <v>6202</v>
      </c>
      <c r="AE1678" s="81" t="b">
        <v>0</v>
      </c>
      <c r="AF1678" s="81">
        <v>0</v>
      </c>
      <c r="AG1678" s="86" t="s">
        <v>6453</v>
      </c>
      <c r="AH1678" s="81" t="b">
        <v>0</v>
      </c>
      <c r="AI1678" s="81" t="s">
        <v>6478</v>
      </c>
      <c r="AJ1678" s="81"/>
      <c r="AK1678" s="86" t="s">
        <v>6240</v>
      </c>
      <c r="AL1678" s="81" t="b">
        <v>0</v>
      </c>
      <c r="AM1678" s="81">
        <v>0</v>
      </c>
      <c r="AN1678" s="86" t="s">
        <v>6240</v>
      </c>
      <c r="AO1678" s="86" t="s">
        <v>6503</v>
      </c>
      <c r="AP1678" s="81" t="b">
        <v>0</v>
      </c>
      <c r="AQ1678" s="86" t="s">
        <v>6202</v>
      </c>
      <c r="AR1678" s="81" t="s">
        <v>179</v>
      </c>
      <c r="AS1678" s="81">
        <v>0</v>
      </c>
      <c r="AT1678" s="81">
        <v>0</v>
      </c>
      <c r="AU1678" s="81"/>
      <c r="AV1678" s="81"/>
      <c r="AW1678" s="81"/>
      <c r="AX1678" s="81"/>
      <c r="AY1678" s="81"/>
      <c r="AZ1678" s="81"/>
      <c r="BA1678" s="81"/>
      <c r="BB1678" s="81"/>
    </row>
    <row r="1679" spans="1:54" x14ac:dyDescent="0.35">
      <c r="A1679" s="66" t="s">
        <v>1190</v>
      </c>
      <c r="B1679" s="66" t="s">
        <v>1506</v>
      </c>
      <c r="C1679" s="67"/>
      <c r="D1679" s="68"/>
      <c r="E1679" s="69"/>
      <c r="F1679" s="70"/>
      <c r="G1679" s="67"/>
      <c r="H1679" s="71"/>
      <c r="I1679" s="72"/>
      <c r="J1679" s="72"/>
      <c r="K1679" s="36"/>
      <c r="L1679" s="79"/>
      <c r="M1679" s="79"/>
      <c r="N1679" s="74"/>
      <c r="O1679" s="81" t="s">
        <v>1535</v>
      </c>
      <c r="P1679" s="83">
        <v>44466.613530092596</v>
      </c>
      <c r="Q1679" s="81" t="s">
        <v>2189</v>
      </c>
      <c r="R1679" s="81"/>
      <c r="S1679" s="81"/>
      <c r="T1679" s="81"/>
      <c r="U1679" s="81"/>
      <c r="V1679" s="84" t="str">
        <f>HYPERLINK("https://pbs.twimg.com/profile_images/1432989171841306628/CnWCbwd4_normal.jpg")</f>
        <v>https://pbs.twimg.com/profile_images/1432989171841306628/CnWCbwd4_normal.jpg</v>
      </c>
      <c r="W1679" s="83">
        <v>44466.613530092596</v>
      </c>
      <c r="X1679" s="89">
        <v>44466</v>
      </c>
      <c r="Y1679" s="86" t="s">
        <v>3908</v>
      </c>
      <c r="Z1679" s="84" t="str">
        <f>HYPERLINK("https://twitter.com/spy_zone85/status/1442500146168664070")</f>
        <v>https://twitter.com/spy_zone85/status/1442500146168664070</v>
      </c>
      <c r="AA1679" s="81"/>
      <c r="AB1679" s="81"/>
      <c r="AC1679" s="86" t="s">
        <v>5383</v>
      </c>
      <c r="AD1679" s="86" t="s">
        <v>6202</v>
      </c>
      <c r="AE1679" s="81" t="b">
        <v>0</v>
      </c>
      <c r="AF1679" s="81">
        <v>0</v>
      </c>
      <c r="AG1679" s="86" t="s">
        <v>6453</v>
      </c>
      <c r="AH1679" s="81" t="b">
        <v>0</v>
      </c>
      <c r="AI1679" s="81" t="s">
        <v>6478</v>
      </c>
      <c r="AJ1679" s="81"/>
      <c r="AK1679" s="86" t="s">
        <v>6240</v>
      </c>
      <c r="AL1679" s="81" t="b">
        <v>0</v>
      </c>
      <c r="AM1679" s="81">
        <v>0</v>
      </c>
      <c r="AN1679" s="86" t="s">
        <v>6240</v>
      </c>
      <c r="AO1679" s="86" t="s">
        <v>6503</v>
      </c>
      <c r="AP1679" s="81" t="b">
        <v>0</v>
      </c>
      <c r="AQ1679" s="86" t="s">
        <v>6202</v>
      </c>
      <c r="AR1679" s="81" t="s">
        <v>179</v>
      </c>
      <c r="AS1679" s="81">
        <v>0</v>
      </c>
      <c r="AT1679" s="81">
        <v>0</v>
      </c>
      <c r="AU1679" s="81"/>
      <c r="AV1679" s="81"/>
      <c r="AW1679" s="81"/>
      <c r="AX1679" s="81"/>
      <c r="AY1679" s="81"/>
      <c r="AZ1679" s="81"/>
      <c r="BA1679" s="81"/>
      <c r="BB1679" s="81"/>
    </row>
    <row r="1680" spans="1:54" x14ac:dyDescent="0.35">
      <c r="A1680" s="66" t="s">
        <v>1191</v>
      </c>
      <c r="B1680" s="66" t="s">
        <v>1191</v>
      </c>
      <c r="C1680" s="67"/>
      <c r="D1680" s="68"/>
      <c r="E1680" s="69"/>
      <c r="F1680" s="70"/>
      <c r="G1680" s="67"/>
      <c r="H1680" s="71"/>
      <c r="I1680" s="72"/>
      <c r="J1680" s="72"/>
      <c r="K1680" s="36"/>
      <c r="L1680" s="79"/>
      <c r="M1680" s="79"/>
      <c r="N1680" s="74"/>
      <c r="O1680" s="81" t="s">
        <v>179</v>
      </c>
      <c r="P1680" s="83">
        <v>44466.041863425926</v>
      </c>
      <c r="Q1680" s="81" t="s">
        <v>2019</v>
      </c>
      <c r="R1680" s="81"/>
      <c r="S1680" s="81"/>
      <c r="T1680" s="81"/>
      <c r="U1680" s="84" t="str">
        <f>HYPERLINK("https://pbs.twimg.com/media/FAQNEUJVQAotLIN.jpg")</f>
        <v>https://pbs.twimg.com/media/FAQNEUJVQAotLIN.jpg</v>
      </c>
      <c r="V1680" s="84" t="str">
        <f>HYPERLINK("https://pbs.twimg.com/media/FAQNEUJVQAotLIN.jpg")</f>
        <v>https://pbs.twimg.com/media/FAQNEUJVQAotLIN.jpg</v>
      </c>
      <c r="W1680" s="83">
        <v>44466.041863425926</v>
      </c>
      <c r="X1680" s="89">
        <v>44466</v>
      </c>
      <c r="Y1680" s="86" t="s">
        <v>3909</v>
      </c>
      <c r="Z1680" s="84" t="str">
        <f>HYPERLINK("https://twitter.com/kemkominfo/status/1442292977544536068")</f>
        <v>https://twitter.com/kemkominfo/status/1442292977544536068</v>
      </c>
      <c r="AA1680" s="81"/>
      <c r="AB1680" s="81"/>
      <c r="AC1680" s="86" t="s">
        <v>5384</v>
      </c>
      <c r="AD1680" s="81"/>
      <c r="AE1680" s="81" t="b">
        <v>0</v>
      </c>
      <c r="AF1680" s="81">
        <v>19</v>
      </c>
      <c r="AG1680" s="86" t="s">
        <v>6240</v>
      </c>
      <c r="AH1680" s="81" t="b">
        <v>0</v>
      </c>
      <c r="AI1680" s="81" t="s">
        <v>6478</v>
      </c>
      <c r="AJ1680" s="81"/>
      <c r="AK1680" s="86" t="s">
        <v>6240</v>
      </c>
      <c r="AL1680" s="81" t="b">
        <v>0</v>
      </c>
      <c r="AM1680" s="81">
        <v>8</v>
      </c>
      <c r="AN1680" s="86" t="s">
        <v>6240</v>
      </c>
      <c r="AO1680" s="86" t="s">
        <v>6505</v>
      </c>
      <c r="AP1680" s="81" t="b">
        <v>0</v>
      </c>
      <c r="AQ1680" s="86" t="s">
        <v>5384</v>
      </c>
      <c r="AR1680" s="81" t="s">
        <v>179</v>
      </c>
      <c r="AS1680" s="81">
        <v>0</v>
      </c>
      <c r="AT1680" s="81">
        <v>0</v>
      </c>
      <c r="AU1680" s="81"/>
      <c r="AV1680" s="81"/>
      <c r="AW1680" s="81"/>
      <c r="AX1680" s="81"/>
      <c r="AY1680" s="81"/>
      <c r="AZ1680" s="81"/>
      <c r="BA1680" s="81"/>
      <c r="BB1680" s="81"/>
    </row>
    <row r="1681" spans="1:54" x14ac:dyDescent="0.35">
      <c r="A1681" s="66" t="s">
        <v>1190</v>
      </c>
      <c r="B1681" s="66" t="s">
        <v>1191</v>
      </c>
      <c r="C1681" s="67"/>
      <c r="D1681" s="68"/>
      <c r="E1681" s="69"/>
      <c r="F1681" s="70"/>
      <c r="G1681" s="67"/>
      <c r="H1681" s="71"/>
      <c r="I1681" s="72"/>
      <c r="J1681" s="72"/>
      <c r="K1681" s="36"/>
      <c r="L1681" s="79"/>
      <c r="M1681" s="79"/>
      <c r="N1681" s="74"/>
      <c r="O1681" s="81" t="s">
        <v>1535</v>
      </c>
      <c r="P1681" s="83">
        <v>44466.613530092596</v>
      </c>
      <c r="Q1681" s="81" t="s">
        <v>2189</v>
      </c>
      <c r="R1681" s="81"/>
      <c r="S1681" s="81"/>
      <c r="T1681" s="81"/>
      <c r="U1681" s="81"/>
      <c r="V1681" s="84" t="str">
        <f>HYPERLINK("https://pbs.twimg.com/profile_images/1432989171841306628/CnWCbwd4_normal.jpg")</f>
        <v>https://pbs.twimg.com/profile_images/1432989171841306628/CnWCbwd4_normal.jpg</v>
      </c>
      <c r="W1681" s="83">
        <v>44466.613530092596</v>
      </c>
      <c r="X1681" s="89">
        <v>44466</v>
      </c>
      <c r="Y1681" s="86" t="s">
        <v>3908</v>
      </c>
      <c r="Z1681" s="84" t="str">
        <f>HYPERLINK("https://twitter.com/spy_zone85/status/1442500146168664070")</f>
        <v>https://twitter.com/spy_zone85/status/1442500146168664070</v>
      </c>
      <c r="AA1681" s="81"/>
      <c r="AB1681" s="81"/>
      <c r="AC1681" s="86" t="s">
        <v>5383</v>
      </c>
      <c r="AD1681" s="86" t="s">
        <v>6202</v>
      </c>
      <c r="AE1681" s="81" t="b">
        <v>0</v>
      </c>
      <c r="AF1681" s="81">
        <v>0</v>
      </c>
      <c r="AG1681" s="86" t="s">
        <v>6453</v>
      </c>
      <c r="AH1681" s="81" t="b">
        <v>0</v>
      </c>
      <c r="AI1681" s="81" t="s">
        <v>6478</v>
      </c>
      <c r="AJ1681" s="81"/>
      <c r="AK1681" s="86" t="s">
        <v>6240</v>
      </c>
      <c r="AL1681" s="81" t="b">
        <v>0</v>
      </c>
      <c r="AM1681" s="81">
        <v>0</v>
      </c>
      <c r="AN1681" s="86" t="s">
        <v>6240</v>
      </c>
      <c r="AO1681" s="86" t="s">
        <v>6503</v>
      </c>
      <c r="AP1681" s="81" t="b">
        <v>0</v>
      </c>
      <c r="AQ1681" s="86" t="s">
        <v>6202</v>
      </c>
      <c r="AR1681" s="81" t="s">
        <v>179</v>
      </c>
      <c r="AS1681" s="81">
        <v>0</v>
      </c>
      <c r="AT1681" s="81">
        <v>0</v>
      </c>
      <c r="AU1681" s="81"/>
      <c r="AV1681" s="81"/>
      <c r="AW1681" s="81"/>
      <c r="AX1681" s="81"/>
      <c r="AY1681" s="81"/>
      <c r="AZ1681" s="81"/>
      <c r="BA1681" s="81"/>
      <c r="BB1681" s="81"/>
    </row>
    <row r="1682" spans="1:54" x14ac:dyDescent="0.35">
      <c r="A1682" s="66" t="s">
        <v>1190</v>
      </c>
      <c r="B1682" s="66" t="s">
        <v>1507</v>
      </c>
      <c r="C1682" s="67"/>
      <c r="D1682" s="68"/>
      <c r="E1682" s="69"/>
      <c r="F1682" s="70"/>
      <c r="G1682" s="67"/>
      <c r="H1682" s="71"/>
      <c r="I1682" s="72"/>
      <c r="J1682" s="72"/>
      <c r="K1682" s="36"/>
      <c r="L1682" s="79"/>
      <c r="M1682" s="79"/>
      <c r="N1682" s="74"/>
      <c r="O1682" s="81" t="s">
        <v>1534</v>
      </c>
      <c r="P1682" s="83">
        <v>44466.613530092596</v>
      </c>
      <c r="Q1682" s="81" t="s">
        <v>2189</v>
      </c>
      <c r="R1682" s="81"/>
      <c r="S1682" s="81"/>
      <c r="T1682" s="81"/>
      <c r="U1682" s="81"/>
      <c r="V1682" s="84" t="str">
        <f>HYPERLINK("https://pbs.twimg.com/profile_images/1432989171841306628/CnWCbwd4_normal.jpg")</f>
        <v>https://pbs.twimg.com/profile_images/1432989171841306628/CnWCbwd4_normal.jpg</v>
      </c>
      <c r="W1682" s="83">
        <v>44466.613530092596</v>
      </c>
      <c r="X1682" s="89">
        <v>44466</v>
      </c>
      <c r="Y1682" s="86" t="s">
        <v>3908</v>
      </c>
      <c r="Z1682" s="84" t="str">
        <f>HYPERLINK("https://twitter.com/spy_zone85/status/1442500146168664070")</f>
        <v>https://twitter.com/spy_zone85/status/1442500146168664070</v>
      </c>
      <c r="AA1682" s="81"/>
      <c r="AB1682" s="81"/>
      <c r="AC1682" s="86" t="s">
        <v>5383</v>
      </c>
      <c r="AD1682" s="86" t="s">
        <v>6202</v>
      </c>
      <c r="AE1682" s="81" t="b">
        <v>0</v>
      </c>
      <c r="AF1682" s="81">
        <v>0</v>
      </c>
      <c r="AG1682" s="86" t="s">
        <v>6453</v>
      </c>
      <c r="AH1682" s="81" t="b">
        <v>0</v>
      </c>
      <c r="AI1682" s="81" t="s">
        <v>6478</v>
      </c>
      <c r="AJ1682" s="81"/>
      <c r="AK1682" s="86" t="s">
        <v>6240</v>
      </c>
      <c r="AL1682" s="81" t="b">
        <v>0</v>
      </c>
      <c r="AM1682" s="81">
        <v>0</v>
      </c>
      <c r="AN1682" s="86" t="s">
        <v>6240</v>
      </c>
      <c r="AO1682" s="86" t="s">
        <v>6503</v>
      </c>
      <c r="AP1682" s="81" t="b">
        <v>0</v>
      </c>
      <c r="AQ1682" s="86" t="s">
        <v>6202</v>
      </c>
      <c r="AR1682" s="81" t="s">
        <v>179</v>
      </c>
      <c r="AS1682" s="81">
        <v>0</v>
      </c>
      <c r="AT1682" s="81">
        <v>0</v>
      </c>
      <c r="AU1682" s="81"/>
      <c r="AV1682" s="81"/>
      <c r="AW1682" s="81"/>
      <c r="AX1682" s="81"/>
      <c r="AY1682" s="81"/>
      <c r="AZ1682" s="81"/>
      <c r="BA1682" s="81"/>
      <c r="BB1682" s="81"/>
    </row>
    <row r="1683" spans="1:54" x14ac:dyDescent="0.35">
      <c r="A1683" s="66" t="s">
        <v>1190</v>
      </c>
      <c r="B1683" s="66" t="s">
        <v>1508</v>
      </c>
      <c r="C1683" s="67"/>
      <c r="D1683" s="68"/>
      <c r="E1683" s="69"/>
      <c r="F1683" s="70"/>
      <c r="G1683" s="67"/>
      <c r="H1683" s="71"/>
      <c r="I1683" s="72"/>
      <c r="J1683" s="72"/>
      <c r="K1683" s="36"/>
      <c r="L1683" s="79"/>
      <c r="M1683" s="79"/>
      <c r="N1683" s="74"/>
      <c r="O1683" s="81" t="s">
        <v>1535</v>
      </c>
      <c r="P1683" s="83">
        <v>44466.613530092596</v>
      </c>
      <c r="Q1683" s="81" t="s">
        <v>2189</v>
      </c>
      <c r="R1683" s="81"/>
      <c r="S1683" s="81"/>
      <c r="T1683" s="81"/>
      <c r="U1683" s="81"/>
      <c r="V1683" s="84" t="str">
        <f>HYPERLINK("https://pbs.twimg.com/profile_images/1432989171841306628/CnWCbwd4_normal.jpg")</f>
        <v>https://pbs.twimg.com/profile_images/1432989171841306628/CnWCbwd4_normal.jpg</v>
      </c>
      <c r="W1683" s="83">
        <v>44466.613530092596</v>
      </c>
      <c r="X1683" s="89">
        <v>44466</v>
      </c>
      <c r="Y1683" s="86" t="s">
        <v>3908</v>
      </c>
      <c r="Z1683" s="84" t="str">
        <f>HYPERLINK("https://twitter.com/spy_zone85/status/1442500146168664070")</f>
        <v>https://twitter.com/spy_zone85/status/1442500146168664070</v>
      </c>
      <c r="AA1683" s="81"/>
      <c r="AB1683" s="81"/>
      <c r="AC1683" s="86" t="s">
        <v>5383</v>
      </c>
      <c r="AD1683" s="86" t="s">
        <v>6202</v>
      </c>
      <c r="AE1683" s="81" t="b">
        <v>0</v>
      </c>
      <c r="AF1683" s="81">
        <v>0</v>
      </c>
      <c r="AG1683" s="86" t="s">
        <v>6453</v>
      </c>
      <c r="AH1683" s="81" t="b">
        <v>0</v>
      </c>
      <c r="AI1683" s="81" t="s">
        <v>6478</v>
      </c>
      <c r="AJ1683" s="81"/>
      <c r="AK1683" s="86" t="s">
        <v>6240</v>
      </c>
      <c r="AL1683" s="81" t="b">
        <v>0</v>
      </c>
      <c r="AM1683" s="81">
        <v>0</v>
      </c>
      <c r="AN1683" s="86" t="s">
        <v>6240</v>
      </c>
      <c r="AO1683" s="86" t="s">
        <v>6503</v>
      </c>
      <c r="AP1683" s="81" t="b">
        <v>0</v>
      </c>
      <c r="AQ1683" s="86" t="s">
        <v>6202</v>
      </c>
      <c r="AR1683" s="81" t="s">
        <v>179</v>
      </c>
      <c r="AS1683" s="81">
        <v>0</v>
      </c>
      <c r="AT1683" s="81">
        <v>0</v>
      </c>
      <c r="AU1683" s="81"/>
      <c r="AV1683" s="81"/>
      <c r="AW1683" s="81"/>
      <c r="AX1683" s="81"/>
      <c r="AY1683" s="81"/>
      <c r="AZ1683" s="81"/>
      <c r="BA1683" s="81"/>
      <c r="BB1683" s="81"/>
    </row>
    <row r="1684" spans="1:54" x14ac:dyDescent="0.35">
      <c r="A1684" s="66" t="s">
        <v>1192</v>
      </c>
      <c r="B1684" s="66" t="s">
        <v>1261</v>
      </c>
      <c r="C1684" s="67"/>
      <c r="D1684" s="68"/>
      <c r="E1684" s="69"/>
      <c r="F1684" s="70"/>
      <c r="G1684" s="67"/>
      <c r="H1684" s="71"/>
      <c r="I1684" s="72"/>
      <c r="J1684" s="72"/>
      <c r="K1684" s="36"/>
      <c r="L1684" s="79"/>
      <c r="M1684" s="79"/>
      <c r="N1684" s="74"/>
      <c r="O1684" s="81" t="s">
        <v>1532</v>
      </c>
      <c r="P1684" s="83">
        <v>44466.614317129628</v>
      </c>
      <c r="Q1684" s="81" t="s">
        <v>1653</v>
      </c>
      <c r="R1684" s="84" t="str">
        <f>HYPERLINK("https://api.whatsapp.com/send?phone=6281222353823")</f>
        <v>https://api.whatsapp.com/send?phone=6281222353823</v>
      </c>
      <c r="S1684" s="81" t="s">
        <v>2597</v>
      </c>
      <c r="T1684" s="81"/>
      <c r="U1684" s="84" t="str">
        <f>HYPERLINK("https://pbs.twimg.com/media/E_P_XMQWYAUXeaR.jpg")</f>
        <v>https://pbs.twimg.com/media/E_P_XMQWYAUXeaR.jpg</v>
      </c>
      <c r="V1684" s="84" t="str">
        <f>HYPERLINK("https://pbs.twimg.com/media/E_P_XMQWYAUXeaR.jpg")</f>
        <v>https://pbs.twimg.com/media/E_P_XMQWYAUXeaR.jpg</v>
      </c>
      <c r="W1684" s="83">
        <v>44466.614317129628</v>
      </c>
      <c r="X1684" s="89">
        <v>44466</v>
      </c>
      <c r="Y1684" s="86" t="s">
        <v>3910</v>
      </c>
      <c r="Z1684" s="84" t="str">
        <f>HYPERLINK("https://twitter.com/luluiii/status/1442500429036732417")</f>
        <v>https://twitter.com/luluiii/status/1442500429036732417</v>
      </c>
      <c r="AA1684" s="81"/>
      <c r="AB1684" s="81"/>
      <c r="AC1684" s="86" t="s">
        <v>5385</v>
      </c>
      <c r="AD1684" s="81"/>
      <c r="AE1684" s="81" t="b">
        <v>0</v>
      </c>
      <c r="AF1684" s="81">
        <v>0</v>
      </c>
      <c r="AG1684" s="86" t="s">
        <v>6240</v>
      </c>
      <c r="AH1684" s="81" t="b">
        <v>0</v>
      </c>
      <c r="AI1684" s="81" t="s">
        <v>6478</v>
      </c>
      <c r="AJ1684" s="81"/>
      <c r="AK1684" s="86" t="s">
        <v>6240</v>
      </c>
      <c r="AL1684" s="81" t="b">
        <v>0</v>
      </c>
      <c r="AM1684" s="81">
        <v>49</v>
      </c>
      <c r="AN1684" s="86" t="s">
        <v>5526</v>
      </c>
      <c r="AO1684" s="86" t="s">
        <v>6503</v>
      </c>
      <c r="AP1684" s="81" t="b">
        <v>0</v>
      </c>
      <c r="AQ1684" s="86" t="s">
        <v>5526</v>
      </c>
      <c r="AR1684" s="81" t="s">
        <v>179</v>
      </c>
      <c r="AS1684" s="81">
        <v>0</v>
      </c>
      <c r="AT1684" s="81">
        <v>0</v>
      </c>
      <c r="AU1684" s="81"/>
      <c r="AV1684" s="81"/>
      <c r="AW1684" s="81"/>
      <c r="AX1684" s="81"/>
      <c r="AY1684" s="81"/>
      <c r="AZ1684" s="81"/>
      <c r="BA1684" s="81"/>
      <c r="BB1684" s="81"/>
    </row>
    <row r="1685" spans="1:54" x14ac:dyDescent="0.35">
      <c r="A1685" s="66" t="s">
        <v>1193</v>
      </c>
      <c r="B1685" s="66" t="s">
        <v>1193</v>
      </c>
      <c r="C1685" s="67"/>
      <c r="D1685" s="68"/>
      <c r="E1685" s="69"/>
      <c r="F1685" s="70"/>
      <c r="G1685" s="67"/>
      <c r="H1685" s="71"/>
      <c r="I1685" s="72"/>
      <c r="J1685" s="72"/>
      <c r="K1685" s="36"/>
      <c r="L1685" s="79"/>
      <c r="M1685" s="79"/>
      <c r="N1685" s="74"/>
      <c r="O1685" s="81" t="s">
        <v>179</v>
      </c>
      <c r="P1685" s="83">
        <v>44466.051562499997</v>
      </c>
      <c r="Q1685" s="81" t="s">
        <v>2177</v>
      </c>
      <c r="R1685" s="81"/>
      <c r="S1685" s="81"/>
      <c r="T1685" s="86" t="s">
        <v>2732</v>
      </c>
      <c r="U1685" s="84" t="str">
        <f>HYPERLINK("https://pbs.twimg.com/media/FAQRAomVkAcgt4H.jpg")</f>
        <v>https://pbs.twimg.com/media/FAQRAomVkAcgt4H.jpg</v>
      </c>
      <c r="V1685" s="84" t="str">
        <f>HYPERLINK("https://pbs.twimg.com/media/FAQRAomVkAcgt4H.jpg")</f>
        <v>https://pbs.twimg.com/media/FAQRAomVkAcgt4H.jpg</v>
      </c>
      <c r="W1685" s="83">
        <v>44466.051562499997</v>
      </c>
      <c r="X1685" s="89">
        <v>44466</v>
      </c>
      <c r="Y1685" s="86" t="s">
        <v>3911</v>
      </c>
      <c r="Z1685" s="84" t="str">
        <f>HYPERLINK("https://twitter.com/ppid_sragen/status/1442296493407232004")</f>
        <v>https://twitter.com/ppid_sragen/status/1442296493407232004</v>
      </c>
      <c r="AA1685" s="81"/>
      <c r="AB1685" s="81"/>
      <c r="AC1685" s="86" t="s">
        <v>5386</v>
      </c>
      <c r="AD1685" s="81"/>
      <c r="AE1685" s="81" t="b">
        <v>0</v>
      </c>
      <c r="AF1685" s="81">
        <v>3</v>
      </c>
      <c r="AG1685" s="86" t="s">
        <v>6240</v>
      </c>
      <c r="AH1685" s="81" t="b">
        <v>0</v>
      </c>
      <c r="AI1685" s="81" t="s">
        <v>6478</v>
      </c>
      <c r="AJ1685" s="81"/>
      <c r="AK1685" s="86" t="s">
        <v>6240</v>
      </c>
      <c r="AL1685" s="81" t="b">
        <v>0</v>
      </c>
      <c r="AM1685" s="81">
        <v>2</v>
      </c>
      <c r="AN1685" s="86" t="s">
        <v>6240</v>
      </c>
      <c r="AO1685" s="86" t="s">
        <v>6503</v>
      </c>
      <c r="AP1685" s="81" t="b">
        <v>0</v>
      </c>
      <c r="AQ1685" s="86" t="s">
        <v>5386</v>
      </c>
      <c r="AR1685" s="81" t="s">
        <v>179</v>
      </c>
      <c r="AS1685" s="81">
        <v>0</v>
      </c>
      <c r="AT1685" s="81">
        <v>0</v>
      </c>
      <c r="AU1685" s="81"/>
      <c r="AV1685" s="81"/>
      <c r="AW1685" s="81"/>
      <c r="AX1685" s="81"/>
      <c r="AY1685" s="81"/>
      <c r="AZ1685" s="81"/>
      <c r="BA1685" s="81"/>
      <c r="BB1685" s="81"/>
    </row>
    <row r="1686" spans="1:54" x14ac:dyDescent="0.35">
      <c r="A1686" s="66" t="s">
        <v>1194</v>
      </c>
      <c r="B1686" s="66" t="s">
        <v>1193</v>
      </c>
      <c r="C1686" s="67"/>
      <c r="D1686" s="68"/>
      <c r="E1686" s="69"/>
      <c r="F1686" s="70"/>
      <c r="G1686" s="67"/>
      <c r="H1686" s="71"/>
      <c r="I1686" s="72"/>
      <c r="J1686" s="72"/>
      <c r="K1686" s="36"/>
      <c r="L1686" s="79"/>
      <c r="M1686" s="79"/>
      <c r="N1686" s="74"/>
      <c r="O1686" s="81" t="s">
        <v>1532</v>
      </c>
      <c r="P1686" s="83">
        <v>44466.616412037038</v>
      </c>
      <c r="Q1686" s="81" t="s">
        <v>2177</v>
      </c>
      <c r="R1686" s="81"/>
      <c r="S1686" s="81"/>
      <c r="T1686" s="86" t="s">
        <v>2732</v>
      </c>
      <c r="U1686" s="84" t="str">
        <f>HYPERLINK("https://pbs.twimg.com/media/FAQRAomVkAcgt4H.jpg")</f>
        <v>https://pbs.twimg.com/media/FAQRAomVkAcgt4H.jpg</v>
      </c>
      <c r="V1686" s="84" t="str">
        <f>HYPERLINK("https://pbs.twimg.com/media/FAQRAomVkAcgt4H.jpg")</f>
        <v>https://pbs.twimg.com/media/FAQRAomVkAcgt4H.jpg</v>
      </c>
      <c r="W1686" s="83">
        <v>44466.616412037038</v>
      </c>
      <c r="X1686" s="89">
        <v>44466</v>
      </c>
      <c r="Y1686" s="86" t="s">
        <v>3912</v>
      </c>
      <c r="Z1686" s="84" t="str">
        <f>HYPERLINK("https://twitter.com/kantahkabsragen/status/1442501190554583049")</f>
        <v>https://twitter.com/kantahkabsragen/status/1442501190554583049</v>
      </c>
      <c r="AA1686" s="81"/>
      <c r="AB1686" s="81"/>
      <c r="AC1686" s="86" t="s">
        <v>5387</v>
      </c>
      <c r="AD1686" s="81"/>
      <c r="AE1686" s="81" t="b">
        <v>0</v>
      </c>
      <c r="AF1686" s="81">
        <v>0</v>
      </c>
      <c r="AG1686" s="86" t="s">
        <v>6240</v>
      </c>
      <c r="AH1686" s="81" t="b">
        <v>0</v>
      </c>
      <c r="AI1686" s="81" t="s">
        <v>6478</v>
      </c>
      <c r="AJ1686" s="81"/>
      <c r="AK1686" s="86" t="s">
        <v>6240</v>
      </c>
      <c r="AL1686" s="81" t="b">
        <v>0</v>
      </c>
      <c r="AM1686" s="81">
        <v>2</v>
      </c>
      <c r="AN1686" s="86" t="s">
        <v>5386</v>
      </c>
      <c r="AO1686" s="86" t="s">
        <v>6503</v>
      </c>
      <c r="AP1686" s="81" t="b">
        <v>0</v>
      </c>
      <c r="AQ1686" s="86" t="s">
        <v>5386</v>
      </c>
      <c r="AR1686" s="81" t="s">
        <v>179</v>
      </c>
      <c r="AS1686" s="81">
        <v>0</v>
      </c>
      <c r="AT1686" s="81">
        <v>0</v>
      </c>
      <c r="AU1686" s="81"/>
      <c r="AV1686" s="81"/>
      <c r="AW1686" s="81"/>
      <c r="AX1686" s="81"/>
      <c r="AY1686" s="81"/>
      <c r="AZ1686" s="81"/>
      <c r="BA1686" s="81"/>
      <c r="BB1686" s="81"/>
    </row>
    <row r="1687" spans="1:54" x14ac:dyDescent="0.35">
      <c r="A1687" s="66" t="s">
        <v>1195</v>
      </c>
      <c r="B1687" s="66" t="s">
        <v>1204</v>
      </c>
      <c r="C1687" s="67"/>
      <c r="D1687" s="68"/>
      <c r="E1687" s="69"/>
      <c r="F1687" s="70"/>
      <c r="G1687" s="67"/>
      <c r="H1687" s="71"/>
      <c r="I1687" s="72"/>
      <c r="J1687" s="72"/>
      <c r="K1687" s="36"/>
      <c r="L1687" s="79"/>
      <c r="M1687" s="79"/>
      <c r="N1687" s="74"/>
      <c r="O1687" s="81" t="s">
        <v>1532</v>
      </c>
      <c r="P1687" s="83">
        <v>44466.630960648145</v>
      </c>
      <c r="Q1687" s="81" t="s">
        <v>2190</v>
      </c>
      <c r="R1687" s="81"/>
      <c r="S1687" s="81"/>
      <c r="T1687" s="81"/>
      <c r="U1687" s="84" t="str">
        <f>HYPERLINK("https://pbs.twimg.com/media/FATP2YPUcAUBhx-.jpg")</f>
        <v>https://pbs.twimg.com/media/FATP2YPUcAUBhx-.jpg</v>
      </c>
      <c r="V1687" s="84" t="str">
        <f>HYPERLINK("https://pbs.twimg.com/media/FATP2YPUcAUBhx-.jpg")</f>
        <v>https://pbs.twimg.com/media/FATP2YPUcAUBhx-.jpg</v>
      </c>
      <c r="W1687" s="83">
        <v>44466.630960648145</v>
      </c>
      <c r="X1687" s="89">
        <v>44466</v>
      </c>
      <c r="Y1687" s="86" t="s">
        <v>3913</v>
      </c>
      <c r="Z1687" s="84" t="str">
        <f>HYPERLINK("https://twitter.com/hahakimiiiiii/status/1442506462891106306")</f>
        <v>https://twitter.com/hahakimiiiiii/status/1442506462891106306</v>
      </c>
      <c r="AA1687" s="81"/>
      <c r="AB1687" s="81"/>
      <c r="AC1687" s="86" t="s">
        <v>5388</v>
      </c>
      <c r="AD1687" s="81"/>
      <c r="AE1687" s="81" t="b">
        <v>0</v>
      </c>
      <c r="AF1687" s="81">
        <v>0</v>
      </c>
      <c r="AG1687" s="86" t="s">
        <v>6240</v>
      </c>
      <c r="AH1687" s="81" t="b">
        <v>0</v>
      </c>
      <c r="AI1687" s="81" t="s">
        <v>6478</v>
      </c>
      <c r="AJ1687" s="81"/>
      <c r="AK1687" s="86" t="s">
        <v>6240</v>
      </c>
      <c r="AL1687" s="81" t="b">
        <v>0</v>
      </c>
      <c r="AM1687" s="81">
        <v>3</v>
      </c>
      <c r="AN1687" s="86" t="s">
        <v>5397</v>
      </c>
      <c r="AO1687" s="86" t="s">
        <v>6505</v>
      </c>
      <c r="AP1687" s="81" t="b">
        <v>0</v>
      </c>
      <c r="AQ1687" s="86" t="s">
        <v>5397</v>
      </c>
      <c r="AR1687" s="81" t="s">
        <v>179</v>
      </c>
      <c r="AS1687" s="81">
        <v>0</v>
      </c>
      <c r="AT1687" s="81">
        <v>0</v>
      </c>
      <c r="AU1687" s="81"/>
      <c r="AV1687" s="81"/>
      <c r="AW1687" s="81"/>
      <c r="AX1687" s="81"/>
      <c r="AY1687" s="81"/>
      <c r="AZ1687" s="81"/>
      <c r="BA1687" s="81"/>
      <c r="BB1687" s="81"/>
    </row>
    <row r="1688" spans="1:54" x14ac:dyDescent="0.35">
      <c r="A1688" s="66" t="s">
        <v>1196</v>
      </c>
      <c r="B1688" s="66" t="s">
        <v>1196</v>
      </c>
      <c r="C1688" s="67"/>
      <c r="D1688" s="68"/>
      <c r="E1688" s="69"/>
      <c r="F1688" s="70"/>
      <c r="G1688" s="67"/>
      <c r="H1688" s="71"/>
      <c r="I1688" s="72"/>
      <c r="J1688" s="72"/>
      <c r="K1688" s="36"/>
      <c r="L1688" s="79"/>
      <c r="M1688" s="79"/>
      <c r="N1688" s="74"/>
      <c r="O1688" s="81" t="s">
        <v>179</v>
      </c>
      <c r="P1688" s="83">
        <v>44466.632025462961</v>
      </c>
      <c r="Q1688" s="81" t="s">
        <v>2191</v>
      </c>
      <c r="R1688" s="81" t="s">
        <v>2582</v>
      </c>
      <c r="S1688" s="81" t="s">
        <v>2648</v>
      </c>
      <c r="T1688" s="86" t="s">
        <v>2735</v>
      </c>
      <c r="U1688" s="81"/>
      <c r="V1688" s="84" t="str">
        <f>HYPERLINK("https://pbs.twimg.com/profile_images/772475817699926016/5svqQnN__normal.jpg")</f>
        <v>https://pbs.twimg.com/profile_images/772475817699926016/5svqQnN__normal.jpg</v>
      </c>
      <c r="W1688" s="83">
        <v>44466.632025462961</v>
      </c>
      <c r="X1688" s="89">
        <v>44466</v>
      </c>
      <c r="Y1688" s="86" t="s">
        <v>3914</v>
      </c>
      <c r="Z1688" s="84" t="str">
        <f>HYPERLINK("https://twitter.com/lokershareinone/status/1442506849077522442")</f>
        <v>https://twitter.com/lokershareinone/status/1442506849077522442</v>
      </c>
      <c r="AA1688" s="81"/>
      <c r="AB1688" s="81"/>
      <c r="AC1688" s="86" t="s">
        <v>5389</v>
      </c>
      <c r="AD1688" s="81"/>
      <c r="AE1688" s="81" t="b">
        <v>0</v>
      </c>
      <c r="AF1688" s="81">
        <v>0</v>
      </c>
      <c r="AG1688" s="86" t="s">
        <v>6240</v>
      </c>
      <c r="AH1688" s="81" t="b">
        <v>0</v>
      </c>
      <c r="AI1688" s="81" t="s">
        <v>6485</v>
      </c>
      <c r="AJ1688" s="81"/>
      <c r="AK1688" s="86" t="s">
        <v>6240</v>
      </c>
      <c r="AL1688" s="81" t="b">
        <v>0</v>
      </c>
      <c r="AM1688" s="81">
        <v>0</v>
      </c>
      <c r="AN1688" s="86" t="s">
        <v>6240</v>
      </c>
      <c r="AO1688" s="86" t="s">
        <v>6526</v>
      </c>
      <c r="AP1688" s="81" t="b">
        <v>0</v>
      </c>
      <c r="AQ1688" s="86" t="s">
        <v>5389</v>
      </c>
      <c r="AR1688" s="81" t="s">
        <v>179</v>
      </c>
      <c r="AS1688" s="81">
        <v>0</v>
      </c>
      <c r="AT1688" s="81">
        <v>0</v>
      </c>
      <c r="AU1688" s="81"/>
      <c r="AV1688" s="81"/>
      <c r="AW1688" s="81"/>
      <c r="AX1688" s="81"/>
      <c r="AY1688" s="81"/>
      <c r="AZ1688" s="81"/>
      <c r="BA1688" s="81"/>
      <c r="BB1688" s="81"/>
    </row>
    <row r="1689" spans="1:54" x14ac:dyDescent="0.35">
      <c r="A1689" s="66" t="s">
        <v>1197</v>
      </c>
      <c r="B1689" s="66" t="s">
        <v>1197</v>
      </c>
      <c r="C1689" s="67"/>
      <c r="D1689" s="68"/>
      <c r="E1689" s="69"/>
      <c r="F1689" s="70"/>
      <c r="G1689" s="67"/>
      <c r="H1689" s="71"/>
      <c r="I1689" s="72"/>
      <c r="J1689" s="72"/>
      <c r="K1689" s="36"/>
      <c r="L1689" s="79"/>
      <c r="M1689" s="79"/>
      <c r="N1689" s="74"/>
      <c r="O1689" s="81" t="s">
        <v>179</v>
      </c>
      <c r="P1689" s="83">
        <v>44466.636620370373</v>
      </c>
      <c r="Q1689" s="81" t="s">
        <v>2192</v>
      </c>
      <c r="R1689" s="81"/>
      <c r="S1689" s="81"/>
      <c r="T1689" s="81"/>
      <c r="U1689" s="81"/>
      <c r="V1689" s="84" t="str">
        <f>HYPERLINK("https://pbs.twimg.com/profile_images/1442355053730226176/M8__PYPO_normal.jpg")</f>
        <v>https://pbs.twimg.com/profile_images/1442355053730226176/M8__PYPO_normal.jpg</v>
      </c>
      <c r="W1689" s="83">
        <v>44466.636620370373</v>
      </c>
      <c r="X1689" s="89">
        <v>44466</v>
      </c>
      <c r="Y1689" s="86" t="s">
        <v>3915</v>
      </c>
      <c r="Z1689" s="84" t="str">
        <f>HYPERLINK("https://twitter.com/b4esuzypuji/status/1442508514031636500")</f>
        <v>https://twitter.com/b4esuzypuji/status/1442508514031636500</v>
      </c>
      <c r="AA1689" s="81"/>
      <c r="AB1689" s="81"/>
      <c r="AC1689" s="86" t="s">
        <v>5390</v>
      </c>
      <c r="AD1689" s="81"/>
      <c r="AE1689" s="81" t="b">
        <v>0</v>
      </c>
      <c r="AF1689" s="81">
        <v>2</v>
      </c>
      <c r="AG1689" s="86" t="s">
        <v>6240</v>
      </c>
      <c r="AH1689" s="81" t="b">
        <v>0</v>
      </c>
      <c r="AI1689" s="81" t="s">
        <v>6478</v>
      </c>
      <c r="AJ1689" s="81"/>
      <c r="AK1689" s="86" t="s">
        <v>6240</v>
      </c>
      <c r="AL1689" s="81" t="b">
        <v>0</v>
      </c>
      <c r="AM1689" s="81">
        <v>0</v>
      </c>
      <c r="AN1689" s="86" t="s">
        <v>6240</v>
      </c>
      <c r="AO1689" s="86" t="s">
        <v>6503</v>
      </c>
      <c r="AP1689" s="81" t="b">
        <v>0</v>
      </c>
      <c r="AQ1689" s="86" t="s">
        <v>5390</v>
      </c>
      <c r="AR1689" s="81" t="s">
        <v>179</v>
      </c>
      <c r="AS1689" s="81">
        <v>0</v>
      </c>
      <c r="AT1689" s="81">
        <v>0</v>
      </c>
      <c r="AU1689" s="81"/>
      <c r="AV1689" s="81"/>
      <c r="AW1689" s="81"/>
      <c r="AX1689" s="81"/>
      <c r="AY1689" s="81"/>
      <c r="AZ1689" s="81"/>
      <c r="BA1689" s="81"/>
      <c r="BB1689" s="81"/>
    </row>
    <row r="1690" spans="1:54" x14ac:dyDescent="0.35">
      <c r="A1690" s="66" t="s">
        <v>1198</v>
      </c>
      <c r="B1690" s="66" t="s">
        <v>1204</v>
      </c>
      <c r="C1690" s="67"/>
      <c r="D1690" s="68"/>
      <c r="E1690" s="69"/>
      <c r="F1690" s="70"/>
      <c r="G1690" s="67"/>
      <c r="H1690" s="71"/>
      <c r="I1690" s="72"/>
      <c r="J1690" s="72"/>
      <c r="K1690" s="36"/>
      <c r="L1690" s="79"/>
      <c r="M1690" s="79"/>
      <c r="N1690" s="74"/>
      <c r="O1690" s="81" t="s">
        <v>1532</v>
      </c>
      <c r="P1690" s="83">
        <v>44466.650219907409</v>
      </c>
      <c r="Q1690" s="81" t="s">
        <v>2190</v>
      </c>
      <c r="R1690" s="81"/>
      <c r="S1690" s="81"/>
      <c r="T1690" s="81"/>
      <c r="U1690" s="84" t="str">
        <f>HYPERLINK("https://pbs.twimg.com/media/FATP2YPUcAUBhx-.jpg")</f>
        <v>https://pbs.twimg.com/media/FATP2YPUcAUBhx-.jpg</v>
      </c>
      <c r="V1690" s="84" t="str">
        <f>HYPERLINK("https://pbs.twimg.com/media/FATP2YPUcAUBhx-.jpg")</f>
        <v>https://pbs.twimg.com/media/FATP2YPUcAUBhx-.jpg</v>
      </c>
      <c r="W1690" s="83">
        <v>44466.650219907409</v>
      </c>
      <c r="X1690" s="89">
        <v>44466</v>
      </c>
      <c r="Y1690" s="86" t="s">
        <v>3916</v>
      </c>
      <c r="Z1690" s="84" t="str">
        <f>HYPERLINK("https://twitter.com/adarndresser/status/1442513439860035584")</f>
        <v>https://twitter.com/adarndresser/status/1442513439860035584</v>
      </c>
      <c r="AA1690" s="81"/>
      <c r="AB1690" s="81"/>
      <c r="AC1690" s="86" t="s">
        <v>5391</v>
      </c>
      <c r="AD1690" s="81"/>
      <c r="AE1690" s="81" t="b">
        <v>0</v>
      </c>
      <c r="AF1690" s="81">
        <v>0</v>
      </c>
      <c r="AG1690" s="86" t="s">
        <v>6240</v>
      </c>
      <c r="AH1690" s="81" t="b">
        <v>0</v>
      </c>
      <c r="AI1690" s="81" t="s">
        <v>6478</v>
      </c>
      <c r="AJ1690" s="81"/>
      <c r="AK1690" s="86" t="s">
        <v>6240</v>
      </c>
      <c r="AL1690" s="81" t="b">
        <v>0</v>
      </c>
      <c r="AM1690" s="81">
        <v>3</v>
      </c>
      <c r="AN1690" s="86" t="s">
        <v>5397</v>
      </c>
      <c r="AO1690" s="86" t="s">
        <v>6505</v>
      </c>
      <c r="AP1690" s="81" t="b">
        <v>0</v>
      </c>
      <c r="AQ1690" s="86" t="s">
        <v>5397</v>
      </c>
      <c r="AR1690" s="81" t="s">
        <v>179</v>
      </c>
      <c r="AS1690" s="81">
        <v>0</v>
      </c>
      <c r="AT1690" s="81">
        <v>0</v>
      </c>
      <c r="AU1690" s="81"/>
      <c r="AV1690" s="81"/>
      <c r="AW1690" s="81"/>
      <c r="AX1690" s="81"/>
      <c r="AY1690" s="81"/>
      <c r="AZ1690" s="81"/>
      <c r="BA1690" s="81"/>
      <c r="BB1690" s="81"/>
    </row>
    <row r="1691" spans="1:54" x14ac:dyDescent="0.35">
      <c r="A1691" s="66" t="s">
        <v>1199</v>
      </c>
      <c r="B1691" s="66" t="s">
        <v>1215</v>
      </c>
      <c r="C1691" s="67"/>
      <c r="D1691" s="68"/>
      <c r="E1691" s="69"/>
      <c r="F1691" s="70"/>
      <c r="G1691" s="67"/>
      <c r="H1691" s="71"/>
      <c r="I1691" s="72"/>
      <c r="J1691" s="72"/>
      <c r="K1691" s="36"/>
      <c r="L1691" s="79"/>
      <c r="M1691" s="79"/>
      <c r="N1691" s="74"/>
      <c r="O1691" s="81" t="s">
        <v>1532</v>
      </c>
      <c r="P1691" s="83">
        <v>44466.65865740741</v>
      </c>
      <c r="Q1691" s="81" t="s">
        <v>2154</v>
      </c>
      <c r="R1691" s="81"/>
      <c r="S1691" s="81"/>
      <c r="T1691" s="81"/>
      <c r="U1691" s="84" t="str">
        <f>HYPERLINK("https://pbs.twimg.com/media/FASHjEnUcAMSLOM.jpg")</f>
        <v>https://pbs.twimg.com/media/FASHjEnUcAMSLOM.jpg</v>
      </c>
      <c r="V1691" s="84" t="str">
        <f>HYPERLINK("https://pbs.twimg.com/media/FASHjEnUcAMSLOM.jpg")</f>
        <v>https://pbs.twimg.com/media/FASHjEnUcAMSLOM.jpg</v>
      </c>
      <c r="W1691" s="83">
        <v>44466.65865740741</v>
      </c>
      <c r="X1691" s="89">
        <v>44466</v>
      </c>
      <c r="Y1691" s="86" t="s">
        <v>3917</v>
      </c>
      <c r="Z1691" s="84" t="str">
        <f>HYPERLINK("https://twitter.com/3andalas/status/1442516499135012875")</f>
        <v>https://twitter.com/3andalas/status/1442516499135012875</v>
      </c>
      <c r="AA1691" s="81"/>
      <c r="AB1691" s="81"/>
      <c r="AC1691" s="86" t="s">
        <v>5392</v>
      </c>
      <c r="AD1691" s="81"/>
      <c r="AE1691" s="81" t="b">
        <v>0</v>
      </c>
      <c r="AF1691" s="81">
        <v>0</v>
      </c>
      <c r="AG1691" s="86" t="s">
        <v>6240</v>
      </c>
      <c r="AH1691" s="81" t="b">
        <v>0</v>
      </c>
      <c r="AI1691" s="81" t="s">
        <v>6478</v>
      </c>
      <c r="AJ1691" s="81"/>
      <c r="AK1691" s="86" t="s">
        <v>6240</v>
      </c>
      <c r="AL1691" s="81" t="b">
        <v>0</v>
      </c>
      <c r="AM1691" s="81">
        <v>9</v>
      </c>
      <c r="AN1691" s="86" t="s">
        <v>5410</v>
      </c>
      <c r="AO1691" s="86" t="s">
        <v>6503</v>
      </c>
      <c r="AP1691" s="81" t="b">
        <v>0</v>
      </c>
      <c r="AQ1691" s="86" t="s">
        <v>5410</v>
      </c>
      <c r="AR1691" s="81" t="s">
        <v>179</v>
      </c>
      <c r="AS1691" s="81">
        <v>0</v>
      </c>
      <c r="AT1691" s="81">
        <v>0</v>
      </c>
      <c r="AU1691" s="81"/>
      <c r="AV1691" s="81"/>
      <c r="AW1691" s="81"/>
      <c r="AX1691" s="81"/>
      <c r="AY1691" s="81"/>
      <c r="AZ1691" s="81"/>
      <c r="BA1691" s="81"/>
      <c r="BB1691" s="81"/>
    </row>
    <row r="1692" spans="1:54" x14ac:dyDescent="0.35">
      <c r="A1692" s="66" t="s">
        <v>1200</v>
      </c>
      <c r="B1692" s="66" t="s">
        <v>1146</v>
      </c>
      <c r="C1692" s="67"/>
      <c r="D1692" s="68"/>
      <c r="E1692" s="69"/>
      <c r="F1692" s="70"/>
      <c r="G1692" s="67"/>
      <c r="H1692" s="71"/>
      <c r="I1692" s="72"/>
      <c r="J1692" s="72"/>
      <c r="K1692" s="36"/>
      <c r="L1692" s="79"/>
      <c r="M1692" s="79"/>
      <c r="N1692" s="74"/>
      <c r="O1692" s="81" t="s">
        <v>1532</v>
      </c>
      <c r="P1692" s="83">
        <v>44466.676296296297</v>
      </c>
      <c r="Q1692" s="81" t="s">
        <v>2091</v>
      </c>
      <c r="R1692" s="81"/>
      <c r="S1692" s="81"/>
      <c r="T1692" s="81"/>
      <c r="U1692" s="84" t="str">
        <f>HYPERLINK("https://pbs.twimg.com/ext_tw_video_thumb/1442373678990196737/pu/img/UDVgFvOXidN40Fez.jpg")</f>
        <v>https://pbs.twimg.com/ext_tw_video_thumb/1442373678990196737/pu/img/UDVgFvOXidN40Fez.jpg</v>
      </c>
      <c r="V1692" s="84" t="str">
        <f>HYPERLINK("https://pbs.twimg.com/ext_tw_video_thumb/1442373678990196737/pu/img/UDVgFvOXidN40Fez.jpg")</f>
        <v>https://pbs.twimg.com/ext_tw_video_thumb/1442373678990196737/pu/img/UDVgFvOXidN40Fez.jpg</v>
      </c>
      <c r="W1692" s="83">
        <v>44466.676296296297</v>
      </c>
      <c r="X1692" s="89">
        <v>44466</v>
      </c>
      <c r="Y1692" s="86" t="s">
        <v>3918</v>
      </c>
      <c r="Z1692" s="84" t="str">
        <f>HYPERLINK("https://twitter.com/astritriast/status/1442522891694665733")</f>
        <v>https://twitter.com/astritriast/status/1442522891694665733</v>
      </c>
      <c r="AA1692" s="81"/>
      <c r="AB1692" s="81"/>
      <c r="AC1692" s="86" t="s">
        <v>5393</v>
      </c>
      <c r="AD1692" s="81"/>
      <c r="AE1692" s="81" t="b">
        <v>0</v>
      </c>
      <c r="AF1692" s="81">
        <v>0</v>
      </c>
      <c r="AG1692" s="86" t="s">
        <v>6240</v>
      </c>
      <c r="AH1692" s="81" t="b">
        <v>0</v>
      </c>
      <c r="AI1692" s="81" t="s">
        <v>6478</v>
      </c>
      <c r="AJ1692" s="81"/>
      <c r="AK1692" s="86" t="s">
        <v>6240</v>
      </c>
      <c r="AL1692" s="81" t="b">
        <v>0</v>
      </c>
      <c r="AM1692" s="81">
        <v>30</v>
      </c>
      <c r="AN1692" s="86" t="s">
        <v>5524</v>
      </c>
      <c r="AO1692" s="86" t="s">
        <v>6503</v>
      </c>
      <c r="AP1692" s="81" t="b">
        <v>0</v>
      </c>
      <c r="AQ1692" s="86" t="s">
        <v>5524</v>
      </c>
      <c r="AR1692" s="81" t="s">
        <v>179</v>
      </c>
      <c r="AS1692" s="81">
        <v>0</v>
      </c>
      <c r="AT1692" s="81">
        <v>0</v>
      </c>
      <c r="AU1692" s="81"/>
      <c r="AV1692" s="81"/>
      <c r="AW1692" s="81"/>
      <c r="AX1692" s="81"/>
      <c r="AY1692" s="81"/>
      <c r="AZ1692" s="81"/>
      <c r="BA1692" s="81"/>
      <c r="BB1692" s="81"/>
    </row>
    <row r="1693" spans="1:54" x14ac:dyDescent="0.35">
      <c r="A1693" s="66" t="s">
        <v>1201</v>
      </c>
      <c r="B1693" s="66" t="s">
        <v>1201</v>
      </c>
      <c r="C1693" s="67"/>
      <c r="D1693" s="68"/>
      <c r="E1693" s="69"/>
      <c r="F1693" s="70"/>
      <c r="G1693" s="67"/>
      <c r="H1693" s="71"/>
      <c r="I1693" s="72"/>
      <c r="J1693" s="72"/>
      <c r="K1693" s="36"/>
      <c r="L1693" s="79"/>
      <c r="M1693" s="79"/>
      <c r="N1693" s="74"/>
      <c r="O1693" s="81" t="s">
        <v>179</v>
      </c>
      <c r="P1693" s="83">
        <v>44466.542210648149</v>
      </c>
      <c r="Q1693" s="81" t="s">
        <v>2174</v>
      </c>
      <c r="R1693" s="81"/>
      <c r="S1693" s="81"/>
      <c r="T1693" s="86" t="s">
        <v>599</v>
      </c>
      <c r="U1693" s="84" t="str">
        <f>HYPERLINK("https://pbs.twimg.com/media/FASyu2tUcAYA_sv.jpg")</f>
        <v>https://pbs.twimg.com/media/FASyu2tUcAYA_sv.jpg</v>
      </c>
      <c r="V1693" s="84" t="str">
        <f>HYPERLINK("https://pbs.twimg.com/media/FASyu2tUcAYA_sv.jpg")</f>
        <v>https://pbs.twimg.com/media/FASyu2tUcAYA_sv.jpg</v>
      </c>
      <c r="W1693" s="83">
        <v>44466.542210648149</v>
      </c>
      <c r="X1693" s="89">
        <v>44466</v>
      </c>
      <c r="Y1693" s="86" t="s">
        <v>3919</v>
      </c>
      <c r="Z1693" s="84" t="str">
        <f>HYPERLINK("https://twitter.com/fullsunbb_/status/1442474301081276423")</f>
        <v>https://twitter.com/fullsunbb_/status/1442474301081276423</v>
      </c>
      <c r="AA1693" s="81"/>
      <c r="AB1693" s="81"/>
      <c r="AC1693" s="86" t="s">
        <v>5394</v>
      </c>
      <c r="AD1693" s="81"/>
      <c r="AE1693" s="81" t="b">
        <v>0</v>
      </c>
      <c r="AF1693" s="81">
        <v>0</v>
      </c>
      <c r="AG1693" s="86" t="s">
        <v>6240</v>
      </c>
      <c r="AH1693" s="81" t="b">
        <v>0</v>
      </c>
      <c r="AI1693" s="81" t="s">
        <v>6479</v>
      </c>
      <c r="AJ1693" s="81"/>
      <c r="AK1693" s="86" t="s">
        <v>6240</v>
      </c>
      <c r="AL1693" s="81" t="b">
        <v>0</v>
      </c>
      <c r="AM1693" s="81">
        <v>2</v>
      </c>
      <c r="AN1693" s="86" t="s">
        <v>6240</v>
      </c>
      <c r="AO1693" s="86" t="s">
        <v>6503</v>
      </c>
      <c r="AP1693" s="81" t="b">
        <v>0</v>
      </c>
      <c r="AQ1693" s="86" t="s">
        <v>5394</v>
      </c>
      <c r="AR1693" s="81" t="s">
        <v>179</v>
      </c>
      <c r="AS1693" s="81">
        <v>0</v>
      </c>
      <c r="AT1693" s="81">
        <v>0</v>
      </c>
      <c r="AU1693" s="81"/>
      <c r="AV1693" s="81"/>
      <c r="AW1693" s="81"/>
      <c r="AX1693" s="81"/>
      <c r="AY1693" s="81"/>
      <c r="AZ1693" s="81"/>
      <c r="BA1693" s="81"/>
      <c r="BB1693" s="81"/>
    </row>
    <row r="1694" spans="1:54" x14ac:dyDescent="0.35">
      <c r="A1694" s="66" t="s">
        <v>1202</v>
      </c>
      <c r="B1694" s="66" t="s">
        <v>1201</v>
      </c>
      <c r="C1694" s="67"/>
      <c r="D1694" s="68"/>
      <c r="E1694" s="69"/>
      <c r="F1694" s="70"/>
      <c r="G1694" s="67"/>
      <c r="H1694" s="71"/>
      <c r="I1694" s="72"/>
      <c r="J1694" s="72"/>
      <c r="K1694" s="36"/>
      <c r="L1694" s="79"/>
      <c r="M1694" s="79"/>
      <c r="N1694" s="74"/>
      <c r="O1694" s="81" t="s">
        <v>1532</v>
      </c>
      <c r="P1694" s="83">
        <v>44466.685196759259</v>
      </c>
      <c r="Q1694" s="81" t="s">
        <v>2174</v>
      </c>
      <c r="R1694" s="81"/>
      <c r="S1694" s="81"/>
      <c r="T1694" s="86" t="s">
        <v>599</v>
      </c>
      <c r="U1694" s="84" t="str">
        <f>HYPERLINK("https://pbs.twimg.com/media/FASyu2tUcAYA_sv.jpg")</f>
        <v>https://pbs.twimg.com/media/FASyu2tUcAYA_sv.jpg</v>
      </c>
      <c r="V1694" s="84" t="str">
        <f>HYPERLINK("https://pbs.twimg.com/media/FASyu2tUcAYA_sv.jpg")</f>
        <v>https://pbs.twimg.com/media/FASyu2tUcAYA_sv.jpg</v>
      </c>
      <c r="W1694" s="83">
        <v>44466.685196759259</v>
      </c>
      <c r="X1694" s="89">
        <v>44466</v>
      </c>
      <c r="Y1694" s="86" t="s">
        <v>3920</v>
      </c>
      <c r="Z1694" s="84" t="str">
        <f>HYPERLINK("https://twitter.com/littleboozi/status/1442526114715353097")</f>
        <v>https://twitter.com/littleboozi/status/1442526114715353097</v>
      </c>
      <c r="AA1694" s="81"/>
      <c r="AB1694" s="81"/>
      <c r="AC1694" s="86" t="s">
        <v>5395</v>
      </c>
      <c r="AD1694" s="81"/>
      <c r="AE1694" s="81" t="b">
        <v>0</v>
      </c>
      <c r="AF1694" s="81">
        <v>0</v>
      </c>
      <c r="AG1694" s="86" t="s">
        <v>6240</v>
      </c>
      <c r="AH1694" s="81" t="b">
        <v>0</v>
      </c>
      <c r="AI1694" s="81" t="s">
        <v>6479</v>
      </c>
      <c r="AJ1694" s="81"/>
      <c r="AK1694" s="86" t="s">
        <v>6240</v>
      </c>
      <c r="AL1694" s="81" t="b">
        <v>0</v>
      </c>
      <c r="AM1694" s="81">
        <v>2</v>
      </c>
      <c r="AN1694" s="86" t="s">
        <v>5394</v>
      </c>
      <c r="AO1694" s="86" t="s">
        <v>6503</v>
      </c>
      <c r="AP1694" s="81" t="b">
        <v>0</v>
      </c>
      <c r="AQ1694" s="86" t="s">
        <v>5394</v>
      </c>
      <c r="AR1694" s="81" t="s">
        <v>179</v>
      </c>
      <c r="AS1694" s="81">
        <v>0</v>
      </c>
      <c r="AT1694" s="81">
        <v>0</v>
      </c>
      <c r="AU1694" s="81"/>
      <c r="AV1694" s="81"/>
      <c r="AW1694" s="81"/>
      <c r="AX1694" s="81"/>
      <c r="AY1694" s="81"/>
      <c r="AZ1694" s="81"/>
      <c r="BA1694" s="81"/>
      <c r="BB1694" s="81"/>
    </row>
    <row r="1695" spans="1:54" x14ac:dyDescent="0.35">
      <c r="A1695" s="66" t="s">
        <v>1203</v>
      </c>
      <c r="B1695" s="66" t="s">
        <v>1146</v>
      </c>
      <c r="C1695" s="67"/>
      <c r="D1695" s="68"/>
      <c r="E1695" s="69"/>
      <c r="F1695" s="70"/>
      <c r="G1695" s="67"/>
      <c r="H1695" s="71"/>
      <c r="I1695" s="72"/>
      <c r="J1695" s="72"/>
      <c r="K1695" s="36"/>
      <c r="L1695" s="79"/>
      <c r="M1695" s="79"/>
      <c r="N1695" s="74"/>
      <c r="O1695" s="81" t="s">
        <v>1532</v>
      </c>
      <c r="P1695" s="83">
        <v>44466.68540509259</v>
      </c>
      <c r="Q1695" s="81" t="s">
        <v>2091</v>
      </c>
      <c r="R1695" s="81"/>
      <c r="S1695" s="81"/>
      <c r="T1695" s="81"/>
      <c r="U1695" s="84" t="str">
        <f>HYPERLINK("https://pbs.twimg.com/ext_tw_video_thumb/1442373678990196737/pu/img/UDVgFvOXidN40Fez.jpg")</f>
        <v>https://pbs.twimg.com/ext_tw_video_thumb/1442373678990196737/pu/img/UDVgFvOXidN40Fez.jpg</v>
      </c>
      <c r="V1695" s="84" t="str">
        <f>HYPERLINK("https://pbs.twimg.com/ext_tw_video_thumb/1442373678990196737/pu/img/UDVgFvOXidN40Fez.jpg")</f>
        <v>https://pbs.twimg.com/ext_tw_video_thumb/1442373678990196737/pu/img/UDVgFvOXidN40Fez.jpg</v>
      </c>
      <c r="W1695" s="83">
        <v>44466.68540509259</v>
      </c>
      <c r="X1695" s="89">
        <v>44466</v>
      </c>
      <c r="Y1695" s="86" t="s">
        <v>3921</v>
      </c>
      <c r="Z1695" s="84" t="str">
        <f>HYPERLINK("https://twitter.com/cherlyalviani/status/1442526192637079554")</f>
        <v>https://twitter.com/cherlyalviani/status/1442526192637079554</v>
      </c>
      <c r="AA1695" s="81"/>
      <c r="AB1695" s="81"/>
      <c r="AC1695" s="86" t="s">
        <v>5396</v>
      </c>
      <c r="AD1695" s="81"/>
      <c r="AE1695" s="81" t="b">
        <v>0</v>
      </c>
      <c r="AF1695" s="81">
        <v>0</v>
      </c>
      <c r="AG1695" s="86" t="s">
        <v>6240</v>
      </c>
      <c r="AH1695" s="81" t="b">
        <v>0</v>
      </c>
      <c r="AI1695" s="81" t="s">
        <v>6478</v>
      </c>
      <c r="AJ1695" s="81"/>
      <c r="AK1695" s="86" t="s">
        <v>6240</v>
      </c>
      <c r="AL1695" s="81" t="b">
        <v>0</v>
      </c>
      <c r="AM1695" s="81">
        <v>30</v>
      </c>
      <c r="AN1695" s="86" t="s">
        <v>5524</v>
      </c>
      <c r="AO1695" s="86" t="s">
        <v>6503</v>
      </c>
      <c r="AP1695" s="81" t="b">
        <v>0</v>
      </c>
      <c r="AQ1695" s="86" t="s">
        <v>5524</v>
      </c>
      <c r="AR1695" s="81" t="s">
        <v>179</v>
      </c>
      <c r="AS1695" s="81">
        <v>0</v>
      </c>
      <c r="AT1695" s="81">
        <v>0</v>
      </c>
      <c r="AU1695" s="81"/>
      <c r="AV1695" s="81"/>
      <c r="AW1695" s="81"/>
      <c r="AX1695" s="81"/>
      <c r="AY1695" s="81"/>
      <c r="AZ1695" s="81"/>
      <c r="BA1695" s="81"/>
      <c r="BB1695" s="81"/>
    </row>
    <row r="1696" spans="1:54" x14ac:dyDescent="0.35">
      <c r="A1696" s="66" t="s">
        <v>1204</v>
      </c>
      <c r="B1696" s="66" t="s">
        <v>1204</v>
      </c>
      <c r="C1696" s="67"/>
      <c r="D1696" s="68"/>
      <c r="E1696" s="69"/>
      <c r="F1696" s="70"/>
      <c r="G1696" s="67"/>
      <c r="H1696" s="71"/>
      <c r="I1696" s="72"/>
      <c r="J1696" s="72"/>
      <c r="K1696" s="36"/>
      <c r="L1696" s="79"/>
      <c r="M1696" s="79"/>
      <c r="N1696" s="74"/>
      <c r="O1696" s="81" t="s">
        <v>179</v>
      </c>
      <c r="P1696" s="83">
        <v>44466.630578703705</v>
      </c>
      <c r="Q1696" s="81" t="s">
        <v>2190</v>
      </c>
      <c r="R1696" s="81"/>
      <c r="S1696" s="81"/>
      <c r="T1696" s="81"/>
      <c r="U1696" s="84" t="str">
        <f>HYPERLINK("https://pbs.twimg.com/media/FATP2YPUcAUBhx-.jpg")</f>
        <v>https://pbs.twimg.com/media/FATP2YPUcAUBhx-.jpg</v>
      </c>
      <c r="V1696" s="84" t="str">
        <f>HYPERLINK("https://pbs.twimg.com/media/FATP2YPUcAUBhx-.jpg")</f>
        <v>https://pbs.twimg.com/media/FATP2YPUcAUBhx-.jpg</v>
      </c>
      <c r="W1696" s="83">
        <v>44466.630578703705</v>
      </c>
      <c r="X1696" s="89">
        <v>44466</v>
      </c>
      <c r="Y1696" s="86" t="s">
        <v>3922</v>
      </c>
      <c r="Z1696" s="84" t="str">
        <f>HYPERLINK("https://twitter.com/anwarkhairi/status/1442506321366958083")</f>
        <v>https://twitter.com/anwarkhairi/status/1442506321366958083</v>
      </c>
      <c r="AA1696" s="81"/>
      <c r="AB1696" s="81"/>
      <c r="AC1696" s="86" t="s">
        <v>5397</v>
      </c>
      <c r="AD1696" s="81"/>
      <c r="AE1696" s="81" t="b">
        <v>0</v>
      </c>
      <c r="AF1696" s="81">
        <v>2</v>
      </c>
      <c r="AG1696" s="86" t="s">
        <v>6240</v>
      </c>
      <c r="AH1696" s="81" t="b">
        <v>0</v>
      </c>
      <c r="AI1696" s="81" t="s">
        <v>6478</v>
      </c>
      <c r="AJ1696" s="81"/>
      <c r="AK1696" s="86" t="s">
        <v>6240</v>
      </c>
      <c r="AL1696" s="81" t="b">
        <v>0</v>
      </c>
      <c r="AM1696" s="81">
        <v>3</v>
      </c>
      <c r="AN1696" s="86" t="s">
        <v>6240</v>
      </c>
      <c r="AO1696" s="86" t="s">
        <v>6505</v>
      </c>
      <c r="AP1696" s="81" t="b">
        <v>0</v>
      </c>
      <c r="AQ1696" s="86" t="s">
        <v>5397</v>
      </c>
      <c r="AR1696" s="81" t="s">
        <v>179</v>
      </c>
      <c r="AS1696" s="81">
        <v>0</v>
      </c>
      <c r="AT1696" s="81">
        <v>0</v>
      </c>
      <c r="AU1696" s="81"/>
      <c r="AV1696" s="81"/>
      <c r="AW1696" s="81"/>
      <c r="AX1696" s="81"/>
      <c r="AY1696" s="81"/>
      <c r="AZ1696" s="81"/>
      <c r="BA1696" s="81"/>
      <c r="BB1696" s="81"/>
    </row>
    <row r="1697" spans="1:54" x14ac:dyDescent="0.35">
      <c r="A1697" s="66" t="s">
        <v>1205</v>
      </c>
      <c r="B1697" s="66" t="s">
        <v>1204</v>
      </c>
      <c r="C1697" s="67"/>
      <c r="D1697" s="68"/>
      <c r="E1697" s="69"/>
      <c r="F1697" s="70"/>
      <c r="G1697" s="67"/>
      <c r="H1697" s="71"/>
      <c r="I1697" s="72"/>
      <c r="J1697" s="72"/>
      <c r="K1697" s="36"/>
      <c r="L1697" s="79"/>
      <c r="M1697" s="79"/>
      <c r="N1697" s="74"/>
      <c r="O1697" s="81" t="s">
        <v>1532</v>
      </c>
      <c r="P1697" s="83">
        <v>44466.705590277779</v>
      </c>
      <c r="Q1697" s="81" t="s">
        <v>2190</v>
      </c>
      <c r="R1697" s="81"/>
      <c r="S1697" s="81"/>
      <c r="T1697" s="81"/>
      <c r="U1697" s="84" t="str">
        <f>HYPERLINK("https://pbs.twimg.com/media/FATP2YPUcAUBhx-.jpg")</f>
        <v>https://pbs.twimg.com/media/FATP2YPUcAUBhx-.jpg</v>
      </c>
      <c r="V1697" s="84" t="str">
        <f>HYPERLINK("https://pbs.twimg.com/media/FATP2YPUcAUBhx-.jpg")</f>
        <v>https://pbs.twimg.com/media/FATP2YPUcAUBhx-.jpg</v>
      </c>
      <c r="W1697" s="83">
        <v>44466.705590277779</v>
      </c>
      <c r="X1697" s="89">
        <v>44466</v>
      </c>
      <c r="Y1697" s="86" t="s">
        <v>3923</v>
      </c>
      <c r="Z1697" s="84" t="str">
        <f>HYPERLINK("https://twitter.com/nasruddinharon/status/1442533505443852290")</f>
        <v>https://twitter.com/nasruddinharon/status/1442533505443852290</v>
      </c>
      <c r="AA1697" s="81"/>
      <c r="AB1697" s="81"/>
      <c r="AC1697" s="86" t="s">
        <v>5398</v>
      </c>
      <c r="AD1697" s="81"/>
      <c r="AE1697" s="81" t="b">
        <v>0</v>
      </c>
      <c r="AF1697" s="81">
        <v>0</v>
      </c>
      <c r="AG1697" s="86" t="s">
        <v>6240</v>
      </c>
      <c r="AH1697" s="81" t="b">
        <v>0</v>
      </c>
      <c r="AI1697" s="81" t="s">
        <v>6478</v>
      </c>
      <c r="AJ1697" s="81"/>
      <c r="AK1697" s="86" t="s">
        <v>6240</v>
      </c>
      <c r="AL1697" s="81" t="b">
        <v>0</v>
      </c>
      <c r="AM1697" s="81">
        <v>3</v>
      </c>
      <c r="AN1697" s="86" t="s">
        <v>5397</v>
      </c>
      <c r="AO1697" s="86" t="s">
        <v>6505</v>
      </c>
      <c r="AP1697" s="81" t="b">
        <v>0</v>
      </c>
      <c r="AQ1697" s="86" t="s">
        <v>5397</v>
      </c>
      <c r="AR1697" s="81" t="s">
        <v>179</v>
      </c>
      <c r="AS1697" s="81">
        <v>0</v>
      </c>
      <c r="AT1697" s="81">
        <v>0</v>
      </c>
      <c r="AU1697" s="81"/>
      <c r="AV1697" s="81"/>
      <c r="AW1697" s="81"/>
      <c r="AX1697" s="81"/>
      <c r="AY1697" s="81"/>
      <c r="AZ1697" s="81"/>
      <c r="BA1697" s="81"/>
      <c r="BB1697" s="81"/>
    </row>
    <row r="1698" spans="1:54" x14ac:dyDescent="0.35">
      <c r="A1698" s="66" t="s">
        <v>1206</v>
      </c>
      <c r="B1698" s="66" t="s">
        <v>1146</v>
      </c>
      <c r="C1698" s="67"/>
      <c r="D1698" s="68"/>
      <c r="E1698" s="69"/>
      <c r="F1698" s="70"/>
      <c r="G1698" s="67"/>
      <c r="H1698" s="71"/>
      <c r="I1698" s="72"/>
      <c r="J1698" s="72"/>
      <c r="K1698" s="36"/>
      <c r="L1698" s="79"/>
      <c r="M1698" s="79"/>
      <c r="N1698" s="74"/>
      <c r="O1698" s="81" t="s">
        <v>1532</v>
      </c>
      <c r="P1698" s="83">
        <v>44466.710057870368</v>
      </c>
      <c r="Q1698" s="81" t="s">
        <v>2091</v>
      </c>
      <c r="R1698" s="81"/>
      <c r="S1698" s="81"/>
      <c r="T1698" s="81"/>
      <c r="U1698" s="84" t="str">
        <f>HYPERLINK("https://pbs.twimg.com/ext_tw_video_thumb/1442373678990196737/pu/img/UDVgFvOXidN40Fez.jpg")</f>
        <v>https://pbs.twimg.com/ext_tw_video_thumb/1442373678990196737/pu/img/UDVgFvOXidN40Fez.jpg</v>
      </c>
      <c r="V1698" s="84" t="str">
        <f>HYPERLINK("https://pbs.twimg.com/ext_tw_video_thumb/1442373678990196737/pu/img/UDVgFvOXidN40Fez.jpg")</f>
        <v>https://pbs.twimg.com/ext_tw_video_thumb/1442373678990196737/pu/img/UDVgFvOXidN40Fez.jpg</v>
      </c>
      <c r="W1698" s="83">
        <v>44466.710057870368</v>
      </c>
      <c r="X1698" s="89">
        <v>44466</v>
      </c>
      <c r="Y1698" s="86" t="s">
        <v>3924</v>
      </c>
      <c r="Z1698" s="84" t="str">
        <f>HYPERLINK("https://twitter.com/mpo_ani/status/1442535124755570689")</f>
        <v>https://twitter.com/mpo_ani/status/1442535124755570689</v>
      </c>
      <c r="AA1698" s="81"/>
      <c r="AB1698" s="81"/>
      <c r="AC1698" s="86" t="s">
        <v>5399</v>
      </c>
      <c r="AD1698" s="81"/>
      <c r="AE1698" s="81" t="b">
        <v>0</v>
      </c>
      <c r="AF1698" s="81">
        <v>0</v>
      </c>
      <c r="AG1698" s="86" t="s">
        <v>6240</v>
      </c>
      <c r="AH1698" s="81" t="b">
        <v>0</v>
      </c>
      <c r="AI1698" s="81" t="s">
        <v>6478</v>
      </c>
      <c r="AJ1698" s="81"/>
      <c r="AK1698" s="86" t="s">
        <v>6240</v>
      </c>
      <c r="AL1698" s="81" t="b">
        <v>0</v>
      </c>
      <c r="AM1698" s="81">
        <v>30</v>
      </c>
      <c r="AN1698" s="86" t="s">
        <v>5524</v>
      </c>
      <c r="AO1698" s="86" t="s">
        <v>6503</v>
      </c>
      <c r="AP1698" s="81" t="b">
        <v>0</v>
      </c>
      <c r="AQ1698" s="86" t="s">
        <v>5524</v>
      </c>
      <c r="AR1698" s="81" t="s">
        <v>179</v>
      </c>
      <c r="AS1698" s="81">
        <v>0</v>
      </c>
      <c r="AT1698" s="81">
        <v>0</v>
      </c>
      <c r="AU1698" s="81"/>
      <c r="AV1698" s="81"/>
      <c r="AW1698" s="81"/>
      <c r="AX1698" s="81"/>
      <c r="AY1698" s="81"/>
      <c r="AZ1698" s="81"/>
      <c r="BA1698" s="81"/>
      <c r="BB1698" s="81"/>
    </row>
    <row r="1699" spans="1:54" x14ac:dyDescent="0.35">
      <c r="A1699" s="66" t="s">
        <v>1207</v>
      </c>
      <c r="B1699" s="66" t="s">
        <v>1215</v>
      </c>
      <c r="C1699" s="67"/>
      <c r="D1699" s="68"/>
      <c r="E1699" s="69"/>
      <c r="F1699" s="70"/>
      <c r="G1699" s="67"/>
      <c r="H1699" s="71"/>
      <c r="I1699" s="72"/>
      <c r="J1699" s="72"/>
      <c r="K1699" s="36"/>
      <c r="L1699" s="79"/>
      <c r="M1699" s="79"/>
      <c r="N1699" s="74"/>
      <c r="O1699" s="81" t="s">
        <v>1532</v>
      </c>
      <c r="P1699" s="83">
        <v>44466.714201388888</v>
      </c>
      <c r="Q1699" s="81" t="s">
        <v>2154</v>
      </c>
      <c r="R1699" s="81"/>
      <c r="S1699" s="81"/>
      <c r="T1699" s="81"/>
      <c r="U1699" s="84" t="str">
        <f>HYPERLINK("https://pbs.twimg.com/media/FASHjEnUcAMSLOM.jpg")</f>
        <v>https://pbs.twimg.com/media/FASHjEnUcAMSLOM.jpg</v>
      </c>
      <c r="V1699" s="84" t="str">
        <f>HYPERLINK("https://pbs.twimg.com/media/FASHjEnUcAMSLOM.jpg")</f>
        <v>https://pbs.twimg.com/media/FASHjEnUcAMSLOM.jpg</v>
      </c>
      <c r="W1699" s="83">
        <v>44466.714201388888</v>
      </c>
      <c r="X1699" s="89">
        <v>44466</v>
      </c>
      <c r="Y1699" s="86" t="s">
        <v>3925</v>
      </c>
      <c r="Z1699" s="84" t="str">
        <f>HYPERLINK("https://twitter.com/alkecilsaja/status/1442536625041403905")</f>
        <v>https://twitter.com/alkecilsaja/status/1442536625041403905</v>
      </c>
      <c r="AA1699" s="81"/>
      <c r="AB1699" s="81"/>
      <c r="AC1699" s="86" t="s">
        <v>5400</v>
      </c>
      <c r="AD1699" s="81"/>
      <c r="AE1699" s="81" t="b">
        <v>0</v>
      </c>
      <c r="AF1699" s="81">
        <v>0</v>
      </c>
      <c r="AG1699" s="86" t="s">
        <v>6240</v>
      </c>
      <c r="AH1699" s="81" t="b">
        <v>0</v>
      </c>
      <c r="AI1699" s="81" t="s">
        <v>6478</v>
      </c>
      <c r="AJ1699" s="81"/>
      <c r="AK1699" s="86" t="s">
        <v>6240</v>
      </c>
      <c r="AL1699" s="81" t="b">
        <v>0</v>
      </c>
      <c r="AM1699" s="81">
        <v>9</v>
      </c>
      <c r="AN1699" s="86" t="s">
        <v>5410</v>
      </c>
      <c r="AO1699" s="86" t="s">
        <v>6503</v>
      </c>
      <c r="AP1699" s="81" t="b">
        <v>0</v>
      </c>
      <c r="AQ1699" s="86" t="s">
        <v>5410</v>
      </c>
      <c r="AR1699" s="81" t="s">
        <v>179</v>
      </c>
      <c r="AS1699" s="81">
        <v>0</v>
      </c>
      <c r="AT1699" s="81">
        <v>0</v>
      </c>
      <c r="AU1699" s="81"/>
      <c r="AV1699" s="81"/>
      <c r="AW1699" s="81"/>
      <c r="AX1699" s="81"/>
      <c r="AY1699" s="81"/>
      <c r="AZ1699" s="81"/>
      <c r="BA1699" s="81"/>
      <c r="BB1699" s="81"/>
    </row>
    <row r="1700" spans="1:54" x14ac:dyDescent="0.35">
      <c r="A1700" s="66" t="s">
        <v>1208</v>
      </c>
      <c r="B1700" s="66" t="s">
        <v>1509</v>
      </c>
      <c r="C1700" s="67"/>
      <c r="D1700" s="68"/>
      <c r="E1700" s="69"/>
      <c r="F1700" s="70"/>
      <c r="G1700" s="67"/>
      <c r="H1700" s="71"/>
      <c r="I1700" s="72"/>
      <c r="J1700" s="72"/>
      <c r="K1700" s="36"/>
      <c r="L1700" s="79"/>
      <c r="M1700" s="79"/>
      <c r="N1700" s="74"/>
      <c r="O1700" s="81" t="s">
        <v>1535</v>
      </c>
      <c r="P1700" s="83">
        <v>44464.313263888886</v>
      </c>
      <c r="Q1700" s="81" t="s">
        <v>2193</v>
      </c>
      <c r="R1700" s="81"/>
      <c r="S1700" s="81"/>
      <c r="T1700" s="81"/>
      <c r="U1700" s="81"/>
      <c r="V1700" s="84" t="str">
        <f>HYPERLINK("https://pbs.twimg.com/profile_images/1432063690627448835/jHPVXIcO_normal.jpg")</f>
        <v>https://pbs.twimg.com/profile_images/1432063690627448835/jHPVXIcO_normal.jpg</v>
      </c>
      <c r="W1700" s="83">
        <v>44464.313263888886</v>
      </c>
      <c r="X1700" s="89">
        <v>44464</v>
      </c>
      <c r="Y1700" s="86" t="s">
        <v>3926</v>
      </c>
      <c r="Z1700" s="84" t="str">
        <f>HYPERLINK("https://twitter.com/yanguning2/status/1441666556740521985")</f>
        <v>https://twitter.com/yanguning2/status/1441666556740521985</v>
      </c>
      <c r="AA1700" s="81"/>
      <c r="AB1700" s="81"/>
      <c r="AC1700" s="86" t="s">
        <v>5401</v>
      </c>
      <c r="AD1700" s="86" t="s">
        <v>6203</v>
      </c>
      <c r="AE1700" s="81" t="b">
        <v>0</v>
      </c>
      <c r="AF1700" s="81">
        <v>1</v>
      </c>
      <c r="AG1700" s="86" t="s">
        <v>6454</v>
      </c>
      <c r="AH1700" s="81" t="b">
        <v>0</v>
      </c>
      <c r="AI1700" s="81" t="s">
        <v>6478</v>
      </c>
      <c r="AJ1700" s="81"/>
      <c r="AK1700" s="86" t="s">
        <v>6240</v>
      </c>
      <c r="AL1700" s="81" t="b">
        <v>0</v>
      </c>
      <c r="AM1700" s="81">
        <v>0</v>
      </c>
      <c r="AN1700" s="86" t="s">
        <v>6240</v>
      </c>
      <c r="AO1700" s="86" t="s">
        <v>6503</v>
      </c>
      <c r="AP1700" s="81" t="b">
        <v>0</v>
      </c>
      <c r="AQ1700" s="86" t="s">
        <v>6203</v>
      </c>
      <c r="AR1700" s="81" t="s">
        <v>179</v>
      </c>
      <c r="AS1700" s="81">
        <v>0</v>
      </c>
      <c r="AT1700" s="81">
        <v>0</v>
      </c>
      <c r="AU1700" s="81"/>
      <c r="AV1700" s="81"/>
      <c r="AW1700" s="81"/>
      <c r="AX1700" s="81"/>
      <c r="AY1700" s="81"/>
      <c r="AZ1700" s="81"/>
      <c r="BA1700" s="81"/>
      <c r="BB1700" s="81"/>
    </row>
    <row r="1701" spans="1:54" x14ac:dyDescent="0.35">
      <c r="A1701" s="66" t="s">
        <v>1208</v>
      </c>
      <c r="B1701" s="66" t="s">
        <v>1510</v>
      </c>
      <c r="C1701" s="67"/>
      <c r="D1701" s="68"/>
      <c r="E1701" s="69"/>
      <c r="F1701" s="70"/>
      <c r="G1701" s="67"/>
      <c r="H1701" s="71"/>
      <c r="I1701" s="72"/>
      <c r="J1701" s="72"/>
      <c r="K1701" s="36"/>
      <c r="L1701" s="79"/>
      <c r="M1701" s="79"/>
      <c r="N1701" s="74"/>
      <c r="O1701" s="81" t="s">
        <v>1535</v>
      </c>
      <c r="P1701" s="83">
        <v>44464.313263888886</v>
      </c>
      <c r="Q1701" s="81" t="s">
        <v>2193</v>
      </c>
      <c r="R1701" s="81"/>
      <c r="S1701" s="81"/>
      <c r="T1701" s="81"/>
      <c r="U1701" s="81"/>
      <c r="V1701" s="84" t="str">
        <f>HYPERLINK("https://pbs.twimg.com/profile_images/1432063690627448835/jHPVXIcO_normal.jpg")</f>
        <v>https://pbs.twimg.com/profile_images/1432063690627448835/jHPVXIcO_normal.jpg</v>
      </c>
      <c r="W1701" s="83">
        <v>44464.313263888886</v>
      </c>
      <c r="X1701" s="89">
        <v>44464</v>
      </c>
      <c r="Y1701" s="86" t="s">
        <v>3926</v>
      </c>
      <c r="Z1701" s="84" t="str">
        <f>HYPERLINK("https://twitter.com/yanguning2/status/1441666556740521985")</f>
        <v>https://twitter.com/yanguning2/status/1441666556740521985</v>
      </c>
      <c r="AA1701" s="81"/>
      <c r="AB1701" s="81"/>
      <c r="AC1701" s="86" t="s">
        <v>5401</v>
      </c>
      <c r="AD1701" s="86" t="s">
        <v>6203</v>
      </c>
      <c r="AE1701" s="81" t="b">
        <v>0</v>
      </c>
      <c r="AF1701" s="81">
        <v>1</v>
      </c>
      <c r="AG1701" s="86" t="s">
        <v>6454</v>
      </c>
      <c r="AH1701" s="81" t="b">
        <v>0</v>
      </c>
      <c r="AI1701" s="81" t="s">
        <v>6478</v>
      </c>
      <c r="AJ1701" s="81"/>
      <c r="AK1701" s="86" t="s">
        <v>6240</v>
      </c>
      <c r="AL1701" s="81" t="b">
        <v>0</v>
      </c>
      <c r="AM1701" s="81">
        <v>0</v>
      </c>
      <c r="AN1701" s="86" t="s">
        <v>6240</v>
      </c>
      <c r="AO1701" s="86" t="s">
        <v>6503</v>
      </c>
      <c r="AP1701" s="81" t="b">
        <v>0</v>
      </c>
      <c r="AQ1701" s="86" t="s">
        <v>6203</v>
      </c>
      <c r="AR1701" s="81" t="s">
        <v>179</v>
      </c>
      <c r="AS1701" s="81">
        <v>0</v>
      </c>
      <c r="AT1701" s="81">
        <v>0</v>
      </c>
      <c r="AU1701" s="81"/>
      <c r="AV1701" s="81"/>
      <c r="AW1701" s="81"/>
      <c r="AX1701" s="81"/>
      <c r="AY1701" s="81"/>
      <c r="AZ1701" s="81"/>
      <c r="BA1701" s="81"/>
      <c r="BB1701" s="81"/>
    </row>
    <row r="1702" spans="1:54" x14ac:dyDescent="0.35">
      <c r="A1702" s="66" t="s">
        <v>1208</v>
      </c>
      <c r="B1702" s="66" t="s">
        <v>1511</v>
      </c>
      <c r="C1702" s="67"/>
      <c r="D1702" s="68"/>
      <c r="E1702" s="69"/>
      <c r="F1702" s="70"/>
      <c r="G1702" s="67"/>
      <c r="H1702" s="71"/>
      <c r="I1702" s="72"/>
      <c r="J1702" s="72"/>
      <c r="K1702" s="36"/>
      <c r="L1702" s="79"/>
      <c r="M1702" s="79"/>
      <c r="N1702" s="74"/>
      <c r="O1702" s="81" t="s">
        <v>1534</v>
      </c>
      <c r="P1702" s="83">
        <v>44464.313263888886</v>
      </c>
      <c r="Q1702" s="81" t="s">
        <v>2193</v>
      </c>
      <c r="R1702" s="81"/>
      <c r="S1702" s="81"/>
      <c r="T1702" s="81"/>
      <c r="U1702" s="81"/>
      <c r="V1702" s="84" t="str">
        <f>HYPERLINK("https://pbs.twimg.com/profile_images/1432063690627448835/jHPVXIcO_normal.jpg")</f>
        <v>https://pbs.twimg.com/profile_images/1432063690627448835/jHPVXIcO_normal.jpg</v>
      </c>
      <c r="W1702" s="83">
        <v>44464.313263888886</v>
      </c>
      <c r="X1702" s="89">
        <v>44464</v>
      </c>
      <c r="Y1702" s="86" t="s">
        <v>3926</v>
      </c>
      <c r="Z1702" s="84" t="str">
        <f>HYPERLINK("https://twitter.com/yanguning2/status/1441666556740521985")</f>
        <v>https://twitter.com/yanguning2/status/1441666556740521985</v>
      </c>
      <c r="AA1702" s="81"/>
      <c r="AB1702" s="81"/>
      <c r="AC1702" s="86" t="s">
        <v>5401</v>
      </c>
      <c r="AD1702" s="86" t="s">
        <v>6203</v>
      </c>
      <c r="AE1702" s="81" t="b">
        <v>0</v>
      </c>
      <c r="AF1702" s="81">
        <v>1</v>
      </c>
      <c r="AG1702" s="86" t="s">
        <v>6454</v>
      </c>
      <c r="AH1702" s="81" t="b">
        <v>0</v>
      </c>
      <c r="AI1702" s="81" t="s">
        <v>6478</v>
      </c>
      <c r="AJ1702" s="81"/>
      <c r="AK1702" s="86" t="s">
        <v>6240</v>
      </c>
      <c r="AL1702" s="81" t="b">
        <v>0</v>
      </c>
      <c r="AM1702" s="81">
        <v>0</v>
      </c>
      <c r="AN1702" s="86" t="s">
        <v>6240</v>
      </c>
      <c r="AO1702" s="86" t="s">
        <v>6503</v>
      </c>
      <c r="AP1702" s="81" t="b">
        <v>0</v>
      </c>
      <c r="AQ1702" s="86" t="s">
        <v>6203</v>
      </c>
      <c r="AR1702" s="81" t="s">
        <v>179</v>
      </c>
      <c r="AS1702" s="81">
        <v>0</v>
      </c>
      <c r="AT1702" s="81">
        <v>0</v>
      </c>
      <c r="AU1702" s="81"/>
      <c r="AV1702" s="81"/>
      <c r="AW1702" s="81"/>
      <c r="AX1702" s="81"/>
      <c r="AY1702" s="81"/>
      <c r="AZ1702" s="81"/>
      <c r="BA1702" s="81"/>
      <c r="BB1702" s="81"/>
    </row>
    <row r="1703" spans="1:54" x14ac:dyDescent="0.35">
      <c r="A1703" s="66" t="s">
        <v>1208</v>
      </c>
      <c r="B1703" s="66" t="s">
        <v>1215</v>
      </c>
      <c r="C1703" s="67"/>
      <c r="D1703" s="68"/>
      <c r="E1703" s="69"/>
      <c r="F1703" s="70"/>
      <c r="G1703" s="67"/>
      <c r="H1703" s="71"/>
      <c r="I1703" s="72"/>
      <c r="J1703" s="72"/>
      <c r="K1703" s="36"/>
      <c r="L1703" s="79"/>
      <c r="M1703" s="79"/>
      <c r="N1703" s="74"/>
      <c r="O1703" s="81" t="s">
        <v>1535</v>
      </c>
      <c r="P1703" s="83">
        <v>44464.313263888886</v>
      </c>
      <c r="Q1703" s="81" t="s">
        <v>2193</v>
      </c>
      <c r="R1703" s="81"/>
      <c r="S1703" s="81"/>
      <c r="T1703" s="81"/>
      <c r="U1703" s="81"/>
      <c r="V1703" s="84" t="str">
        <f>HYPERLINK("https://pbs.twimg.com/profile_images/1432063690627448835/jHPVXIcO_normal.jpg")</f>
        <v>https://pbs.twimg.com/profile_images/1432063690627448835/jHPVXIcO_normal.jpg</v>
      </c>
      <c r="W1703" s="83">
        <v>44464.313263888886</v>
      </c>
      <c r="X1703" s="89">
        <v>44464</v>
      </c>
      <c r="Y1703" s="86" t="s">
        <v>3926</v>
      </c>
      <c r="Z1703" s="84" t="str">
        <f>HYPERLINK("https://twitter.com/yanguning2/status/1441666556740521985")</f>
        <v>https://twitter.com/yanguning2/status/1441666556740521985</v>
      </c>
      <c r="AA1703" s="81"/>
      <c r="AB1703" s="81"/>
      <c r="AC1703" s="86" t="s">
        <v>5401</v>
      </c>
      <c r="AD1703" s="86" t="s">
        <v>6203</v>
      </c>
      <c r="AE1703" s="81" t="b">
        <v>0</v>
      </c>
      <c r="AF1703" s="81">
        <v>1</v>
      </c>
      <c r="AG1703" s="86" t="s">
        <v>6454</v>
      </c>
      <c r="AH1703" s="81" t="b">
        <v>0</v>
      </c>
      <c r="AI1703" s="81" t="s">
        <v>6478</v>
      </c>
      <c r="AJ1703" s="81"/>
      <c r="AK1703" s="86" t="s">
        <v>6240</v>
      </c>
      <c r="AL1703" s="81" t="b">
        <v>0</v>
      </c>
      <c r="AM1703" s="81">
        <v>0</v>
      </c>
      <c r="AN1703" s="86" t="s">
        <v>6240</v>
      </c>
      <c r="AO1703" s="86" t="s">
        <v>6503</v>
      </c>
      <c r="AP1703" s="81" t="b">
        <v>0</v>
      </c>
      <c r="AQ1703" s="86" t="s">
        <v>6203</v>
      </c>
      <c r="AR1703" s="81" t="s">
        <v>179</v>
      </c>
      <c r="AS1703" s="81">
        <v>0</v>
      </c>
      <c r="AT1703" s="81">
        <v>0</v>
      </c>
      <c r="AU1703" s="81"/>
      <c r="AV1703" s="81"/>
      <c r="AW1703" s="81"/>
      <c r="AX1703" s="81"/>
      <c r="AY1703" s="81"/>
      <c r="AZ1703" s="81"/>
      <c r="BA1703" s="81"/>
      <c r="BB1703" s="81"/>
    </row>
    <row r="1704" spans="1:54" x14ac:dyDescent="0.35">
      <c r="A1704" s="66" t="s">
        <v>1208</v>
      </c>
      <c r="B1704" s="66" t="s">
        <v>1215</v>
      </c>
      <c r="C1704" s="67"/>
      <c r="D1704" s="68"/>
      <c r="E1704" s="69"/>
      <c r="F1704" s="70"/>
      <c r="G1704" s="67"/>
      <c r="H1704" s="71"/>
      <c r="I1704" s="72"/>
      <c r="J1704" s="72"/>
      <c r="K1704" s="36"/>
      <c r="L1704" s="79"/>
      <c r="M1704" s="79"/>
      <c r="N1704" s="74"/>
      <c r="O1704" s="81" t="s">
        <v>1532</v>
      </c>
      <c r="P1704" s="83">
        <v>44466.715405092589</v>
      </c>
      <c r="Q1704" s="81" t="s">
        <v>2154</v>
      </c>
      <c r="R1704" s="81"/>
      <c r="S1704" s="81"/>
      <c r="T1704" s="81"/>
      <c r="U1704" s="84" t="str">
        <f>HYPERLINK("https://pbs.twimg.com/media/FASHjEnUcAMSLOM.jpg")</f>
        <v>https://pbs.twimg.com/media/FASHjEnUcAMSLOM.jpg</v>
      </c>
      <c r="V1704" s="84" t="str">
        <f>HYPERLINK("https://pbs.twimg.com/media/FASHjEnUcAMSLOM.jpg")</f>
        <v>https://pbs.twimg.com/media/FASHjEnUcAMSLOM.jpg</v>
      </c>
      <c r="W1704" s="83">
        <v>44466.715405092589</v>
      </c>
      <c r="X1704" s="89">
        <v>44466</v>
      </c>
      <c r="Y1704" s="86" t="s">
        <v>3927</v>
      </c>
      <c r="Z1704" s="84" t="str">
        <f>HYPERLINK("https://twitter.com/yanguning2/status/1442537061924278273")</f>
        <v>https://twitter.com/yanguning2/status/1442537061924278273</v>
      </c>
      <c r="AA1704" s="81"/>
      <c r="AB1704" s="81"/>
      <c r="AC1704" s="86" t="s">
        <v>5402</v>
      </c>
      <c r="AD1704" s="81"/>
      <c r="AE1704" s="81" t="b">
        <v>0</v>
      </c>
      <c r="AF1704" s="81">
        <v>0</v>
      </c>
      <c r="AG1704" s="86" t="s">
        <v>6240</v>
      </c>
      <c r="AH1704" s="81" t="b">
        <v>0</v>
      </c>
      <c r="AI1704" s="81" t="s">
        <v>6478</v>
      </c>
      <c r="AJ1704" s="81"/>
      <c r="AK1704" s="86" t="s">
        <v>6240</v>
      </c>
      <c r="AL1704" s="81" t="b">
        <v>0</v>
      </c>
      <c r="AM1704" s="81">
        <v>9</v>
      </c>
      <c r="AN1704" s="86" t="s">
        <v>5410</v>
      </c>
      <c r="AO1704" s="86" t="s">
        <v>6503</v>
      </c>
      <c r="AP1704" s="81" t="b">
        <v>0</v>
      </c>
      <c r="AQ1704" s="86" t="s">
        <v>5410</v>
      </c>
      <c r="AR1704" s="81" t="s">
        <v>179</v>
      </c>
      <c r="AS1704" s="81">
        <v>0</v>
      </c>
      <c r="AT1704" s="81">
        <v>0</v>
      </c>
      <c r="AU1704" s="81"/>
      <c r="AV1704" s="81"/>
      <c r="AW1704" s="81"/>
      <c r="AX1704" s="81"/>
      <c r="AY1704" s="81"/>
      <c r="AZ1704" s="81"/>
      <c r="BA1704" s="81"/>
      <c r="BB1704" s="81"/>
    </row>
    <row r="1705" spans="1:54" x14ac:dyDescent="0.35">
      <c r="A1705" s="66" t="s">
        <v>1209</v>
      </c>
      <c r="B1705" s="66" t="s">
        <v>1209</v>
      </c>
      <c r="C1705" s="67"/>
      <c r="D1705" s="68"/>
      <c r="E1705" s="69"/>
      <c r="F1705" s="70"/>
      <c r="G1705" s="67"/>
      <c r="H1705" s="71"/>
      <c r="I1705" s="72"/>
      <c r="J1705" s="72"/>
      <c r="K1705" s="36"/>
      <c r="L1705" s="79"/>
      <c r="M1705" s="79"/>
      <c r="N1705" s="74"/>
      <c r="O1705" s="81" t="s">
        <v>179</v>
      </c>
      <c r="P1705" s="83">
        <v>44466.724490740744</v>
      </c>
      <c r="Q1705" s="81" t="s">
        <v>2194</v>
      </c>
      <c r="R1705" s="81"/>
      <c r="S1705" s="81"/>
      <c r="T1705" s="81"/>
      <c r="U1705" s="84" t="str">
        <f>HYPERLINK("https://pbs.twimg.com/media/FATutVKXEAMt9m8.jpg")</f>
        <v>https://pbs.twimg.com/media/FATutVKXEAMt9m8.jpg</v>
      </c>
      <c r="V1705" s="84" t="str">
        <f>HYPERLINK("https://pbs.twimg.com/media/FATutVKXEAMt9m8.jpg")</f>
        <v>https://pbs.twimg.com/media/FATutVKXEAMt9m8.jpg</v>
      </c>
      <c r="W1705" s="83">
        <v>44466.724490740744</v>
      </c>
      <c r="X1705" s="89">
        <v>44466</v>
      </c>
      <c r="Y1705" s="86" t="s">
        <v>3928</v>
      </c>
      <c r="Z1705" s="84" t="str">
        <f>HYPERLINK("https://twitter.com/danicdanic/status/1442540353815396356")</f>
        <v>https://twitter.com/danicdanic/status/1442540353815396356</v>
      </c>
      <c r="AA1705" s="81"/>
      <c r="AB1705" s="81"/>
      <c r="AC1705" s="86" t="s">
        <v>5403</v>
      </c>
      <c r="AD1705" s="81"/>
      <c r="AE1705" s="81" t="b">
        <v>0</v>
      </c>
      <c r="AF1705" s="81">
        <v>0</v>
      </c>
      <c r="AG1705" s="86" t="s">
        <v>6240</v>
      </c>
      <c r="AH1705" s="81" t="b">
        <v>0</v>
      </c>
      <c r="AI1705" s="81" t="s">
        <v>6478</v>
      </c>
      <c r="AJ1705" s="81"/>
      <c r="AK1705" s="86" t="s">
        <v>6240</v>
      </c>
      <c r="AL1705" s="81" t="b">
        <v>0</v>
      </c>
      <c r="AM1705" s="81">
        <v>0</v>
      </c>
      <c r="AN1705" s="86" t="s">
        <v>6240</v>
      </c>
      <c r="AO1705" s="86" t="s">
        <v>6507</v>
      </c>
      <c r="AP1705" s="81" t="b">
        <v>0</v>
      </c>
      <c r="AQ1705" s="86" t="s">
        <v>5403</v>
      </c>
      <c r="AR1705" s="81" t="s">
        <v>179</v>
      </c>
      <c r="AS1705" s="81">
        <v>0</v>
      </c>
      <c r="AT1705" s="81">
        <v>0</v>
      </c>
      <c r="AU1705" s="81"/>
      <c r="AV1705" s="81"/>
      <c r="AW1705" s="81"/>
      <c r="AX1705" s="81"/>
      <c r="AY1705" s="81"/>
      <c r="AZ1705" s="81"/>
      <c r="BA1705" s="81"/>
      <c r="BB1705" s="81"/>
    </row>
    <row r="1706" spans="1:54" x14ac:dyDescent="0.35">
      <c r="A1706" s="66" t="s">
        <v>1210</v>
      </c>
      <c r="B1706" s="66" t="s">
        <v>1410</v>
      </c>
      <c r="C1706" s="67"/>
      <c r="D1706" s="68"/>
      <c r="E1706" s="69"/>
      <c r="F1706" s="70"/>
      <c r="G1706" s="67"/>
      <c r="H1706" s="71"/>
      <c r="I1706" s="72"/>
      <c r="J1706" s="72"/>
      <c r="K1706" s="36"/>
      <c r="L1706" s="79"/>
      <c r="M1706" s="79"/>
      <c r="N1706" s="74"/>
      <c r="O1706" s="81" t="s">
        <v>1533</v>
      </c>
      <c r="P1706" s="83">
        <v>44461.188240740739</v>
      </c>
      <c r="Q1706" s="81" t="s">
        <v>2195</v>
      </c>
      <c r="R1706" s="81"/>
      <c r="S1706" s="81"/>
      <c r="T1706" s="81"/>
      <c r="U1706" s="84" t="str">
        <f>HYPERLINK("https://pbs.twimg.com/media/E_3Nn1rUcAgl6MY.jpg")</f>
        <v>https://pbs.twimg.com/media/E_3Nn1rUcAgl6MY.jpg</v>
      </c>
      <c r="V1706" s="84" t="str">
        <f>HYPERLINK("https://pbs.twimg.com/media/E_3Nn1rUcAgl6MY.jpg")</f>
        <v>https://pbs.twimg.com/media/E_3Nn1rUcAgl6MY.jpg</v>
      </c>
      <c r="W1706" s="83">
        <v>44461.188240740739</v>
      </c>
      <c r="X1706" s="89">
        <v>44461</v>
      </c>
      <c r="Y1706" s="86" t="s">
        <v>3929</v>
      </c>
      <c r="Z1706" s="84" t="str">
        <f>HYPERLINK("https://twitter.com/btsmarketmy/status/1440534087328931849")</f>
        <v>https://twitter.com/btsmarketmy/status/1440534087328931849</v>
      </c>
      <c r="AA1706" s="81"/>
      <c r="AB1706" s="81"/>
      <c r="AC1706" s="86" t="s">
        <v>5404</v>
      </c>
      <c r="AD1706" s="81"/>
      <c r="AE1706" s="81" t="b">
        <v>0</v>
      </c>
      <c r="AF1706" s="81">
        <v>0</v>
      </c>
      <c r="AG1706" s="86" t="s">
        <v>6240</v>
      </c>
      <c r="AH1706" s="81" t="b">
        <v>0</v>
      </c>
      <c r="AI1706" s="81" t="s">
        <v>6479</v>
      </c>
      <c r="AJ1706" s="81"/>
      <c r="AK1706" s="86" t="s">
        <v>6240</v>
      </c>
      <c r="AL1706" s="81" t="b">
        <v>0</v>
      </c>
      <c r="AM1706" s="81">
        <v>2</v>
      </c>
      <c r="AN1706" s="86" t="s">
        <v>5405</v>
      </c>
      <c r="AO1706" s="86" t="s">
        <v>6505</v>
      </c>
      <c r="AP1706" s="81" t="b">
        <v>0</v>
      </c>
      <c r="AQ1706" s="86" t="s">
        <v>5405</v>
      </c>
      <c r="AR1706" s="81" t="s">
        <v>179</v>
      </c>
      <c r="AS1706" s="81">
        <v>0</v>
      </c>
      <c r="AT1706" s="81">
        <v>0</v>
      </c>
      <c r="AU1706" s="81"/>
      <c r="AV1706" s="81"/>
      <c r="AW1706" s="81"/>
      <c r="AX1706" s="81"/>
      <c r="AY1706" s="81"/>
      <c r="AZ1706" s="81"/>
      <c r="BA1706" s="81"/>
      <c r="BB1706" s="81"/>
    </row>
    <row r="1707" spans="1:54" x14ac:dyDescent="0.35">
      <c r="A1707" s="66" t="s">
        <v>1211</v>
      </c>
      <c r="B1707" s="66" t="s">
        <v>1410</v>
      </c>
      <c r="C1707" s="67"/>
      <c r="D1707" s="68"/>
      <c r="E1707" s="69"/>
      <c r="F1707" s="70"/>
      <c r="G1707" s="67"/>
      <c r="H1707" s="71"/>
      <c r="I1707" s="72"/>
      <c r="J1707" s="72"/>
      <c r="K1707" s="36"/>
      <c r="L1707" s="79"/>
      <c r="M1707" s="79"/>
      <c r="N1707" s="74"/>
      <c r="O1707" s="81" t="s">
        <v>1535</v>
      </c>
      <c r="P1707" s="83">
        <v>44461.186782407407</v>
      </c>
      <c r="Q1707" s="81" t="s">
        <v>2195</v>
      </c>
      <c r="R1707" s="81"/>
      <c r="S1707" s="81"/>
      <c r="T1707" s="81"/>
      <c r="U1707" s="84" t="str">
        <f>HYPERLINK("https://pbs.twimg.com/media/E_3Nn1rUcAgl6MY.jpg")</f>
        <v>https://pbs.twimg.com/media/E_3Nn1rUcAgl6MY.jpg</v>
      </c>
      <c r="V1707" s="84" t="str">
        <f>HYPERLINK("https://pbs.twimg.com/media/E_3Nn1rUcAgl6MY.jpg")</f>
        <v>https://pbs.twimg.com/media/E_3Nn1rUcAgl6MY.jpg</v>
      </c>
      <c r="W1707" s="83">
        <v>44461.186782407407</v>
      </c>
      <c r="X1707" s="89">
        <v>44461</v>
      </c>
      <c r="Y1707" s="86" t="s">
        <v>3930</v>
      </c>
      <c r="Z1707" s="84" t="str">
        <f>HYPERLINK("https://twitter.com/blinkuelilies/status/1440533555721867265")</f>
        <v>https://twitter.com/blinkuelilies/status/1440533555721867265</v>
      </c>
      <c r="AA1707" s="81"/>
      <c r="AB1707" s="81"/>
      <c r="AC1707" s="86" t="s">
        <v>5405</v>
      </c>
      <c r="AD1707" s="81"/>
      <c r="AE1707" s="81" t="b">
        <v>0</v>
      </c>
      <c r="AF1707" s="81">
        <v>2</v>
      </c>
      <c r="AG1707" s="86" t="s">
        <v>6240</v>
      </c>
      <c r="AH1707" s="81" t="b">
        <v>0</v>
      </c>
      <c r="AI1707" s="81" t="s">
        <v>6479</v>
      </c>
      <c r="AJ1707" s="81"/>
      <c r="AK1707" s="86" t="s">
        <v>6240</v>
      </c>
      <c r="AL1707" s="81" t="b">
        <v>0</v>
      </c>
      <c r="AM1707" s="81">
        <v>2</v>
      </c>
      <c r="AN1707" s="86" t="s">
        <v>6240</v>
      </c>
      <c r="AO1707" s="86" t="s">
        <v>6503</v>
      </c>
      <c r="AP1707" s="81" t="b">
        <v>0</v>
      </c>
      <c r="AQ1707" s="86" t="s">
        <v>5405</v>
      </c>
      <c r="AR1707" s="81" t="s">
        <v>179</v>
      </c>
      <c r="AS1707" s="81">
        <v>0</v>
      </c>
      <c r="AT1707" s="81">
        <v>0</v>
      </c>
      <c r="AU1707" s="81"/>
      <c r="AV1707" s="81"/>
      <c r="AW1707" s="81"/>
      <c r="AX1707" s="81"/>
      <c r="AY1707" s="81"/>
      <c r="AZ1707" s="81"/>
      <c r="BA1707" s="81"/>
      <c r="BB1707" s="81"/>
    </row>
    <row r="1708" spans="1:54" x14ac:dyDescent="0.35">
      <c r="A1708" s="66" t="s">
        <v>1211</v>
      </c>
      <c r="B1708" s="66" t="s">
        <v>1410</v>
      </c>
      <c r="C1708" s="67"/>
      <c r="D1708" s="68"/>
      <c r="E1708" s="69"/>
      <c r="F1708" s="70"/>
      <c r="G1708" s="67"/>
      <c r="H1708" s="71"/>
      <c r="I1708" s="72"/>
      <c r="J1708" s="72"/>
      <c r="K1708" s="36"/>
      <c r="L1708" s="79"/>
      <c r="M1708" s="79"/>
      <c r="N1708" s="74"/>
      <c r="O1708" s="81" t="s">
        <v>1533</v>
      </c>
      <c r="P1708" s="83">
        <v>44466.799479166664</v>
      </c>
      <c r="Q1708" s="81" t="s">
        <v>2195</v>
      </c>
      <c r="R1708" s="81"/>
      <c r="S1708" s="81"/>
      <c r="T1708" s="81"/>
      <c r="U1708" s="84" t="str">
        <f>HYPERLINK("https://pbs.twimg.com/media/E_3Nn1rUcAgl6MY.jpg")</f>
        <v>https://pbs.twimg.com/media/E_3Nn1rUcAgl6MY.jpg</v>
      </c>
      <c r="V1708" s="84" t="str">
        <f>HYPERLINK("https://pbs.twimg.com/media/E_3Nn1rUcAgl6MY.jpg")</f>
        <v>https://pbs.twimg.com/media/E_3Nn1rUcAgl6MY.jpg</v>
      </c>
      <c r="W1708" s="83">
        <v>44466.799479166664</v>
      </c>
      <c r="X1708" s="89">
        <v>44466</v>
      </c>
      <c r="Y1708" s="86" t="s">
        <v>3931</v>
      </c>
      <c r="Z1708" s="84" t="str">
        <f>HYPERLINK("https://twitter.com/blinkuelilies/status/1442567528660697089")</f>
        <v>https://twitter.com/blinkuelilies/status/1442567528660697089</v>
      </c>
      <c r="AA1708" s="81"/>
      <c r="AB1708" s="81"/>
      <c r="AC1708" s="86" t="s">
        <v>5406</v>
      </c>
      <c r="AD1708" s="81"/>
      <c r="AE1708" s="81" t="b">
        <v>0</v>
      </c>
      <c r="AF1708" s="81">
        <v>0</v>
      </c>
      <c r="AG1708" s="86" t="s">
        <v>6240</v>
      </c>
      <c r="AH1708" s="81" t="b">
        <v>0</v>
      </c>
      <c r="AI1708" s="81" t="s">
        <v>6479</v>
      </c>
      <c r="AJ1708" s="81"/>
      <c r="AK1708" s="86" t="s">
        <v>6240</v>
      </c>
      <c r="AL1708" s="81" t="b">
        <v>0</v>
      </c>
      <c r="AM1708" s="81">
        <v>2</v>
      </c>
      <c r="AN1708" s="86" t="s">
        <v>5405</v>
      </c>
      <c r="AO1708" s="86" t="s">
        <v>6503</v>
      </c>
      <c r="AP1708" s="81" t="b">
        <v>0</v>
      </c>
      <c r="AQ1708" s="86" t="s">
        <v>5405</v>
      </c>
      <c r="AR1708" s="81" t="s">
        <v>179</v>
      </c>
      <c r="AS1708" s="81">
        <v>0</v>
      </c>
      <c r="AT1708" s="81">
        <v>0</v>
      </c>
      <c r="AU1708" s="81"/>
      <c r="AV1708" s="81"/>
      <c r="AW1708" s="81"/>
      <c r="AX1708" s="81"/>
      <c r="AY1708" s="81"/>
      <c r="AZ1708" s="81"/>
      <c r="BA1708" s="81"/>
      <c r="BB1708" s="81"/>
    </row>
    <row r="1709" spans="1:54" x14ac:dyDescent="0.35">
      <c r="A1709" s="66" t="s">
        <v>1210</v>
      </c>
      <c r="B1709" s="66" t="s">
        <v>1413</v>
      </c>
      <c r="C1709" s="67"/>
      <c r="D1709" s="68"/>
      <c r="E1709" s="69"/>
      <c r="F1709" s="70"/>
      <c r="G1709" s="67"/>
      <c r="H1709" s="71"/>
      <c r="I1709" s="72"/>
      <c r="J1709" s="72"/>
      <c r="K1709" s="36"/>
      <c r="L1709" s="79"/>
      <c r="M1709" s="79"/>
      <c r="N1709" s="74"/>
      <c r="O1709" s="81" t="s">
        <v>1533</v>
      </c>
      <c r="P1709" s="83">
        <v>44461.188240740739</v>
      </c>
      <c r="Q1709" s="81" t="s">
        <v>2195</v>
      </c>
      <c r="R1709" s="81"/>
      <c r="S1709" s="81"/>
      <c r="T1709" s="81"/>
      <c r="U1709" s="84" t="str">
        <f>HYPERLINK("https://pbs.twimg.com/media/E_3Nn1rUcAgl6MY.jpg")</f>
        <v>https://pbs.twimg.com/media/E_3Nn1rUcAgl6MY.jpg</v>
      </c>
      <c r="V1709" s="84" t="str">
        <f>HYPERLINK("https://pbs.twimg.com/media/E_3Nn1rUcAgl6MY.jpg")</f>
        <v>https://pbs.twimg.com/media/E_3Nn1rUcAgl6MY.jpg</v>
      </c>
      <c r="W1709" s="83">
        <v>44461.188240740739</v>
      </c>
      <c r="X1709" s="89">
        <v>44461</v>
      </c>
      <c r="Y1709" s="86" t="s">
        <v>3929</v>
      </c>
      <c r="Z1709" s="84" t="str">
        <f>HYPERLINK("https://twitter.com/btsmarketmy/status/1440534087328931849")</f>
        <v>https://twitter.com/btsmarketmy/status/1440534087328931849</v>
      </c>
      <c r="AA1709" s="81"/>
      <c r="AB1709" s="81"/>
      <c r="AC1709" s="86" t="s">
        <v>5404</v>
      </c>
      <c r="AD1709" s="81"/>
      <c r="AE1709" s="81" t="b">
        <v>0</v>
      </c>
      <c r="AF1709" s="81">
        <v>0</v>
      </c>
      <c r="AG1709" s="86" t="s">
        <v>6240</v>
      </c>
      <c r="AH1709" s="81" t="b">
        <v>0</v>
      </c>
      <c r="AI1709" s="81" t="s">
        <v>6479</v>
      </c>
      <c r="AJ1709" s="81"/>
      <c r="AK1709" s="86" t="s">
        <v>6240</v>
      </c>
      <c r="AL1709" s="81" t="b">
        <v>0</v>
      </c>
      <c r="AM1709" s="81">
        <v>2</v>
      </c>
      <c r="AN1709" s="86" t="s">
        <v>5405</v>
      </c>
      <c r="AO1709" s="86" t="s">
        <v>6505</v>
      </c>
      <c r="AP1709" s="81" t="b">
        <v>0</v>
      </c>
      <c r="AQ1709" s="86" t="s">
        <v>5405</v>
      </c>
      <c r="AR1709" s="81" t="s">
        <v>179</v>
      </c>
      <c r="AS1709" s="81">
        <v>0</v>
      </c>
      <c r="AT1709" s="81">
        <v>0</v>
      </c>
      <c r="AU1709" s="81"/>
      <c r="AV1709" s="81"/>
      <c r="AW1709" s="81"/>
      <c r="AX1709" s="81"/>
      <c r="AY1709" s="81"/>
      <c r="AZ1709" s="81"/>
      <c r="BA1709" s="81"/>
      <c r="BB1709" s="81"/>
    </row>
    <row r="1710" spans="1:54" x14ac:dyDescent="0.35">
      <c r="A1710" s="66" t="s">
        <v>1211</v>
      </c>
      <c r="B1710" s="66" t="s">
        <v>1413</v>
      </c>
      <c r="C1710" s="67"/>
      <c r="D1710" s="68"/>
      <c r="E1710" s="69"/>
      <c r="F1710" s="70"/>
      <c r="G1710" s="67"/>
      <c r="H1710" s="71"/>
      <c r="I1710" s="72"/>
      <c r="J1710" s="72"/>
      <c r="K1710" s="36"/>
      <c r="L1710" s="79"/>
      <c r="M1710" s="79"/>
      <c r="N1710" s="74"/>
      <c r="O1710" s="81" t="s">
        <v>1535</v>
      </c>
      <c r="P1710" s="83">
        <v>44461.186782407407</v>
      </c>
      <c r="Q1710" s="81" t="s">
        <v>2195</v>
      </c>
      <c r="R1710" s="81"/>
      <c r="S1710" s="81"/>
      <c r="T1710" s="81"/>
      <c r="U1710" s="84" t="str">
        <f>HYPERLINK("https://pbs.twimg.com/media/E_3Nn1rUcAgl6MY.jpg")</f>
        <v>https://pbs.twimg.com/media/E_3Nn1rUcAgl6MY.jpg</v>
      </c>
      <c r="V1710" s="84" t="str">
        <f>HYPERLINK("https://pbs.twimg.com/media/E_3Nn1rUcAgl6MY.jpg")</f>
        <v>https://pbs.twimg.com/media/E_3Nn1rUcAgl6MY.jpg</v>
      </c>
      <c r="W1710" s="83">
        <v>44461.186782407407</v>
      </c>
      <c r="X1710" s="89">
        <v>44461</v>
      </c>
      <c r="Y1710" s="86" t="s">
        <v>3930</v>
      </c>
      <c r="Z1710" s="84" t="str">
        <f>HYPERLINK("https://twitter.com/blinkuelilies/status/1440533555721867265")</f>
        <v>https://twitter.com/blinkuelilies/status/1440533555721867265</v>
      </c>
      <c r="AA1710" s="81"/>
      <c r="AB1710" s="81"/>
      <c r="AC1710" s="86" t="s">
        <v>5405</v>
      </c>
      <c r="AD1710" s="81"/>
      <c r="AE1710" s="81" t="b">
        <v>0</v>
      </c>
      <c r="AF1710" s="81">
        <v>2</v>
      </c>
      <c r="AG1710" s="86" t="s">
        <v>6240</v>
      </c>
      <c r="AH1710" s="81" t="b">
        <v>0</v>
      </c>
      <c r="AI1710" s="81" t="s">
        <v>6479</v>
      </c>
      <c r="AJ1710" s="81"/>
      <c r="AK1710" s="86" t="s">
        <v>6240</v>
      </c>
      <c r="AL1710" s="81" t="b">
        <v>0</v>
      </c>
      <c r="AM1710" s="81">
        <v>2</v>
      </c>
      <c r="AN1710" s="86" t="s">
        <v>6240</v>
      </c>
      <c r="AO1710" s="86" t="s">
        <v>6503</v>
      </c>
      <c r="AP1710" s="81" t="b">
        <v>0</v>
      </c>
      <c r="AQ1710" s="86" t="s">
        <v>5405</v>
      </c>
      <c r="AR1710" s="81" t="s">
        <v>179</v>
      </c>
      <c r="AS1710" s="81">
        <v>0</v>
      </c>
      <c r="AT1710" s="81">
        <v>0</v>
      </c>
      <c r="AU1710" s="81"/>
      <c r="AV1710" s="81"/>
      <c r="AW1710" s="81"/>
      <c r="AX1710" s="81"/>
      <c r="AY1710" s="81"/>
      <c r="AZ1710" s="81"/>
      <c r="BA1710" s="81"/>
      <c r="BB1710" s="81"/>
    </row>
    <row r="1711" spans="1:54" x14ac:dyDescent="0.35">
      <c r="A1711" s="66" t="s">
        <v>1211</v>
      </c>
      <c r="B1711" s="66" t="s">
        <v>1413</v>
      </c>
      <c r="C1711" s="67"/>
      <c r="D1711" s="68"/>
      <c r="E1711" s="69"/>
      <c r="F1711" s="70"/>
      <c r="G1711" s="67"/>
      <c r="H1711" s="71"/>
      <c r="I1711" s="72"/>
      <c r="J1711" s="72"/>
      <c r="K1711" s="36"/>
      <c r="L1711" s="79"/>
      <c r="M1711" s="79"/>
      <c r="N1711" s="74"/>
      <c r="O1711" s="81" t="s">
        <v>1533</v>
      </c>
      <c r="P1711" s="83">
        <v>44466.799479166664</v>
      </c>
      <c r="Q1711" s="81" t="s">
        <v>2195</v>
      </c>
      <c r="R1711" s="81"/>
      <c r="S1711" s="81"/>
      <c r="T1711" s="81"/>
      <c r="U1711" s="84" t="str">
        <f>HYPERLINK("https://pbs.twimg.com/media/E_3Nn1rUcAgl6MY.jpg")</f>
        <v>https://pbs.twimg.com/media/E_3Nn1rUcAgl6MY.jpg</v>
      </c>
      <c r="V1711" s="84" t="str">
        <f>HYPERLINK("https://pbs.twimg.com/media/E_3Nn1rUcAgl6MY.jpg")</f>
        <v>https://pbs.twimg.com/media/E_3Nn1rUcAgl6MY.jpg</v>
      </c>
      <c r="W1711" s="83">
        <v>44466.799479166664</v>
      </c>
      <c r="X1711" s="89">
        <v>44466</v>
      </c>
      <c r="Y1711" s="86" t="s">
        <v>3931</v>
      </c>
      <c r="Z1711" s="84" t="str">
        <f>HYPERLINK("https://twitter.com/blinkuelilies/status/1442567528660697089")</f>
        <v>https://twitter.com/blinkuelilies/status/1442567528660697089</v>
      </c>
      <c r="AA1711" s="81"/>
      <c r="AB1711" s="81"/>
      <c r="AC1711" s="86" t="s">
        <v>5406</v>
      </c>
      <c r="AD1711" s="81"/>
      <c r="AE1711" s="81" t="b">
        <v>0</v>
      </c>
      <c r="AF1711" s="81">
        <v>0</v>
      </c>
      <c r="AG1711" s="86" t="s">
        <v>6240</v>
      </c>
      <c r="AH1711" s="81" t="b">
        <v>0</v>
      </c>
      <c r="AI1711" s="81" t="s">
        <v>6479</v>
      </c>
      <c r="AJ1711" s="81"/>
      <c r="AK1711" s="86" t="s">
        <v>6240</v>
      </c>
      <c r="AL1711" s="81" t="b">
        <v>0</v>
      </c>
      <c r="AM1711" s="81">
        <v>2</v>
      </c>
      <c r="AN1711" s="86" t="s">
        <v>5405</v>
      </c>
      <c r="AO1711" s="86" t="s">
        <v>6503</v>
      </c>
      <c r="AP1711" s="81" t="b">
        <v>0</v>
      </c>
      <c r="AQ1711" s="86" t="s">
        <v>5405</v>
      </c>
      <c r="AR1711" s="81" t="s">
        <v>179</v>
      </c>
      <c r="AS1711" s="81">
        <v>0</v>
      </c>
      <c r="AT1711" s="81">
        <v>0</v>
      </c>
      <c r="AU1711" s="81"/>
      <c r="AV1711" s="81"/>
      <c r="AW1711" s="81"/>
      <c r="AX1711" s="81"/>
      <c r="AY1711" s="81"/>
      <c r="AZ1711" s="81"/>
      <c r="BA1711" s="81"/>
      <c r="BB1711" s="81"/>
    </row>
    <row r="1712" spans="1:54" x14ac:dyDescent="0.35">
      <c r="A1712" s="66" t="s">
        <v>1210</v>
      </c>
      <c r="B1712" s="66" t="s">
        <v>1211</v>
      </c>
      <c r="C1712" s="67"/>
      <c r="D1712" s="68"/>
      <c r="E1712" s="69"/>
      <c r="F1712" s="70"/>
      <c r="G1712" s="67"/>
      <c r="H1712" s="71"/>
      <c r="I1712" s="72"/>
      <c r="J1712" s="72"/>
      <c r="K1712" s="36"/>
      <c r="L1712" s="79"/>
      <c r="M1712" s="79"/>
      <c r="N1712" s="74"/>
      <c r="O1712" s="81" t="s">
        <v>1532</v>
      </c>
      <c r="P1712" s="83">
        <v>44461.188240740739</v>
      </c>
      <c r="Q1712" s="81" t="s">
        <v>2195</v>
      </c>
      <c r="R1712" s="81"/>
      <c r="S1712" s="81"/>
      <c r="T1712" s="81"/>
      <c r="U1712" s="84" t="str">
        <f>HYPERLINK("https://pbs.twimg.com/media/E_3Nn1rUcAgl6MY.jpg")</f>
        <v>https://pbs.twimg.com/media/E_3Nn1rUcAgl6MY.jpg</v>
      </c>
      <c r="V1712" s="84" t="str">
        <f>HYPERLINK("https://pbs.twimg.com/media/E_3Nn1rUcAgl6MY.jpg")</f>
        <v>https://pbs.twimg.com/media/E_3Nn1rUcAgl6MY.jpg</v>
      </c>
      <c r="W1712" s="83">
        <v>44461.188240740739</v>
      </c>
      <c r="X1712" s="89">
        <v>44461</v>
      </c>
      <c r="Y1712" s="86" t="s">
        <v>3929</v>
      </c>
      <c r="Z1712" s="84" t="str">
        <f>HYPERLINK("https://twitter.com/btsmarketmy/status/1440534087328931849")</f>
        <v>https://twitter.com/btsmarketmy/status/1440534087328931849</v>
      </c>
      <c r="AA1712" s="81"/>
      <c r="AB1712" s="81"/>
      <c r="AC1712" s="86" t="s">
        <v>5404</v>
      </c>
      <c r="AD1712" s="81"/>
      <c r="AE1712" s="81" t="b">
        <v>0</v>
      </c>
      <c r="AF1712" s="81">
        <v>0</v>
      </c>
      <c r="AG1712" s="86" t="s">
        <v>6240</v>
      </c>
      <c r="AH1712" s="81" t="b">
        <v>0</v>
      </c>
      <c r="AI1712" s="81" t="s">
        <v>6479</v>
      </c>
      <c r="AJ1712" s="81"/>
      <c r="AK1712" s="86" t="s">
        <v>6240</v>
      </c>
      <c r="AL1712" s="81" t="b">
        <v>0</v>
      </c>
      <c r="AM1712" s="81">
        <v>2</v>
      </c>
      <c r="AN1712" s="86" t="s">
        <v>5405</v>
      </c>
      <c r="AO1712" s="86" t="s">
        <v>6505</v>
      </c>
      <c r="AP1712" s="81" t="b">
        <v>0</v>
      </c>
      <c r="AQ1712" s="86" t="s">
        <v>5405</v>
      </c>
      <c r="AR1712" s="81" t="s">
        <v>179</v>
      </c>
      <c r="AS1712" s="81">
        <v>0</v>
      </c>
      <c r="AT1712" s="81">
        <v>0</v>
      </c>
      <c r="AU1712" s="81"/>
      <c r="AV1712" s="81"/>
      <c r="AW1712" s="81"/>
      <c r="AX1712" s="81"/>
      <c r="AY1712" s="81"/>
      <c r="AZ1712" s="81"/>
      <c r="BA1712" s="81"/>
      <c r="BB1712" s="81"/>
    </row>
    <row r="1713" spans="1:54" x14ac:dyDescent="0.35">
      <c r="A1713" s="66" t="s">
        <v>1211</v>
      </c>
      <c r="B1713" s="66" t="s">
        <v>1210</v>
      </c>
      <c r="C1713" s="67"/>
      <c r="D1713" s="68"/>
      <c r="E1713" s="69"/>
      <c r="F1713" s="70"/>
      <c r="G1713" s="67"/>
      <c r="H1713" s="71"/>
      <c r="I1713" s="72"/>
      <c r="J1713" s="72"/>
      <c r="K1713" s="36"/>
      <c r="L1713" s="79"/>
      <c r="M1713" s="79"/>
      <c r="N1713" s="74"/>
      <c r="O1713" s="81" t="s">
        <v>1535</v>
      </c>
      <c r="P1713" s="83">
        <v>44461.186782407407</v>
      </c>
      <c r="Q1713" s="81" t="s">
        <v>2195</v>
      </c>
      <c r="R1713" s="81"/>
      <c r="S1713" s="81"/>
      <c r="T1713" s="81"/>
      <c r="U1713" s="84" t="str">
        <f>HYPERLINK("https://pbs.twimg.com/media/E_3Nn1rUcAgl6MY.jpg")</f>
        <v>https://pbs.twimg.com/media/E_3Nn1rUcAgl6MY.jpg</v>
      </c>
      <c r="V1713" s="84" t="str">
        <f>HYPERLINK("https://pbs.twimg.com/media/E_3Nn1rUcAgl6MY.jpg")</f>
        <v>https://pbs.twimg.com/media/E_3Nn1rUcAgl6MY.jpg</v>
      </c>
      <c r="W1713" s="83">
        <v>44461.186782407407</v>
      </c>
      <c r="X1713" s="89">
        <v>44461</v>
      </c>
      <c r="Y1713" s="86" t="s">
        <v>3930</v>
      </c>
      <c r="Z1713" s="84" t="str">
        <f>HYPERLINK("https://twitter.com/blinkuelilies/status/1440533555721867265")</f>
        <v>https://twitter.com/blinkuelilies/status/1440533555721867265</v>
      </c>
      <c r="AA1713" s="81"/>
      <c r="AB1713" s="81"/>
      <c r="AC1713" s="86" t="s">
        <v>5405</v>
      </c>
      <c r="AD1713" s="81"/>
      <c r="AE1713" s="81" t="b">
        <v>0</v>
      </c>
      <c r="AF1713" s="81">
        <v>2</v>
      </c>
      <c r="AG1713" s="86" t="s">
        <v>6240</v>
      </c>
      <c r="AH1713" s="81" t="b">
        <v>0</v>
      </c>
      <c r="AI1713" s="81" t="s">
        <v>6479</v>
      </c>
      <c r="AJ1713" s="81"/>
      <c r="AK1713" s="86" t="s">
        <v>6240</v>
      </c>
      <c r="AL1713" s="81" t="b">
        <v>0</v>
      </c>
      <c r="AM1713" s="81">
        <v>2</v>
      </c>
      <c r="AN1713" s="86" t="s">
        <v>6240</v>
      </c>
      <c r="AO1713" s="86" t="s">
        <v>6503</v>
      </c>
      <c r="AP1713" s="81" t="b">
        <v>0</v>
      </c>
      <c r="AQ1713" s="86" t="s">
        <v>5405</v>
      </c>
      <c r="AR1713" s="81" t="s">
        <v>179</v>
      </c>
      <c r="AS1713" s="81">
        <v>0</v>
      </c>
      <c r="AT1713" s="81">
        <v>0</v>
      </c>
      <c r="AU1713" s="81"/>
      <c r="AV1713" s="81"/>
      <c r="AW1713" s="81"/>
      <c r="AX1713" s="81"/>
      <c r="AY1713" s="81"/>
      <c r="AZ1713" s="81"/>
      <c r="BA1713" s="81"/>
      <c r="BB1713" s="81"/>
    </row>
    <row r="1714" spans="1:54" x14ac:dyDescent="0.35">
      <c r="A1714" s="66" t="s">
        <v>1211</v>
      </c>
      <c r="B1714" s="66" t="s">
        <v>1210</v>
      </c>
      <c r="C1714" s="67"/>
      <c r="D1714" s="68"/>
      <c r="E1714" s="69"/>
      <c r="F1714" s="70"/>
      <c r="G1714" s="67"/>
      <c r="H1714" s="71"/>
      <c r="I1714" s="72"/>
      <c r="J1714" s="72"/>
      <c r="K1714" s="36"/>
      <c r="L1714" s="79"/>
      <c r="M1714" s="79"/>
      <c r="N1714" s="74"/>
      <c r="O1714" s="81" t="s">
        <v>1533</v>
      </c>
      <c r="P1714" s="83">
        <v>44466.799479166664</v>
      </c>
      <c r="Q1714" s="81" t="s">
        <v>2195</v>
      </c>
      <c r="R1714" s="81"/>
      <c r="S1714" s="81"/>
      <c r="T1714" s="81"/>
      <c r="U1714" s="84" t="str">
        <f>HYPERLINK("https://pbs.twimg.com/media/E_3Nn1rUcAgl6MY.jpg")</f>
        <v>https://pbs.twimg.com/media/E_3Nn1rUcAgl6MY.jpg</v>
      </c>
      <c r="V1714" s="84" t="str">
        <f>HYPERLINK("https://pbs.twimg.com/media/E_3Nn1rUcAgl6MY.jpg")</f>
        <v>https://pbs.twimg.com/media/E_3Nn1rUcAgl6MY.jpg</v>
      </c>
      <c r="W1714" s="83">
        <v>44466.799479166664</v>
      </c>
      <c r="X1714" s="89">
        <v>44466</v>
      </c>
      <c r="Y1714" s="86" t="s">
        <v>3931</v>
      </c>
      <c r="Z1714" s="84" t="str">
        <f>HYPERLINK("https://twitter.com/blinkuelilies/status/1442567528660697089")</f>
        <v>https://twitter.com/blinkuelilies/status/1442567528660697089</v>
      </c>
      <c r="AA1714" s="81"/>
      <c r="AB1714" s="81"/>
      <c r="AC1714" s="86" t="s">
        <v>5406</v>
      </c>
      <c r="AD1714" s="81"/>
      <c r="AE1714" s="81" t="b">
        <v>0</v>
      </c>
      <c r="AF1714" s="81">
        <v>0</v>
      </c>
      <c r="AG1714" s="86" t="s">
        <v>6240</v>
      </c>
      <c r="AH1714" s="81" t="b">
        <v>0</v>
      </c>
      <c r="AI1714" s="81" t="s">
        <v>6479</v>
      </c>
      <c r="AJ1714" s="81"/>
      <c r="AK1714" s="86" t="s">
        <v>6240</v>
      </c>
      <c r="AL1714" s="81" t="b">
        <v>0</v>
      </c>
      <c r="AM1714" s="81">
        <v>2</v>
      </c>
      <c r="AN1714" s="86" t="s">
        <v>5405</v>
      </c>
      <c r="AO1714" s="86" t="s">
        <v>6503</v>
      </c>
      <c r="AP1714" s="81" t="b">
        <v>0</v>
      </c>
      <c r="AQ1714" s="86" t="s">
        <v>5405</v>
      </c>
      <c r="AR1714" s="81" t="s">
        <v>179</v>
      </c>
      <c r="AS1714" s="81">
        <v>0</v>
      </c>
      <c r="AT1714" s="81">
        <v>0</v>
      </c>
      <c r="AU1714" s="81"/>
      <c r="AV1714" s="81"/>
      <c r="AW1714" s="81"/>
      <c r="AX1714" s="81"/>
      <c r="AY1714" s="81"/>
      <c r="AZ1714" s="81"/>
      <c r="BA1714" s="81"/>
      <c r="BB1714" s="81"/>
    </row>
    <row r="1715" spans="1:54" x14ac:dyDescent="0.35">
      <c r="A1715" s="66" t="s">
        <v>1211</v>
      </c>
      <c r="B1715" s="66" t="s">
        <v>1211</v>
      </c>
      <c r="C1715" s="67"/>
      <c r="D1715" s="68"/>
      <c r="E1715" s="69"/>
      <c r="F1715" s="70"/>
      <c r="G1715" s="67"/>
      <c r="H1715" s="71"/>
      <c r="I1715" s="72"/>
      <c r="J1715" s="72"/>
      <c r="K1715" s="36"/>
      <c r="L1715" s="79"/>
      <c r="M1715" s="79"/>
      <c r="N1715" s="74"/>
      <c r="O1715" s="81" t="s">
        <v>1532</v>
      </c>
      <c r="P1715" s="83">
        <v>44466.799479166664</v>
      </c>
      <c r="Q1715" s="81" t="s">
        <v>2195</v>
      </c>
      <c r="R1715" s="81"/>
      <c r="S1715" s="81"/>
      <c r="T1715" s="81"/>
      <c r="U1715" s="84" t="str">
        <f>HYPERLINK("https://pbs.twimg.com/media/E_3Nn1rUcAgl6MY.jpg")</f>
        <v>https://pbs.twimg.com/media/E_3Nn1rUcAgl6MY.jpg</v>
      </c>
      <c r="V1715" s="84" t="str">
        <f>HYPERLINK("https://pbs.twimg.com/media/E_3Nn1rUcAgl6MY.jpg")</f>
        <v>https://pbs.twimg.com/media/E_3Nn1rUcAgl6MY.jpg</v>
      </c>
      <c r="W1715" s="83">
        <v>44466.799479166664</v>
      </c>
      <c r="X1715" s="89">
        <v>44466</v>
      </c>
      <c r="Y1715" s="86" t="s">
        <v>3931</v>
      </c>
      <c r="Z1715" s="84" t="str">
        <f>HYPERLINK("https://twitter.com/blinkuelilies/status/1442567528660697089")</f>
        <v>https://twitter.com/blinkuelilies/status/1442567528660697089</v>
      </c>
      <c r="AA1715" s="81"/>
      <c r="AB1715" s="81"/>
      <c r="AC1715" s="86" t="s">
        <v>5406</v>
      </c>
      <c r="AD1715" s="81"/>
      <c r="AE1715" s="81" t="b">
        <v>0</v>
      </c>
      <c r="AF1715" s="81">
        <v>0</v>
      </c>
      <c r="AG1715" s="86" t="s">
        <v>6240</v>
      </c>
      <c r="AH1715" s="81" t="b">
        <v>0</v>
      </c>
      <c r="AI1715" s="81" t="s">
        <v>6479</v>
      </c>
      <c r="AJ1715" s="81"/>
      <c r="AK1715" s="86" t="s">
        <v>6240</v>
      </c>
      <c r="AL1715" s="81" t="b">
        <v>0</v>
      </c>
      <c r="AM1715" s="81">
        <v>2</v>
      </c>
      <c r="AN1715" s="86" t="s">
        <v>5405</v>
      </c>
      <c r="AO1715" s="86" t="s">
        <v>6503</v>
      </c>
      <c r="AP1715" s="81" t="b">
        <v>0</v>
      </c>
      <c r="AQ1715" s="86" t="s">
        <v>5405</v>
      </c>
      <c r="AR1715" s="81" t="s">
        <v>179</v>
      </c>
      <c r="AS1715" s="81">
        <v>0</v>
      </c>
      <c r="AT1715" s="81">
        <v>0</v>
      </c>
      <c r="AU1715" s="81"/>
      <c r="AV1715" s="81"/>
      <c r="AW1715" s="81"/>
      <c r="AX1715" s="81"/>
      <c r="AY1715" s="81"/>
      <c r="AZ1715" s="81"/>
      <c r="BA1715" s="81"/>
      <c r="BB1715" s="81"/>
    </row>
    <row r="1716" spans="1:54" x14ac:dyDescent="0.35">
      <c r="A1716" s="66" t="s">
        <v>1212</v>
      </c>
      <c r="B1716" s="66" t="s">
        <v>1146</v>
      </c>
      <c r="C1716" s="67"/>
      <c r="D1716" s="68"/>
      <c r="E1716" s="69"/>
      <c r="F1716" s="70"/>
      <c r="G1716" s="67"/>
      <c r="H1716" s="71"/>
      <c r="I1716" s="72"/>
      <c r="J1716" s="72"/>
      <c r="K1716" s="36"/>
      <c r="L1716" s="79"/>
      <c r="M1716" s="79"/>
      <c r="N1716" s="74"/>
      <c r="O1716" s="81" t="s">
        <v>1532</v>
      </c>
      <c r="P1716" s="83">
        <v>44466.811006944445</v>
      </c>
      <c r="Q1716" s="81" t="s">
        <v>2091</v>
      </c>
      <c r="R1716" s="81"/>
      <c r="S1716" s="81"/>
      <c r="T1716" s="81"/>
      <c r="U1716" s="84" t="str">
        <f>HYPERLINK("https://pbs.twimg.com/ext_tw_video_thumb/1442373678990196737/pu/img/UDVgFvOXidN40Fez.jpg")</f>
        <v>https://pbs.twimg.com/ext_tw_video_thumb/1442373678990196737/pu/img/UDVgFvOXidN40Fez.jpg</v>
      </c>
      <c r="V1716" s="84" t="str">
        <f>HYPERLINK("https://pbs.twimg.com/ext_tw_video_thumb/1442373678990196737/pu/img/UDVgFvOXidN40Fez.jpg")</f>
        <v>https://pbs.twimg.com/ext_tw_video_thumb/1442373678990196737/pu/img/UDVgFvOXidN40Fez.jpg</v>
      </c>
      <c r="W1716" s="83">
        <v>44466.811006944445</v>
      </c>
      <c r="X1716" s="89">
        <v>44466</v>
      </c>
      <c r="Y1716" s="86" t="s">
        <v>3932</v>
      </c>
      <c r="Z1716" s="84" t="str">
        <f>HYPERLINK("https://twitter.com/bonno35583659/status/1442571708209123333")</f>
        <v>https://twitter.com/bonno35583659/status/1442571708209123333</v>
      </c>
      <c r="AA1716" s="81"/>
      <c r="AB1716" s="81"/>
      <c r="AC1716" s="86" t="s">
        <v>5407</v>
      </c>
      <c r="AD1716" s="81"/>
      <c r="AE1716" s="81" t="b">
        <v>0</v>
      </c>
      <c r="AF1716" s="81">
        <v>0</v>
      </c>
      <c r="AG1716" s="86" t="s">
        <v>6240</v>
      </c>
      <c r="AH1716" s="81" t="b">
        <v>0</v>
      </c>
      <c r="AI1716" s="81" t="s">
        <v>6478</v>
      </c>
      <c r="AJ1716" s="81"/>
      <c r="AK1716" s="86" t="s">
        <v>6240</v>
      </c>
      <c r="AL1716" s="81" t="b">
        <v>0</v>
      </c>
      <c r="AM1716" s="81">
        <v>30</v>
      </c>
      <c r="AN1716" s="86" t="s">
        <v>5524</v>
      </c>
      <c r="AO1716" s="86" t="s">
        <v>6503</v>
      </c>
      <c r="AP1716" s="81" t="b">
        <v>0</v>
      </c>
      <c r="AQ1716" s="86" t="s">
        <v>5524</v>
      </c>
      <c r="AR1716" s="81" t="s">
        <v>179</v>
      </c>
      <c r="AS1716" s="81">
        <v>0</v>
      </c>
      <c r="AT1716" s="81">
        <v>0</v>
      </c>
      <c r="AU1716" s="81"/>
      <c r="AV1716" s="81"/>
      <c r="AW1716" s="81"/>
      <c r="AX1716" s="81"/>
      <c r="AY1716" s="81"/>
      <c r="AZ1716" s="81"/>
      <c r="BA1716" s="81"/>
      <c r="BB1716" s="81"/>
    </row>
    <row r="1717" spans="1:54" x14ac:dyDescent="0.35">
      <c r="A1717" s="66" t="s">
        <v>1213</v>
      </c>
      <c r="B1717" s="66" t="s">
        <v>1146</v>
      </c>
      <c r="C1717" s="67"/>
      <c r="D1717" s="68"/>
      <c r="E1717" s="69"/>
      <c r="F1717" s="70"/>
      <c r="G1717" s="67"/>
      <c r="H1717" s="71"/>
      <c r="I1717" s="72"/>
      <c r="J1717" s="72"/>
      <c r="K1717" s="36"/>
      <c r="L1717" s="79"/>
      <c r="M1717" s="79"/>
      <c r="N1717" s="74"/>
      <c r="O1717" s="81" t="s">
        <v>1532</v>
      </c>
      <c r="P1717" s="83">
        <v>44466.9378125</v>
      </c>
      <c r="Q1717" s="81" t="s">
        <v>2091</v>
      </c>
      <c r="R1717" s="81"/>
      <c r="S1717" s="81"/>
      <c r="T1717" s="81"/>
      <c r="U1717" s="84" t="str">
        <f>HYPERLINK("https://pbs.twimg.com/ext_tw_video_thumb/1442373678990196737/pu/img/UDVgFvOXidN40Fez.jpg")</f>
        <v>https://pbs.twimg.com/ext_tw_video_thumb/1442373678990196737/pu/img/UDVgFvOXidN40Fez.jpg</v>
      </c>
      <c r="V1717" s="84" t="str">
        <f>HYPERLINK("https://pbs.twimg.com/ext_tw_video_thumb/1442373678990196737/pu/img/UDVgFvOXidN40Fez.jpg")</f>
        <v>https://pbs.twimg.com/ext_tw_video_thumb/1442373678990196737/pu/img/UDVgFvOXidN40Fez.jpg</v>
      </c>
      <c r="W1717" s="83">
        <v>44466.9378125</v>
      </c>
      <c r="X1717" s="89">
        <v>44466</v>
      </c>
      <c r="Y1717" s="86" t="s">
        <v>3933</v>
      </c>
      <c r="Z1717" s="84" t="str">
        <f>HYPERLINK("https://twitter.com/inisial_jj/status/1442617662320754690")</f>
        <v>https://twitter.com/inisial_jj/status/1442617662320754690</v>
      </c>
      <c r="AA1717" s="81"/>
      <c r="AB1717" s="81"/>
      <c r="AC1717" s="86" t="s">
        <v>5408</v>
      </c>
      <c r="AD1717" s="81"/>
      <c r="AE1717" s="81" t="b">
        <v>0</v>
      </c>
      <c r="AF1717" s="81">
        <v>0</v>
      </c>
      <c r="AG1717" s="86" t="s">
        <v>6240</v>
      </c>
      <c r="AH1717" s="81" t="b">
        <v>0</v>
      </c>
      <c r="AI1717" s="81" t="s">
        <v>6478</v>
      </c>
      <c r="AJ1717" s="81"/>
      <c r="AK1717" s="86" t="s">
        <v>6240</v>
      </c>
      <c r="AL1717" s="81" t="b">
        <v>0</v>
      </c>
      <c r="AM1717" s="81">
        <v>30</v>
      </c>
      <c r="AN1717" s="86" t="s">
        <v>5524</v>
      </c>
      <c r="AO1717" s="86" t="s">
        <v>6503</v>
      </c>
      <c r="AP1717" s="81" t="b">
        <v>0</v>
      </c>
      <c r="AQ1717" s="86" t="s">
        <v>5524</v>
      </c>
      <c r="AR1717" s="81" t="s">
        <v>179</v>
      </c>
      <c r="AS1717" s="81">
        <v>0</v>
      </c>
      <c r="AT1717" s="81">
        <v>0</v>
      </c>
      <c r="AU1717" s="81"/>
      <c r="AV1717" s="81"/>
      <c r="AW1717" s="81"/>
      <c r="AX1717" s="81"/>
      <c r="AY1717" s="81"/>
      <c r="AZ1717" s="81"/>
      <c r="BA1717" s="81"/>
      <c r="BB1717" s="81"/>
    </row>
    <row r="1718" spans="1:54" x14ac:dyDescent="0.35">
      <c r="A1718" s="66" t="s">
        <v>1214</v>
      </c>
      <c r="B1718" s="66" t="s">
        <v>1146</v>
      </c>
      <c r="C1718" s="67"/>
      <c r="D1718" s="68"/>
      <c r="E1718" s="69"/>
      <c r="F1718" s="70"/>
      <c r="G1718" s="67"/>
      <c r="H1718" s="71"/>
      <c r="I1718" s="72"/>
      <c r="J1718" s="72"/>
      <c r="K1718" s="36"/>
      <c r="L1718" s="79"/>
      <c r="M1718" s="79"/>
      <c r="N1718" s="74"/>
      <c r="O1718" s="81" t="s">
        <v>1532</v>
      </c>
      <c r="P1718" s="83">
        <v>44466.944525462961</v>
      </c>
      <c r="Q1718" s="81" t="s">
        <v>2091</v>
      </c>
      <c r="R1718" s="81"/>
      <c r="S1718" s="81"/>
      <c r="T1718" s="81"/>
      <c r="U1718" s="84" t="str">
        <f>HYPERLINK("https://pbs.twimg.com/ext_tw_video_thumb/1442373678990196737/pu/img/UDVgFvOXidN40Fez.jpg")</f>
        <v>https://pbs.twimg.com/ext_tw_video_thumb/1442373678990196737/pu/img/UDVgFvOXidN40Fez.jpg</v>
      </c>
      <c r="V1718" s="84" t="str">
        <f>HYPERLINK("https://pbs.twimg.com/ext_tw_video_thumb/1442373678990196737/pu/img/UDVgFvOXidN40Fez.jpg")</f>
        <v>https://pbs.twimg.com/ext_tw_video_thumb/1442373678990196737/pu/img/UDVgFvOXidN40Fez.jpg</v>
      </c>
      <c r="W1718" s="83">
        <v>44466.944525462961</v>
      </c>
      <c r="X1718" s="89">
        <v>44466</v>
      </c>
      <c r="Y1718" s="86" t="s">
        <v>3934</v>
      </c>
      <c r="Z1718" s="84" t="str">
        <f>HYPERLINK("https://twitter.com/inagobes26/status/1442620093268066306")</f>
        <v>https://twitter.com/inagobes26/status/1442620093268066306</v>
      </c>
      <c r="AA1718" s="81"/>
      <c r="AB1718" s="81"/>
      <c r="AC1718" s="86" t="s">
        <v>5409</v>
      </c>
      <c r="AD1718" s="81"/>
      <c r="AE1718" s="81" t="b">
        <v>0</v>
      </c>
      <c r="AF1718" s="81">
        <v>0</v>
      </c>
      <c r="AG1718" s="86" t="s">
        <v>6240</v>
      </c>
      <c r="AH1718" s="81" t="b">
        <v>0</v>
      </c>
      <c r="AI1718" s="81" t="s">
        <v>6478</v>
      </c>
      <c r="AJ1718" s="81"/>
      <c r="AK1718" s="86" t="s">
        <v>6240</v>
      </c>
      <c r="AL1718" s="81" t="b">
        <v>0</v>
      </c>
      <c r="AM1718" s="81">
        <v>30</v>
      </c>
      <c r="AN1718" s="86" t="s">
        <v>5524</v>
      </c>
      <c r="AO1718" s="86" t="s">
        <v>6503</v>
      </c>
      <c r="AP1718" s="81" t="b">
        <v>0</v>
      </c>
      <c r="AQ1718" s="86" t="s">
        <v>5524</v>
      </c>
      <c r="AR1718" s="81" t="s">
        <v>179</v>
      </c>
      <c r="AS1718" s="81">
        <v>0</v>
      </c>
      <c r="AT1718" s="81">
        <v>0</v>
      </c>
      <c r="AU1718" s="81"/>
      <c r="AV1718" s="81"/>
      <c r="AW1718" s="81"/>
      <c r="AX1718" s="81"/>
      <c r="AY1718" s="81"/>
      <c r="AZ1718" s="81"/>
      <c r="BA1718" s="81"/>
      <c r="BB1718" s="81"/>
    </row>
    <row r="1719" spans="1:54" x14ac:dyDescent="0.35">
      <c r="A1719" s="66" t="s">
        <v>1215</v>
      </c>
      <c r="B1719" s="66" t="s">
        <v>1215</v>
      </c>
      <c r="C1719" s="67"/>
      <c r="D1719" s="68"/>
      <c r="E1719" s="69"/>
      <c r="F1719" s="70"/>
      <c r="G1719" s="67"/>
      <c r="H1719" s="71"/>
      <c r="I1719" s="72"/>
      <c r="J1719" s="72"/>
      <c r="K1719" s="36"/>
      <c r="L1719" s="79"/>
      <c r="M1719" s="79"/>
      <c r="N1719" s="74"/>
      <c r="O1719" s="81" t="s">
        <v>179</v>
      </c>
      <c r="P1719" s="83">
        <v>44466.411192129628</v>
      </c>
      <c r="Q1719" s="81" t="s">
        <v>2154</v>
      </c>
      <c r="R1719" s="81"/>
      <c r="S1719" s="81"/>
      <c r="T1719" s="81"/>
      <c r="U1719" s="84" t="str">
        <f>HYPERLINK("https://pbs.twimg.com/media/FASHjEnUcAMSLOM.jpg")</f>
        <v>https://pbs.twimg.com/media/FASHjEnUcAMSLOM.jpg</v>
      </c>
      <c r="V1719" s="84" t="str">
        <f>HYPERLINK("https://pbs.twimg.com/media/FASHjEnUcAMSLOM.jpg")</f>
        <v>https://pbs.twimg.com/media/FASHjEnUcAMSLOM.jpg</v>
      </c>
      <c r="W1719" s="83">
        <v>44466.411192129628</v>
      </c>
      <c r="X1719" s="89">
        <v>44466</v>
      </c>
      <c r="Y1719" s="86" t="s">
        <v>3935</v>
      </c>
      <c r="Z1719" s="84" t="str">
        <f>HYPERLINK("https://twitter.com/zomet13/status/1442426820138201096")</f>
        <v>https://twitter.com/zomet13/status/1442426820138201096</v>
      </c>
      <c r="AA1719" s="81"/>
      <c r="AB1719" s="81"/>
      <c r="AC1719" s="86" t="s">
        <v>5410</v>
      </c>
      <c r="AD1719" s="81"/>
      <c r="AE1719" s="81" t="b">
        <v>0</v>
      </c>
      <c r="AF1719" s="81">
        <v>60</v>
      </c>
      <c r="AG1719" s="86" t="s">
        <v>6240</v>
      </c>
      <c r="AH1719" s="81" t="b">
        <v>0</v>
      </c>
      <c r="AI1719" s="81" t="s">
        <v>6478</v>
      </c>
      <c r="AJ1719" s="81"/>
      <c r="AK1719" s="86" t="s">
        <v>6240</v>
      </c>
      <c r="AL1719" s="81" t="b">
        <v>0</v>
      </c>
      <c r="AM1719" s="81">
        <v>9</v>
      </c>
      <c r="AN1719" s="86" t="s">
        <v>6240</v>
      </c>
      <c r="AO1719" s="86" t="s">
        <v>6503</v>
      </c>
      <c r="AP1719" s="81" t="b">
        <v>0</v>
      </c>
      <c r="AQ1719" s="86" t="s">
        <v>5410</v>
      </c>
      <c r="AR1719" s="81" t="s">
        <v>179</v>
      </c>
      <c r="AS1719" s="81">
        <v>0</v>
      </c>
      <c r="AT1719" s="81">
        <v>0</v>
      </c>
      <c r="AU1719" s="81"/>
      <c r="AV1719" s="81"/>
      <c r="AW1719" s="81"/>
      <c r="AX1719" s="81"/>
      <c r="AY1719" s="81"/>
      <c r="AZ1719" s="81"/>
      <c r="BA1719" s="81"/>
      <c r="BB1719" s="81"/>
    </row>
    <row r="1720" spans="1:54" x14ac:dyDescent="0.35">
      <c r="A1720" s="66" t="s">
        <v>1216</v>
      </c>
      <c r="B1720" s="66" t="s">
        <v>1215</v>
      </c>
      <c r="C1720" s="67"/>
      <c r="D1720" s="68"/>
      <c r="E1720" s="69"/>
      <c r="F1720" s="70"/>
      <c r="G1720" s="67"/>
      <c r="H1720" s="71"/>
      <c r="I1720" s="72"/>
      <c r="J1720" s="72"/>
      <c r="K1720" s="36"/>
      <c r="L1720" s="79"/>
      <c r="M1720" s="79"/>
      <c r="N1720" s="74"/>
      <c r="O1720" s="81" t="s">
        <v>1532</v>
      </c>
      <c r="P1720" s="83">
        <v>44466.951840277776</v>
      </c>
      <c r="Q1720" s="81" t="s">
        <v>2154</v>
      </c>
      <c r="R1720" s="81"/>
      <c r="S1720" s="81"/>
      <c r="T1720" s="81"/>
      <c r="U1720" s="84" t="str">
        <f>HYPERLINK("https://pbs.twimg.com/media/FASHjEnUcAMSLOM.jpg")</f>
        <v>https://pbs.twimg.com/media/FASHjEnUcAMSLOM.jpg</v>
      </c>
      <c r="V1720" s="84" t="str">
        <f>HYPERLINK("https://pbs.twimg.com/media/FASHjEnUcAMSLOM.jpg")</f>
        <v>https://pbs.twimg.com/media/FASHjEnUcAMSLOM.jpg</v>
      </c>
      <c r="W1720" s="83">
        <v>44466.951840277776</v>
      </c>
      <c r="X1720" s="89">
        <v>44466</v>
      </c>
      <c r="Y1720" s="86" t="s">
        <v>3936</v>
      </c>
      <c r="Z1720" s="84" t="str">
        <f>HYPERLINK("https://twitter.com/camelaila1/status/1442622742113624070")</f>
        <v>https://twitter.com/camelaila1/status/1442622742113624070</v>
      </c>
      <c r="AA1720" s="81"/>
      <c r="AB1720" s="81"/>
      <c r="AC1720" s="86" t="s">
        <v>5411</v>
      </c>
      <c r="AD1720" s="81"/>
      <c r="AE1720" s="81" t="b">
        <v>0</v>
      </c>
      <c r="AF1720" s="81">
        <v>0</v>
      </c>
      <c r="AG1720" s="86" t="s">
        <v>6240</v>
      </c>
      <c r="AH1720" s="81" t="b">
        <v>0</v>
      </c>
      <c r="AI1720" s="81" t="s">
        <v>6478</v>
      </c>
      <c r="AJ1720" s="81"/>
      <c r="AK1720" s="86" t="s">
        <v>6240</v>
      </c>
      <c r="AL1720" s="81" t="b">
        <v>0</v>
      </c>
      <c r="AM1720" s="81">
        <v>9</v>
      </c>
      <c r="AN1720" s="86" t="s">
        <v>5410</v>
      </c>
      <c r="AO1720" s="86" t="s">
        <v>6503</v>
      </c>
      <c r="AP1720" s="81" t="b">
        <v>0</v>
      </c>
      <c r="AQ1720" s="86" t="s">
        <v>5410</v>
      </c>
      <c r="AR1720" s="81" t="s">
        <v>179</v>
      </c>
      <c r="AS1720" s="81">
        <v>0</v>
      </c>
      <c r="AT1720" s="81">
        <v>0</v>
      </c>
      <c r="AU1720" s="81"/>
      <c r="AV1720" s="81"/>
      <c r="AW1720" s="81"/>
      <c r="AX1720" s="81"/>
      <c r="AY1720" s="81"/>
      <c r="AZ1720" s="81"/>
      <c r="BA1720" s="81"/>
      <c r="BB1720" s="81"/>
    </row>
    <row r="1721" spans="1:54" x14ac:dyDescent="0.35">
      <c r="A1721" s="66" t="s">
        <v>1217</v>
      </c>
      <c r="B1721" s="66" t="s">
        <v>1146</v>
      </c>
      <c r="C1721" s="67"/>
      <c r="D1721" s="68"/>
      <c r="E1721" s="69"/>
      <c r="F1721" s="70"/>
      <c r="G1721" s="67"/>
      <c r="H1721" s="71"/>
      <c r="I1721" s="72"/>
      <c r="J1721" s="72"/>
      <c r="K1721" s="36"/>
      <c r="L1721" s="79"/>
      <c r="M1721" s="79"/>
      <c r="N1721" s="74"/>
      <c r="O1721" s="81" t="s">
        <v>1532</v>
      </c>
      <c r="P1721" s="83">
        <v>44466.991307870368</v>
      </c>
      <c r="Q1721" s="81" t="s">
        <v>2091</v>
      </c>
      <c r="R1721" s="81"/>
      <c r="S1721" s="81"/>
      <c r="T1721" s="81"/>
      <c r="U1721" s="84" t="str">
        <f>HYPERLINK("https://pbs.twimg.com/ext_tw_video_thumb/1442373678990196737/pu/img/UDVgFvOXidN40Fez.jpg")</f>
        <v>https://pbs.twimg.com/ext_tw_video_thumb/1442373678990196737/pu/img/UDVgFvOXidN40Fez.jpg</v>
      </c>
      <c r="V1721" s="84" t="str">
        <f>HYPERLINK("https://pbs.twimg.com/ext_tw_video_thumb/1442373678990196737/pu/img/UDVgFvOXidN40Fez.jpg")</f>
        <v>https://pbs.twimg.com/ext_tw_video_thumb/1442373678990196737/pu/img/UDVgFvOXidN40Fez.jpg</v>
      </c>
      <c r="W1721" s="83">
        <v>44466.991307870368</v>
      </c>
      <c r="X1721" s="89">
        <v>44466</v>
      </c>
      <c r="Y1721" s="86" t="s">
        <v>3937</v>
      </c>
      <c r="Z1721" s="84" t="str">
        <f>HYPERLINK("https://twitter.com/ryuzaky46/status/1442637045956939779")</f>
        <v>https://twitter.com/ryuzaky46/status/1442637045956939779</v>
      </c>
      <c r="AA1721" s="81"/>
      <c r="AB1721" s="81"/>
      <c r="AC1721" s="86" t="s">
        <v>5412</v>
      </c>
      <c r="AD1721" s="81"/>
      <c r="AE1721" s="81" t="b">
        <v>0</v>
      </c>
      <c r="AF1721" s="81">
        <v>0</v>
      </c>
      <c r="AG1721" s="86" t="s">
        <v>6240</v>
      </c>
      <c r="AH1721" s="81" t="b">
        <v>0</v>
      </c>
      <c r="AI1721" s="81" t="s">
        <v>6478</v>
      </c>
      <c r="AJ1721" s="81"/>
      <c r="AK1721" s="86" t="s">
        <v>6240</v>
      </c>
      <c r="AL1721" s="81" t="b">
        <v>0</v>
      </c>
      <c r="AM1721" s="81">
        <v>30</v>
      </c>
      <c r="AN1721" s="86" t="s">
        <v>5524</v>
      </c>
      <c r="AO1721" s="86" t="s">
        <v>6503</v>
      </c>
      <c r="AP1721" s="81" t="b">
        <v>0</v>
      </c>
      <c r="AQ1721" s="86" t="s">
        <v>5524</v>
      </c>
      <c r="AR1721" s="81" t="s">
        <v>179</v>
      </c>
      <c r="AS1721" s="81">
        <v>0</v>
      </c>
      <c r="AT1721" s="81">
        <v>0</v>
      </c>
      <c r="AU1721" s="81"/>
      <c r="AV1721" s="81"/>
      <c r="AW1721" s="81"/>
      <c r="AX1721" s="81"/>
      <c r="AY1721" s="81"/>
      <c r="AZ1721" s="81"/>
      <c r="BA1721" s="81"/>
      <c r="BB1721" s="81"/>
    </row>
    <row r="1722" spans="1:54" x14ac:dyDescent="0.35">
      <c r="A1722" s="66" t="s">
        <v>1218</v>
      </c>
      <c r="B1722" s="66" t="s">
        <v>1512</v>
      </c>
      <c r="C1722" s="67"/>
      <c r="D1722" s="68"/>
      <c r="E1722" s="69"/>
      <c r="F1722" s="70"/>
      <c r="G1722" s="67"/>
      <c r="H1722" s="71"/>
      <c r="I1722" s="72"/>
      <c r="J1722" s="72"/>
      <c r="K1722" s="36"/>
      <c r="L1722" s="79"/>
      <c r="M1722" s="79"/>
      <c r="N1722" s="74"/>
      <c r="O1722" s="81" t="s">
        <v>1535</v>
      </c>
      <c r="P1722" s="83">
        <v>44466.561608796299</v>
      </c>
      <c r="Q1722" s="81" t="s">
        <v>2196</v>
      </c>
      <c r="R1722" s="84" t="str">
        <f>HYPERLINK("https://pmikabupatensemarang.com/")</f>
        <v>https://pmikabupatensemarang.com/</v>
      </c>
      <c r="S1722" s="81" t="s">
        <v>2647</v>
      </c>
      <c r="T1722" s="86" t="s">
        <v>2736</v>
      </c>
      <c r="U1722" s="84" t="str">
        <f>HYPERLINK("https://pbs.twimg.com/media/FAS5H2-UYAIXcE9.jpg")</f>
        <v>https://pbs.twimg.com/media/FAS5H2-UYAIXcE9.jpg</v>
      </c>
      <c r="V1722" s="84" t="str">
        <f>HYPERLINK("https://pbs.twimg.com/media/FAS5H2-UYAIXcE9.jpg")</f>
        <v>https://pbs.twimg.com/media/FAS5H2-UYAIXcE9.jpg</v>
      </c>
      <c r="W1722" s="83">
        <v>44466.561608796299</v>
      </c>
      <c r="X1722" s="89">
        <v>44466</v>
      </c>
      <c r="Y1722" s="86" t="s">
        <v>3938</v>
      </c>
      <c r="Z1722" s="84" t="str">
        <f>HYPERLINK("https://twitter.com/pmi_kabsemarang/status/1442481328486694929")</f>
        <v>https://twitter.com/pmi_kabsemarang/status/1442481328486694929</v>
      </c>
      <c r="AA1722" s="81"/>
      <c r="AB1722" s="81"/>
      <c r="AC1722" s="86" t="s">
        <v>5413</v>
      </c>
      <c r="AD1722" s="81"/>
      <c r="AE1722" s="81" t="b">
        <v>0</v>
      </c>
      <c r="AF1722" s="81">
        <v>1</v>
      </c>
      <c r="AG1722" s="86" t="s">
        <v>6240</v>
      </c>
      <c r="AH1722" s="81" t="b">
        <v>0</v>
      </c>
      <c r="AI1722" s="81" t="s">
        <v>6478</v>
      </c>
      <c r="AJ1722" s="81"/>
      <c r="AK1722" s="86" t="s">
        <v>6240</v>
      </c>
      <c r="AL1722" s="81" t="b">
        <v>0</v>
      </c>
      <c r="AM1722" s="81">
        <v>0</v>
      </c>
      <c r="AN1722" s="86" t="s">
        <v>6240</v>
      </c>
      <c r="AO1722" s="86" t="s">
        <v>6503</v>
      </c>
      <c r="AP1722" s="81" t="b">
        <v>0</v>
      </c>
      <c r="AQ1722" s="86" t="s">
        <v>5413</v>
      </c>
      <c r="AR1722" s="81" t="s">
        <v>179</v>
      </c>
      <c r="AS1722" s="81">
        <v>0</v>
      </c>
      <c r="AT1722" s="81">
        <v>0</v>
      </c>
      <c r="AU1722" s="81"/>
      <c r="AV1722" s="81"/>
      <c r="AW1722" s="81"/>
      <c r="AX1722" s="81"/>
      <c r="AY1722" s="81"/>
      <c r="AZ1722" s="81"/>
      <c r="BA1722" s="81"/>
      <c r="BB1722" s="81"/>
    </row>
    <row r="1723" spans="1:54" x14ac:dyDescent="0.35">
      <c r="A1723" s="66" t="s">
        <v>1218</v>
      </c>
      <c r="B1723" s="66" t="s">
        <v>1512</v>
      </c>
      <c r="C1723" s="67"/>
      <c r="D1723" s="68"/>
      <c r="E1723" s="69"/>
      <c r="F1723" s="70"/>
      <c r="G1723" s="67"/>
      <c r="H1723" s="71"/>
      <c r="I1723" s="72"/>
      <c r="J1723" s="72"/>
      <c r="K1723" s="36"/>
      <c r="L1723" s="79"/>
      <c r="M1723" s="79"/>
      <c r="N1723" s="74"/>
      <c r="O1723" s="81" t="s">
        <v>1535</v>
      </c>
      <c r="P1723" s="83">
        <v>44467.010613425926</v>
      </c>
      <c r="Q1723" s="81" t="s">
        <v>2197</v>
      </c>
      <c r="R1723" s="84" t="str">
        <f>HYPERLINK("https://pmikabupatensemarang.com/")</f>
        <v>https://pmikabupatensemarang.com/</v>
      </c>
      <c r="S1723" s="81" t="s">
        <v>2647</v>
      </c>
      <c r="T1723" s="86" t="s">
        <v>2736</v>
      </c>
      <c r="U1723" s="84" t="str">
        <f>HYPERLINK("https://pbs.twimg.com/media/FAVM9PdUUAE0ND1.jpg")</f>
        <v>https://pbs.twimg.com/media/FAVM9PdUUAE0ND1.jpg</v>
      </c>
      <c r="V1723" s="84" t="str">
        <f>HYPERLINK("https://pbs.twimg.com/media/FAVM9PdUUAE0ND1.jpg")</f>
        <v>https://pbs.twimg.com/media/FAVM9PdUUAE0ND1.jpg</v>
      </c>
      <c r="W1723" s="83">
        <v>44467.010613425926</v>
      </c>
      <c r="X1723" s="89">
        <v>44467</v>
      </c>
      <c r="Y1723" s="86" t="s">
        <v>3939</v>
      </c>
      <c r="Z1723" s="84" t="str">
        <f>HYPERLINK("https://twitter.com/pmi_kabsemarang/status/1442644042181799938")</f>
        <v>https://twitter.com/pmi_kabsemarang/status/1442644042181799938</v>
      </c>
      <c r="AA1723" s="81"/>
      <c r="AB1723" s="81"/>
      <c r="AC1723" s="86" t="s">
        <v>5414</v>
      </c>
      <c r="AD1723" s="81"/>
      <c r="AE1723" s="81" t="b">
        <v>0</v>
      </c>
      <c r="AF1723" s="81">
        <v>0</v>
      </c>
      <c r="AG1723" s="86" t="s">
        <v>6240</v>
      </c>
      <c r="AH1723" s="81" t="b">
        <v>0</v>
      </c>
      <c r="AI1723" s="81" t="s">
        <v>6478</v>
      </c>
      <c r="AJ1723" s="81"/>
      <c r="AK1723" s="86" t="s">
        <v>6240</v>
      </c>
      <c r="AL1723" s="81" t="b">
        <v>0</v>
      </c>
      <c r="AM1723" s="81">
        <v>0</v>
      </c>
      <c r="AN1723" s="86" t="s">
        <v>6240</v>
      </c>
      <c r="AO1723" s="86" t="s">
        <v>6507</v>
      </c>
      <c r="AP1723" s="81" t="b">
        <v>0</v>
      </c>
      <c r="AQ1723" s="86" t="s">
        <v>5414</v>
      </c>
      <c r="AR1723" s="81" t="s">
        <v>179</v>
      </c>
      <c r="AS1723" s="81">
        <v>0</v>
      </c>
      <c r="AT1723" s="81">
        <v>0</v>
      </c>
      <c r="AU1723" s="81"/>
      <c r="AV1723" s="81"/>
      <c r="AW1723" s="81"/>
      <c r="AX1723" s="81"/>
      <c r="AY1723" s="81"/>
      <c r="AZ1723" s="81"/>
      <c r="BA1723" s="81"/>
      <c r="BB1723" s="81"/>
    </row>
    <row r="1724" spans="1:54" x14ac:dyDescent="0.35">
      <c r="A1724" s="66" t="s">
        <v>1218</v>
      </c>
      <c r="B1724" s="66" t="s">
        <v>1513</v>
      </c>
      <c r="C1724" s="67"/>
      <c r="D1724" s="68"/>
      <c r="E1724" s="69"/>
      <c r="F1724" s="70"/>
      <c r="G1724" s="67"/>
      <c r="H1724" s="71"/>
      <c r="I1724" s="72"/>
      <c r="J1724" s="72"/>
      <c r="K1724" s="36"/>
      <c r="L1724" s="79"/>
      <c r="M1724" s="79"/>
      <c r="N1724" s="74"/>
      <c r="O1724" s="81" t="s">
        <v>1535</v>
      </c>
      <c r="P1724" s="83">
        <v>44466.561608796299</v>
      </c>
      <c r="Q1724" s="81" t="s">
        <v>2196</v>
      </c>
      <c r="R1724" s="84" t="str">
        <f>HYPERLINK("https://pmikabupatensemarang.com/")</f>
        <v>https://pmikabupatensemarang.com/</v>
      </c>
      <c r="S1724" s="81" t="s">
        <v>2647</v>
      </c>
      <c r="T1724" s="86" t="s">
        <v>2736</v>
      </c>
      <c r="U1724" s="84" t="str">
        <f>HYPERLINK("https://pbs.twimg.com/media/FAS5H2-UYAIXcE9.jpg")</f>
        <v>https://pbs.twimg.com/media/FAS5H2-UYAIXcE9.jpg</v>
      </c>
      <c r="V1724" s="84" t="str">
        <f>HYPERLINK("https://pbs.twimg.com/media/FAS5H2-UYAIXcE9.jpg")</f>
        <v>https://pbs.twimg.com/media/FAS5H2-UYAIXcE9.jpg</v>
      </c>
      <c r="W1724" s="83">
        <v>44466.561608796299</v>
      </c>
      <c r="X1724" s="89">
        <v>44466</v>
      </c>
      <c r="Y1724" s="86" t="s">
        <v>3938</v>
      </c>
      <c r="Z1724" s="84" t="str">
        <f>HYPERLINK("https://twitter.com/pmi_kabsemarang/status/1442481328486694929")</f>
        <v>https://twitter.com/pmi_kabsemarang/status/1442481328486694929</v>
      </c>
      <c r="AA1724" s="81"/>
      <c r="AB1724" s="81"/>
      <c r="AC1724" s="86" t="s">
        <v>5413</v>
      </c>
      <c r="AD1724" s="81"/>
      <c r="AE1724" s="81" t="b">
        <v>0</v>
      </c>
      <c r="AF1724" s="81">
        <v>1</v>
      </c>
      <c r="AG1724" s="86" t="s">
        <v>6240</v>
      </c>
      <c r="AH1724" s="81" t="b">
        <v>0</v>
      </c>
      <c r="AI1724" s="81" t="s">
        <v>6478</v>
      </c>
      <c r="AJ1724" s="81"/>
      <c r="AK1724" s="86" t="s">
        <v>6240</v>
      </c>
      <c r="AL1724" s="81" t="b">
        <v>0</v>
      </c>
      <c r="AM1724" s="81">
        <v>0</v>
      </c>
      <c r="AN1724" s="86" t="s">
        <v>6240</v>
      </c>
      <c r="AO1724" s="86" t="s">
        <v>6503</v>
      </c>
      <c r="AP1724" s="81" t="b">
        <v>0</v>
      </c>
      <c r="AQ1724" s="86" t="s">
        <v>5413</v>
      </c>
      <c r="AR1724" s="81" t="s">
        <v>179</v>
      </c>
      <c r="AS1724" s="81">
        <v>0</v>
      </c>
      <c r="AT1724" s="81">
        <v>0</v>
      </c>
      <c r="AU1724" s="81"/>
      <c r="AV1724" s="81"/>
      <c r="AW1724" s="81"/>
      <c r="AX1724" s="81"/>
      <c r="AY1724" s="81"/>
      <c r="AZ1724" s="81"/>
      <c r="BA1724" s="81"/>
      <c r="BB1724" s="81"/>
    </row>
    <row r="1725" spans="1:54" x14ac:dyDescent="0.35">
      <c r="A1725" s="66" t="s">
        <v>1218</v>
      </c>
      <c r="B1725" s="66" t="s">
        <v>1513</v>
      </c>
      <c r="C1725" s="67"/>
      <c r="D1725" s="68"/>
      <c r="E1725" s="69"/>
      <c r="F1725" s="70"/>
      <c r="G1725" s="67"/>
      <c r="H1725" s="71"/>
      <c r="I1725" s="72"/>
      <c r="J1725" s="72"/>
      <c r="K1725" s="36"/>
      <c r="L1725" s="79"/>
      <c r="M1725" s="79"/>
      <c r="N1725" s="74"/>
      <c r="O1725" s="81" t="s">
        <v>1535</v>
      </c>
      <c r="P1725" s="83">
        <v>44467.010613425926</v>
      </c>
      <c r="Q1725" s="81" t="s">
        <v>2197</v>
      </c>
      <c r="R1725" s="84" t="str">
        <f>HYPERLINK("https://pmikabupatensemarang.com/")</f>
        <v>https://pmikabupatensemarang.com/</v>
      </c>
      <c r="S1725" s="81" t="s">
        <v>2647</v>
      </c>
      <c r="T1725" s="86" t="s">
        <v>2736</v>
      </c>
      <c r="U1725" s="84" t="str">
        <f>HYPERLINK("https://pbs.twimg.com/media/FAVM9PdUUAE0ND1.jpg")</f>
        <v>https://pbs.twimg.com/media/FAVM9PdUUAE0ND1.jpg</v>
      </c>
      <c r="V1725" s="84" t="str">
        <f>HYPERLINK("https://pbs.twimg.com/media/FAVM9PdUUAE0ND1.jpg")</f>
        <v>https://pbs.twimg.com/media/FAVM9PdUUAE0ND1.jpg</v>
      </c>
      <c r="W1725" s="83">
        <v>44467.010613425926</v>
      </c>
      <c r="X1725" s="89">
        <v>44467</v>
      </c>
      <c r="Y1725" s="86" t="s">
        <v>3939</v>
      </c>
      <c r="Z1725" s="84" t="str">
        <f>HYPERLINK("https://twitter.com/pmi_kabsemarang/status/1442644042181799938")</f>
        <v>https://twitter.com/pmi_kabsemarang/status/1442644042181799938</v>
      </c>
      <c r="AA1725" s="81"/>
      <c r="AB1725" s="81"/>
      <c r="AC1725" s="86" t="s">
        <v>5414</v>
      </c>
      <c r="AD1725" s="81"/>
      <c r="AE1725" s="81" t="b">
        <v>0</v>
      </c>
      <c r="AF1725" s="81">
        <v>0</v>
      </c>
      <c r="AG1725" s="86" t="s">
        <v>6240</v>
      </c>
      <c r="AH1725" s="81" t="b">
        <v>0</v>
      </c>
      <c r="AI1725" s="81" t="s">
        <v>6478</v>
      </c>
      <c r="AJ1725" s="81"/>
      <c r="AK1725" s="86" t="s">
        <v>6240</v>
      </c>
      <c r="AL1725" s="81" t="b">
        <v>0</v>
      </c>
      <c r="AM1725" s="81">
        <v>0</v>
      </c>
      <c r="AN1725" s="86" t="s">
        <v>6240</v>
      </c>
      <c r="AO1725" s="86" t="s">
        <v>6507</v>
      </c>
      <c r="AP1725" s="81" t="b">
        <v>0</v>
      </c>
      <c r="AQ1725" s="86" t="s">
        <v>5414</v>
      </c>
      <c r="AR1725" s="81" t="s">
        <v>179</v>
      </c>
      <c r="AS1725" s="81">
        <v>0</v>
      </c>
      <c r="AT1725" s="81">
        <v>0</v>
      </c>
      <c r="AU1725" s="81"/>
      <c r="AV1725" s="81"/>
      <c r="AW1725" s="81"/>
      <c r="AX1725" s="81"/>
      <c r="AY1725" s="81"/>
      <c r="AZ1725" s="81"/>
      <c r="BA1725" s="81"/>
      <c r="BB1725" s="81"/>
    </row>
    <row r="1726" spans="1:54" x14ac:dyDescent="0.35">
      <c r="A1726" s="66" t="s">
        <v>1218</v>
      </c>
      <c r="B1726" s="66" t="s">
        <v>1514</v>
      </c>
      <c r="C1726" s="67"/>
      <c r="D1726" s="68"/>
      <c r="E1726" s="69"/>
      <c r="F1726" s="70"/>
      <c r="G1726" s="67"/>
      <c r="H1726" s="71"/>
      <c r="I1726" s="72"/>
      <c r="J1726" s="72"/>
      <c r="K1726" s="36"/>
      <c r="L1726" s="79"/>
      <c r="M1726" s="79"/>
      <c r="N1726" s="74"/>
      <c r="O1726" s="81" t="s">
        <v>1535</v>
      </c>
      <c r="P1726" s="83">
        <v>44466.561608796299</v>
      </c>
      <c r="Q1726" s="81" t="s">
        <v>2196</v>
      </c>
      <c r="R1726" s="84" t="str">
        <f>HYPERLINK("https://pmikabupatensemarang.com/")</f>
        <v>https://pmikabupatensemarang.com/</v>
      </c>
      <c r="S1726" s="81" t="s">
        <v>2647</v>
      </c>
      <c r="T1726" s="86" t="s">
        <v>2736</v>
      </c>
      <c r="U1726" s="84" t="str">
        <f>HYPERLINK("https://pbs.twimg.com/media/FAS5H2-UYAIXcE9.jpg")</f>
        <v>https://pbs.twimg.com/media/FAS5H2-UYAIXcE9.jpg</v>
      </c>
      <c r="V1726" s="84" t="str">
        <f>HYPERLINK("https://pbs.twimg.com/media/FAS5H2-UYAIXcE9.jpg")</f>
        <v>https://pbs.twimg.com/media/FAS5H2-UYAIXcE9.jpg</v>
      </c>
      <c r="W1726" s="83">
        <v>44466.561608796299</v>
      </c>
      <c r="X1726" s="89">
        <v>44466</v>
      </c>
      <c r="Y1726" s="86" t="s">
        <v>3938</v>
      </c>
      <c r="Z1726" s="84" t="str">
        <f>HYPERLINK("https://twitter.com/pmi_kabsemarang/status/1442481328486694929")</f>
        <v>https://twitter.com/pmi_kabsemarang/status/1442481328486694929</v>
      </c>
      <c r="AA1726" s="81"/>
      <c r="AB1726" s="81"/>
      <c r="AC1726" s="86" t="s">
        <v>5413</v>
      </c>
      <c r="AD1726" s="81"/>
      <c r="AE1726" s="81" t="b">
        <v>0</v>
      </c>
      <c r="AF1726" s="81">
        <v>1</v>
      </c>
      <c r="AG1726" s="86" t="s">
        <v>6240</v>
      </c>
      <c r="AH1726" s="81" t="b">
        <v>0</v>
      </c>
      <c r="AI1726" s="81" t="s">
        <v>6478</v>
      </c>
      <c r="AJ1726" s="81"/>
      <c r="AK1726" s="86" t="s">
        <v>6240</v>
      </c>
      <c r="AL1726" s="81" t="b">
        <v>0</v>
      </c>
      <c r="AM1726" s="81">
        <v>0</v>
      </c>
      <c r="AN1726" s="86" t="s">
        <v>6240</v>
      </c>
      <c r="AO1726" s="86" t="s">
        <v>6503</v>
      </c>
      <c r="AP1726" s="81" t="b">
        <v>0</v>
      </c>
      <c r="AQ1726" s="86" t="s">
        <v>5413</v>
      </c>
      <c r="AR1726" s="81" t="s">
        <v>179</v>
      </c>
      <c r="AS1726" s="81">
        <v>0</v>
      </c>
      <c r="AT1726" s="81">
        <v>0</v>
      </c>
      <c r="AU1726" s="81"/>
      <c r="AV1726" s="81"/>
      <c r="AW1726" s="81"/>
      <c r="AX1726" s="81"/>
      <c r="AY1726" s="81"/>
      <c r="AZ1726" s="81"/>
      <c r="BA1726" s="81"/>
      <c r="BB1726" s="81"/>
    </row>
    <row r="1727" spans="1:54" x14ac:dyDescent="0.35">
      <c r="A1727" s="66" t="s">
        <v>1218</v>
      </c>
      <c r="B1727" s="66" t="s">
        <v>1514</v>
      </c>
      <c r="C1727" s="67"/>
      <c r="D1727" s="68"/>
      <c r="E1727" s="69"/>
      <c r="F1727" s="70"/>
      <c r="G1727" s="67"/>
      <c r="H1727" s="71"/>
      <c r="I1727" s="72"/>
      <c r="J1727" s="72"/>
      <c r="K1727" s="36"/>
      <c r="L1727" s="79"/>
      <c r="M1727" s="79"/>
      <c r="N1727" s="74"/>
      <c r="O1727" s="81" t="s">
        <v>1535</v>
      </c>
      <c r="P1727" s="83">
        <v>44467.010613425926</v>
      </c>
      <c r="Q1727" s="81" t="s">
        <v>2197</v>
      </c>
      <c r="R1727" s="84" t="str">
        <f>HYPERLINK("https://pmikabupatensemarang.com/")</f>
        <v>https://pmikabupatensemarang.com/</v>
      </c>
      <c r="S1727" s="81" t="s">
        <v>2647</v>
      </c>
      <c r="T1727" s="86" t="s">
        <v>2736</v>
      </c>
      <c r="U1727" s="84" t="str">
        <f>HYPERLINK("https://pbs.twimg.com/media/FAVM9PdUUAE0ND1.jpg")</f>
        <v>https://pbs.twimg.com/media/FAVM9PdUUAE0ND1.jpg</v>
      </c>
      <c r="V1727" s="84" t="str">
        <f>HYPERLINK("https://pbs.twimg.com/media/FAVM9PdUUAE0ND1.jpg")</f>
        <v>https://pbs.twimg.com/media/FAVM9PdUUAE0ND1.jpg</v>
      </c>
      <c r="W1727" s="83">
        <v>44467.010613425926</v>
      </c>
      <c r="X1727" s="89">
        <v>44467</v>
      </c>
      <c r="Y1727" s="86" t="s">
        <v>3939</v>
      </c>
      <c r="Z1727" s="84" t="str">
        <f>HYPERLINK("https://twitter.com/pmi_kabsemarang/status/1442644042181799938")</f>
        <v>https://twitter.com/pmi_kabsemarang/status/1442644042181799938</v>
      </c>
      <c r="AA1727" s="81"/>
      <c r="AB1727" s="81"/>
      <c r="AC1727" s="86" t="s">
        <v>5414</v>
      </c>
      <c r="AD1727" s="81"/>
      <c r="AE1727" s="81" t="b">
        <v>0</v>
      </c>
      <c r="AF1727" s="81">
        <v>0</v>
      </c>
      <c r="AG1727" s="86" t="s">
        <v>6240</v>
      </c>
      <c r="AH1727" s="81" t="b">
        <v>0</v>
      </c>
      <c r="AI1727" s="81" t="s">
        <v>6478</v>
      </c>
      <c r="AJ1727" s="81"/>
      <c r="AK1727" s="86" t="s">
        <v>6240</v>
      </c>
      <c r="AL1727" s="81" t="b">
        <v>0</v>
      </c>
      <c r="AM1727" s="81">
        <v>0</v>
      </c>
      <c r="AN1727" s="86" t="s">
        <v>6240</v>
      </c>
      <c r="AO1727" s="86" t="s">
        <v>6507</v>
      </c>
      <c r="AP1727" s="81" t="b">
        <v>0</v>
      </c>
      <c r="AQ1727" s="86" t="s">
        <v>5414</v>
      </c>
      <c r="AR1727" s="81" t="s">
        <v>179</v>
      </c>
      <c r="AS1727" s="81">
        <v>0</v>
      </c>
      <c r="AT1727" s="81">
        <v>0</v>
      </c>
      <c r="AU1727" s="81"/>
      <c r="AV1727" s="81"/>
      <c r="AW1727" s="81"/>
      <c r="AX1727" s="81"/>
      <c r="AY1727" s="81"/>
      <c r="AZ1727" s="81"/>
      <c r="BA1727" s="81"/>
      <c r="BB1727" s="81"/>
    </row>
    <row r="1728" spans="1:54" x14ac:dyDescent="0.35">
      <c r="A1728" s="66" t="s">
        <v>1219</v>
      </c>
      <c r="B1728" s="66" t="s">
        <v>1146</v>
      </c>
      <c r="C1728" s="67"/>
      <c r="D1728" s="68"/>
      <c r="E1728" s="69"/>
      <c r="F1728" s="70"/>
      <c r="G1728" s="67"/>
      <c r="H1728" s="71"/>
      <c r="I1728" s="72"/>
      <c r="J1728" s="72"/>
      <c r="K1728" s="36"/>
      <c r="L1728" s="79"/>
      <c r="M1728" s="79"/>
      <c r="N1728" s="74"/>
      <c r="O1728" s="81" t="s">
        <v>1532</v>
      </c>
      <c r="P1728" s="83">
        <v>44467.015324074076</v>
      </c>
      <c r="Q1728" s="81" t="s">
        <v>2091</v>
      </c>
      <c r="R1728" s="81"/>
      <c r="S1728" s="81"/>
      <c r="T1728" s="81"/>
      <c r="U1728" s="84" t="str">
        <f>HYPERLINK("https://pbs.twimg.com/ext_tw_video_thumb/1442373678990196737/pu/img/UDVgFvOXidN40Fez.jpg")</f>
        <v>https://pbs.twimg.com/ext_tw_video_thumb/1442373678990196737/pu/img/UDVgFvOXidN40Fez.jpg</v>
      </c>
      <c r="V1728" s="84" t="str">
        <f>HYPERLINK("https://pbs.twimg.com/ext_tw_video_thumb/1442373678990196737/pu/img/UDVgFvOXidN40Fez.jpg")</f>
        <v>https://pbs.twimg.com/ext_tw_video_thumb/1442373678990196737/pu/img/UDVgFvOXidN40Fez.jpg</v>
      </c>
      <c r="W1728" s="83">
        <v>44467.015324074076</v>
      </c>
      <c r="X1728" s="89">
        <v>44467</v>
      </c>
      <c r="Y1728" s="86" t="s">
        <v>3940</v>
      </c>
      <c r="Z1728" s="84" t="str">
        <f>HYPERLINK("https://twitter.com/yoesfat/status/1442645750983192581")</f>
        <v>https://twitter.com/yoesfat/status/1442645750983192581</v>
      </c>
      <c r="AA1728" s="81"/>
      <c r="AB1728" s="81"/>
      <c r="AC1728" s="86" t="s">
        <v>5415</v>
      </c>
      <c r="AD1728" s="81"/>
      <c r="AE1728" s="81" t="b">
        <v>0</v>
      </c>
      <c r="AF1728" s="81">
        <v>0</v>
      </c>
      <c r="AG1728" s="86" t="s">
        <v>6240</v>
      </c>
      <c r="AH1728" s="81" t="b">
        <v>0</v>
      </c>
      <c r="AI1728" s="81" t="s">
        <v>6478</v>
      </c>
      <c r="AJ1728" s="81"/>
      <c r="AK1728" s="86" t="s">
        <v>6240</v>
      </c>
      <c r="AL1728" s="81" t="b">
        <v>0</v>
      </c>
      <c r="AM1728" s="81">
        <v>30</v>
      </c>
      <c r="AN1728" s="86" t="s">
        <v>5524</v>
      </c>
      <c r="AO1728" s="86" t="s">
        <v>6503</v>
      </c>
      <c r="AP1728" s="81" t="b">
        <v>0</v>
      </c>
      <c r="AQ1728" s="86" t="s">
        <v>5524</v>
      </c>
      <c r="AR1728" s="81" t="s">
        <v>179</v>
      </c>
      <c r="AS1728" s="81">
        <v>0</v>
      </c>
      <c r="AT1728" s="81">
        <v>0</v>
      </c>
      <c r="AU1728" s="81"/>
      <c r="AV1728" s="81"/>
      <c r="AW1728" s="81"/>
      <c r="AX1728" s="81"/>
      <c r="AY1728" s="81"/>
      <c r="AZ1728" s="81"/>
      <c r="BA1728" s="81"/>
      <c r="BB1728" s="81"/>
    </row>
    <row r="1729" spans="1:54" x14ac:dyDescent="0.35">
      <c r="A1729" s="66" t="s">
        <v>1220</v>
      </c>
      <c r="B1729" s="66" t="s">
        <v>1348</v>
      </c>
      <c r="C1729" s="67"/>
      <c r="D1729" s="68"/>
      <c r="E1729" s="69"/>
      <c r="F1729" s="70"/>
      <c r="G1729" s="67"/>
      <c r="H1729" s="71"/>
      <c r="I1729" s="72"/>
      <c r="J1729" s="72"/>
      <c r="K1729" s="36"/>
      <c r="L1729" s="79"/>
      <c r="M1729" s="79"/>
      <c r="N1729" s="74"/>
      <c r="O1729" s="81" t="s">
        <v>1534</v>
      </c>
      <c r="P1729" s="83">
        <v>44458.269652777781</v>
      </c>
      <c r="Q1729" s="81" t="s">
        <v>2198</v>
      </c>
      <c r="R1729" s="81"/>
      <c r="S1729" s="81"/>
      <c r="T1729" s="81"/>
      <c r="U1729" s="81"/>
      <c r="V1729" s="84" t="str">
        <f>HYPERLINK("https://pbs.twimg.com/profile_images/1398523535413284868/9JzBBvwM_normal.jpg")</f>
        <v>https://pbs.twimg.com/profile_images/1398523535413284868/9JzBBvwM_normal.jpg</v>
      </c>
      <c r="W1729" s="83">
        <v>44458.269652777781</v>
      </c>
      <c r="X1729" s="89">
        <v>44458</v>
      </c>
      <c r="Y1729" s="86" t="s">
        <v>3941</v>
      </c>
      <c r="Z1729" s="84" t="str">
        <f>HYPERLINK("https://twitter.com/lulusyukk/status/1439476424583303169")</f>
        <v>https://twitter.com/lulusyukk/status/1439476424583303169</v>
      </c>
      <c r="AA1729" s="81"/>
      <c r="AB1729" s="81"/>
      <c r="AC1729" s="86" t="s">
        <v>5416</v>
      </c>
      <c r="AD1729" s="86" t="s">
        <v>6204</v>
      </c>
      <c r="AE1729" s="81" t="b">
        <v>0</v>
      </c>
      <c r="AF1729" s="81">
        <v>0</v>
      </c>
      <c r="AG1729" s="86" t="s">
        <v>6310</v>
      </c>
      <c r="AH1729" s="81" t="b">
        <v>0</v>
      </c>
      <c r="AI1729" s="81" t="s">
        <v>6478</v>
      </c>
      <c r="AJ1729" s="81"/>
      <c r="AK1729" s="86" t="s">
        <v>6240</v>
      </c>
      <c r="AL1729" s="81" t="b">
        <v>0</v>
      </c>
      <c r="AM1729" s="81">
        <v>0</v>
      </c>
      <c r="AN1729" s="86" t="s">
        <v>6240</v>
      </c>
      <c r="AO1729" s="86" t="s">
        <v>6503</v>
      </c>
      <c r="AP1729" s="81" t="b">
        <v>0</v>
      </c>
      <c r="AQ1729" s="86" t="s">
        <v>6204</v>
      </c>
      <c r="AR1729" s="81" t="s">
        <v>179</v>
      </c>
      <c r="AS1729" s="81">
        <v>0</v>
      </c>
      <c r="AT1729" s="81">
        <v>0</v>
      </c>
      <c r="AU1729" s="81"/>
      <c r="AV1729" s="81"/>
      <c r="AW1729" s="81"/>
      <c r="AX1729" s="81"/>
      <c r="AY1729" s="81"/>
      <c r="AZ1729" s="81"/>
      <c r="BA1729" s="81"/>
      <c r="BB1729" s="81"/>
    </row>
    <row r="1730" spans="1:54" x14ac:dyDescent="0.35">
      <c r="A1730" s="66" t="s">
        <v>1220</v>
      </c>
      <c r="B1730" s="66" t="s">
        <v>1515</v>
      </c>
      <c r="C1730" s="67"/>
      <c r="D1730" s="68"/>
      <c r="E1730" s="69"/>
      <c r="F1730" s="70"/>
      <c r="G1730" s="67"/>
      <c r="H1730" s="71"/>
      <c r="I1730" s="72"/>
      <c r="J1730" s="72"/>
      <c r="K1730" s="36"/>
      <c r="L1730" s="79"/>
      <c r="M1730" s="79"/>
      <c r="N1730" s="74"/>
      <c r="O1730" s="81" t="s">
        <v>1534</v>
      </c>
      <c r="P1730" s="83">
        <v>44458.507453703707</v>
      </c>
      <c r="Q1730" s="81" t="s">
        <v>2199</v>
      </c>
      <c r="R1730" s="81"/>
      <c r="S1730" s="81"/>
      <c r="T1730" s="81"/>
      <c r="U1730" s="81"/>
      <c r="V1730" s="84" t="str">
        <f>HYPERLINK("https://pbs.twimg.com/profile_images/1398523535413284868/9JzBBvwM_normal.jpg")</f>
        <v>https://pbs.twimg.com/profile_images/1398523535413284868/9JzBBvwM_normal.jpg</v>
      </c>
      <c r="W1730" s="83">
        <v>44458.507453703707</v>
      </c>
      <c r="X1730" s="89">
        <v>44458</v>
      </c>
      <c r="Y1730" s="86" t="s">
        <v>3942</v>
      </c>
      <c r="Z1730" s="84" t="str">
        <f>HYPERLINK("https://twitter.com/lulusyukk/status/1439562602699313160")</f>
        <v>https://twitter.com/lulusyukk/status/1439562602699313160</v>
      </c>
      <c r="AA1730" s="81"/>
      <c r="AB1730" s="81"/>
      <c r="AC1730" s="86" t="s">
        <v>5417</v>
      </c>
      <c r="AD1730" s="86" t="s">
        <v>6205</v>
      </c>
      <c r="AE1730" s="81" t="b">
        <v>0</v>
      </c>
      <c r="AF1730" s="81">
        <v>0</v>
      </c>
      <c r="AG1730" s="86" t="s">
        <v>6455</v>
      </c>
      <c r="AH1730" s="81" t="b">
        <v>0</v>
      </c>
      <c r="AI1730" s="81" t="s">
        <v>6478</v>
      </c>
      <c r="AJ1730" s="81"/>
      <c r="AK1730" s="86" t="s">
        <v>6240</v>
      </c>
      <c r="AL1730" s="81" t="b">
        <v>0</v>
      </c>
      <c r="AM1730" s="81">
        <v>0</v>
      </c>
      <c r="AN1730" s="86" t="s">
        <v>6240</v>
      </c>
      <c r="AO1730" s="86" t="s">
        <v>6503</v>
      </c>
      <c r="AP1730" s="81" t="b">
        <v>0</v>
      </c>
      <c r="AQ1730" s="86" t="s">
        <v>6205</v>
      </c>
      <c r="AR1730" s="81" t="s">
        <v>179</v>
      </c>
      <c r="AS1730" s="81">
        <v>0</v>
      </c>
      <c r="AT1730" s="81">
        <v>0</v>
      </c>
      <c r="AU1730" s="81"/>
      <c r="AV1730" s="81"/>
      <c r="AW1730" s="81"/>
      <c r="AX1730" s="81"/>
      <c r="AY1730" s="81"/>
      <c r="AZ1730" s="81"/>
      <c r="BA1730" s="81"/>
      <c r="BB1730" s="81"/>
    </row>
    <row r="1731" spans="1:54" x14ac:dyDescent="0.35">
      <c r="A1731" s="66" t="s">
        <v>1220</v>
      </c>
      <c r="B1731" s="66" t="s">
        <v>1275</v>
      </c>
      <c r="C1731" s="67"/>
      <c r="D1731" s="68"/>
      <c r="E1731" s="69"/>
      <c r="F1731" s="70"/>
      <c r="G1731" s="67"/>
      <c r="H1731" s="71"/>
      <c r="I1731" s="72"/>
      <c r="J1731" s="72"/>
      <c r="K1731" s="36"/>
      <c r="L1731" s="79"/>
      <c r="M1731" s="79"/>
      <c r="N1731" s="74"/>
      <c r="O1731" s="81" t="s">
        <v>1534</v>
      </c>
      <c r="P1731" s="83">
        <v>44458.648356481484</v>
      </c>
      <c r="Q1731" s="81" t="s">
        <v>2200</v>
      </c>
      <c r="R1731" s="81"/>
      <c r="S1731" s="81"/>
      <c r="T1731" s="81"/>
      <c r="U1731" s="81"/>
      <c r="V1731" s="84" t="str">
        <f>HYPERLINK("https://pbs.twimg.com/profile_images/1398523535413284868/9JzBBvwM_normal.jpg")</f>
        <v>https://pbs.twimg.com/profile_images/1398523535413284868/9JzBBvwM_normal.jpg</v>
      </c>
      <c r="W1731" s="83">
        <v>44458.648356481484</v>
      </c>
      <c r="X1731" s="89">
        <v>44458</v>
      </c>
      <c r="Y1731" s="86" t="s">
        <v>3943</v>
      </c>
      <c r="Z1731" s="84" t="str">
        <f>HYPERLINK("https://twitter.com/lulusyukk/status/1439613663267090440")</f>
        <v>https://twitter.com/lulusyukk/status/1439613663267090440</v>
      </c>
      <c r="AA1731" s="81"/>
      <c r="AB1731" s="81"/>
      <c r="AC1731" s="86" t="s">
        <v>5418</v>
      </c>
      <c r="AD1731" s="86" t="s">
        <v>6206</v>
      </c>
      <c r="AE1731" s="81" t="b">
        <v>0</v>
      </c>
      <c r="AF1731" s="81">
        <v>0</v>
      </c>
      <c r="AG1731" s="86" t="s">
        <v>6244</v>
      </c>
      <c r="AH1731" s="81" t="b">
        <v>0</v>
      </c>
      <c r="AI1731" s="81" t="s">
        <v>6478</v>
      </c>
      <c r="AJ1731" s="81"/>
      <c r="AK1731" s="86" t="s">
        <v>6240</v>
      </c>
      <c r="AL1731" s="81" t="b">
        <v>0</v>
      </c>
      <c r="AM1731" s="81">
        <v>0</v>
      </c>
      <c r="AN1731" s="86" t="s">
        <v>6240</v>
      </c>
      <c r="AO1731" s="86" t="s">
        <v>6503</v>
      </c>
      <c r="AP1731" s="81" t="b">
        <v>0</v>
      </c>
      <c r="AQ1731" s="86" t="s">
        <v>6206</v>
      </c>
      <c r="AR1731" s="81" t="s">
        <v>179</v>
      </c>
      <c r="AS1731" s="81">
        <v>0</v>
      </c>
      <c r="AT1731" s="81">
        <v>0</v>
      </c>
      <c r="AU1731" s="81"/>
      <c r="AV1731" s="81"/>
      <c r="AW1731" s="81"/>
      <c r="AX1731" s="81"/>
      <c r="AY1731" s="81"/>
      <c r="AZ1731" s="81"/>
      <c r="BA1731" s="81"/>
      <c r="BB1731" s="81"/>
    </row>
    <row r="1732" spans="1:54" x14ac:dyDescent="0.35">
      <c r="A1732" s="66" t="s">
        <v>1220</v>
      </c>
      <c r="B1732" s="66" t="s">
        <v>1516</v>
      </c>
      <c r="C1732" s="67"/>
      <c r="D1732" s="68"/>
      <c r="E1732" s="69"/>
      <c r="F1732" s="70"/>
      <c r="G1732" s="67"/>
      <c r="H1732" s="71"/>
      <c r="I1732" s="72"/>
      <c r="J1732" s="72"/>
      <c r="K1732" s="36"/>
      <c r="L1732" s="79"/>
      <c r="M1732" s="79"/>
      <c r="N1732" s="74"/>
      <c r="O1732" s="81" t="s">
        <v>1534</v>
      </c>
      <c r="P1732" s="83">
        <v>44459.311099537037</v>
      </c>
      <c r="Q1732" s="81" t="s">
        <v>2201</v>
      </c>
      <c r="R1732" s="81"/>
      <c r="S1732" s="81"/>
      <c r="T1732" s="81"/>
      <c r="U1732" s="81"/>
      <c r="V1732" s="84" t="str">
        <f>HYPERLINK("https://pbs.twimg.com/profile_images/1398523535413284868/9JzBBvwM_normal.jpg")</f>
        <v>https://pbs.twimg.com/profile_images/1398523535413284868/9JzBBvwM_normal.jpg</v>
      </c>
      <c r="W1732" s="83">
        <v>44459.311099537037</v>
      </c>
      <c r="X1732" s="89">
        <v>44459</v>
      </c>
      <c r="Y1732" s="86" t="s">
        <v>3944</v>
      </c>
      <c r="Z1732" s="84" t="str">
        <f>HYPERLINK("https://twitter.com/lulusyukk/status/1439853832771493888")</f>
        <v>https://twitter.com/lulusyukk/status/1439853832771493888</v>
      </c>
      <c r="AA1732" s="81"/>
      <c r="AB1732" s="81"/>
      <c r="AC1732" s="86" t="s">
        <v>5419</v>
      </c>
      <c r="AD1732" s="86" t="s">
        <v>6207</v>
      </c>
      <c r="AE1732" s="81" t="b">
        <v>0</v>
      </c>
      <c r="AF1732" s="81">
        <v>0</v>
      </c>
      <c r="AG1732" s="86" t="s">
        <v>6456</v>
      </c>
      <c r="AH1732" s="81" t="b">
        <v>0</v>
      </c>
      <c r="AI1732" s="81" t="s">
        <v>6478</v>
      </c>
      <c r="AJ1732" s="81"/>
      <c r="AK1732" s="86" t="s">
        <v>6240</v>
      </c>
      <c r="AL1732" s="81" t="b">
        <v>0</v>
      </c>
      <c r="AM1732" s="81">
        <v>0</v>
      </c>
      <c r="AN1732" s="86" t="s">
        <v>6240</v>
      </c>
      <c r="AO1732" s="86" t="s">
        <v>6503</v>
      </c>
      <c r="AP1732" s="81" t="b">
        <v>0</v>
      </c>
      <c r="AQ1732" s="86" t="s">
        <v>6207</v>
      </c>
      <c r="AR1732" s="81" t="s">
        <v>179</v>
      </c>
      <c r="AS1732" s="81">
        <v>0</v>
      </c>
      <c r="AT1732" s="81">
        <v>0</v>
      </c>
      <c r="AU1732" s="81"/>
      <c r="AV1732" s="81"/>
      <c r="AW1732" s="81"/>
      <c r="AX1732" s="81"/>
      <c r="AY1732" s="81"/>
      <c r="AZ1732" s="81"/>
      <c r="BA1732" s="81"/>
      <c r="BB1732" s="81"/>
    </row>
    <row r="1733" spans="1:54" x14ac:dyDescent="0.35">
      <c r="A1733" s="66" t="s">
        <v>1220</v>
      </c>
      <c r="B1733" s="66" t="s">
        <v>1517</v>
      </c>
      <c r="C1733" s="67"/>
      <c r="D1733" s="68"/>
      <c r="E1733" s="69"/>
      <c r="F1733" s="70"/>
      <c r="G1733" s="67"/>
      <c r="H1733" s="71"/>
      <c r="I1733" s="72"/>
      <c r="J1733" s="72"/>
      <c r="K1733" s="36"/>
      <c r="L1733" s="79"/>
      <c r="M1733" s="79"/>
      <c r="N1733" s="74"/>
      <c r="O1733" s="81" t="s">
        <v>1534</v>
      </c>
      <c r="P1733" s="83">
        <v>44463.280532407407</v>
      </c>
      <c r="Q1733" s="81" t="s">
        <v>2202</v>
      </c>
      <c r="R1733" s="81"/>
      <c r="S1733" s="81"/>
      <c r="T1733" s="81"/>
      <c r="U1733" s="81"/>
      <c r="V1733" s="84" t="str">
        <f>HYPERLINK("https://pbs.twimg.com/profile_images/1398523535413284868/9JzBBvwM_normal.jpg")</f>
        <v>https://pbs.twimg.com/profile_images/1398523535413284868/9JzBBvwM_normal.jpg</v>
      </c>
      <c r="W1733" s="83">
        <v>44463.280532407407</v>
      </c>
      <c r="X1733" s="89">
        <v>44463</v>
      </c>
      <c r="Y1733" s="86" t="s">
        <v>2790</v>
      </c>
      <c r="Z1733" s="84" t="str">
        <f>HYPERLINK("https://twitter.com/lulusyukk/status/1441292305810407431")</f>
        <v>https://twitter.com/lulusyukk/status/1441292305810407431</v>
      </c>
      <c r="AA1733" s="81"/>
      <c r="AB1733" s="81"/>
      <c r="AC1733" s="86" t="s">
        <v>5420</v>
      </c>
      <c r="AD1733" s="86" t="s">
        <v>6208</v>
      </c>
      <c r="AE1733" s="81" t="b">
        <v>0</v>
      </c>
      <c r="AF1733" s="81">
        <v>0</v>
      </c>
      <c r="AG1733" s="86" t="s">
        <v>6457</v>
      </c>
      <c r="AH1733" s="81" t="b">
        <v>0</v>
      </c>
      <c r="AI1733" s="81" t="s">
        <v>6478</v>
      </c>
      <c r="AJ1733" s="81"/>
      <c r="AK1733" s="86" t="s">
        <v>6240</v>
      </c>
      <c r="AL1733" s="81" t="b">
        <v>0</v>
      </c>
      <c r="AM1733" s="81">
        <v>0</v>
      </c>
      <c r="AN1733" s="86" t="s">
        <v>6240</v>
      </c>
      <c r="AO1733" s="86" t="s">
        <v>6503</v>
      </c>
      <c r="AP1733" s="81" t="b">
        <v>0</v>
      </c>
      <c r="AQ1733" s="86" t="s">
        <v>6208</v>
      </c>
      <c r="AR1733" s="81" t="s">
        <v>179</v>
      </c>
      <c r="AS1733" s="81">
        <v>0</v>
      </c>
      <c r="AT1733" s="81">
        <v>0</v>
      </c>
      <c r="AU1733" s="81"/>
      <c r="AV1733" s="81"/>
      <c r="AW1733" s="81"/>
      <c r="AX1733" s="81"/>
      <c r="AY1733" s="81"/>
      <c r="AZ1733" s="81"/>
      <c r="BA1733" s="81"/>
      <c r="BB1733" s="81"/>
    </row>
    <row r="1734" spans="1:54" x14ac:dyDescent="0.35">
      <c r="A1734" s="66" t="s">
        <v>1220</v>
      </c>
      <c r="B1734" s="66" t="s">
        <v>1518</v>
      </c>
      <c r="C1734" s="67"/>
      <c r="D1734" s="68"/>
      <c r="E1734" s="69"/>
      <c r="F1734" s="70"/>
      <c r="G1734" s="67"/>
      <c r="H1734" s="71"/>
      <c r="I1734" s="72"/>
      <c r="J1734" s="72"/>
      <c r="K1734" s="36"/>
      <c r="L1734" s="79"/>
      <c r="M1734" s="79"/>
      <c r="N1734" s="74"/>
      <c r="O1734" s="81" t="s">
        <v>1534</v>
      </c>
      <c r="P1734" s="83">
        <v>44464.010127314818</v>
      </c>
      <c r="Q1734" s="81" t="s">
        <v>2203</v>
      </c>
      <c r="R1734" s="81"/>
      <c r="S1734" s="81"/>
      <c r="T1734" s="81"/>
      <c r="U1734" s="81"/>
      <c r="V1734" s="84" t="str">
        <f>HYPERLINK("https://pbs.twimg.com/profile_images/1398523535413284868/9JzBBvwM_normal.jpg")</f>
        <v>https://pbs.twimg.com/profile_images/1398523535413284868/9JzBBvwM_normal.jpg</v>
      </c>
      <c r="W1734" s="83">
        <v>44464.010127314818</v>
      </c>
      <c r="X1734" s="89">
        <v>44464</v>
      </c>
      <c r="Y1734" s="86" t="s">
        <v>3945</v>
      </c>
      <c r="Z1734" s="84" t="str">
        <f>HYPERLINK("https://twitter.com/lulusyukk/status/1441556704215199745")</f>
        <v>https://twitter.com/lulusyukk/status/1441556704215199745</v>
      </c>
      <c r="AA1734" s="81"/>
      <c r="AB1734" s="81"/>
      <c r="AC1734" s="86" t="s">
        <v>5421</v>
      </c>
      <c r="AD1734" s="86" t="s">
        <v>6209</v>
      </c>
      <c r="AE1734" s="81" t="b">
        <v>0</v>
      </c>
      <c r="AF1734" s="81">
        <v>0</v>
      </c>
      <c r="AG1734" s="86" t="s">
        <v>6458</v>
      </c>
      <c r="AH1734" s="81" t="b">
        <v>0</v>
      </c>
      <c r="AI1734" s="81" t="s">
        <v>6478</v>
      </c>
      <c r="AJ1734" s="81"/>
      <c r="AK1734" s="86" t="s">
        <v>6240</v>
      </c>
      <c r="AL1734" s="81" t="b">
        <v>0</v>
      </c>
      <c r="AM1734" s="81">
        <v>0</v>
      </c>
      <c r="AN1734" s="86" t="s">
        <v>6240</v>
      </c>
      <c r="AO1734" s="86" t="s">
        <v>6503</v>
      </c>
      <c r="AP1734" s="81" t="b">
        <v>0</v>
      </c>
      <c r="AQ1734" s="86" t="s">
        <v>6209</v>
      </c>
      <c r="AR1734" s="81" t="s">
        <v>179</v>
      </c>
      <c r="AS1734" s="81">
        <v>0</v>
      </c>
      <c r="AT1734" s="81">
        <v>0</v>
      </c>
      <c r="AU1734" s="81"/>
      <c r="AV1734" s="81"/>
      <c r="AW1734" s="81"/>
      <c r="AX1734" s="81"/>
      <c r="AY1734" s="81"/>
      <c r="AZ1734" s="81"/>
      <c r="BA1734" s="81"/>
      <c r="BB1734" s="81"/>
    </row>
    <row r="1735" spans="1:54" x14ac:dyDescent="0.35">
      <c r="A1735" s="66" t="s">
        <v>1220</v>
      </c>
      <c r="B1735" s="66" t="s">
        <v>1519</v>
      </c>
      <c r="C1735" s="67"/>
      <c r="D1735" s="68"/>
      <c r="E1735" s="69"/>
      <c r="F1735" s="70"/>
      <c r="G1735" s="67"/>
      <c r="H1735" s="71"/>
      <c r="I1735" s="72"/>
      <c r="J1735" s="72"/>
      <c r="K1735" s="36"/>
      <c r="L1735" s="79"/>
      <c r="M1735" s="79"/>
      <c r="N1735" s="74"/>
      <c r="O1735" s="81" t="s">
        <v>1534</v>
      </c>
      <c r="P1735" s="83">
        <v>44464.011689814812</v>
      </c>
      <c r="Q1735" s="81" t="s">
        <v>2204</v>
      </c>
      <c r="R1735" s="81"/>
      <c r="S1735" s="81"/>
      <c r="T1735" s="81"/>
      <c r="U1735" s="81"/>
      <c r="V1735" s="84" t="str">
        <f>HYPERLINK("https://pbs.twimg.com/profile_images/1398523535413284868/9JzBBvwM_normal.jpg")</f>
        <v>https://pbs.twimg.com/profile_images/1398523535413284868/9JzBBvwM_normal.jpg</v>
      </c>
      <c r="W1735" s="83">
        <v>44464.011689814812</v>
      </c>
      <c r="X1735" s="89">
        <v>44464</v>
      </c>
      <c r="Y1735" s="86" t="s">
        <v>3946</v>
      </c>
      <c r="Z1735" s="84" t="str">
        <f>HYPERLINK("https://twitter.com/lulusyukk/status/1441557270463062022")</f>
        <v>https://twitter.com/lulusyukk/status/1441557270463062022</v>
      </c>
      <c r="AA1735" s="81"/>
      <c r="AB1735" s="81"/>
      <c r="AC1735" s="86" t="s">
        <v>5422</v>
      </c>
      <c r="AD1735" s="86" t="s">
        <v>6210</v>
      </c>
      <c r="AE1735" s="81" t="b">
        <v>0</v>
      </c>
      <c r="AF1735" s="81">
        <v>0</v>
      </c>
      <c r="AG1735" s="86" t="s">
        <v>6459</v>
      </c>
      <c r="AH1735" s="81" t="b">
        <v>0</v>
      </c>
      <c r="AI1735" s="81" t="s">
        <v>6478</v>
      </c>
      <c r="AJ1735" s="81"/>
      <c r="AK1735" s="86" t="s">
        <v>6240</v>
      </c>
      <c r="AL1735" s="81" t="b">
        <v>0</v>
      </c>
      <c r="AM1735" s="81">
        <v>0</v>
      </c>
      <c r="AN1735" s="86" t="s">
        <v>6240</v>
      </c>
      <c r="AO1735" s="86" t="s">
        <v>6503</v>
      </c>
      <c r="AP1735" s="81" t="b">
        <v>0</v>
      </c>
      <c r="AQ1735" s="86" t="s">
        <v>6210</v>
      </c>
      <c r="AR1735" s="81" t="s">
        <v>179</v>
      </c>
      <c r="AS1735" s="81">
        <v>0</v>
      </c>
      <c r="AT1735" s="81">
        <v>0</v>
      </c>
      <c r="AU1735" s="81"/>
      <c r="AV1735" s="81"/>
      <c r="AW1735" s="81"/>
      <c r="AX1735" s="81"/>
      <c r="AY1735" s="81"/>
      <c r="AZ1735" s="81"/>
      <c r="BA1735" s="81"/>
      <c r="BB1735" s="81"/>
    </row>
    <row r="1736" spans="1:54" x14ac:dyDescent="0.35">
      <c r="A1736" s="66" t="s">
        <v>1220</v>
      </c>
      <c r="B1736" s="66" t="s">
        <v>1306</v>
      </c>
      <c r="C1736" s="67"/>
      <c r="D1736" s="68"/>
      <c r="E1736" s="69"/>
      <c r="F1736" s="70"/>
      <c r="G1736" s="67"/>
      <c r="H1736" s="71"/>
      <c r="I1736" s="72"/>
      <c r="J1736" s="72"/>
      <c r="K1736" s="36"/>
      <c r="L1736" s="79"/>
      <c r="M1736" s="79"/>
      <c r="N1736" s="74"/>
      <c r="O1736" s="81" t="s">
        <v>1534</v>
      </c>
      <c r="P1736" s="83">
        <v>44464.419328703705</v>
      </c>
      <c r="Q1736" s="81" t="s">
        <v>2205</v>
      </c>
      <c r="R1736" s="81"/>
      <c r="S1736" s="81"/>
      <c r="T1736" s="81"/>
      <c r="U1736" s="81"/>
      <c r="V1736" s="84" t="str">
        <f>HYPERLINK("https://pbs.twimg.com/profile_images/1398523535413284868/9JzBBvwM_normal.jpg")</f>
        <v>https://pbs.twimg.com/profile_images/1398523535413284868/9JzBBvwM_normal.jpg</v>
      </c>
      <c r="W1736" s="83">
        <v>44464.419328703705</v>
      </c>
      <c r="X1736" s="89">
        <v>44464</v>
      </c>
      <c r="Y1736" s="86" t="s">
        <v>3947</v>
      </c>
      <c r="Z1736" s="84" t="str">
        <f>HYPERLINK("https://twitter.com/lulusyukk/status/1441704990825877508")</f>
        <v>https://twitter.com/lulusyukk/status/1441704990825877508</v>
      </c>
      <c r="AA1736" s="81"/>
      <c r="AB1736" s="81"/>
      <c r="AC1736" s="86" t="s">
        <v>5423</v>
      </c>
      <c r="AD1736" s="86" t="s">
        <v>6211</v>
      </c>
      <c r="AE1736" s="81" t="b">
        <v>0</v>
      </c>
      <c r="AF1736" s="81">
        <v>0</v>
      </c>
      <c r="AG1736" s="86" t="s">
        <v>6278</v>
      </c>
      <c r="AH1736" s="81" t="b">
        <v>0</v>
      </c>
      <c r="AI1736" s="81" t="s">
        <v>6478</v>
      </c>
      <c r="AJ1736" s="81"/>
      <c r="AK1736" s="86" t="s">
        <v>6240</v>
      </c>
      <c r="AL1736" s="81" t="b">
        <v>0</v>
      </c>
      <c r="AM1736" s="81">
        <v>0</v>
      </c>
      <c r="AN1736" s="86" t="s">
        <v>6240</v>
      </c>
      <c r="AO1736" s="86" t="s">
        <v>6503</v>
      </c>
      <c r="AP1736" s="81" t="b">
        <v>0</v>
      </c>
      <c r="AQ1736" s="86" t="s">
        <v>6211</v>
      </c>
      <c r="AR1736" s="81" t="s">
        <v>179</v>
      </c>
      <c r="AS1736" s="81">
        <v>0</v>
      </c>
      <c r="AT1736" s="81">
        <v>0</v>
      </c>
      <c r="AU1736" s="81"/>
      <c r="AV1736" s="81"/>
      <c r="AW1736" s="81"/>
      <c r="AX1736" s="81"/>
      <c r="AY1736" s="81"/>
      <c r="AZ1736" s="81"/>
      <c r="BA1736" s="81"/>
      <c r="BB1736" s="81"/>
    </row>
    <row r="1737" spans="1:54" x14ac:dyDescent="0.35">
      <c r="A1737" s="66" t="s">
        <v>1220</v>
      </c>
      <c r="B1737" s="66" t="s">
        <v>1464</v>
      </c>
      <c r="C1737" s="67"/>
      <c r="D1737" s="68"/>
      <c r="E1737" s="69"/>
      <c r="F1737" s="70"/>
      <c r="G1737" s="67"/>
      <c r="H1737" s="71"/>
      <c r="I1737" s="72"/>
      <c r="J1737" s="72"/>
      <c r="K1737" s="36"/>
      <c r="L1737" s="79"/>
      <c r="M1737" s="79"/>
      <c r="N1737" s="74"/>
      <c r="O1737" s="81" t="s">
        <v>1534</v>
      </c>
      <c r="P1737" s="83">
        <v>44461.509745370371</v>
      </c>
      <c r="Q1737" s="81" t="s">
        <v>2206</v>
      </c>
      <c r="R1737" s="81"/>
      <c r="S1737" s="81"/>
      <c r="T1737" s="81"/>
      <c r="U1737" s="81"/>
      <c r="V1737" s="84" t="str">
        <f>HYPERLINK("https://pbs.twimg.com/profile_images/1398523535413284868/9JzBBvwM_normal.jpg")</f>
        <v>https://pbs.twimg.com/profile_images/1398523535413284868/9JzBBvwM_normal.jpg</v>
      </c>
      <c r="W1737" s="83">
        <v>44461.509745370371</v>
      </c>
      <c r="X1737" s="89">
        <v>44461</v>
      </c>
      <c r="Y1737" s="86" t="s">
        <v>3948</v>
      </c>
      <c r="Z1737" s="84" t="str">
        <f>HYPERLINK("https://twitter.com/lulusyukk/status/1440650594792796163")</f>
        <v>https://twitter.com/lulusyukk/status/1440650594792796163</v>
      </c>
      <c r="AA1737" s="81"/>
      <c r="AB1737" s="81"/>
      <c r="AC1737" s="86" t="s">
        <v>5424</v>
      </c>
      <c r="AD1737" s="86" t="s">
        <v>6212</v>
      </c>
      <c r="AE1737" s="81" t="b">
        <v>0</v>
      </c>
      <c r="AF1737" s="81">
        <v>0</v>
      </c>
      <c r="AG1737" s="86" t="s">
        <v>6397</v>
      </c>
      <c r="AH1737" s="81" t="b">
        <v>0</v>
      </c>
      <c r="AI1737" s="81" t="s">
        <v>6478</v>
      </c>
      <c r="AJ1737" s="81"/>
      <c r="AK1737" s="86" t="s">
        <v>6240</v>
      </c>
      <c r="AL1737" s="81" t="b">
        <v>0</v>
      </c>
      <c r="AM1737" s="81">
        <v>0</v>
      </c>
      <c r="AN1737" s="86" t="s">
        <v>6240</v>
      </c>
      <c r="AO1737" s="86" t="s">
        <v>6503</v>
      </c>
      <c r="AP1737" s="81" t="b">
        <v>0</v>
      </c>
      <c r="AQ1737" s="86" t="s">
        <v>6212</v>
      </c>
      <c r="AR1737" s="81" t="s">
        <v>179</v>
      </c>
      <c r="AS1737" s="81">
        <v>0</v>
      </c>
      <c r="AT1737" s="81">
        <v>0</v>
      </c>
      <c r="AU1737" s="81"/>
      <c r="AV1737" s="81"/>
      <c r="AW1737" s="81"/>
      <c r="AX1737" s="81"/>
      <c r="AY1737" s="81"/>
      <c r="AZ1737" s="81"/>
      <c r="BA1737" s="81"/>
      <c r="BB1737" s="81"/>
    </row>
    <row r="1738" spans="1:54" x14ac:dyDescent="0.35">
      <c r="A1738" s="66" t="s">
        <v>1220</v>
      </c>
      <c r="B1738" s="66" t="s">
        <v>1464</v>
      </c>
      <c r="C1738" s="67"/>
      <c r="D1738" s="68"/>
      <c r="E1738" s="69"/>
      <c r="F1738" s="70"/>
      <c r="G1738" s="67"/>
      <c r="H1738" s="71"/>
      <c r="I1738" s="72"/>
      <c r="J1738" s="72"/>
      <c r="K1738" s="36"/>
      <c r="L1738" s="79"/>
      <c r="M1738" s="79"/>
      <c r="N1738" s="74"/>
      <c r="O1738" s="81" t="s">
        <v>1534</v>
      </c>
      <c r="P1738" s="83">
        <v>44466.045567129629</v>
      </c>
      <c r="Q1738" s="81" t="s">
        <v>2207</v>
      </c>
      <c r="R1738" s="81"/>
      <c r="S1738" s="81"/>
      <c r="T1738" s="81"/>
      <c r="U1738" s="81"/>
      <c r="V1738" s="84" t="str">
        <f>HYPERLINK("https://pbs.twimg.com/profile_images/1398523535413284868/9JzBBvwM_normal.jpg")</f>
        <v>https://pbs.twimg.com/profile_images/1398523535413284868/9JzBBvwM_normal.jpg</v>
      </c>
      <c r="W1738" s="83">
        <v>44466.045567129629</v>
      </c>
      <c r="X1738" s="89">
        <v>44466</v>
      </c>
      <c r="Y1738" s="86" t="s">
        <v>3949</v>
      </c>
      <c r="Z1738" s="84" t="str">
        <f>HYPERLINK("https://twitter.com/lulusyukk/status/1442294323639316481")</f>
        <v>https://twitter.com/lulusyukk/status/1442294323639316481</v>
      </c>
      <c r="AA1738" s="81"/>
      <c r="AB1738" s="81"/>
      <c r="AC1738" s="86" t="s">
        <v>5425</v>
      </c>
      <c r="AD1738" s="86" t="s">
        <v>6141</v>
      </c>
      <c r="AE1738" s="81" t="b">
        <v>0</v>
      </c>
      <c r="AF1738" s="81">
        <v>0</v>
      </c>
      <c r="AG1738" s="86" t="s">
        <v>6397</v>
      </c>
      <c r="AH1738" s="81" t="b">
        <v>0</v>
      </c>
      <c r="AI1738" s="81" t="s">
        <v>6478</v>
      </c>
      <c r="AJ1738" s="81"/>
      <c r="AK1738" s="86" t="s">
        <v>6240</v>
      </c>
      <c r="AL1738" s="81" t="b">
        <v>0</v>
      </c>
      <c r="AM1738" s="81">
        <v>0</v>
      </c>
      <c r="AN1738" s="86" t="s">
        <v>6240</v>
      </c>
      <c r="AO1738" s="86" t="s">
        <v>6503</v>
      </c>
      <c r="AP1738" s="81" t="b">
        <v>0</v>
      </c>
      <c r="AQ1738" s="86" t="s">
        <v>6141</v>
      </c>
      <c r="AR1738" s="81" t="s">
        <v>179</v>
      </c>
      <c r="AS1738" s="81">
        <v>0</v>
      </c>
      <c r="AT1738" s="81">
        <v>0</v>
      </c>
      <c r="AU1738" s="81"/>
      <c r="AV1738" s="81"/>
      <c r="AW1738" s="81"/>
      <c r="AX1738" s="81"/>
      <c r="AY1738" s="81"/>
      <c r="AZ1738" s="81"/>
      <c r="BA1738" s="81"/>
      <c r="BB1738" s="81"/>
    </row>
    <row r="1739" spans="1:54" x14ac:dyDescent="0.35">
      <c r="A1739" s="66" t="s">
        <v>1220</v>
      </c>
      <c r="B1739" s="66" t="s">
        <v>1290</v>
      </c>
      <c r="C1739" s="67"/>
      <c r="D1739" s="68"/>
      <c r="E1739" s="69"/>
      <c r="F1739" s="70"/>
      <c r="G1739" s="67"/>
      <c r="H1739" s="71"/>
      <c r="I1739" s="72"/>
      <c r="J1739" s="72"/>
      <c r="K1739" s="36"/>
      <c r="L1739" s="79"/>
      <c r="M1739" s="79"/>
      <c r="N1739" s="74"/>
      <c r="O1739" s="81" t="s">
        <v>1535</v>
      </c>
      <c r="P1739" s="83">
        <v>44458.507453703707</v>
      </c>
      <c r="Q1739" s="81" t="s">
        <v>2199</v>
      </c>
      <c r="R1739" s="81"/>
      <c r="S1739" s="81"/>
      <c r="T1739" s="81"/>
      <c r="U1739" s="81"/>
      <c r="V1739" s="84" t="str">
        <f>HYPERLINK("https://pbs.twimg.com/profile_images/1398523535413284868/9JzBBvwM_normal.jpg")</f>
        <v>https://pbs.twimg.com/profile_images/1398523535413284868/9JzBBvwM_normal.jpg</v>
      </c>
      <c r="W1739" s="83">
        <v>44458.507453703707</v>
      </c>
      <c r="X1739" s="89">
        <v>44458</v>
      </c>
      <c r="Y1739" s="86" t="s">
        <v>3942</v>
      </c>
      <c r="Z1739" s="84" t="str">
        <f>HYPERLINK("https://twitter.com/lulusyukk/status/1439562602699313160")</f>
        <v>https://twitter.com/lulusyukk/status/1439562602699313160</v>
      </c>
      <c r="AA1739" s="81"/>
      <c r="AB1739" s="81"/>
      <c r="AC1739" s="86" t="s">
        <v>5417</v>
      </c>
      <c r="AD1739" s="86" t="s">
        <v>6205</v>
      </c>
      <c r="AE1739" s="81" t="b">
        <v>0</v>
      </c>
      <c r="AF1739" s="81">
        <v>0</v>
      </c>
      <c r="AG1739" s="86" t="s">
        <v>6455</v>
      </c>
      <c r="AH1739" s="81" t="b">
        <v>0</v>
      </c>
      <c r="AI1739" s="81" t="s">
        <v>6478</v>
      </c>
      <c r="AJ1739" s="81"/>
      <c r="AK1739" s="86" t="s">
        <v>6240</v>
      </c>
      <c r="AL1739" s="81" t="b">
        <v>0</v>
      </c>
      <c r="AM1739" s="81">
        <v>0</v>
      </c>
      <c r="AN1739" s="86" t="s">
        <v>6240</v>
      </c>
      <c r="AO1739" s="86" t="s">
        <v>6503</v>
      </c>
      <c r="AP1739" s="81" t="b">
        <v>0</v>
      </c>
      <c r="AQ1739" s="86" t="s">
        <v>6205</v>
      </c>
      <c r="AR1739" s="81" t="s">
        <v>179</v>
      </c>
      <c r="AS1739" s="81">
        <v>0</v>
      </c>
      <c r="AT1739" s="81">
        <v>0</v>
      </c>
      <c r="AU1739" s="81"/>
      <c r="AV1739" s="81"/>
      <c r="AW1739" s="81"/>
      <c r="AX1739" s="81"/>
      <c r="AY1739" s="81"/>
      <c r="AZ1739" s="81"/>
      <c r="BA1739" s="81"/>
      <c r="BB1739" s="81"/>
    </row>
    <row r="1740" spans="1:54" x14ac:dyDescent="0.35">
      <c r="A1740" s="66" t="s">
        <v>1220</v>
      </c>
      <c r="B1740" s="66" t="s">
        <v>1290</v>
      </c>
      <c r="C1740" s="67"/>
      <c r="D1740" s="68"/>
      <c r="E1740" s="69"/>
      <c r="F1740" s="70"/>
      <c r="G1740" s="67"/>
      <c r="H1740" s="71"/>
      <c r="I1740" s="72"/>
      <c r="J1740" s="72"/>
      <c r="K1740" s="36"/>
      <c r="L1740" s="79"/>
      <c r="M1740" s="79"/>
      <c r="N1740" s="74"/>
      <c r="O1740" s="81" t="s">
        <v>1534</v>
      </c>
      <c r="P1740" s="83">
        <v>44460.206203703703</v>
      </c>
      <c r="Q1740" s="81" t="s">
        <v>2208</v>
      </c>
      <c r="R1740" s="81"/>
      <c r="S1740" s="81"/>
      <c r="T1740" s="81"/>
      <c r="U1740" s="81"/>
      <c r="V1740" s="84" t="str">
        <f>HYPERLINK("https://pbs.twimg.com/profile_images/1398523535413284868/9JzBBvwM_normal.jpg")</f>
        <v>https://pbs.twimg.com/profile_images/1398523535413284868/9JzBBvwM_normal.jpg</v>
      </c>
      <c r="W1740" s="83">
        <v>44460.206203703703</v>
      </c>
      <c r="X1740" s="89">
        <v>44460</v>
      </c>
      <c r="Y1740" s="86" t="s">
        <v>3950</v>
      </c>
      <c r="Z1740" s="84" t="str">
        <f>HYPERLINK("https://twitter.com/lulusyukk/status/1440178208217845760")</f>
        <v>https://twitter.com/lulusyukk/status/1440178208217845760</v>
      </c>
      <c r="AA1740" s="81"/>
      <c r="AB1740" s="81"/>
      <c r="AC1740" s="86" t="s">
        <v>5426</v>
      </c>
      <c r="AD1740" s="86" t="s">
        <v>6213</v>
      </c>
      <c r="AE1740" s="81" t="b">
        <v>0</v>
      </c>
      <c r="AF1740" s="81">
        <v>0</v>
      </c>
      <c r="AG1740" s="86" t="s">
        <v>6258</v>
      </c>
      <c r="AH1740" s="81" t="b">
        <v>0</v>
      </c>
      <c r="AI1740" s="81" t="s">
        <v>6478</v>
      </c>
      <c r="AJ1740" s="81"/>
      <c r="AK1740" s="86" t="s">
        <v>6240</v>
      </c>
      <c r="AL1740" s="81" t="b">
        <v>0</v>
      </c>
      <c r="AM1740" s="81">
        <v>0</v>
      </c>
      <c r="AN1740" s="86" t="s">
        <v>6240</v>
      </c>
      <c r="AO1740" s="86" t="s">
        <v>6503</v>
      </c>
      <c r="AP1740" s="81" t="b">
        <v>0</v>
      </c>
      <c r="AQ1740" s="86" t="s">
        <v>6213</v>
      </c>
      <c r="AR1740" s="81" t="s">
        <v>179</v>
      </c>
      <c r="AS1740" s="81">
        <v>0</v>
      </c>
      <c r="AT1740" s="81">
        <v>0</v>
      </c>
      <c r="AU1740" s="81"/>
      <c r="AV1740" s="81"/>
      <c r="AW1740" s="81"/>
      <c r="AX1740" s="81"/>
      <c r="AY1740" s="81"/>
      <c r="AZ1740" s="81"/>
      <c r="BA1740" s="81"/>
      <c r="BB1740" s="81"/>
    </row>
    <row r="1741" spans="1:54" x14ac:dyDescent="0.35">
      <c r="A1741" s="66" t="s">
        <v>1220</v>
      </c>
      <c r="B1741" s="66" t="s">
        <v>1290</v>
      </c>
      <c r="C1741" s="67"/>
      <c r="D1741" s="68"/>
      <c r="E1741" s="69"/>
      <c r="F1741" s="70"/>
      <c r="G1741" s="67"/>
      <c r="H1741" s="71"/>
      <c r="I1741" s="72"/>
      <c r="J1741" s="72"/>
      <c r="K1741" s="36"/>
      <c r="L1741" s="79"/>
      <c r="M1741" s="79"/>
      <c r="N1741" s="74"/>
      <c r="O1741" s="81" t="s">
        <v>1534</v>
      </c>
      <c r="P1741" s="83">
        <v>44463.280856481484</v>
      </c>
      <c r="Q1741" s="81" t="s">
        <v>2208</v>
      </c>
      <c r="R1741" s="81"/>
      <c r="S1741" s="81"/>
      <c r="T1741" s="81"/>
      <c r="U1741" s="81"/>
      <c r="V1741" s="84" t="str">
        <f>HYPERLINK("https://pbs.twimg.com/profile_images/1398523535413284868/9JzBBvwM_normal.jpg")</f>
        <v>https://pbs.twimg.com/profile_images/1398523535413284868/9JzBBvwM_normal.jpg</v>
      </c>
      <c r="W1741" s="83">
        <v>44463.280856481484</v>
      </c>
      <c r="X1741" s="89">
        <v>44463</v>
      </c>
      <c r="Y1741" s="86" t="s">
        <v>3951</v>
      </c>
      <c r="Z1741" s="84" t="str">
        <f>HYPERLINK("https://twitter.com/lulusyukk/status/1441292426027552779")</f>
        <v>https://twitter.com/lulusyukk/status/1441292426027552779</v>
      </c>
      <c r="AA1741" s="81"/>
      <c r="AB1741" s="81"/>
      <c r="AC1741" s="86" t="s">
        <v>5427</v>
      </c>
      <c r="AD1741" s="86" t="s">
        <v>6214</v>
      </c>
      <c r="AE1741" s="81" t="b">
        <v>0</v>
      </c>
      <c r="AF1741" s="81">
        <v>0</v>
      </c>
      <c r="AG1741" s="86" t="s">
        <v>6258</v>
      </c>
      <c r="AH1741" s="81" t="b">
        <v>0</v>
      </c>
      <c r="AI1741" s="81" t="s">
        <v>6478</v>
      </c>
      <c r="AJ1741" s="81"/>
      <c r="AK1741" s="86" t="s">
        <v>6240</v>
      </c>
      <c r="AL1741" s="81" t="b">
        <v>0</v>
      </c>
      <c r="AM1741" s="81">
        <v>0</v>
      </c>
      <c r="AN1741" s="86" t="s">
        <v>6240</v>
      </c>
      <c r="AO1741" s="86" t="s">
        <v>6503</v>
      </c>
      <c r="AP1741" s="81" t="b">
        <v>0</v>
      </c>
      <c r="AQ1741" s="86" t="s">
        <v>6214</v>
      </c>
      <c r="AR1741" s="81" t="s">
        <v>179</v>
      </c>
      <c r="AS1741" s="81">
        <v>0</v>
      </c>
      <c r="AT1741" s="81">
        <v>0</v>
      </c>
      <c r="AU1741" s="81"/>
      <c r="AV1741" s="81"/>
      <c r="AW1741" s="81"/>
      <c r="AX1741" s="81"/>
      <c r="AY1741" s="81"/>
      <c r="AZ1741" s="81"/>
      <c r="BA1741" s="81"/>
      <c r="BB1741" s="81"/>
    </row>
    <row r="1742" spans="1:54" x14ac:dyDescent="0.35">
      <c r="A1742" s="66" t="s">
        <v>1220</v>
      </c>
      <c r="B1742" s="66" t="s">
        <v>1290</v>
      </c>
      <c r="C1742" s="67"/>
      <c r="D1742" s="68"/>
      <c r="E1742" s="69"/>
      <c r="F1742" s="70"/>
      <c r="G1742" s="67"/>
      <c r="H1742" s="71"/>
      <c r="I1742" s="72"/>
      <c r="J1742" s="72"/>
      <c r="K1742" s="36"/>
      <c r="L1742" s="79"/>
      <c r="M1742" s="79"/>
      <c r="N1742" s="74"/>
      <c r="O1742" s="81" t="s">
        <v>1534</v>
      </c>
      <c r="P1742" s="83">
        <v>44463.281608796293</v>
      </c>
      <c r="Q1742" s="81" t="s">
        <v>2208</v>
      </c>
      <c r="R1742" s="81"/>
      <c r="S1742" s="81"/>
      <c r="T1742" s="81"/>
      <c r="U1742" s="81"/>
      <c r="V1742" s="84" t="str">
        <f>HYPERLINK("https://pbs.twimg.com/profile_images/1398523535413284868/9JzBBvwM_normal.jpg")</f>
        <v>https://pbs.twimg.com/profile_images/1398523535413284868/9JzBBvwM_normal.jpg</v>
      </c>
      <c r="W1742" s="83">
        <v>44463.281608796293</v>
      </c>
      <c r="X1742" s="89">
        <v>44463</v>
      </c>
      <c r="Y1742" s="86" t="s">
        <v>3952</v>
      </c>
      <c r="Z1742" s="84" t="str">
        <f>HYPERLINK("https://twitter.com/lulusyukk/status/1441292698476945408")</f>
        <v>https://twitter.com/lulusyukk/status/1441292698476945408</v>
      </c>
      <c r="AA1742" s="81"/>
      <c r="AB1742" s="81"/>
      <c r="AC1742" s="86" t="s">
        <v>5428</v>
      </c>
      <c r="AD1742" s="86" t="s">
        <v>6215</v>
      </c>
      <c r="AE1742" s="81" t="b">
        <v>0</v>
      </c>
      <c r="AF1742" s="81">
        <v>0</v>
      </c>
      <c r="AG1742" s="86" t="s">
        <v>6258</v>
      </c>
      <c r="AH1742" s="81" t="b">
        <v>0</v>
      </c>
      <c r="AI1742" s="81" t="s">
        <v>6478</v>
      </c>
      <c r="AJ1742" s="81"/>
      <c r="AK1742" s="86" t="s">
        <v>6240</v>
      </c>
      <c r="AL1742" s="81" t="b">
        <v>0</v>
      </c>
      <c r="AM1742" s="81">
        <v>0</v>
      </c>
      <c r="AN1742" s="86" t="s">
        <v>6240</v>
      </c>
      <c r="AO1742" s="86" t="s">
        <v>6503</v>
      </c>
      <c r="AP1742" s="81" t="b">
        <v>0</v>
      </c>
      <c r="AQ1742" s="86" t="s">
        <v>6215</v>
      </c>
      <c r="AR1742" s="81" t="s">
        <v>179</v>
      </c>
      <c r="AS1742" s="81">
        <v>0</v>
      </c>
      <c r="AT1742" s="81">
        <v>0</v>
      </c>
      <c r="AU1742" s="81"/>
      <c r="AV1742" s="81"/>
      <c r="AW1742" s="81"/>
      <c r="AX1742" s="81"/>
      <c r="AY1742" s="81"/>
      <c r="AZ1742" s="81"/>
      <c r="BA1742" s="81"/>
      <c r="BB1742" s="81"/>
    </row>
    <row r="1743" spans="1:54" x14ac:dyDescent="0.35">
      <c r="A1743" s="66" t="s">
        <v>1220</v>
      </c>
      <c r="B1743" s="66" t="s">
        <v>1290</v>
      </c>
      <c r="C1743" s="67"/>
      <c r="D1743" s="68"/>
      <c r="E1743" s="69"/>
      <c r="F1743" s="70"/>
      <c r="G1743" s="67"/>
      <c r="H1743" s="71"/>
      <c r="I1743" s="72"/>
      <c r="J1743" s="72"/>
      <c r="K1743" s="36"/>
      <c r="L1743" s="79"/>
      <c r="M1743" s="79"/>
      <c r="N1743" s="74"/>
      <c r="O1743" s="81" t="s">
        <v>1535</v>
      </c>
      <c r="P1743" s="83">
        <v>44464.011689814812</v>
      </c>
      <c r="Q1743" s="81" t="s">
        <v>2204</v>
      </c>
      <c r="R1743" s="81"/>
      <c r="S1743" s="81"/>
      <c r="T1743" s="81"/>
      <c r="U1743" s="81"/>
      <c r="V1743" s="84" t="str">
        <f>HYPERLINK("https://pbs.twimg.com/profile_images/1398523535413284868/9JzBBvwM_normal.jpg")</f>
        <v>https://pbs.twimg.com/profile_images/1398523535413284868/9JzBBvwM_normal.jpg</v>
      </c>
      <c r="W1743" s="83">
        <v>44464.011689814812</v>
      </c>
      <c r="X1743" s="89">
        <v>44464</v>
      </c>
      <c r="Y1743" s="86" t="s">
        <v>3946</v>
      </c>
      <c r="Z1743" s="84" t="str">
        <f>HYPERLINK("https://twitter.com/lulusyukk/status/1441557270463062022")</f>
        <v>https://twitter.com/lulusyukk/status/1441557270463062022</v>
      </c>
      <c r="AA1743" s="81"/>
      <c r="AB1743" s="81"/>
      <c r="AC1743" s="86" t="s">
        <v>5422</v>
      </c>
      <c r="AD1743" s="86" t="s">
        <v>6210</v>
      </c>
      <c r="AE1743" s="81" t="b">
        <v>0</v>
      </c>
      <c r="AF1743" s="81">
        <v>0</v>
      </c>
      <c r="AG1743" s="86" t="s">
        <v>6459</v>
      </c>
      <c r="AH1743" s="81" t="b">
        <v>0</v>
      </c>
      <c r="AI1743" s="81" t="s">
        <v>6478</v>
      </c>
      <c r="AJ1743" s="81"/>
      <c r="AK1743" s="86" t="s">
        <v>6240</v>
      </c>
      <c r="AL1743" s="81" t="b">
        <v>0</v>
      </c>
      <c r="AM1743" s="81">
        <v>0</v>
      </c>
      <c r="AN1743" s="86" t="s">
        <v>6240</v>
      </c>
      <c r="AO1743" s="86" t="s">
        <v>6503</v>
      </c>
      <c r="AP1743" s="81" t="b">
        <v>0</v>
      </c>
      <c r="AQ1743" s="86" t="s">
        <v>6210</v>
      </c>
      <c r="AR1743" s="81" t="s">
        <v>179</v>
      </c>
      <c r="AS1743" s="81">
        <v>0</v>
      </c>
      <c r="AT1743" s="81">
        <v>0</v>
      </c>
      <c r="AU1743" s="81"/>
      <c r="AV1743" s="81"/>
      <c r="AW1743" s="81"/>
      <c r="AX1743" s="81"/>
      <c r="AY1743" s="81"/>
      <c r="AZ1743" s="81"/>
      <c r="BA1743" s="81"/>
      <c r="BB1743" s="81"/>
    </row>
    <row r="1744" spans="1:54" x14ac:dyDescent="0.35">
      <c r="A1744" s="66" t="s">
        <v>1220</v>
      </c>
      <c r="B1744" s="66" t="s">
        <v>1290</v>
      </c>
      <c r="C1744" s="67"/>
      <c r="D1744" s="68"/>
      <c r="E1744" s="69"/>
      <c r="F1744" s="70"/>
      <c r="G1744" s="67"/>
      <c r="H1744" s="71"/>
      <c r="I1744" s="72"/>
      <c r="J1744" s="72"/>
      <c r="K1744" s="36"/>
      <c r="L1744" s="79"/>
      <c r="M1744" s="79"/>
      <c r="N1744" s="74"/>
      <c r="O1744" s="81" t="s">
        <v>1534</v>
      </c>
      <c r="P1744" s="83">
        <v>44464.183310185188</v>
      </c>
      <c r="Q1744" s="81" t="s">
        <v>2208</v>
      </c>
      <c r="R1744" s="81"/>
      <c r="S1744" s="81"/>
      <c r="T1744" s="81"/>
      <c r="U1744" s="81"/>
      <c r="V1744" s="84" t="str">
        <f>HYPERLINK("https://pbs.twimg.com/profile_images/1398523535413284868/9JzBBvwM_normal.jpg")</f>
        <v>https://pbs.twimg.com/profile_images/1398523535413284868/9JzBBvwM_normal.jpg</v>
      </c>
      <c r="W1744" s="83">
        <v>44464.183310185188</v>
      </c>
      <c r="X1744" s="89">
        <v>44464</v>
      </c>
      <c r="Y1744" s="86" t="s">
        <v>3953</v>
      </c>
      <c r="Z1744" s="84" t="str">
        <f>HYPERLINK("https://twitter.com/lulusyukk/status/1441619464110235650")</f>
        <v>https://twitter.com/lulusyukk/status/1441619464110235650</v>
      </c>
      <c r="AA1744" s="81"/>
      <c r="AB1744" s="81"/>
      <c r="AC1744" s="86" t="s">
        <v>5429</v>
      </c>
      <c r="AD1744" s="86" t="s">
        <v>6216</v>
      </c>
      <c r="AE1744" s="81" t="b">
        <v>0</v>
      </c>
      <c r="AF1744" s="81">
        <v>0</v>
      </c>
      <c r="AG1744" s="86" t="s">
        <v>6258</v>
      </c>
      <c r="AH1744" s="81" t="b">
        <v>0</v>
      </c>
      <c r="AI1744" s="81" t="s">
        <v>6478</v>
      </c>
      <c r="AJ1744" s="81"/>
      <c r="AK1744" s="86" t="s">
        <v>6240</v>
      </c>
      <c r="AL1744" s="81" t="b">
        <v>0</v>
      </c>
      <c r="AM1744" s="81">
        <v>0</v>
      </c>
      <c r="AN1744" s="86" t="s">
        <v>6240</v>
      </c>
      <c r="AO1744" s="86" t="s">
        <v>6503</v>
      </c>
      <c r="AP1744" s="81" t="b">
        <v>0</v>
      </c>
      <c r="AQ1744" s="86" t="s">
        <v>6216</v>
      </c>
      <c r="AR1744" s="81" t="s">
        <v>179</v>
      </c>
      <c r="AS1744" s="81">
        <v>0</v>
      </c>
      <c r="AT1744" s="81">
        <v>0</v>
      </c>
      <c r="AU1744" s="81"/>
      <c r="AV1744" s="81"/>
      <c r="AW1744" s="81"/>
      <c r="AX1744" s="81"/>
      <c r="AY1744" s="81"/>
      <c r="AZ1744" s="81"/>
      <c r="BA1744" s="81"/>
      <c r="BB1744" s="81"/>
    </row>
    <row r="1745" spans="1:54" x14ac:dyDescent="0.35">
      <c r="A1745" s="66" t="s">
        <v>1220</v>
      </c>
      <c r="B1745" s="66" t="s">
        <v>1290</v>
      </c>
      <c r="C1745" s="67"/>
      <c r="D1745" s="68"/>
      <c r="E1745" s="69"/>
      <c r="F1745" s="70"/>
      <c r="G1745" s="67"/>
      <c r="H1745" s="71"/>
      <c r="I1745" s="72"/>
      <c r="J1745" s="72"/>
      <c r="K1745" s="36"/>
      <c r="L1745" s="79"/>
      <c r="M1745" s="79"/>
      <c r="N1745" s="74"/>
      <c r="O1745" s="81" t="s">
        <v>1534</v>
      </c>
      <c r="P1745" s="83">
        <v>44466.046412037038</v>
      </c>
      <c r="Q1745" s="81" t="s">
        <v>2208</v>
      </c>
      <c r="R1745" s="81"/>
      <c r="S1745" s="81"/>
      <c r="T1745" s="81"/>
      <c r="U1745" s="81"/>
      <c r="V1745" s="84" t="str">
        <f>HYPERLINK("https://pbs.twimg.com/profile_images/1398523535413284868/9JzBBvwM_normal.jpg")</f>
        <v>https://pbs.twimg.com/profile_images/1398523535413284868/9JzBBvwM_normal.jpg</v>
      </c>
      <c r="W1745" s="83">
        <v>44466.046412037038</v>
      </c>
      <c r="X1745" s="89">
        <v>44466</v>
      </c>
      <c r="Y1745" s="86" t="s">
        <v>3954</v>
      </c>
      <c r="Z1745" s="84" t="str">
        <f>HYPERLINK("https://twitter.com/lulusyukk/status/1442294628468682758")</f>
        <v>https://twitter.com/lulusyukk/status/1442294628468682758</v>
      </c>
      <c r="AA1745" s="81"/>
      <c r="AB1745" s="81"/>
      <c r="AC1745" s="86" t="s">
        <v>5430</v>
      </c>
      <c r="AD1745" s="86" t="s">
        <v>6217</v>
      </c>
      <c r="AE1745" s="81" t="b">
        <v>0</v>
      </c>
      <c r="AF1745" s="81">
        <v>0</v>
      </c>
      <c r="AG1745" s="86" t="s">
        <v>6258</v>
      </c>
      <c r="AH1745" s="81" t="b">
        <v>0</v>
      </c>
      <c r="AI1745" s="81" t="s">
        <v>6478</v>
      </c>
      <c r="AJ1745" s="81"/>
      <c r="AK1745" s="86" t="s">
        <v>6240</v>
      </c>
      <c r="AL1745" s="81" t="b">
        <v>0</v>
      </c>
      <c r="AM1745" s="81">
        <v>0</v>
      </c>
      <c r="AN1745" s="86" t="s">
        <v>6240</v>
      </c>
      <c r="AO1745" s="86" t="s">
        <v>6503</v>
      </c>
      <c r="AP1745" s="81" t="b">
        <v>0</v>
      </c>
      <c r="AQ1745" s="86" t="s">
        <v>6217</v>
      </c>
      <c r="AR1745" s="81" t="s">
        <v>179</v>
      </c>
      <c r="AS1745" s="81">
        <v>0</v>
      </c>
      <c r="AT1745" s="81">
        <v>0</v>
      </c>
      <c r="AU1745" s="81"/>
      <c r="AV1745" s="81"/>
      <c r="AW1745" s="81"/>
      <c r="AX1745" s="81"/>
      <c r="AY1745" s="81"/>
      <c r="AZ1745" s="81"/>
      <c r="BA1745" s="81"/>
      <c r="BB1745" s="81"/>
    </row>
    <row r="1746" spans="1:54" x14ac:dyDescent="0.35">
      <c r="A1746" s="66" t="s">
        <v>1220</v>
      </c>
      <c r="B1746" s="66" t="s">
        <v>1290</v>
      </c>
      <c r="C1746" s="67"/>
      <c r="D1746" s="68"/>
      <c r="E1746" s="69"/>
      <c r="F1746" s="70"/>
      <c r="G1746" s="67"/>
      <c r="H1746" s="71"/>
      <c r="I1746" s="72"/>
      <c r="J1746" s="72"/>
      <c r="K1746" s="36"/>
      <c r="L1746" s="79"/>
      <c r="M1746" s="79"/>
      <c r="N1746" s="74"/>
      <c r="O1746" s="81" t="s">
        <v>1534</v>
      </c>
      <c r="P1746" s="83">
        <v>44467.022870370369</v>
      </c>
      <c r="Q1746" s="81" t="s">
        <v>2208</v>
      </c>
      <c r="R1746" s="81"/>
      <c r="S1746" s="81"/>
      <c r="T1746" s="81"/>
      <c r="U1746" s="81"/>
      <c r="V1746" s="84" t="str">
        <f>HYPERLINK("https://pbs.twimg.com/profile_images/1398523535413284868/9JzBBvwM_normal.jpg")</f>
        <v>https://pbs.twimg.com/profile_images/1398523535413284868/9JzBBvwM_normal.jpg</v>
      </c>
      <c r="W1746" s="83">
        <v>44467.022870370369</v>
      </c>
      <c r="X1746" s="89">
        <v>44467</v>
      </c>
      <c r="Y1746" s="86" t="s">
        <v>3955</v>
      </c>
      <c r="Z1746" s="84" t="str">
        <f>HYPERLINK("https://twitter.com/lulusyukk/status/1442648482842480641")</f>
        <v>https://twitter.com/lulusyukk/status/1442648482842480641</v>
      </c>
      <c r="AA1746" s="81"/>
      <c r="AB1746" s="81"/>
      <c r="AC1746" s="86" t="s">
        <v>5431</v>
      </c>
      <c r="AD1746" s="86" t="s">
        <v>6218</v>
      </c>
      <c r="AE1746" s="81" t="b">
        <v>0</v>
      </c>
      <c r="AF1746" s="81">
        <v>0</v>
      </c>
      <c r="AG1746" s="86" t="s">
        <v>6258</v>
      </c>
      <c r="AH1746" s="81" t="b">
        <v>0</v>
      </c>
      <c r="AI1746" s="81" t="s">
        <v>6478</v>
      </c>
      <c r="AJ1746" s="81"/>
      <c r="AK1746" s="86" t="s">
        <v>6240</v>
      </c>
      <c r="AL1746" s="81" t="b">
        <v>0</v>
      </c>
      <c r="AM1746" s="81">
        <v>0</v>
      </c>
      <c r="AN1746" s="86" t="s">
        <v>6240</v>
      </c>
      <c r="AO1746" s="86" t="s">
        <v>6503</v>
      </c>
      <c r="AP1746" s="81" t="b">
        <v>0</v>
      </c>
      <c r="AQ1746" s="86" t="s">
        <v>6218</v>
      </c>
      <c r="AR1746" s="81" t="s">
        <v>179</v>
      </c>
      <c r="AS1746" s="81">
        <v>0</v>
      </c>
      <c r="AT1746" s="81">
        <v>0</v>
      </c>
      <c r="AU1746" s="81"/>
      <c r="AV1746" s="81"/>
      <c r="AW1746" s="81"/>
      <c r="AX1746" s="81"/>
      <c r="AY1746" s="81"/>
      <c r="AZ1746" s="81"/>
      <c r="BA1746" s="81"/>
      <c r="BB1746" s="81"/>
    </row>
    <row r="1747" spans="1:54" x14ac:dyDescent="0.35">
      <c r="A1747" s="66" t="s">
        <v>1220</v>
      </c>
      <c r="B1747" s="66" t="s">
        <v>1520</v>
      </c>
      <c r="C1747" s="67"/>
      <c r="D1747" s="68"/>
      <c r="E1747" s="69"/>
      <c r="F1747" s="70"/>
      <c r="G1747" s="67"/>
      <c r="H1747" s="71"/>
      <c r="I1747" s="72"/>
      <c r="J1747" s="72"/>
      <c r="K1747" s="36"/>
      <c r="L1747" s="79"/>
      <c r="M1747" s="79"/>
      <c r="N1747" s="74"/>
      <c r="O1747" s="81" t="s">
        <v>1534</v>
      </c>
      <c r="P1747" s="83">
        <v>44467.023425925923</v>
      </c>
      <c r="Q1747" s="81" t="s">
        <v>2209</v>
      </c>
      <c r="R1747" s="81"/>
      <c r="S1747" s="81"/>
      <c r="T1747" s="81"/>
      <c r="U1747" s="81"/>
      <c r="V1747" s="84" t="str">
        <f>HYPERLINK("https://pbs.twimg.com/profile_images/1398523535413284868/9JzBBvwM_normal.jpg")</f>
        <v>https://pbs.twimg.com/profile_images/1398523535413284868/9JzBBvwM_normal.jpg</v>
      </c>
      <c r="W1747" s="83">
        <v>44467.023425925923</v>
      </c>
      <c r="X1747" s="89">
        <v>44467</v>
      </c>
      <c r="Y1747" s="86" t="s">
        <v>3956</v>
      </c>
      <c r="Z1747" s="84" t="str">
        <f>HYPERLINK("https://twitter.com/lulusyukk/status/1442648685150572544")</f>
        <v>https://twitter.com/lulusyukk/status/1442648685150572544</v>
      </c>
      <c r="AA1747" s="81"/>
      <c r="AB1747" s="81"/>
      <c r="AC1747" s="86" t="s">
        <v>5432</v>
      </c>
      <c r="AD1747" s="86" t="s">
        <v>6219</v>
      </c>
      <c r="AE1747" s="81" t="b">
        <v>0</v>
      </c>
      <c r="AF1747" s="81">
        <v>0</v>
      </c>
      <c r="AG1747" s="86" t="s">
        <v>6460</v>
      </c>
      <c r="AH1747" s="81" t="b">
        <v>0</v>
      </c>
      <c r="AI1747" s="81" t="s">
        <v>6478</v>
      </c>
      <c r="AJ1747" s="81"/>
      <c r="AK1747" s="86" t="s">
        <v>6240</v>
      </c>
      <c r="AL1747" s="81" t="b">
        <v>0</v>
      </c>
      <c r="AM1747" s="81">
        <v>0</v>
      </c>
      <c r="AN1747" s="86" t="s">
        <v>6240</v>
      </c>
      <c r="AO1747" s="86" t="s">
        <v>6503</v>
      </c>
      <c r="AP1747" s="81" t="b">
        <v>0</v>
      </c>
      <c r="AQ1747" s="86" t="s">
        <v>6219</v>
      </c>
      <c r="AR1747" s="81" t="s">
        <v>179</v>
      </c>
      <c r="AS1747" s="81">
        <v>0</v>
      </c>
      <c r="AT1747" s="81">
        <v>0</v>
      </c>
      <c r="AU1747" s="81"/>
      <c r="AV1747" s="81"/>
      <c r="AW1747" s="81"/>
      <c r="AX1747" s="81"/>
      <c r="AY1747" s="81"/>
      <c r="AZ1747" s="81"/>
      <c r="BA1747" s="81"/>
      <c r="BB1747" s="81"/>
    </row>
    <row r="1748" spans="1:54" x14ac:dyDescent="0.35">
      <c r="A1748" s="66" t="s">
        <v>1220</v>
      </c>
      <c r="B1748" s="66" t="s">
        <v>1220</v>
      </c>
      <c r="C1748" s="67"/>
      <c r="D1748" s="68"/>
      <c r="E1748" s="69"/>
      <c r="F1748" s="70"/>
      <c r="G1748" s="67"/>
      <c r="H1748" s="71"/>
      <c r="I1748" s="72"/>
      <c r="J1748" s="72"/>
      <c r="K1748" s="36"/>
      <c r="L1748" s="79"/>
      <c r="M1748" s="79"/>
      <c r="N1748" s="74"/>
      <c r="O1748" s="81" t="s">
        <v>179</v>
      </c>
      <c r="P1748" s="83">
        <v>44458.367997685185</v>
      </c>
      <c r="Q1748" s="81" t="s">
        <v>2210</v>
      </c>
      <c r="R1748" s="81"/>
      <c r="S1748" s="81"/>
      <c r="T1748" s="81"/>
      <c r="U1748" s="81"/>
      <c r="V1748" s="84" t="str">
        <f>HYPERLINK("https://pbs.twimg.com/profile_images/1398523535413284868/9JzBBvwM_normal.jpg")</f>
        <v>https://pbs.twimg.com/profile_images/1398523535413284868/9JzBBvwM_normal.jpg</v>
      </c>
      <c r="W1748" s="83">
        <v>44458.367997685185</v>
      </c>
      <c r="X1748" s="89">
        <v>44458</v>
      </c>
      <c r="Y1748" s="86" t="s">
        <v>3957</v>
      </c>
      <c r="Z1748" s="84" t="str">
        <f>HYPERLINK("https://twitter.com/lulusyukk/status/1439512064389632003")</f>
        <v>https://twitter.com/lulusyukk/status/1439512064389632003</v>
      </c>
      <c r="AA1748" s="81"/>
      <c r="AB1748" s="81"/>
      <c r="AC1748" s="86" t="s">
        <v>5433</v>
      </c>
      <c r="AD1748" s="86" t="s">
        <v>6042</v>
      </c>
      <c r="AE1748" s="81" t="b">
        <v>0</v>
      </c>
      <c r="AF1748" s="81">
        <v>0</v>
      </c>
      <c r="AG1748" s="86" t="s">
        <v>6309</v>
      </c>
      <c r="AH1748" s="81" t="b">
        <v>0</v>
      </c>
      <c r="AI1748" s="81" t="s">
        <v>6478</v>
      </c>
      <c r="AJ1748" s="81"/>
      <c r="AK1748" s="86" t="s">
        <v>6240</v>
      </c>
      <c r="AL1748" s="81" t="b">
        <v>0</v>
      </c>
      <c r="AM1748" s="81">
        <v>0</v>
      </c>
      <c r="AN1748" s="86" t="s">
        <v>6240</v>
      </c>
      <c r="AO1748" s="86" t="s">
        <v>6503</v>
      </c>
      <c r="AP1748" s="81" t="b">
        <v>0</v>
      </c>
      <c r="AQ1748" s="86" t="s">
        <v>6042</v>
      </c>
      <c r="AR1748" s="81" t="s">
        <v>179</v>
      </c>
      <c r="AS1748" s="81">
        <v>0</v>
      </c>
      <c r="AT1748" s="81">
        <v>0</v>
      </c>
      <c r="AU1748" s="81"/>
      <c r="AV1748" s="81"/>
      <c r="AW1748" s="81"/>
      <c r="AX1748" s="81"/>
      <c r="AY1748" s="81"/>
      <c r="AZ1748" s="81"/>
      <c r="BA1748" s="81"/>
      <c r="BB1748" s="81"/>
    </row>
    <row r="1749" spans="1:54" x14ac:dyDescent="0.35">
      <c r="A1749" s="66" t="s">
        <v>1220</v>
      </c>
      <c r="B1749" s="66" t="s">
        <v>1220</v>
      </c>
      <c r="C1749" s="67"/>
      <c r="D1749" s="68"/>
      <c r="E1749" s="69"/>
      <c r="F1749" s="70"/>
      <c r="G1749" s="67"/>
      <c r="H1749" s="71"/>
      <c r="I1749" s="72"/>
      <c r="J1749" s="72"/>
      <c r="K1749" s="36"/>
      <c r="L1749" s="79"/>
      <c r="M1749" s="79"/>
      <c r="N1749" s="74"/>
      <c r="O1749" s="81" t="s">
        <v>179</v>
      </c>
      <c r="P1749" s="83">
        <v>44458.369618055556</v>
      </c>
      <c r="Q1749" s="81" t="s">
        <v>2211</v>
      </c>
      <c r="R1749" s="81"/>
      <c r="S1749" s="81"/>
      <c r="T1749" s="81"/>
      <c r="U1749" s="81"/>
      <c r="V1749" s="84" t="str">
        <f>HYPERLINK("https://pbs.twimg.com/profile_images/1398523535413284868/9JzBBvwM_normal.jpg")</f>
        <v>https://pbs.twimg.com/profile_images/1398523535413284868/9JzBBvwM_normal.jpg</v>
      </c>
      <c r="W1749" s="83">
        <v>44458.369618055556</v>
      </c>
      <c r="X1749" s="89">
        <v>44458</v>
      </c>
      <c r="Y1749" s="86" t="s">
        <v>3958</v>
      </c>
      <c r="Z1749" s="84" t="str">
        <f>HYPERLINK("https://twitter.com/lulusyukk/status/1439512648958164998")</f>
        <v>https://twitter.com/lulusyukk/status/1439512648958164998</v>
      </c>
      <c r="AA1749" s="81"/>
      <c r="AB1749" s="81"/>
      <c r="AC1749" s="86" t="s">
        <v>5434</v>
      </c>
      <c r="AD1749" s="86" t="s">
        <v>6220</v>
      </c>
      <c r="AE1749" s="81" t="b">
        <v>0</v>
      </c>
      <c r="AF1749" s="81">
        <v>0</v>
      </c>
      <c r="AG1749" s="86" t="s">
        <v>6461</v>
      </c>
      <c r="AH1749" s="81" t="b">
        <v>0</v>
      </c>
      <c r="AI1749" s="81" t="s">
        <v>6478</v>
      </c>
      <c r="AJ1749" s="81"/>
      <c r="AK1749" s="86" t="s">
        <v>6240</v>
      </c>
      <c r="AL1749" s="81" t="b">
        <v>0</v>
      </c>
      <c r="AM1749" s="81">
        <v>0</v>
      </c>
      <c r="AN1749" s="86" t="s">
        <v>6240</v>
      </c>
      <c r="AO1749" s="86" t="s">
        <v>6503</v>
      </c>
      <c r="AP1749" s="81" t="b">
        <v>0</v>
      </c>
      <c r="AQ1749" s="86" t="s">
        <v>6220</v>
      </c>
      <c r="AR1749" s="81" t="s">
        <v>179</v>
      </c>
      <c r="AS1749" s="81">
        <v>0</v>
      </c>
      <c r="AT1749" s="81">
        <v>0</v>
      </c>
      <c r="AU1749" s="81"/>
      <c r="AV1749" s="81"/>
      <c r="AW1749" s="81"/>
      <c r="AX1749" s="81"/>
      <c r="AY1749" s="81"/>
      <c r="AZ1749" s="81"/>
      <c r="BA1749" s="81"/>
      <c r="BB1749" s="81"/>
    </row>
    <row r="1750" spans="1:54" x14ac:dyDescent="0.35">
      <c r="A1750" s="66" t="s">
        <v>1220</v>
      </c>
      <c r="B1750" s="66" t="s">
        <v>1220</v>
      </c>
      <c r="C1750" s="67"/>
      <c r="D1750" s="68"/>
      <c r="E1750" s="69"/>
      <c r="F1750" s="70"/>
      <c r="G1750" s="67"/>
      <c r="H1750" s="71"/>
      <c r="I1750" s="72"/>
      <c r="J1750" s="72"/>
      <c r="K1750" s="36"/>
      <c r="L1750" s="79"/>
      <c r="M1750" s="79"/>
      <c r="N1750" s="74"/>
      <c r="O1750" s="81" t="s">
        <v>179</v>
      </c>
      <c r="P1750" s="83">
        <v>44460.037766203706</v>
      </c>
      <c r="Q1750" s="81" t="s">
        <v>2211</v>
      </c>
      <c r="R1750" s="81"/>
      <c r="S1750" s="81"/>
      <c r="T1750" s="81"/>
      <c r="U1750" s="81"/>
      <c r="V1750" s="84" t="str">
        <f>HYPERLINK("https://pbs.twimg.com/profile_images/1398523535413284868/9JzBBvwM_normal.jpg")</f>
        <v>https://pbs.twimg.com/profile_images/1398523535413284868/9JzBBvwM_normal.jpg</v>
      </c>
      <c r="W1750" s="83">
        <v>44460.037766203706</v>
      </c>
      <c r="X1750" s="89">
        <v>44460</v>
      </c>
      <c r="Y1750" s="86" t="s">
        <v>3959</v>
      </c>
      <c r="Z1750" s="84" t="str">
        <f>HYPERLINK("https://twitter.com/lulusyukk/status/1440117165571538944")</f>
        <v>https://twitter.com/lulusyukk/status/1440117165571538944</v>
      </c>
      <c r="AA1750" s="81"/>
      <c r="AB1750" s="81"/>
      <c r="AC1750" s="86" t="s">
        <v>5435</v>
      </c>
      <c r="AD1750" s="86" t="s">
        <v>6220</v>
      </c>
      <c r="AE1750" s="81" t="b">
        <v>0</v>
      </c>
      <c r="AF1750" s="81">
        <v>0</v>
      </c>
      <c r="AG1750" s="86" t="s">
        <v>6461</v>
      </c>
      <c r="AH1750" s="81" t="b">
        <v>0</v>
      </c>
      <c r="AI1750" s="81" t="s">
        <v>6478</v>
      </c>
      <c r="AJ1750" s="81"/>
      <c r="AK1750" s="86" t="s">
        <v>6240</v>
      </c>
      <c r="AL1750" s="81" t="b">
        <v>0</v>
      </c>
      <c r="AM1750" s="81">
        <v>0</v>
      </c>
      <c r="AN1750" s="86" t="s">
        <v>6240</v>
      </c>
      <c r="AO1750" s="86" t="s">
        <v>6503</v>
      </c>
      <c r="AP1750" s="81" t="b">
        <v>0</v>
      </c>
      <c r="AQ1750" s="86" t="s">
        <v>6220</v>
      </c>
      <c r="AR1750" s="81" t="s">
        <v>179</v>
      </c>
      <c r="AS1750" s="81">
        <v>0</v>
      </c>
      <c r="AT1750" s="81">
        <v>0</v>
      </c>
      <c r="AU1750" s="81"/>
      <c r="AV1750" s="81"/>
      <c r="AW1750" s="81"/>
      <c r="AX1750" s="81"/>
      <c r="AY1750" s="81"/>
      <c r="AZ1750" s="81"/>
      <c r="BA1750" s="81"/>
      <c r="BB1750" s="81"/>
    </row>
    <row r="1751" spans="1:54" x14ac:dyDescent="0.35">
      <c r="A1751" s="66" t="s">
        <v>1220</v>
      </c>
      <c r="B1751" s="66" t="s">
        <v>1298</v>
      </c>
      <c r="C1751" s="67"/>
      <c r="D1751" s="68"/>
      <c r="E1751" s="69"/>
      <c r="F1751" s="70"/>
      <c r="G1751" s="67"/>
      <c r="H1751" s="71"/>
      <c r="I1751" s="72"/>
      <c r="J1751" s="72"/>
      <c r="K1751" s="36"/>
      <c r="L1751" s="79"/>
      <c r="M1751" s="79"/>
      <c r="N1751" s="74"/>
      <c r="O1751" s="81" t="s">
        <v>1534</v>
      </c>
      <c r="P1751" s="83">
        <v>44462.340925925928</v>
      </c>
      <c r="Q1751" s="81" t="s">
        <v>2212</v>
      </c>
      <c r="R1751" s="81"/>
      <c r="S1751" s="81"/>
      <c r="T1751" s="81"/>
      <c r="U1751" s="81"/>
      <c r="V1751" s="84" t="str">
        <f>HYPERLINK("https://pbs.twimg.com/profile_images/1398523535413284868/9JzBBvwM_normal.jpg")</f>
        <v>https://pbs.twimg.com/profile_images/1398523535413284868/9JzBBvwM_normal.jpg</v>
      </c>
      <c r="W1751" s="83">
        <v>44462.340925925928</v>
      </c>
      <c r="X1751" s="89">
        <v>44462</v>
      </c>
      <c r="Y1751" s="86" t="s">
        <v>3960</v>
      </c>
      <c r="Z1751" s="84" t="str">
        <f>HYPERLINK("https://twitter.com/lulusyukk/status/1440951805228109827")</f>
        <v>https://twitter.com/lulusyukk/status/1440951805228109827</v>
      </c>
      <c r="AA1751" s="81"/>
      <c r="AB1751" s="81"/>
      <c r="AC1751" s="86" t="s">
        <v>5436</v>
      </c>
      <c r="AD1751" s="86" t="s">
        <v>6221</v>
      </c>
      <c r="AE1751" s="81" t="b">
        <v>0</v>
      </c>
      <c r="AF1751" s="81">
        <v>0</v>
      </c>
      <c r="AG1751" s="86" t="s">
        <v>6267</v>
      </c>
      <c r="AH1751" s="81" t="b">
        <v>0</v>
      </c>
      <c r="AI1751" s="81" t="s">
        <v>6478</v>
      </c>
      <c r="AJ1751" s="81"/>
      <c r="AK1751" s="86" t="s">
        <v>6240</v>
      </c>
      <c r="AL1751" s="81" t="b">
        <v>0</v>
      </c>
      <c r="AM1751" s="81">
        <v>0</v>
      </c>
      <c r="AN1751" s="86" t="s">
        <v>6240</v>
      </c>
      <c r="AO1751" s="86" t="s">
        <v>6503</v>
      </c>
      <c r="AP1751" s="81" t="b">
        <v>0</v>
      </c>
      <c r="AQ1751" s="86" t="s">
        <v>6221</v>
      </c>
      <c r="AR1751" s="81" t="s">
        <v>179</v>
      </c>
      <c r="AS1751" s="81">
        <v>0</v>
      </c>
      <c r="AT1751" s="81">
        <v>0</v>
      </c>
      <c r="AU1751" s="81"/>
      <c r="AV1751" s="81"/>
      <c r="AW1751" s="81"/>
      <c r="AX1751" s="81"/>
      <c r="AY1751" s="81"/>
      <c r="AZ1751" s="81"/>
      <c r="BA1751" s="81"/>
      <c r="BB1751" s="81"/>
    </row>
    <row r="1752" spans="1:54" x14ac:dyDescent="0.35">
      <c r="A1752" s="66" t="s">
        <v>1220</v>
      </c>
      <c r="B1752" s="66" t="s">
        <v>1298</v>
      </c>
      <c r="C1752" s="67"/>
      <c r="D1752" s="68"/>
      <c r="E1752" s="69"/>
      <c r="F1752" s="70"/>
      <c r="G1752" s="67"/>
      <c r="H1752" s="71"/>
      <c r="I1752" s="72"/>
      <c r="J1752" s="72"/>
      <c r="K1752" s="36"/>
      <c r="L1752" s="79"/>
      <c r="M1752" s="79"/>
      <c r="N1752" s="74"/>
      <c r="O1752" s="81" t="s">
        <v>1534</v>
      </c>
      <c r="P1752" s="83">
        <v>44462.515405092592</v>
      </c>
      <c r="Q1752" s="81" t="s">
        <v>2213</v>
      </c>
      <c r="R1752" s="81"/>
      <c r="S1752" s="81"/>
      <c r="T1752" s="81"/>
      <c r="U1752" s="81"/>
      <c r="V1752" s="84" t="str">
        <f>HYPERLINK("https://pbs.twimg.com/profile_images/1398523535413284868/9JzBBvwM_normal.jpg")</f>
        <v>https://pbs.twimg.com/profile_images/1398523535413284868/9JzBBvwM_normal.jpg</v>
      </c>
      <c r="W1752" s="83">
        <v>44462.515405092592</v>
      </c>
      <c r="X1752" s="89">
        <v>44462</v>
      </c>
      <c r="Y1752" s="86" t="s">
        <v>3961</v>
      </c>
      <c r="Z1752" s="84" t="str">
        <f>HYPERLINK("https://twitter.com/lulusyukk/status/1441015034302255104")</f>
        <v>https://twitter.com/lulusyukk/status/1441015034302255104</v>
      </c>
      <c r="AA1752" s="81"/>
      <c r="AB1752" s="81"/>
      <c r="AC1752" s="86" t="s">
        <v>5437</v>
      </c>
      <c r="AD1752" s="86" t="s">
        <v>6222</v>
      </c>
      <c r="AE1752" s="81" t="b">
        <v>0</v>
      </c>
      <c r="AF1752" s="81">
        <v>0</v>
      </c>
      <c r="AG1752" s="86" t="s">
        <v>6267</v>
      </c>
      <c r="AH1752" s="81" t="b">
        <v>0</v>
      </c>
      <c r="AI1752" s="81" t="s">
        <v>6478</v>
      </c>
      <c r="AJ1752" s="81"/>
      <c r="AK1752" s="86" t="s">
        <v>6240</v>
      </c>
      <c r="AL1752" s="81" t="b">
        <v>0</v>
      </c>
      <c r="AM1752" s="81">
        <v>0</v>
      </c>
      <c r="AN1752" s="86" t="s">
        <v>6240</v>
      </c>
      <c r="AO1752" s="86" t="s">
        <v>6503</v>
      </c>
      <c r="AP1752" s="81" t="b">
        <v>0</v>
      </c>
      <c r="AQ1752" s="86" t="s">
        <v>6222</v>
      </c>
      <c r="AR1752" s="81" t="s">
        <v>179</v>
      </c>
      <c r="AS1752" s="81">
        <v>0</v>
      </c>
      <c r="AT1752" s="81">
        <v>0</v>
      </c>
      <c r="AU1752" s="81"/>
      <c r="AV1752" s="81"/>
      <c r="AW1752" s="81"/>
      <c r="AX1752" s="81"/>
      <c r="AY1752" s="81"/>
      <c r="AZ1752" s="81"/>
      <c r="BA1752" s="81"/>
      <c r="BB1752" s="81"/>
    </row>
    <row r="1753" spans="1:54" x14ac:dyDescent="0.35">
      <c r="A1753" s="66" t="s">
        <v>1220</v>
      </c>
      <c r="B1753" s="66" t="s">
        <v>1298</v>
      </c>
      <c r="C1753" s="67"/>
      <c r="D1753" s="68"/>
      <c r="E1753" s="69"/>
      <c r="F1753" s="70"/>
      <c r="G1753" s="67"/>
      <c r="H1753" s="71"/>
      <c r="I1753" s="72"/>
      <c r="J1753" s="72"/>
      <c r="K1753" s="36"/>
      <c r="L1753" s="79"/>
      <c r="M1753" s="79"/>
      <c r="N1753" s="74"/>
      <c r="O1753" s="81" t="s">
        <v>1534</v>
      </c>
      <c r="P1753" s="83">
        <v>44463.284166666665</v>
      </c>
      <c r="Q1753" s="81" t="s">
        <v>2213</v>
      </c>
      <c r="R1753" s="81"/>
      <c r="S1753" s="81"/>
      <c r="T1753" s="81"/>
      <c r="U1753" s="81"/>
      <c r="V1753" s="84" t="str">
        <f>HYPERLINK("https://pbs.twimg.com/profile_images/1398523535413284868/9JzBBvwM_normal.jpg")</f>
        <v>https://pbs.twimg.com/profile_images/1398523535413284868/9JzBBvwM_normal.jpg</v>
      </c>
      <c r="W1753" s="83">
        <v>44463.284166666665</v>
      </c>
      <c r="X1753" s="89">
        <v>44463</v>
      </c>
      <c r="Y1753" s="86" t="s">
        <v>3962</v>
      </c>
      <c r="Z1753" s="84" t="str">
        <f>HYPERLINK("https://twitter.com/lulusyukk/status/1441293623652356100")</f>
        <v>https://twitter.com/lulusyukk/status/1441293623652356100</v>
      </c>
      <c r="AA1753" s="81"/>
      <c r="AB1753" s="81"/>
      <c r="AC1753" s="86" t="s">
        <v>5438</v>
      </c>
      <c r="AD1753" s="86" t="s">
        <v>6222</v>
      </c>
      <c r="AE1753" s="81" t="b">
        <v>0</v>
      </c>
      <c r="AF1753" s="81">
        <v>0</v>
      </c>
      <c r="AG1753" s="86" t="s">
        <v>6267</v>
      </c>
      <c r="AH1753" s="81" t="b">
        <v>0</v>
      </c>
      <c r="AI1753" s="81" t="s">
        <v>6478</v>
      </c>
      <c r="AJ1753" s="81"/>
      <c r="AK1753" s="86" t="s">
        <v>6240</v>
      </c>
      <c r="AL1753" s="81" t="b">
        <v>0</v>
      </c>
      <c r="AM1753" s="81">
        <v>0</v>
      </c>
      <c r="AN1753" s="86" t="s">
        <v>6240</v>
      </c>
      <c r="AO1753" s="86" t="s">
        <v>6503</v>
      </c>
      <c r="AP1753" s="81" t="b">
        <v>0</v>
      </c>
      <c r="AQ1753" s="86" t="s">
        <v>6222</v>
      </c>
      <c r="AR1753" s="81" t="s">
        <v>179</v>
      </c>
      <c r="AS1753" s="81">
        <v>0</v>
      </c>
      <c r="AT1753" s="81">
        <v>0</v>
      </c>
      <c r="AU1753" s="81"/>
      <c r="AV1753" s="81"/>
      <c r="AW1753" s="81"/>
      <c r="AX1753" s="81"/>
      <c r="AY1753" s="81"/>
      <c r="AZ1753" s="81"/>
      <c r="BA1753" s="81"/>
      <c r="BB1753" s="81"/>
    </row>
    <row r="1754" spans="1:54" x14ac:dyDescent="0.35">
      <c r="A1754" s="66" t="s">
        <v>1220</v>
      </c>
      <c r="B1754" s="66" t="s">
        <v>1334</v>
      </c>
      <c r="C1754" s="67"/>
      <c r="D1754" s="68"/>
      <c r="E1754" s="69"/>
      <c r="F1754" s="70"/>
      <c r="G1754" s="67"/>
      <c r="H1754" s="71"/>
      <c r="I1754" s="72"/>
      <c r="J1754" s="72"/>
      <c r="K1754" s="36"/>
      <c r="L1754" s="79"/>
      <c r="M1754" s="79"/>
      <c r="N1754" s="74"/>
      <c r="O1754" s="81" t="s">
        <v>1534</v>
      </c>
      <c r="P1754" s="83">
        <v>44466.046134259261</v>
      </c>
      <c r="Q1754" s="81" t="s">
        <v>2214</v>
      </c>
      <c r="R1754" s="81"/>
      <c r="S1754" s="81"/>
      <c r="T1754" s="81"/>
      <c r="U1754" s="81"/>
      <c r="V1754" s="84" t="str">
        <f>HYPERLINK("https://pbs.twimg.com/profile_images/1398523535413284868/9JzBBvwM_normal.jpg")</f>
        <v>https://pbs.twimg.com/profile_images/1398523535413284868/9JzBBvwM_normal.jpg</v>
      </c>
      <c r="W1754" s="83">
        <v>44466.046134259261</v>
      </c>
      <c r="X1754" s="89">
        <v>44466</v>
      </c>
      <c r="Y1754" s="86" t="s">
        <v>3963</v>
      </c>
      <c r="Z1754" s="84" t="str">
        <f>HYPERLINK("https://twitter.com/lulusyukk/status/1442294527373414400")</f>
        <v>https://twitter.com/lulusyukk/status/1442294527373414400</v>
      </c>
      <c r="AA1754" s="81"/>
      <c r="AB1754" s="81"/>
      <c r="AC1754" s="86" t="s">
        <v>5439</v>
      </c>
      <c r="AD1754" s="86" t="s">
        <v>6223</v>
      </c>
      <c r="AE1754" s="81" t="b">
        <v>0</v>
      </c>
      <c r="AF1754" s="81">
        <v>0</v>
      </c>
      <c r="AG1754" s="86" t="s">
        <v>6299</v>
      </c>
      <c r="AH1754" s="81" t="b">
        <v>0</v>
      </c>
      <c r="AI1754" s="81" t="s">
        <v>6478</v>
      </c>
      <c r="AJ1754" s="81"/>
      <c r="AK1754" s="86" t="s">
        <v>6240</v>
      </c>
      <c r="AL1754" s="81" t="b">
        <v>0</v>
      </c>
      <c r="AM1754" s="81">
        <v>0</v>
      </c>
      <c r="AN1754" s="86" t="s">
        <v>6240</v>
      </c>
      <c r="AO1754" s="86" t="s">
        <v>6503</v>
      </c>
      <c r="AP1754" s="81" t="b">
        <v>0</v>
      </c>
      <c r="AQ1754" s="86" t="s">
        <v>6223</v>
      </c>
      <c r="AR1754" s="81" t="s">
        <v>179</v>
      </c>
      <c r="AS1754" s="81">
        <v>0</v>
      </c>
      <c r="AT1754" s="81">
        <v>0</v>
      </c>
      <c r="AU1754" s="81"/>
      <c r="AV1754" s="81"/>
      <c r="AW1754" s="81"/>
      <c r="AX1754" s="81"/>
      <c r="AY1754" s="81"/>
      <c r="AZ1754" s="81"/>
      <c r="BA1754" s="81"/>
      <c r="BB1754" s="81"/>
    </row>
    <row r="1755" spans="1:54" x14ac:dyDescent="0.35">
      <c r="A1755" s="66" t="s">
        <v>1218</v>
      </c>
      <c r="B1755" s="66" t="s">
        <v>1221</v>
      </c>
      <c r="C1755" s="67"/>
      <c r="D1755" s="68"/>
      <c r="E1755" s="69"/>
      <c r="F1755" s="70"/>
      <c r="G1755" s="67"/>
      <c r="H1755" s="71"/>
      <c r="I1755" s="72"/>
      <c r="J1755" s="72"/>
      <c r="K1755" s="36"/>
      <c r="L1755" s="79"/>
      <c r="M1755" s="79"/>
      <c r="N1755" s="74"/>
      <c r="O1755" s="81" t="s">
        <v>1535</v>
      </c>
      <c r="P1755" s="83">
        <v>44466.561608796299</v>
      </c>
      <c r="Q1755" s="81" t="s">
        <v>2196</v>
      </c>
      <c r="R1755" s="84" t="str">
        <f>HYPERLINK("https://pmikabupatensemarang.com/")</f>
        <v>https://pmikabupatensemarang.com/</v>
      </c>
      <c r="S1755" s="81" t="s">
        <v>2647</v>
      </c>
      <c r="T1755" s="86" t="s">
        <v>2736</v>
      </c>
      <c r="U1755" s="84" t="str">
        <f>HYPERLINK("https://pbs.twimg.com/media/FAS5H2-UYAIXcE9.jpg")</f>
        <v>https://pbs.twimg.com/media/FAS5H2-UYAIXcE9.jpg</v>
      </c>
      <c r="V1755" s="84" t="str">
        <f>HYPERLINK("https://pbs.twimg.com/media/FAS5H2-UYAIXcE9.jpg")</f>
        <v>https://pbs.twimg.com/media/FAS5H2-UYAIXcE9.jpg</v>
      </c>
      <c r="W1755" s="83">
        <v>44466.561608796299</v>
      </c>
      <c r="X1755" s="89">
        <v>44466</v>
      </c>
      <c r="Y1755" s="86" t="s">
        <v>3938</v>
      </c>
      <c r="Z1755" s="84" t="str">
        <f>HYPERLINK("https://twitter.com/pmi_kabsemarang/status/1442481328486694929")</f>
        <v>https://twitter.com/pmi_kabsemarang/status/1442481328486694929</v>
      </c>
      <c r="AA1755" s="81"/>
      <c r="AB1755" s="81"/>
      <c r="AC1755" s="86" t="s">
        <v>5413</v>
      </c>
      <c r="AD1755" s="81"/>
      <c r="AE1755" s="81" t="b">
        <v>0</v>
      </c>
      <c r="AF1755" s="81">
        <v>1</v>
      </c>
      <c r="AG1755" s="86" t="s">
        <v>6240</v>
      </c>
      <c r="AH1755" s="81" t="b">
        <v>0</v>
      </c>
      <c r="AI1755" s="81" t="s">
        <v>6478</v>
      </c>
      <c r="AJ1755" s="81"/>
      <c r="AK1755" s="86" t="s">
        <v>6240</v>
      </c>
      <c r="AL1755" s="81" t="b">
        <v>0</v>
      </c>
      <c r="AM1755" s="81">
        <v>0</v>
      </c>
      <c r="AN1755" s="86" t="s">
        <v>6240</v>
      </c>
      <c r="AO1755" s="86" t="s">
        <v>6503</v>
      </c>
      <c r="AP1755" s="81" t="b">
        <v>0</v>
      </c>
      <c r="AQ1755" s="86" t="s">
        <v>5413</v>
      </c>
      <c r="AR1755" s="81" t="s">
        <v>179</v>
      </c>
      <c r="AS1755" s="81">
        <v>0</v>
      </c>
      <c r="AT1755" s="81">
        <v>0</v>
      </c>
      <c r="AU1755" s="81"/>
      <c r="AV1755" s="81"/>
      <c r="AW1755" s="81"/>
      <c r="AX1755" s="81"/>
      <c r="AY1755" s="81"/>
      <c r="AZ1755" s="81"/>
      <c r="BA1755" s="81"/>
      <c r="BB1755" s="81"/>
    </row>
    <row r="1756" spans="1:54" x14ac:dyDescent="0.35">
      <c r="A1756" s="66" t="s">
        <v>1218</v>
      </c>
      <c r="B1756" s="66" t="s">
        <v>1221</v>
      </c>
      <c r="C1756" s="67"/>
      <c r="D1756" s="68"/>
      <c r="E1756" s="69"/>
      <c r="F1756" s="70"/>
      <c r="G1756" s="67"/>
      <c r="H1756" s="71"/>
      <c r="I1756" s="72"/>
      <c r="J1756" s="72"/>
      <c r="K1756" s="36"/>
      <c r="L1756" s="79"/>
      <c r="M1756" s="79"/>
      <c r="N1756" s="74"/>
      <c r="O1756" s="81" t="s">
        <v>1535</v>
      </c>
      <c r="P1756" s="83">
        <v>44467.010613425926</v>
      </c>
      <c r="Q1756" s="81" t="s">
        <v>2197</v>
      </c>
      <c r="R1756" s="84" t="str">
        <f>HYPERLINK("https://pmikabupatensemarang.com/")</f>
        <v>https://pmikabupatensemarang.com/</v>
      </c>
      <c r="S1756" s="81" t="s">
        <v>2647</v>
      </c>
      <c r="T1756" s="86" t="s">
        <v>2736</v>
      </c>
      <c r="U1756" s="84" t="str">
        <f>HYPERLINK("https://pbs.twimg.com/media/FAVM9PdUUAE0ND1.jpg")</f>
        <v>https://pbs.twimg.com/media/FAVM9PdUUAE0ND1.jpg</v>
      </c>
      <c r="V1756" s="84" t="str">
        <f>HYPERLINK("https://pbs.twimg.com/media/FAVM9PdUUAE0ND1.jpg")</f>
        <v>https://pbs.twimg.com/media/FAVM9PdUUAE0ND1.jpg</v>
      </c>
      <c r="W1756" s="83">
        <v>44467.010613425926</v>
      </c>
      <c r="X1756" s="89">
        <v>44467</v>
      </c>
      <c r="Y1756" s="86" t="s">
        <v>3939</v>
      </c>
      <c r="Z1756" s="84" t="str">
        <f>HYPERLINK("https://twitter.com/pmi_kabsemarang/status/1442644042181799938")</f>
        <v>https://twitter.com/pmi_kabsemarang/status/1442644042181799938</v>
      </c>
      <c r="AA1756" s="81"/>
      <c r="AB1756" s="81"/>
      <c r="AC1756" s="86" t="s">
        <v>5414</v>
      </c>
      <c r="AD1756" s="81"/>
      <c r="AE1756" s="81" t="b">
        <v>0</v>
      </c>
      <c r="AF1756" s="81">
        <v>0</v>
      </c>
      <c r="AG1756" s="86" t="s">
        <v>6240</v>
      </c>
      <c r="AH1756" s="81" t="b">
        <v>0</v>
      </c>
      <c r="AI1756" s="81" t="s">
        <v>6478</v>
      </c>
      <c r="AJ1756" s="81"/>
      <c r="AK1756" s="86" t="s">
        <v>6240</v>
      </c>
      <c r="AL1756" s="81" t="b">
        <v>0</v>
      </c>
      <c r="AM1756" s="81">
        <v>0</v>
      </c>
      <c r="AN1756" s="86" t="s">
        <v>6240</v>
      </c>
      <c r="AO1756" s="86" t="s">
        <v>6507</v>
      </c>
      <c r="AP1756" s="81" t="b">
        <v>0</v>
      </c>
      <c r="AQ1756" s="86" t="s">
        <v>5414</v>
      </c>
      <c r="AR1756" s="81" t="s">
        <v>179</v>
      </c>
      <c r="AS1756" s="81">
        <v>0</v>
      </c>
      <c r="AT1756" s="81">
        <v>0</v>
      </c>
      <c r="AU1756" s="81"/>
      <c r="AV1756" s="81"/>
      <c r="AW1756" s="81"/>
      <c r="AX1756" s="81"/>
      <c r="AY1756" s="81"/>
      <c r="AZ1756" s="81"/>
      <c r="BA1756" s="81"/>
      <c r="BB1756" s="81"/>
    </row>
    <row r="1757" spans="1:54" x14ac:dyDescent="0.35">
      <c r="A1757" s="66" t="s">
        <v>1221</v>
      </c>
      <c r="B1757" s="66" t="s">
        <v>1218</v>
      </c>
      <c r="C1757" s="67"/>
      <c r="D1757" s="68"/>
      <c r="E1757" s="69"/>
      <c r="F1757" s="70"/>
      <c r="G1757" s="67"/>
      <c r="H1757" s="71"/>
      <c r="I1757" s="72"/>
      <c r="J1757" s="72"/>
      <c r="K1757" s="36"/>
      <c r="L1757" s="79"/>
      <c r="M1757" s="79"/>
      <c r="N1757" s="74"/>
      <c r="O1757" s="81" t="s">
        <v>1535</v>
      </c>
      <c r="P1757" s="83">
        <v>44466.564375000002</v>
      </c>
      <c r="Q1757" s="81" t="s">
        <v>2176</v>
      </c>
      <c r="R1757" s="84" t="str">
        <f>HYPERLINK("https://pmikabupatensemarang.com/")</f>
        <v>https://pmikabupatensemarang.com/</v>
      </c>
      <c r="S1757" s="81" t="s">
        <v>2647</v>
      </c>
      <c r="T1757" s="86" t="s">
        <v>2731</v>
      </c>
      <c r="U1757" s="84" t="str">
        <f>HYPERLINK("https://pbs.twimg.com/media/FAS6CahXoAIagz4.jpg")</f>
        <v>https://pbs.twimg.com/media/FAS6CahXoAIagz4.jpg</v>
      </c>
      <c r="V1757" s="84" t="str">
        <f>HYPERLINK("https://pbs.twimg.com/media/FAS6CahXoAIagz4.jpg")</f>
        <v>https://pbs.twimg.com/media/FAS6CahXoAIagz4.jpg</v>
      </c>
      <c r="W1757" s="83">
        <v>44466.564375000002</v>
      </c>
      <c r="X1757" s="89">
        <v>44466</v>
      </c>
      <c r="Y1757" s="86" t="s">
        <v>3964</v>
      </c>
      <c r="Z1757" s="84" t="str">
        <f>HYPERLINK("https://twitter.com/blood4lifeid/status/1442482332959657985")</f>
        <v>https://twitter.com/blood4lifeid/status/1442482332959657985</v>
      </c>
      <c r="AA1757" s="81"/>
      <c r="AB1757" s="81"/>
      <c r="AC1757" s="86" t="s">
        <v>5440</v>
      </c>
      <c r="AD1757" s="81"/>
      <c r="AE1757" s="81" t="b">
        <v>0</v>
      </c>
      <c r="AF1757" s="81">
        <v>1</v>
      </c>
      <c r="AG1757" s="86" t="s">
        <v>6240</v>
      </c>
      <c r="AH1757" s="81" t="b">
        <v>0</v>
      </c>
      <c r="AI1757" s="81" t="s">
        <v>6478</v>
      </c>
      <c r="AJ1757" s="81"/>
      <c r="AK1757" s="86" t="s">
        <v>6240</v>
      </c>
      <c r="AL1757" s="81" t="b">
        <v>0</v>
      </c>
      <c r="AM1757" s="81">
        <v>1</v>
      </c>
      <c r="AN1757" s="86" t="s">
        <v>6240</v>
      </c>
      <c r="AO1757" s="86" t="s">
        <v>6521</v>
      </c>
      <c r="AP1757" s="81" t="b">
        <v>0</v>
      </c>
      <c r="AQ1757" s="86" t="s">
        <v>5440</v>
      </c>
      <c r="AR1757" s="81" t="s">
        <v>179</v>
      </c>
      <c r="AS1757" s="81">
        <v>0</v>
      </c>
      <c r="AT1757" s="81">
        <v>0</v>
      </c>
      <c r="AU1757" s="81"/>
      <c r="AV1757" s="81"/>
      <c r="AW1757" s="81"/>
      <c r="AX1757" s="81"/>
      <c r="AY1757" s="81"/>
      <c r="AZ1757" s="81"/>
      <c r="BA1757" s="81"/>
      <c r="BB1757" s="81"/>
    </row>
    <row r="1758" spans="1:54" x14ac:dyDescent="0.35">
      <c r="A1758" s="66" t="s">
        <v>1221</v>
      </c>
      <c r="B1758" s="66" t="s">
        <v>1218</v>
      </c>
      <c r="C1758" s="67"/>
      <c r="D1758" s="68"/>
      <c r="E1758" s="69"/>
      <c r="F1758" s="70"/>
      <c r="G1758" s="67"/>
      <c r="H1758" s="71"/>
      <c r="I1758" s="72"/>
      <c r="J1758" s="72"/>
      <c r="K1758" s="36"/>
      <c r="L1758" s="79"/>
      <c r="M1758" s="79"/>
      <c r="N1758" s="74"/>
      <c r="O1758" s="81" t="s">
        <v>1535</v>
      </c>
      <c r="P1758" s="83">
        <v>44467.033460648148</v>
      </c>
      <c r="Q1758" s="81" t="s">
        <v>2215</v>
      </c>
      <c r="R1758" s="84" t="str">
        <f>HYPERLINK("https://pmikabupatensemarang.com/")</f>
        <v>https://pmikabupatensemarang.com/</v>
      </c>
      <c r="S1758" s="81" t="s">
        <v>2647</v>
      </c>
      <c r="T1758" s="86" t="s">
        <v>2737</v>
      </c>
      <c r="U1758" s="84" t="str">
        <f>HYPERLINK("https://pbs.twimg.com/media/FAVUo--XsAMiWJJ.jpg")</f>
        <v>https://pbs.twimg.com/media/FAVUo--XsAMiWJJ.jpg</v>
      </c>
      <c r="V1758" s="84" t="str">
        <f>HYPERLINK("https://pbs.twimg.com/media/FAVUo--XsAMiWJJ.jpg")</f>
        <v>https://pbs.twimg.com/media/FAVUo--XsAMiWJJ.jpg</v>
      </c>
      <c r="W1758" s="83">
        <v>44467.033460648148</v>
      </c>
      <c r="X1758" s="89">
        <v>44467</v>
      </c>
      <c r="Y1758" s="86" t="s">
        <v>3965</v>
      </c>
      <c r="Z1758" s="84" t="str">
        <f>HYPERLINK("https://twitter.com/blood4lifeid/status/1442652320358178822")</f>
        <v>https://twitter.com/blood4lifeid/status/1442652320358178822</v>
      </c>
      <c r="AA1758" s="81"/>
      <c r="AB1758" s="81"/>
      <c r="AC1758" s="86" t="s">
        <v>5441</v>
      </c>
      <c r="AD1758" s="81"/>
      <c r="AE1758" s="81" t="b">
        <v>0</v>
      </c>
      <c r="AF1758" s="81">
        <v>2</v>
      </c>
      <c r="AG1758" s="86" t="s">
        <v>6240</v>
      </c>
      <c r="AH1758" s="81" t="b">
        <v>0</v>
      </c>
      <c r="AI1758" s="81" t="s">
        <v>6478</v>
      </c>
      <c r="AJ1758" s="81"/>
      <c r="AK1758" s="86" t="s">
        <v>6240</v>
      </c>
      <c r="AL1758" s="81" t="b">
        <v>0</v>
      </c>
      <c r="AM1758" s="81">
        <v>0</v>
      </c>
      <c r="AN1758" s="86" t="s">
        <v>6240</v>
      </c>
      <c r="AO1758" s="86" t="s">
        <v>6521</v>
      </c>
      <c r="AP1758" s="81" t="b">
        <v>0</v>
      </c>
      <c r="AQ1758" s="86" t="s">
        <v>5441</v>
      </c>
      <c r="AR1758" s="81" t="s">
        <v>179</v>
      </c>
      <c r="AS1758" s="81">
        <v>0</v>
      </c>
      <c r="AT1758" s="81">
        <v>0</v>
      </c>
      <c r="AU1758" s="81"/>
      <c r="AV1758" s="81"/>
      <c r="AW1758" s="81"/>
      <c r="AX1758" s="81"/>
      <c r="AY1758" s="81"/>
      <c r="AZ1758" s="81"/>
      <c r="BA1758" s="81"/>
      <c r="BB1758" s="81"/>
    </row>
    <row r="1759" spans="1:54" x14ac:dyDescent="0.35">
      <c r="A1759" s="66" t="s">
        <v>1222</v>
      </c>
      <c r="B1759" s="66" t="s">
        <v>1521</v>
      </c>
      <c r="C1759" s="67"/>
      <c r="D1759" s="68"/>
      <c r="E1759" s="69"/>
      <c r="F1759" s="70"/>
      <c r="G1759" s="67"/>
      <c r="H1759" s="71"/>
      <c r="I1759" s="72"/>
      <c r="J1759" s="72"/>
      <c r="K1759" s="36"/>
      <c r="L1759" s="79"/>
      <c r="M1759" s="79"/>
      <c r="N1759" s="74"/>
      <c r="O1759" s="81" t="s">
        <v>1534</v>
      </c>
      <c r="P1759" s="83">
        <v>44467.038472222222</v>
      </c>
      <c r="Q1759" s="81" t="s">
        <v>2216</v>
      </c>
      <c r="R1759" s="81"/>
      <c r="S1759" s="81"/>
      <c r="T1759" s="81"/>
      <c r="U1759" s="81"/>
      <c r="V1759" s="84" t="str">
        <f>HYPERLINK("https://pbs.twimg.com/profile_images/1437068613802872840/0fkUSEvW_normal.jpg")</f>
        <v>https://pbs.twimg.com/profile_images/1437068613802872840/0fkUSEvW_normal.jpg</v>
      </c>
      <c r="W1759" s="83">
        <v>44467.038472222222</v>
      </c>
      <c r="X1759" s="89">
        <v>44467</v>
      </c>
      <c r="Y1759" s="86" t="s">
        <v>3966</v>
      </c>
      <c r="Z1759" s="84" t="str">
        <f>HYPERLINK("https://twitter.com/gldenvnte/status/1442654139763159045")</f>
        <v>https://twitter.com/gldenvnte/status/1442654139763159045</v>
      </c>
      <c r="AA1759" s="81"/>
      <c r="AB1759" s="81"/>
      <c r="AC1759" s="86" t="s">
        <v>5442</v>
      </c>
      <c r="AD1759" s="86" t="s">
        <v>6224</v>
      </c>
      <c r="AE1759" s="81" t="b">
        <v>0</v>
      </c>
      <c r="AF1759" s="81">
        <v>0</v>
      </c>
      <c r="AG1759" s="86" t="s">
        <v>6462</v>
      </c>
      <c r="AH1759" s="81" t="b">
        <v>0</v>
      </c>
      <c r="AI1759" s="81" t="s">
        <v>6478</v>
      </c>
      <c r="AJ1759" s="81"/>
      <c r="AK1759" s="86" t="s">
        <v>6240</v>
      </c>
      <c r="AL1759" s="81" t="b">
        <v>0</v>
      </c>
      <c r="AM1759" s="81">
        <v>0</v>
      </c>
      <c r="AN1759" s="86" t="s">
        <v>6240</v>
      </c>
      <c r="AO1759" s="86" t="s">
        <v>6503</v>
      </c>
      <c r="AP1759" s="81" t="b">
        <v>0</v>
      </c>
      <c r="AQ1759" s="86" t="s">
        <v>6224</v>
      </c>
      <c r="AR1759" s="81" t="s">
        <v>179</v>
      </c>
      <c r="AS1759" s="81">
        <v>0</v>
      </c>
      <c r="AT1759" s="81">
        <v>0</v>
      </c>
      <c r="AU1759" s="81"/>
      <c r="AV1759" s="81"/>
      <c r="AW1759" s="81"/>
      <c r="AX1759" s="81"/>
      <c r="AY1759" s="81"/>
      <c r="AZ1759" s="81"/>
      <c r="BA1759" s="81"/>
      <c r="BB1759" s="81"/>
    </row>
    <row r="1760" spans="1:54" x14ac:dyDescent="0.35">
      <c r="A1760" s="66" t="s">
        <v>1223</v>
      </c>
      <c r="B1760" s="66" t="s">
        <v>1223</v>
      </c>
      <c r="C1760" s="67"/>
      <c r="D1760" s="68"/>
      <c r="E1760" s="69"/>
      <c r="F1760" s="70"/>
      <c r="G1760" s="67"/>
      <c r="H1760" s="71"/>
      <c r="I1760" s="72"/>
      <c r="J1760" s="72"/>
      <c r="K1760" s="36"/>
      <c r="L1760" s="79"/>
      <c r="M1760" s="79"/>
      <c r="N1760" s="74"/>
      <c r="O1760" s="81" t="s">
        <v>179</v>
      </c>
      <c r="P1760" s="83">
        <v>44458.104699074072</v>
      </c>
      <c r="Q1760" s="81" t="s">
        <v>2217</v>
      </c>
      <c r="R1760" s="81" t="s">
        <v>2583</v>
      </c>
      <c r="S1760" s="81" t="s">
        <v>2649</v>
      </c>
      <c r="T1760" s="81"/>
      <c r="U1760" s="81"/>
      <c r="V1760" s="84" t="str">
        <f>HYPERLINK("https://pbs.twimg.com/profile_images/1045532153419685888/tI5IrzoY_normal.jpg")</f>
        <v>https://pbs.twimg.com/profile_images/1045532153419685888/tI5IrzoY_normal.jpg</v>
      </c>
      <c r="W1760" s="83">
        <v>44458.104699074072</v>
      </c>
      <c r="X1760" s="89">
        <v>44458</v>
      </c>
      <c r="Y1760" s="86" t="s">
        <v>3967</v>
      </c>
      <c r="Z1760" s="84" t="str">
        <f>HYPERLINK("https://twitter.com/openkerja/status/1439416646339219462")</f>
        <v>https://twitter.com/openkerja/status/1439416646339219462</v>
      </c>
      <c r="AA1760" s="81"/>
      <c r="AB1760" s="81"/>
      <c r="AC1760" s="86" t="s">
        <v>5443</v>
      </c>
      <c r="AD1760" s="81"/>
      <c r="AE1760" s="81" t="b">
        <v>0</v>
      </c>
      <c r="AF1760" s="81">
        <v>0</v>
      </c>
      <c r="AG1760" s="86" t="s">
        <v>6240</v>
      </c>
      <c r="AH1760" s="81" t="b">
        <v>0</v>
      </c>
      <c r="AI1760" s="81" t="s">
        <v>6478</v>
      </c>
      <c r="AJ1760" s="81"/>
      <c r="AK1760" s="86" t="s">
        <v>6240</v>
      </c>
      <c r="AL1760" s="81" t="b">
        <v>0</v>
      </c>
      <c r="AM1760" s="81">
        <v>0</v>
      </c>
      <c r="AN1760" s="86" t="s">
        <v>6240</v>
      </c>
      <c r="AO1760" s="86" t="s">
        <v>6503</v>
      </c>
      <c r="AP1760" s="81" t="b">
        <v>0</v>
      </c>
      <c r="AQ1760" s="86" t="s">
        <v>5443</v>
      </c>
      <c r="AR1760" s="81" t="s">
        <v>179</v>
      </c>
      <c r="AS1760" s="81">
        <v>0</v>
      </c>
      <c r="AT1760" s="81">
        <v>0</v>
      </c>
      <c r="AU1760" s="81"/>
      <c r="AV1760" s="81"/>
      <c r="AW1760" s="81"/>
      <c r="AX1760" s="81"/>
      <c r="AY1760" s="81"/>
      <c r="AZ1760" s="81"/>
      <c r="BA1760" s="81"/>
      <c r="BB1760" s="81"/>
    </row>
    <row r="1761" spans="1:54" x14ac:dyDescent="0.35">
      <c r="A1761" s="66" t="s">
        <v>1223</v>
      </c>
      <c r="B1761" s="66" t="s">
        <v>1223</v>
      </c>
      <c r="C1761" s="67"/>
      <c r="D1761" s="68"/>
      <c r="E1761" s="69"/>
      <c r="F1761" s="70"/>
      <c r="G1761" s="67"/>
      <c r="H1761" s="71"/>
      <c r="I1761" s="72"/>
      <c r="J1761" s="72"/>
      <c r="K1761" s="36"/>
      <c r="L1761" s="79"/>
      <c r="M1761" s="79"/>
      <c r="N1761" s="74"/>
      <c r="O1761" s="81" t="s">
        <v>179</v>
      </c>
      <c r="P1761" s="83">
        <v>44461.540289351855</v>
      </c>
      <c r="Q1761" s="81" t="s">
        <v>2218</v>
      </c>
      <c r="R1761" s="81" t="s">
        <v>2583</v>
      </c>
      <c r="S1761" s="81" t="s">
        <v>2649</v>
      </c>
      <c r="T1761" s="81"/>
      <c r="U1761" s="81"/>
      <c r="V1761" s="84" t="str">
        <f>HYPERLINK("https://pbs.twimg.com/profile_images/1045532153419685888/tI5IrzoY_normal.jpg")</f>
        <v>https://pbs.twimg.com/profile_images/1045532153419685888/tI5IrzoY_normal.jpg</v>
      </c>
      <c r="W1761" s="83">
        <v>44461.540289351855</v>
      </c>
      <c r="X1761" s="89">
        <v>44461</v>
      </c>
      <c r="Y1761" s="86" t="s">
        <v>3968</v>
      </c>
      <c r="Z1761" s="84" t="str">
        <f>HYPERLINK("https://twitter.com/openkerja/status/1440661663921831936")</f>
        <v>https://twitter.com/openkerja/status/1440661663921831936</v>
      </c>
      <c r="AA1761" s="81"/>
      <c r="AB1761" s="81"/>
      <c r="AC1761" s="86" t="s">
        <v>5444</v>
      </c>
      <c r="AD1761" s="81"/>
      <c r="AE1761" s="81" t="b">
        <v>0</v>
      </c>
      <c r="AF1761" s="81">
        <v>0</v>
      </c>
      <c r="AG1761" s="86" t="s">
        <v>6240</v>
      </c>
      <c r="AH1761" s="81" t="b">
        <v>0</v>
      </c>
      <c r="AI1761" s="81" t="s">
        <v>6478</v>
      </c>
      <c r="AJ1761" s="81"/>
      <c r="AK1761" s="86" t="s">
        <v>6240</v>
      </c>
      <c r="AL1761" s="81" t="b">
        <v>0</v>
      </c>
      <c r="AM1761" s="81">
        <v>0</v>
      </c>
      <c r="AN1761" s="86" t="s">
        <v>6240</v>
      </c>
      <c r="AO1761" s="86" t="s">
        <v>6503</v>
      </c>
      <c r="AP1761" s="81" t="b">
        <v>0</v>
      </c>
      <c r="AQ1761" s="86" t="s">
        <v>5444</v>
      </c>
      <c r="AR1761" s="81" t="s">
        <v>179</v>
      </c>
      <c r="AS1761" s="81">
        <v>0</v>
      </c>
      <c r="AT1761" s="81">
        <v>0</v>
      </c>
      <c r="AU1761" s="81"/>
      <c r="AV1761" s="81"/>
      <c r="AW1761" s="81"/>
      <c r="AX1761" s="81"/>
      <c r="AY1761" s="81"/>
      <c r="AZ1761" s="81"/>
      <c r="BA1761" s="81"/>
      <c r="BB1761" s="81"/>
    </row>
    <row r="1762" spans="1:54" x14ac:dyDescent="0.35">
      <c r="A1762" s="66" t="s">
        <v>1223</v>
      </c>
      <c r="B1762" s="66" t="s">
        <v>1223</v>
      </c>
      <c r="C1762" s="67"/>
      <c r="D1762" s="68"/>
      <c r="E1762" s="69"/>
      <c r="F1762" s="70"/>
      <c r="G1762" s="67"/>
      <c r="H1762" s="71"/>
      <c r="I1762" s="72"/>
      <c r="J1762" s="72"/>
      <c r="K1762" s="36"/>
      <c r="L1762" s="79"/>
      <c r="M1762" s="79"/>
      <c r="N1762" s="74"/>
      <c r="O1762" s="81" t="s">
        <v>179</v>
      </c>
      <c r="P1762" s="83">
        <v>44462.610254629632</v>
      </c>
      <c r="Q1762" s="81" t="s">
        <v>2219</v>
      </c>
      <c r="R1762" s="81" t="s">
        <v>2584</v>
      </c>
      <c r="S1762" s="81" t="s">
        <v>2649</v>
      </c>
      <c r="T1762" s="81"/>
      <c r="U1762" s="81"/>
      <c r="V1762" s="84" t="str">
        <f>HYPERLINK("https://pbs.twimg.com/profile_images/1045532153419685888/tI5IrzoY_normal.jpg")</f>
        <v>https://pbs.twimg.com/profile_images/1045532153419685888/tI5IrzoY_normal.jpg</v>
      </c>
      <c r="W1762" s="83">
        <v>44462.610254629632</v>
      </c>
      <c r="X1762" s="89">
        <v>44462</v>
      </c>
      <c r="Y1762" s="86" t="s">
        <v>3969</v>
      </c>
      <c r="Z1762" s="84" t="str">
        <f>HYPERLINK("https://twitter.com/openkerja/status/1441049404228571143")</f>
        <v>https://twitter.com/openkerja/status/1441049404228571143</v>
      </c>
      <c r="AA1762" s="81"/>
      <c r="AB1762" s="81"/>
      <c r="AC1762" s="86" t="s">
        <v>5445</v>
      </c>
      <c r="AD1762" s="81"/>
      <c r="AE1762" s="81" t="b">
        <v>0</v>
      </c>
      <c r="AF1762" s="81">
        <v>0</v>
      </c>
      <c r="AG1762" s="86" t="s">
        <v>6240</v>
      </c>
      <c r="AH1762" s="81" t="b">
        <v>0</v>
      </c>
      <c r="AI1762" s="81" t="s">
        <v>6478</v>
      </c>
      <c r="AJ1762" s="81"/>
      <c r="AK1762" s="86" t="s">
        <v>6240</v>
      </c>
      <c r="AL1762" s="81" t="b">
        <v>0</v>
      </c>
      <c r="AM1762" s="81">
        <v>0</v>
      </c>
      <c r="AN1762" s="86" t="s">
        <v>6240</v>
      </c>
      <c r="AO1762" s="86" t="s">
        <v>6503</v>
      </c>
      <c r="AP1762" s="81" t="b">
        <v>0</v>
      </c>
      <c r="AQ1762" s="86" t="s">
        <v>5445</v>
      </c>
      <c r="AR1762" s="81" t="s">
        <v>179</v>
      </c>
      <c r="AS1762" s="81">
        <v>0</v>
      </c>
      <c r="AT1762" s="81">
        <v>0</v>
      </c>
      <c r="AU1762" s="81"/>
      <c r="AV1762" s="81"/>
      <c r="AW1762" s="81"/>
      <c r="AX1762" s="81"/>
      <c r="AY1762" s="81"/>
      <c r="AZ1762" s="81"/>
      <c r="BA1762" s="81"/>
      <c r="BB1762" s="81"/>
    </row>
    <row r="1763" spans="1:54" x14ac:dyDescent="0.35">
      <c r="A1763" s="66" t="s">
        <v>1223</v>
      </c>
      <c r="B1763" s="66" t="s">
        <v>1223</v>
      </c>
      <c r="C1763" s="67"/>
      <c r="D1763" s="68"/>
      <c r="E1763" s="69"/>
      <c r="F1763" s="70"/>
      <c r="G1763" s="67"/>
      <c r="H1763" s="71"/>
      <c r="I1763" s="72"/>
      <c r="J1763" s="72"/>
      <c r="K1763" s="36"/>
      <c r="L1763" s="79"/>
      <c r="M1763" s="79"/>
      <c r="N1763" s="74"/>
      <c r="O1763" s="81" t="s">
        <v>179</v>
      </c>
      <c r="P1763" s="83">
        <v>44466.249907407408</v>
      </c>
      <c r="Q1763" s="81" t="s">
        <v>2220</v>
      </c>
      <c r="R1763" s="81" t="s">
        <v>2585</v>
      </c>
      <c r="S1763" s="81" t="s">
        <v>2649</v>
      </c>
      <c r="T1763" s="81"/>
      <c r="U1763" s="81"/>
      <c r="V1763" s="84" t="str">
        <f>HYPERLINK("https://pbs.twimg.com/profile_images/1045532153419685888/tI5IrzoY_normal.jpg")</f>
        <v>https://pbs.twimg.com/profile_images/1045532153419685888/tI5IrzoY_normal.jpg</v>
      </c>
      <c r="W1763" s="83">
        <v>44466.249907407408</v>
      </c>
      <c r="X1763" s="89">
        <v>44466</v>
      </c>
      <c r="Y1763" s="86" t="s">
        <v>3970</v>
      </c>
      <c r="Z1763" s="84" t="str">
        <f>HYPERLINK("https://twitter.com/openkerja/status/1442368370754482177")</f>
        <v>https://twitter.com/openkerja/status/1442368370754482177</v>
      </c>
      <c r="AA1763" s="81"/>
      <c r="AB1763" s="81"/>
      <c r="AC1763" s="86" t="s">
        <v>5446</v>
      </c>
      <c r="AD1763" s="81"/>
      <c r="AE1763" s="81" t="b">
        <v>0</v>
      </c>
      <c r="AF1763" s="81">
        <v>1</v>
      </c>
      <c r="AG1763" s="86" t="s">
        <v>6240</v>
      </c>
      <c r="AH1763" s="81" t="b">
        <v>0</v>
      </c>
      <c r="AI1763" s="81" t="s">
        <v>6478</v>
      </c>
      <c r="AJ1763" s="81"/>
      <c r="AK1763" s="86" t="s">
        <v>6240</v>
      </c>
      <c r="AL1763" s="81" t="b">
        <v>0</v>
      </c>
      <c r="AM1763" s="81">
        <v>0</v>
      </c>
      <c r="AN1763" s="86" t="s">
        <v>6240</v>
      </c>
      <c r="AO1763" s="86" t="s">
        <v>6503</v>
      </c>
      <c r="AP1763" s="81" t="b">
        <v>0</v>
      </c>
      <c r="AQ1763" s="86" t="s">
        <v>5446</v>
      </c>
      <c r="AR1763" s="81" t="s">
        <v>179</v>
      </c>
      <c r="AS1763" s="81">
        <v>0</v>
      </c>
      <c r="AT1763" s="81">
        <v>0</v>
      </c>
      <c r="AU1763" s="81"/>
      <c r="AV1763" s="81"/>
      <c r="AW1763" s="81"/>
      <c r="AX1763" s="81"/>
      <c r="AY1763" s="81"/>
      <c r="AZ1763" s="81"/>
      <c r="BA1763" s="81"/>
      <c r="BB1763" s="81"/>
    </row>
    <row r="1764" spans="1:54" x14ac:dyDescent="0.35">
      <c r="A1764" s="66" t="s">
        <v>1223</v>
      </c>
      <c r="B1764" s="66" t="s">
        <v>1223</v>
      </c>
      <c r="C1764" s="67"/>
      <c r="D1764" s="68"/>
      <c r="E1764" s="69"/>
      <c r="F1764" s="70"/>
      <c r="G1764" s="67"/>
      <c r="H1764" s="71"/>
      <c r="I1764" s="72"/>
      <c r="J1764" s="72"/>
      <c r="K1764" s="36"/>
      <c r="L1764" s="79"/>
      <c r="M1764" s="79"/>
      <c r="N1764" s="74"/>
      <c r="O1764" s="81" t="s">
        <v>179</v>
      </c>
      <c r="P1764" s="83">
        <v>44467.044861111113</v>
      </c>
      <c r="Q1764" s="81" t="s">
        <v>2221</v>
      </c>
      <c r="R1764" s="81" t="s">
        <v>2583</v>
      </c>
      <c r="S1764" s="81" t="s">
        <v>2649</v>
      </c>
      <c r="T1764" s="81"/>
      <c r="U1764" s="81"/>
      <c r="V1764" s="84" t="str">
        <f>HYPERLINK("https://pbs.twimg.com/profile_images/1045532153419685888/tI5IrzoY_normal.jpg")</f>
        <v>https://pbs.twimg.com/profile_images/1045532153419685888/tI5IrzoY_normal.jpg</v>
      </c>
      <c r="W1764" s="83">
        <v>44467.044861111113</v>
      </c>
      <c r="X1764" s="89">
        <v>44467</v>
      </c>
      <c r="Y1764" s="86" t="s">
        <v>3971</v>
      </c>
      <c r="Z1764" s="84" t="str">
        <f>HYPERLINK("https://twitter.com/openkerja/status/1442656454612111365")</f>
        <v>https://twitter.com/openkerja/status/1442656454612111365</v>
      </c>
      <c r="AA1764" s="81"/>
      <c r="AB1764" s="81"/>
      <c r="AC1764" s="86" t="s">
        <v>5447</v>
      </c>
      <c r="AD1764" s="81"/>
      <c r="AE1764" s="81" t="b">
        <v>0</v>
      </c>
      <c r="AF1764" s="81">
        <v>0</v>
      </c>
      <c r="AG1764" s="86" t="s">
        <v>6240</v>
      </c>
      <c r="AH1764" s="81" t="b">
        <v>0</v>
      </c>
      <c r="AI1764" s="81" t="s">
        <v>6478</v>
      </c>
      <c r="AJ1764" s="81"/>
      <c r="AK1764" s="86" t="s">
        <v>6240</v>
      </c>
      <c r="AL1764" s="81" t="b">
        <v>0</v>
      </c>
      <c r="AM1764" s="81">
        <v>0</v>
      </c>
      <c r="AN1764" s="86" t="s">
        <v>6240</v>
      </c>
      <c r="AO1764" s="86" t="s">
        <v>6503</v>
      </c>
      <c r="AP1764" s="81" t="b">
        <v>0</v>
      </c>
      <c r="AQ1764" s="86" t="s">
        <v>5447</v>
      </c>
      <c r="AR1764" s="81" t="s">
        <v>179</v>
      </c>
      <c r="AS1764" s="81">
        <v>0</v>
      </c>
      <c r="AT1764" s="81">
        <v>0</v>
      </c>
      <c r="AU1764" s="81"/>
      <c r="AV1764" s="81"/>
      <c r="AW1764" s="81"/>
      <c r="AX1764" s="81"/>
      <c r="AY1764" s="81"/>
      <c r="AZ1764" s="81"/>
      <c r="BA1764" s="81"/>
      <c r="BB1764" s="81"/>
    </row>
    <row r="1765" spans="1:54" x14ac:dyDescent="0.35">
      <c r="A1765" s="66" t="s">
        <v>1224</v>
      </c>
      <c r="B1765" s="66" t="s">
        <v>1222</v>
      </c>
      <c r="C1765" s="67"/>
      <c r="D1765" s="68"/>
      <c r="E1765" s="69"/>
      <c r="F1765" s="70"/>
      <c r="G1765" s="67"/>
      <c r="H1765" s="71"/>
      <c r="I1765" s="72"/>
      <c r="J1765" s="72"/>
      <c r="K1765" s="36"/>
      <c r="L1765" s="79"/>
      <c r="M1765" s="79"/>
      <c r="N1765" s="74"/>
      <c r="O1765" s="81" t="s">
        <v>1534</v>
      </c>
      <c r="P1765" s="83">
        <v>44467.056307870371</v>
      </c>
      <c r="Q1765" s="81" t="s">
        <v>2222</v>
      </c>
      <c r="R1765" s="81"/>
      <c r="S1765" s="81"/>
      <c r="T1765" s="81"/>
      <c r="U1765" s="81"/>
      <c r="V1765" s="84" t="str">
        <f>HYPERLINK("https://pbs.twimg.com/profile_images/1442720524602265601/AOqkOkR1_normal.jpg")</f>
        <v>https://pbs.twimg.com/profile_images/1442720524602265601/AOqkOkR1_normal.jpg</v>
      </c>
      <c r="W1765" s="83">
        <v>44467.056307870371</v>
      </c>
      <c r="X1765" s="89">
        <v>44467</v>
      </c>
      <c r="Y1765" s="86" t="s">
        <v>3972</v>
      </c>
      <c r="Z1765" s="84" t="str">
        <f>HYPERLINK("https://twitter.com/winterpeachyy/status/1442660603642867716")</f>
        <v>https://twitter.com/winterpeachyy/status/1442660603642867716</v>
      </c>
      <c r="AA1765" s="81"/>
      <c r="AB1765" s="81"/>
      <c r="AC1765" s="86" t="s">
        <v>5448</v>
      </c>
      <c r="AD1765" s="86" t="s">
        <v>6225</v>
      </c>
      <c r="AE1765" s="81" t="b">
        <v>0</v>
      </c>
      <c r="AF1765" s="81">
        <v>0</v>
      </c>
      <c r="AG1765" s="86" t="s">
        <v>6463</v>
      </c>
      <c r="AH1765" s="81" t="b">
        <v>0</v>
      </c>
      <c r="AI1765" s="81" t="s">
        <v>6478</v>
      </c>
      <c r="AJ1765" s="81"/>
      <c r="AK1765" s="86" t="s">
        <v>6240</v>
      </c>
      <c r="AL1765" s="81" t="b">
        <v>0</v>
      </c>
      <c r="AM1765" s="81">
        <v>0</v>
      </c>
      <c r="AN1765" s="86" t="s">
        <v>6240</v>
      </c>
      <c r="AO1765" s="86" t="s">
        <v>6505</v>
      </c>
      <c r="AP1765" s="81" t="b">
        <v>0</v>
      </c>
      <c r="AQ1765" s="86" t="s">
        <v>6225</v>
      </c>
      <c r="AR1765" s="81" t="s">
        <v>179</v>
      </c>
      <c r="AS1765" s="81">
        <v>0</v>
      </c>
      <c r="AT1765" s="81">
        <v>0</v>
      </c>
      <c r="AU1765" s="81"/>
      <c r="AV1765" s="81"/>
      <c r="AW1765" s="81"/>
      <c r="AX1765" s="81"/>
      <c r="AY1765" s="81"/>
      <c r="AZ1765" s="81"/>
      <c r="BA1765" s="81"/>
      <c r="BB1765" s="81"/>
    </row>
    <row r="1766" spans="1:54" x14ac:dyDescent="0.35">
      <c r="A1766" s="66" t="s">
        <v>1225</v>
      </c>
      <c r="B1766" s="66" t="s">
        <v>1225</v>
      </c>
      <c r="C1766" s="67"/>
      <c r="D1766" s="68"/>
      <c r="E1766" s="69"/>
      <c r="F1766" s="70"/>
      <c r="G1766" s="67"/>
      <c r="H1766" s="71"/>
      <c r="I1766" s="72"/>
      <c r="J1766" s="72"/>
      <c r="K1766" s="36"/>
      <c r="L1766" s="79"/>
      <c r="M1766" s="79"/>
      <c r="N1766" s="74"/>
      <c r="O1766" s="81" t="s">
        <v>179</v>
      </c>
      <c r="P1766" s="83">
        <v>44459.116990740738</v>
      </c>
      <c r="Q1766" s="81" t="s">
        <v>2223</v>
      </c>
      <c r="R1766" s="81"/>
      <c r="S1766" s="81"/>
      <c r="T1766" s="86" t="s">
        <v>2738</v>
      </c>
      <c r="U1766" s="84" t="str">
        <f>HYPERLINK("https://pbs.twimg.com/media/E_sjXN6VcAIjhyF.jpg")</f>
        <v>https://pbs.twimg.com/media/E_sjXN6VcAIjhyF.jpg</v>
      </c>
      <c r="V1766" s="84" t="str">
        <f>HYPERLINK("https://pbs.twimg.com/media/E_sjXN6VcAIjhyF.jpg")</f>
        <v>https://pbs.twimg.com/media/E_sjXN6VcAIjhyF.jpg</v>
      </c>
      <c r="W1766" s="83">
        <v>44459.116990740738</v>
      </c>
      <c r="X1766" s="89">
        <v>44459</v>
      </c>
      <c r="Y1766" s="86" t="s">
        <v>3973</v>
      </c>
      <c r="Z1766" s="84" t="str">
        <f>HYPERLINK("https://twitter.com/tbssouvenir/status/1439783488794677251")</f>
        <v>https://twitter.com/tbssouvenir/status/1439783488794677251</v>
      </c>
      <c r="AA1766" s="81"/>
      <c r="AB1766" s="81"/>
      <c r="AC1766" s="86" t="s">
        <v>5449</v>
      </c>
      <c r="AD1766" s="81"/>
      <c r="AE1766" s="81" t="b">
        <v>0</v>
      </c>
      <c r="AF1766" s="81">
        <v>0</v>
      </c>
      <c r="AG1766" s="86" t="s">
        <v>6240</v>
      </c>
      <c r="AH1766" s="81" t="b">
        <v>0</v>
      </c>
      <c r="AI1766" s="81" t="s">
        <v>6478</v>
      </c>
      <c r="AJ1766" s="81"/>
      <c r="AK1766" s="86" t="s">
        <v>6240</v>
      </c>
      <c r="AL1766" s="81" t="b">
        <v>0</v>
      </c>
      <c r="AM1766" s="81">
        <v>0</v>
      </c>
      <c r="AN1766" s="86" t="s">
        <v>6240</v>
      </c>
      <c r="AO1766" s="86" t="s">
        <v>6503</v>
      </c>
      <c r="AP1766" s="81" t="b">
        <v>0</v>
      </c>
      <c r="AQ1766" s="86" t="s">
        <v>5449</v>
      </c>
      <c r="AR1766" s="81" t="s">
        <v>179</v>
      </c>
      <c r="AS1766" s="81">
        <v>0</v>
      </c>
      <c r="AT1766" s="81">
        <v>0</v>
      </c>
      <c r="AU1766" s="81" t="s">
        <v>6540</v>
      </c>
      <c r="AV1766" s="81" t="s">
        <v>6543</v>
      </c>
      <c r="AW1766" s="81" t="s">
        <v>12</v>
      </c>
      <c r="AX1766" s="81" t="s">
        <v>6548</v>
      </c>
      <c r="AY1766" s="81" t="s">
        <v>6555</v>
      </c>
      <c r="AZ1766" s="81" t="s">
        <v>6548</v>
      </c>
      <c r="BA1766" s="81" t="s">
        <v>6566</v>
      </c>
      <c r="BB1766" s="84" t="str">
        <f>HYPERLINK("https://api.twitter.com/1.1/geo/id/0fc374080c942001.json")</f>
        <v>https://api.twitter.com/1.1/geo/id/0fc374080c942001.json</v>
      </c>
    </row>
    <row r="1767" spans="1:54" x14ac:dyDescent="0.35">
      <c r="A1767" s="66" t="s">
        <v>1225</v>
      </c>
      <c r="B1767" s="66" t="s">
        <v>1225</v>
      </c>
      <c r="C1767" s="67"/>
      <c r="D1767" s="68"/>
      <c r="E1767" s="69"/>
      <c r="F1767" s="70"/>
      <c r="G1767" s="67"/>
      <c r="H1767" s="71"/>
      <c r="I1767" s="72"/>
      <c r="J1767" s="72"/>
      <c r="K1767" s="36"/>
      <c r="L1767" s="79"/>
      <c r="M1767" s="79"/>
      <c r="N1767" s="74"/>
      <c r="O1767" s="81" t="s">
        <v>179</v>
      </c>
      <c r="P1767" s="83">
        <v>44460.100173611114</v>
      </c>
      <c r="Q1767" s="81" t="s">
        <v>2224</v>
      </c>
      <c r="R1767" s="81"/>
      <c r="S1767" s="81"/>
      <c r="T1767" s="86" t="s">
        <v>2739</v>
      </c>
      <c r="U1767" s="84" t="str">
        <f>HYPERLINK("https://pbs.twimg.com/media/E_xnaF5UcAM7y6j.jpg")</f>
        <v>https://pbs.twimg.com/media/E_xnaF5UcAM7y6j.jpg</v>
      </c>
      <c r="V1767" s="84" t="str">
        <f>HYPERLINK("https://pbs.twimg.com/media/E_xnaF5UcAM7y6j.jpg")</f>
        <v>https://pbs.twimg.com/media/E_xnaF5UcAM7y6j.jpg</v>
      </c>
      <c r="W1767" s="83">
        <v>44460.100173611114</v>
      </c>
      <c r="X1767" s="89">
        <v>44460</v>
      </c>
      <c r="Y1767" s="86" t="s">
        <v>3974</v>
      </c>
      <c r="Z1767" s="84" t="str">
        <f>HYPERLINK("https://twitter.com/tbssouvenir/status/1440139784832258050")</f>
        <v>https://twitter.com/tbssouvenir/status/1440139784832258050</v>
      </c>
      <c r="AA1767" s="81"/>
      <c r="AB1767" s="81"/>
      <c r="AC1767" s="86" t="s">
        <v>5450</v>
      </c>
      <c r="AD1767" s="81"/>
      <c r="AE1767" s="81" t="b">
        <v>0</v>
      </c>
      <c r="AF1767" s="81">
        <v>0</v>
      </c>
      <c r="AG1767" s="86" t="s">
        <v>6240</v>
      </c>
      <c r="AH1767" s="81" t="b">
        <v>0</v>
      </c>
      <c r="AI1767" s="81" t="s">
        <v>6478</v>
      </c>
      <c r="AJ1767" s="81"/>
      <c r="AK1767" s="86" t="s">
        <v>6240</v>
      </c>
      <c r="AL1767" s="81" t="b">
        <v>0</v>
      </c>
      <c r="AM1767" s="81">
        <v>0</v>
      </c>
      <c r="AN1767" s="86" t="s">
        <v>6240</v>
      </c>
      <c r="AO1767" s="86" t="s">
        <v>6503</v>
      </c>
      <c r="AP1767" s="81" t="b">
        <v>0</v>
      </c>
      <c r="AQ1767" s="86" t="s">
        <v>5450</v>
      </c>
      <c r="AR1767" s="81" t="s">
        <v>179</v>
      </c>
      <c r="AS1767" s="81">
        <v>0</v>
      </c>
      <c r="AT1767" s="81">
        <v>0</v>
      </c>
      <c r="AU1767" s="81" t="s">
        <v>6540</v>
      </c>
      <c r="AV1767" s="81" t="s">
        <v>6543</v>
      </c>
      <c r="AW1767" s="81" t="s">
        <v>12</v>
      </c>
      <c r="AX1767" s="81" t="s">
        <v>6548</v>
      </c>
      <c r="AY1767" s="81" t="s">
        <v>6555</v>
      </c>
      <c r="AZ1767" s="81" t="s">
        <v>6548</v>
      </c>
      <c r="BA1767" s="81" t="s">
        <v>6566</v>
      </c>
      <c r="BB1767" s="84" t="str">
        <f>HYPERLINK("https://api.twitter.com/1.1/geo/id/0fc374080c942001.json")</f>
        <v>https://api.twitter.com/1.1/geo/id/0fc374080c942001.json</v>
      </c>
    </row>
    <row r="1768" spans="1:54" x14ac:dyDescent="0.35">
      <c r="A1768" s="66" t="s">
        <v>1225</v>
      </c>
      <c r="B1768" s="66" t="s">
        <v>1225</v>
      </c>
      <c r="C1768" s="67"/>
      <c r="D1768" s="68"/>
      <c r="E1768" s="69"/>
      <c r="F1768" s="70"/>
      <c r="G1768" s="67"/>
      <c r="H1768" s="71"/>
      <c r="I1768" s="72"/>
      <c r="J1768" s="72"/>
      <c r="K1768" s="36"/>
      <c r="L1768" s="79"/>
      <c r="M1768" s="79"/>
      <c r="N1768" s="74"/>
      <c r="O1768" s="81" t="s">
        <v>179</v>
      </c>
      <c r="P1768" s="83">
        <v>44460.430555555555</v>
      </c>
      <c r="Q1768" s="81" t="s">
        <v>2225</v>
      </c>
      <c r="R1768" s="81"/>
      <c r="S1768" s="81"/>
      <c r="T1768" s="86" t="s">
        <v>2740</v>
      </c>
      <c r="U1768" s="84" t="str">
        <f>HYPERLINK("https://pbs.twimg.com/media/E_zUTBUVIAI6jp_.jpg")</f>
        <v>https://pbs.twimg.com/media/E_zUTBUVIAI6jp_.jpg</v>
      </c>
      <c r="V1768" s="84" t="str">
        <f>HYPERLINK("https://pbs.twimg.com/media/E_zUTBUVIAI6jp_.jpg")</f>
        <v>https://pbs.twimg.com/media/E_zUTBUVIAI6jp_.jpg</v>
      </c>
      <c r="W1768" s="83">
        <v>44460.430555555555</v>
      </c>
      <c r="X1768" s="89">
        <v>44460</v>
      </c>
      <c r="Y1768" s="86" t="s">
        <v>3975</v>
      </c>
      <c r="Z1768" s="84" t="str">
        <f>HYPERLINK("https://twitter.com/tbssouvenir/status/1440259510841458689")</f>
        <v>https://twitter.com/tbssouvenir/status/1440259510841458689</v>
      </c>
      <c r="AA1768" s="81"/>
      <c r="AB1768" s="81"/>
      <c r="AC1768" s="86" t="s">
        <v>5451</v>
      </c>
      <c r="AD1768" s="81"/>
      <c r="AE1768" s="81" t="b">
        <v>0</v>
      </c>
      <c r="AF1768" s="81">
        <v>0</v>
      </c>
      <c r="AG1768" s="86" t="s">
        <v>6240</v>
      </c>
      <c r="AH1768" s="81" t="b">
        <v>0</v>
      </c>
      <c r="AI1768" s="81" t="s">
        <v>6478</v>
      </c>
      <c r="AJ1768" s="81"/>
      <c r="AK1768" s="86" t="s">
        <v>6240</v>
      </c>
      <c r="AL1768" s="81" t="b">
        <v>0</v>
      </c>
      <c r="AM1768" s="81">
        <v>0</v>
      </c>
      <c r="AN1768" s="86" t="s">
        <v>6240</v>
      </c>
      <c r="AO1768" s="86" t="s">
        <v>6503</v>
      </c>
      <c r="AP1768" s="81" t="b">
        <v>0</v>
      </c>
      <c r="AQ1768" s="86" t="s">
        <v>5451</v>
      </c>
      <c r="AR1768" s="81" t="s">
        <v>179</v>
      </c>
      <c r="AS1768" s="81">
        <v>0</v>
      </c>
      <c r="AT1768" s="81">
        <v>0</v>
      </c>
      <c r="AU1768" s="81" t="s">
        <v>6540</v>
      </c>
      <c r="AV1768" s="81" t="s">
        <v>6543</v>
      </c>
      <c r="AW1768" s="81" t="s">
        <v>12</v>
      </c>
      <c r="AX1768" s="81" t="s">
        <v>6548</v>
      </c>
      <c r="AY1768" s="81" t="s">
        <v>6555</v>
      </c>
      <c r="AZ1768" s="81" t="s">
        <v>6548</v>
      </c>
      <c r="BA1768" s="81" t="s">
        <v>6566</v>
      </c>
      <c r="BB1768" s="84" t="str">
        <f>HYPERLINK("https://api.twitter.com/1.1/geo/id/0fc374080c942001.json")</f>
        <v>https://api.twitter.com/1.1/geo/id/0fc374080c942001.json</v>
      </c>
    </row>
    <row r="1769" spans="1:54" x14ac:dyDescent="0.35">
      <c r="A1769" s="66" t="s">
        <v>1225</v>
      </c>
      <c r="B1769" s="66" t="s">
        <v>1225</v>
      </c>
      <c r="C1769" s="67"/>
      <c r="D1769" s="68"/>
      <c r="E1769" s="69"/>
      <c r="F1769" s="70"/>
      <c r="G1769" s="67"/>
      <c r="H1769" s="71"/>
      <c r="I1769" s="72"/>
      <c r="J1769" s="72"/>
      <c r="K1769" s="36"/>
      <c r="L1769" s="79"/>
      <c r="M1769" s="79"/>
      <c r="N1769" s="74"/>
      <c r="O1769" s="81" t="s">
        <v>179</v>
      </c>
      <c r="P1769" s="83">
        <v>44461.074131944442</v>
      </c>
      <c r="Q1769" s="81" t="s">
        <v>2226</v>
      </c>
      <c r="R1769" s="81"/>
      <c r="S1769" s="81"/>
      <c r="T1769" s="86" t="s">
        <v>2741</v>
      </c>
      <c r="U1769" s="84" t="str">
        <f>HYPERLINK("https://pbs.twimg.com/media/E_2odaeUcAIRv9-.jpg")</f>
        <v>https://pbs.twimg.com/media/E_2odaeUcAIRv9-.jpg</v>
      </c>
      <c r="V1769" s="84" t="str">
        <f>HYPERLINK("https://pbs.twimg.com/media/E_2odaeUcAIRv9-.jpg")</f>
        <v>https://pbs.twimg.com/media/E_2odaeUcAIRv9-.jpg</v>
      </c>
      <c r="W1769" s="83">
        <v>44461.074131944442</v>
      </c>
      <c r="X1769" s="89">
        <v>44461</v>
      </c>
      <c r="Y1769" s="86" t="s">
        <v>3683</v>
      </c>
      <c r="Z1769" s="84" t="str">
        <f>HYPERLINK("https://twitter.com/tbssouvenir/status/1440492732833677323")</f>
        <v>https://twitter.com/tbssouvenir/status/1440492732833677323</v>
      </c>
      <c r="AA1769" s="81"/>
      <c r="AB1769" s="81"/>
      <c r="AC1769" s="86" t="s">
        <v>5452</v>
      </c>
      <c r="AD1769" s="81"/>
      <c r="AE1769" s="81" t="b">
        <v>0</v>
      </c>
      <c r="AF1769" s="81">
        <v>0</v>
      </c>
      <c r="AG1769" s="86" t="s">
        <v>6240</v>
      </c>
      <c r="AH1769" s="81" t="b">
        <v>0</v>
      </c>
      <c r="AI1769" s="81" t="s">
        <v>6478</v>
      </c>
      <c r="AJ1769" s="81"/>
      <c r="AK1769" s="86" t="s">
        <v>6240</v>
      </c>
      <c r="AL1769" s="81" t="b">
        <v>0</v>
      </c>
      <c r="AM1769" s="81">
        <v>0</v>
      </c>
      <c r="AN1769" s="86" t="s">
        <v>6240</v>
      </c>
      <c r="AO1769" s="86" t="s">
        <v>6503</v>
      </c>
      <c r="AP1769" s="81" t="b">
        <v>0</v>
      </c>
      <c r="AQ1769" s="86" t="s">
        <v>5452</v>
      </c>
      <c r="AR1769" s="81" t="s">
        <v>179</v>
      </c>
      <c r="AS1769" s="81">
        <v>0</v>
      </c>
      <c r="AT1769" s="81">
        <v>0</v>
      </c>
      <c r="AU1769" s="81" t="s">
        <v>6540</v>
      </c>
      <c r="AV1769" s="81" t="s">
        <v>6543</v>
      </c>
      <c r="AW1769" s="81" t="s">
        <v>12</v>
      </c>
      <c r="AX1769" s="81" t="s">
        <v>6548</v>
      </c>
      <c r="AY1769" s="81" t="s">
        <v>6555</v>
      </c>
      <c r="AZ1769" s="81" t="s">
        <v>6548</v>
      </c>
      <c r="BA1769" s="81" t="s">
        <v>6566</v>
      </c>
      <c r="BB1769" s="84" t="str">
        <f>HYPERLINK("https://api.twitter.com/1.1/geo/id/0fc374080c942001.json")</f>
        <v>https://api.twitter.com/1.1/geo/id/0fc374080c942001.json</v>
      </c>
    </row>
    <row r="1770" spans="1:54" x14ac:dyDescent="0.35">
      <c r="A1770" s="66" t="s">
        <v>1225</v>
      </c>
      <c r="B1770" s="66" t="s">
        <v>1225</v>
      </c>
      <c r="C1770" s="67"/>
      <c r="D1770" s="68"/>
      <c r="E1770" s="69"/>
      <c r="F1770" s="70"/>
      <c r="G1770" s="67"/>
      <c r="H1770" s="71"/>
      <c r="I1770" s="72"/>
      <c r="J1770" s="72"/>
      <c r="K1770" s="36"/>
      <c r="L1770" s="79"/>
      <c r="M1770" s="79"/>
      <c r="N1770" s="74"/>
      <c r="O1770" s="81" t="s">
        <v>179</v>
      </c>
      <c r="P1770" s="83">
        <v>44462.100995370369</v>
      </c>
      <c r="Q1770" s="81" t="s">
        <v>2227</v>
      </c>
      <c r="R1770" s="81"/>
      <c r="S1770" s="81"/>
      <c r="T1770" s="86" t="s">
        <v>2742</v>
      </c>
      <c r="U1770" s="84" t="str">
        <f>HYPERLINK("https://pbs.twimg.com/media/E_7679dVgAkbDR8.jpg")</f>
        <v>https://pbs.twimg.com/media/E_7679dVgAkbDR8.jpg</v>
      </c>
      <c r="V1770" s="84" t="str">
        <f>HYPERLINK("https://pbs.twimg.com/media/E_7679dVgAkbDR8.jpg")</f>
        <v>https://pbs.twimg.com/media/E_7679dVgAkbDR8.jpg</v>
      </c>
      <c r="W1770" s="83">
        <v>44462.100995370369</v>
      </c>
      <c r="X1770" s="89">
        <v>44462</v>
      </c>
      <c r="Y1770" s="86" t="s">
        <v>3976</v>
      </c>
      <c r="Z1770" s="84" t="str">
        <f>HYPERLINK("https://twitter.com/tbssouvenir/status/1440864857717231619")</f>
        <v>https://twitter.com/tbssouvenir/status/1440864857717231619</v>
      </c>
      <c r="AA1770" s="81"/>
      <c r="AB1770" s="81"/>
      <c r="AC1770" s="86" t="s">
        <v>5453</v>
      </c>
      <c r="AD1770" s="81"/>
      <c r="AE1770" s="81" t="b">
        <v>0</v>
      </c>
      <c r="AF1770" s="81">
        <v>0</v>
      </c>
      <c r="AG1770" s="86" t="s">
        <v>6240</v>
      </c>
      <c r="AH1770" s="81" t="b">
        <v>0</v>
      </c>
      <c r="AI1770" s="81" t="s">
        <v>6478</v>
      </c>
      <c r="AJ1770" s="81"/>
      <c r="AK1770" s="86" t="s">
        <v>6240</v>
      </c>
      <c r="AL1770" s="81" t="b">
        <v>0</v>
      </c>
      <c r="AM1770" s="81">
        <v>0</v>
      </c>
      <c r="AN1770" s="86" t="s">
        <v>6240</v>
      </c>
      <c r="AO1770" s="86" t="s">
        <v>6503</v>
      </c>
      <c r="AP1770" s="81" t="b">
        <v>0</v>
      </c>
      <c r="AQ1770" s="86" t="s">
        <v>5453</v>
      </c>
      <c r="AR1770" s="81" t="s">
        <v>179</v>
      </c>
      <c r="AS1770" s="81">
        <v>0</v>
      </c>
      <c r="AT1770" s="81">
        <v>0</v>
      </c>
      <c r="AU1770" s="81" t="s">
        <v>6540</v>
      </c>
      <c r="AV1770" s="81" t="s">
        <v>6543</v>
      </c>
      <c r="AW1770" s="81" t="s">
        <v>12</v>
      </c>
      <c r="AX1770" s="81" t="s">
        <v>6548</v>
      </c>
      <c r="AY1770" s="81" t="s">
        <v>6555</v>
      </c>
      <c r="AZ1770" s="81" t="s">
        <v>6548</v>
      </c>
      <c r="BA1770" s="81" t="s">
        <v>6566</v>
      </c>
      <c r="BB1770" s="84" t="str">
        <f>HYPERLINK("https://api.twitter.com/1.1/geo/id/0fc374080c942001.json")</f>
        <v>https://api.twitter.com/1.1/geo/id/0fc374080c942001.json</v>
      </c>
    </row>
    <row r="1771" spans="1:54" x14ac:dyDescent="0.35">
      <c r="A1771" s="66" t="s">
        <v>1225</v>
      </c>
      <c r="B1771" s="66" t="s">
        <v>1225</v>
      </c>
      <c r="C1771" s="67"/>
      <c r="D1771" s="68"/>
      <c r="E1771" s="69"/>
      <c r="F1771" s="70"/>
      <c r="G1771" s="67"/>
      <c r="H1771" s="71"/>
      <c r="I1771" s="72"/>
      <c r="J1771" s="72"/>
      <c r="K1771" s="36"/>
      <c r="L1771" s="79"/>
      <c r="M1771" s="79"/>
      <c r="N1771" s="74"/>
      <c r="O1771" s="81" t="s">
        <v>179</v>
      </c>
      <c r="P1771" s="83">
        <v>44462.432141203702</v>
      </c>
      <c r="Q1771" s="81" t="s">
        <v>2228</v>
      </c>
      <c r="R1771" s="81"/>
      <c r="S1771" s="81"/>
      <c r="T1771" s="86" t="s">
        <v>2743</v>
      </c>
      <c r="U1771" s="84" t="str">
        <f>HYPERLINK("https://pbs.twimg.com/media/E_9oAJ3UYAgVcOM.jpg")</f>
        <v>https://pbs.twimg.com/media/E_9oAJ3UYAgVcOM.jpg</v>
      </c>
      <c r="V1771" s="84" t="str">
        <f>HYPERLINK("https://pbs.twimg.com/media/E_9oAJ3UYAgVcOM.jpg")</f>
        <v>https://pbs.twimg.com/media/E_9oAJ3UYAgVcOM.jpg</v>
      </c>
      <c r="W1771" s="83">
        <v>44462.432141203702</v>
      </c>
      <c r="X1771" s="89">
        <v>44462</v>
      </c>
      <c r="Y1771" s="86" t="s">
        <v>3977</v>
      </c>
      <c r="Z1771" s="84" t="str">
        <f>HYPERLINK("https://twitter.com/tbssouvenir/status/1440984858545639425")</f>
        <v>https://twitter.com/tbssouvenir/status/1440984858545639425</v>
      </c>
      <c r="AA1771" s="81"/>
      <c r="AB1771" s="81"/>
      <c r="AC1771" s="86" t="s">
        <v>5454</v>
      </c>
      <c r="AD1771" s="81"/>
      <c r="AE1771" s="81" t="b">
        <v>0</v>
      </c>
      <c r="AF1771" s="81">
        <v>0</v>
      </c>
      <c r="AG1771" s="86" t="s">
        <v>6240</v>
      </c>
      <c r="AH1771" s="81" t="b">
        <v>0</v>
      </c>
      <c r="AI1771" s="81" t="s">
        <v>6478</v>
      </c>
      <c r="AJ1771" s="81"/>
      <c r="AK1771" s="86" t="s">
        <v>6240</v>
      </c>
      <c r="AL1771" s="81" t="b">
        <v>0</v>
      </c>
      <c r="AM1771" s="81">
        <v>0</v>
      </c>
      <c r="AN1771" s="86" t="s">
        <v>6240</v>
      </c>
      <c r="AO1771" s="86" t="s">
        <v>6503</v>
      </c>
      <c r="AP1771" s="81" t="b">
        <v>0</v>
      </c>
      <c r="AQ1771" s="86" t="s">
        <v>5454</v>
      </c>
      <c r="AR1771" s="81" t="s">
        <v>179</v>
      </c>
      <c r="AS1771" s="81">
        <v>0</v>
      </c>
      <c r="AT1771" s="81">
        <v>0</v>
      </c>
      <c r="AU1771" s="81" t="s">
        <v>6540</v>
      </c>
      <c r="AV1771" s="81" t="s">
        <v>6543</v>
      </c>
      <c r="AW1771" s="81" t="s">
        <v>12</v>
      </c>
      <c r="AX1771" s="81" t="s">
        <v>6548</v>
      </c>
      <c r="AY1771" s="81" t="s">
        <v>6555</v>
      </c>
      <c r="AZ1771" s="81" t="s">
        <v>6548</v>
      </c>
      <c r="BA1771" s="81" t="s">
        <v>6566</v>
      </c>
      <c r="BB1771" s="84" t="str">
        <f>HYPERLINK("https://api.twitter.com/1.1/geo/id/0fc374080c942001.json")</f>
        <v>https://api.twitter.com/1.1/geo/id/0fc374080c942001.json</v>
      </c>
    </row>
    <row r="1772" spans="1:54" x14ac:dyDescent="0.35">
      <c r="A1772" s="66" t="s">
        <v>1225</v>
      </c>
      <c r="B1772" s="66" t="s">
        <v>1225</v>
      </c>
      <c r="C1772" s="67"/>
      <c r="D1772" s="68"/>
      <c r="E1772" s="69"/>
      <c r="F1772" s="70"/>
      <c r="G1772" s="67"/>
      <c r="H1772" s="71"/>
      <c r="I1772" s="72"/>
      <c r="J1772" s="72"/>
      <c r="K1772" s="36"/>
      <c r="L1772" s="79"/>
      <c r="M1772" s="79"/>
      <c r="N1772" s="74"/>
      <c r="O1772" s="81" t="s">
        <v>179</v>
      </c>
      <c r="P1772" s="83">
        <v>44463.114270833335</v>
      </c>
      <c r="Q1772" s="81" t="s">
        <v>2229</v>
      </c>
      <c r="R1772" s="81"/>
      <c r="S1772" s="81"/>
      <c r="T1772" s="81"/>
      <c r="U1772" s="84" t="str">
        <f>HYPERLINK("https://pbs.twimg.com/media/FABIzJHVQAUdAG6.jpg")</f>
        <v>https://pbs.twimg.com/media/FABIzJHVQAUdAG6.jpg</v>
      </c>
      <c r="V1772" s="84" t="str">
        <f>HYPERLINK("https://pbs.twimg.com/media/FABIzJHVQAUdAG6.jpg")</f>
        <v>https://pbs.twimg.com/media/FABIzJHVQAUdAG6.jpg</v>
      </c>
      <c r="W1772" s="83">
        <v>44463.114270833335</v>
      </c>
      <c r="X1772" s="89">
        <v>44463</v>
      </c>
      <c r="Y1772" s="86" t="s">
        <v>3978</v>
      </c>
      <c r="Z1772" s="84" t="str">
        <f>HYPERLINK("https://twitter.com/tbssouvenir/status/1441232053882654725")</f>
        <v>https://twitter.com/tbssouvenir/status/1441232053882654725</v>
      </c>
      <c r="AA1772" s="81"/>
      <c r="AB1772" s="81"/>
      <c r="AC1772" s="86" t="s">
        <v>5455</v>
      </c>
      <c r="AD1772" s="81"/>
      <c r="AE1772" s="81" t="b">
        <v>0</v>
      </c>
      <c r="AF1772" s="81">
        <v>0</v>
      </c>
      <c r="AG1772" s="86" t="s">
        <v>6240</v>
      </c>
      <c r="AH1772" s="81" t="b">
        <v>0</v>
      </c>
      <c r="AI1772" s="81" t="s">
        <v>6478</v>
      </c>
      <c r="AJ1772" s="81"/>
      <c r="AK1772" s="86" t="s">
        <v>6240</v>
      </c>
      <c r="AL1772" s="81" t="b">
        <v>0</v>
      </c>
      <c r="AM1772" s="81">
        <v>0</v>
      </c>
      <c r="AN1772" s="86" t="s">
        <v>6240</v>
      </c>
      <c r="AO1772" s="86" t="s">
        <v>6503</v>
      </c>
      <c r="AP1772" s="81" t="b">
        <v>0</v>
      </c>
      <c r="AQ1772" s="86" t="s">
        <v>5455</v>
      </c>
      <c r="AR1772" s="81" t="s">
        <v>179</v>
      </c>
      <c r="AS1772" s="81">
        <v>0</v>
      </c>
      <c r="AT1772" s="81">
        <v>0</v>
      </c>
      <c r="AU1772" s="81" t="s">
        <v>6540</v>
      </c>
      <c r="AV1772" s="81" t="s">
        <v>6543</v>
      </c>
      <c r="AW1772" s="81" t="s">
        <v>12</v>
      </c>
      <c r="AX1772" s="81" t="s">
        <v>6548</v>
      </c>
      <c r="AY1772" s="81" t="s">
        <v>6555</v>
      </c>
      <c r="AZ1772" s="81" t="s">
        <v>6548</v>
      </c>
      <c r="BA1772" s="81" t="s">
        <v>6566</v>
      </c>
      <c r="BB1772" s="84" t="str">
        <f>HYPERLINK("https://api.twitter.com/1.1/geo/id/0fc374080c942001.json")</f>
        <v>https://api.twitter.com/1.1/geo/id/0fc374080c942001.json</v>
      </c>
    </row>
    <row r="1773" spans="1:54" x14ac:dyDescent="0.35">
      <c r="A1773" s="66" t="s">
        <v>1225</v>
      </c>
      <c r="B1773" s="66" t="s">
        <v>1225</v>
      </c>
      <c r="C1773" s="67"/>
      <c r="D1773" s="68"/>
      <c r="E1773" s="69"/>
      <c r="F1773" s="70"/>
      <c r="G1773" s="67"/>
      <c r="H1773" s="71"/>
      <c r="I1773" s="72"/>
      <c r="J1773" s="72"/>
      <c r="K1773" s="36"/>
      <c r="L1773" s="79"/>
      <c r="M1773" s="79"/>
      <c r="N1773" s="74"/>
      <c r="O1773" s="81" t="s">
        <v>179</v>
      </c>
      <c r="P1773" s="83">
        <v>44464.115335648145</v>
      </c>
      <c r="Q1773" s="81" t="s">
        <v>2230</v>
      </c>
      <c r="R1773" s="81"/>
      <c r="S1773" s="81"/>
      <c r="T1773" s="86" t="s">
        <v>2744</v>
      </c>
      <c r="U1773" s="84" t="str">
        <f>HYPERLINK("https://pbs.twimg.com/media/FAGSzFBVkAI--UN.jpg")</f>
        <v>https://pbs.twimg.com/media/FAGSzFBVkAI--UN.jpg</v>
      </c>
      <c r="V1773" s="84" t="str">
        <f>HYPERLINK("https://pbs.twimg.com/media/FAGSzFBVkAI--UN.jpg")</f>
        <v>https://pbs.twimg.com/media/FAGSzFBVkAI--UN.jpg</v>
      </c>
      <c r="W1773" s="83">
        <v>44464.115335648145</v>
      </c>
      <c r="X1773" s="89">
        <v>44464</v>
      </c>
      <c r="Y1773" s="86" t="s">
        <v>3979</v>
      </c>
      <c r="Z1773" s="84" t="str">
        <f>HYPERLINK("https://twitter.com/tbssouvenir/status/1441594827829755905")</f>
        <v>https://twitter.com/tbssouvenir/status/1441594827829755905</v>
      </c>
      <c r="AA1773" s="81"/>
      <c r="AB1773" s="81"/>
      <c r="AC1773" s="86" t="s">
        <v>5456</v>
      </c>
      <c r="AD1773" s="81"/>
      <c r="AE1773" s="81" t="b">
        <v>0</v>
      </c>
      <c r="AF1773" s="81">
        <v>0</v>
      </c>
      <c r="AG1773" s="86" t="s">
        <v>6240</v>
      </c>
      <c r="AH1773" s="81" t="b">
        <v>0</v>
      </c>
      <c r="AI1773" s="81" t="s">
        <v>6478</v>
      </c>
      <c r="AJ1773" s="81"/>
      <c r="AK1773" s="86" t="s">
        <v>6240</v>
      </c>
      <c r="AL1773" s="81" t="b">
        <v>0</v>
      </c>
      <c r="AM1773" s="81">
        <v>0</v>
      </c>
      <c r="AN1773" s="86" t="s">
        <v>6240</v>
      </c>
      <c r="AO1773" s="86" t="s">
        <v>6503</v>
      </c>
      <c r="AP1773" s="81" t="b">
        <v>0</v>
      </c>
      <c r="AQ1773" s="86" t="s">
        <v>5456</v>
      </c>
      <c r="AR1773" s="81" t="s">
        <v>179</v>
      </c>
      <c r="AS1773" s="81">
        <v>0</v>
      </c>
      <c r="AT1773" s="81">
        <v>0</v>
      </c>
      <c r="AU1773" s="81" t="s">
        <v>6540</v>
      </c>
      <c r="AV1773" s="81" t="s">
        <v>6543</v>
      </c>
      <c r="AW1773" s="81" t="s">
        <v>12</v>
      </c>
      <c r="AX1773" s="81" t="s">
        <v>6548</v>
      </c>
      <c r="AY1773" s="81" t="s">
        <v>6555</v>
      </c>
      <c r="AZ1773" s="81" t="s">
        <v>6548</v>
      </c>
      <c r="BA1773" s="81" t="s">
        <v>6566</v>
      </c>
      <c r="BB1773" s="84" t="str">
        <f>HYPERLINK("https://api.twitter.com/1.1/geo/id/0fc374080c942001.json")</f>
        <v>https://api.twitter.com/1.1/geo/id/0fc374080c942001.json</v>
      </c>
    </row>
    <row r="1774" spans="1:54" x14ac:dyDescent="0.35">
      <c r="A1774" s="66" t="s">
        <v>1225</v>
      </c>
      <c r="B1774" s="66" t="s">
        <v>1225</v>
      </c>
      <c r="C1774" s="67"/>
      <c r="D1774" s="68"/>
      <c r="E1774" s="69"/>
      <c r="F1774" s="70"/>
      <c r="G1774" s="67"/>
      <c r="H1774" s="71"/>
      <c r="I1774" s="72"/>
      <c r="J1774" s="72"/>
      <c r="K1774" s="36"/>
      <c r="L1774" s="79"/>
      <c r="M1774" s="79"/>
      <c r="N1774" s="74"/>
      <c r="O1774" s="81" t="s">
        <v>179</v>
      </c>
      <c r="P1774" s="83">
        <v>44466.092557870368</v>
      </c>
      <c r="Q1774" s="81" t="s">
        <v>2231</v>
      </c>
      <c r="R1774" s="81"/>
      <c r="S1774" s="81"/>
      <c r="T1774" s="86" t="s">
        <v>2745</v>
      </c>
      <c r="U1774" s="84" t="str">
        <f>HYPERLINK("https://pbs.twimg.com/media/FAQeembVkAEvTQy.jpg")</f>
        <v>https://pbs.twimg.com/media/FAQeembVkAEvTQy.jpg</v>
      </c>
      <c r="V1774" s="84" t="str">
        <f>HYPERLINK("https://pbs.twimg.com/media/FAQeembVkAEvTQy.jpg")</f>
        <v>https://pbs.twimg.com/media/FAQeembVkAEvTQy.jpg</v>
      </c>
      <c r="W1774" s="83">
        <v>44466.092557870368</v>
      </c>
      <c r="X1774" s="89">
        <v>44466</v>
      </c>
      <c r="Y1774" s="86" t="s">
        <v>3980</v>
      </c>
      <c r="Z1774" s="84" t="str">
        <f>HYPERLINK("https://twitter.com/tbssouvenir/status/1442311351938940937")</f>
        <v>https://twitter.com/tbssouvenir/status/1442311351938940937</v>
      </c>
      <c r="AA1774" s="81"/>
      <c r="AB1774" s="81"/>
      <c r="AC1774" s="86" t="s">
        <v>5457</v>
      </c>
      <c r="AD1774" s="81"/>
      <c r="AE1774" s="81" t="b">
        <v>0</v>
      </c>
      <c r="AF1774" s="81">
        <v>0</v>
      </c>
      <c r="AG1774" s="86" t="s">
        <v>6240</v>
      </c>
      <c r="AH1774" s="81" t="b">
        <v>0</v>
      </c>
      <c r="AI1774" s="81" t="s">
        <v>6478</v>
      </c>
      <c r="AJ1774" s="81"/>
      <c r="AK1774" s="86" t="s">
        <v>6240</v>
      </c>
      <c r="AL1774" s="81" t="b">
        <v>0</v>
      </c>
      <c r="AM1774" s="81">
        <v>0</v>
      </c>
      <c r="AN1774" s="86" t="s">
        <v>6240</v>
      </c>
      <c r="AO1774" s="86" t="s">
        <v>6503</v>
      </c>
      <c r="AP1774" s="81" t="b">
        <v>0</v>
      </c>
      <c r="AQ1774" s="86" t="s">
        <v>5457</v>
      </c>
      <c r="AR1774" s="81" t="s">
        <v>179</v>
      </c>
      <c r="AS1774" s="81">
        <v>0</v>
      </c>
      <c r="AT1774" s="81">
        <v>0</v>
      </c>
      <c r="AU1774" s="81" t="s">
        <v>6540</v>
      </c>
      <c r="AV1774" s="81" t="s">
        <v>6543</v>
      </c>
      <c r="AW1774" s="81" t="s">
        <v>12</v>
      </c>
      <c r="AX1774" s="81" t="s">
        <v>6548</v>
      </c>
      <c r="AY1774" s="81" t="s">
        <v>6555</v>
      </c>
      <c r="AZ1774" s="81" t="s">
        <v>6548</v>
      </c>
      <c r="BA1774" s="81" t="s">
        <v>6566</v>
      </c>
      <c r="BB1774" s="84" t="str">
        <f>HYPERLINK("https://api.twitter.com/1.1/geo/id/0fc374080c942001.json")</f>
        <v>https://api.twitter.com/1.1/geo/id/0fc374080c942001.json</v>
      </c>
    </row>
    <row r="1775" spans="1:54" x14ac:dyDescent="0.35">
      <c r="A1775" s="66" t="s">
        <v>1225</v>
      </c>
      <c r="B1775" s="66" t="s">
        <v>1225</v>
      </c>
      <c r="C1775" s="67"/>
      <c r="D1775" s="68"/>
      <c r="E1775" s="69"/>
      <c r="F1775" s="70"/>
      <c r="G1775" s="67"/>
      <c r="H1775" s="71"/>
      <c r="I1775" s="72"/>
      <c r="J1775" s="72"/>
      <c r="K1775" s="36"/>
      <c r="L1775" s="79"/>
      <c r="M1775" s="79"/>
      <c r="N1775" s="74"/>
      <c r="O1775" s="81" t="s">
        <v>179</v>
      </c>
      <c r="P1775" s="83">
        <v>44466.430104166669</v>
      </c>
      <c r="Q1775" s="81" t="s">
        <v>2232</v>
      </c>
      <c r="R1775" s="81"/>
      <c r="S1775" s="81"/>
      <c r="T1775" s="86" t="s">
        <v>2746</v>
      </c>
      <c r="U1775" s="84" t="str">
        <f>HYPERLINK("https://pbs.twimg.com/media/FASNt_tUUAMFgpP.jpg")</f>
        <v>https://pbs.twimg.com/media/FASNt_tUUAMFgpP.jpg</v>
      </c>
      <c r="V1775" s="84" t="str">
        <f>HYPERLINK("https://pbs.twimg.com/media/FASNt_tUUAMFgpP.jpg")</f>
        <v>https://pbs.twimg.com/media/FASNt_tUUAMFgpP.jpg</v>
      </c>
      <c r="W1775" s="83">
        <v>44466.430104166669</v>
      </c>
      <c r="X1775" s="89">
        <v>44466</v>
      </c>
      <c r="Y1775" s="86" t="s">
        <v>3981</v>
      </c>
      <c r="Z1775" s="84" t="str">
        <f>HYPERLINK("https://twitter.com/tbssouvenir/status/1442433673446379525")</f>
        <v>https://twitter.com/tbssouvenir/status/1442433673446379525</v>
      </c>
      <c r="AA1775" s="81"/>
      <c r="AB1775" s="81"/>
      <c r="AC1775" s="86" t="s">
        <v>5458</v>
      </c>
      <c r="AD1775" s="81"/>
      <c r="AE1775" s="81" t="b">
        <v>0</v>
      </c>
      <c r="AF1775" s="81">
        <v>0</v>
      </c>
      <c r="AG1775" s="86" t="s">
        <v>6240</v>
      </c>
      <c r="AH1775" s="81" t="b">
        <v>0</v>
      </c>
      <c r="AI1775" s="81" t="s">
        <v>6478</v>
      </c>
      <c r="AJ1775" s="81"/>
      <c r="AK1775" s="86" t="s">
        <v>6240</v>
      </c>
      <c r="AL1775" s="81" t="b">
        <v>0</v>
      </c>
      <c r="AM1775" s="81">
        <v>0</v>
      </c>
      <c r="AN1775" s="86" t="s">
        <v>6240</v>
      </c>
      <c r="AO1775" s="86" t="s">
        <v>6503</v>
      </c>
      <c r="AP1775" s="81" t="b">
        <v>0</v>
      </c>
      <c r="AQ1775" s="86" t="s">
        <v>5458</v>
      </c>
      <c r="AR1775" s="81" t="s">
        <v>179</v>
      </c>
      <c r="AS1775" s="81">
        <v>0</v>
      </c>
      <c r="AT1775" s="81">
        <v>0</v>
      </c>
      <c r="AU1775" s="81" t="s">
        <v>6540</v>
      </c>
      <c r="AV1775" s="81" t="s">
        <v>6543</v>
      </c>
      <c r="AW1775" s="81" t="s">
        <v>12</v>
      </c>
      <c r="AX1775" s="81" t="s">
        <v>6548</v>
      </c>
      <c r="AY1775" s="81" t="s">
        <v>6555</v>
      </c>
      <c r="AZ1775" s="81" t="s">
        <v>6548</v>
      </c>
      <c r="BA1775" s="81" t="s">
        <v>6566</v>
      </c>
      <c r="BB1775" s="84" t="str">
        <f>HYPERLINK("https://api.twitter.com/1.1/geo/id/0fc374080c942001.json")</f>
        <v>https://api.twitter.com/1.1/geo/id/0fc374080c942001.json</v>
      </c>
    </row>
    <row r="1776" spans="1:54" x14ac:dyDescent="0.35">
      <c r="A1776" s="66" t="s">
        <v>1225</v>
      </c>
      <c r="B1776" s="66" t="s">
        <v>1225</v>
      </c>
      <c r="C1776" s="67"/>
      <c r="D1776" s="68"/>
      <c r="E1776" s="69"/>
      <c r="F1776" s="70"/>
      <c r="G1776" s="67"/>
      <c r="H1776" s="71"/>
      <c r="I1776" s="72"/>
      <c r="J1776" s="72"/>
      <c r="K1776" s="36"/>
      <c r="L1776" s="79"/>
      <c r="M1776" s="79"/>
      <c r="N1776" s="74"/>
      <c r="O1776" s="81" t="s">
        <v>179</v>
      </c>
      <c r="P1776" s="83">
        <v>44467.060648148145</v>
      </c>
      <c r="Q1776" s="81" t="s">
        <v>2233</v>
      </c>
      <c r="R1776" s="81"/>
      <c r="S1776" s="81"/>
      <c r="T1776" s="86" t="s">
        <v>2747</v>
      </c>
      <c r="U1776" s="84" t="str">
        <f>HYPERLINK("https://pbs.twimg.com/media/FAVdjD3UYAgB6kT.jpg")</f>
        <v>https://pbs.twimg.com/media/FAVdjD3UYAgB6kT.jpg</v>
      </c>
      <c r="V1776" s="84" t="str">
        <f>HYPERLINK("https://pbs.twimg.com/media/FAVdjD3UYAgB6kT.jpg")</f>
        <v>https://pbs.twimg.com/media/FAVdjD3UYAgB6kT.jpg</v>
      </c>
      <c r="W1776" s="83">
        <v>44467.060648148145</v>
      </c>
      <c r="X1776" s="89">
        <v>44467</v>
      </c>
      <c r="Y1776" s="86" t="s">
        <v>3982</v>
      </c>
      <c r="Z1776" s="84" t="str">
        <f>HYPERLINK("https://twitter.com/tbssouvenir/status/1442662174682275845")</f>
        <v>https://twitter.com/tbssouvenir/status/1442662174682275845</v>
      </c>
      <c r="AA1776" s="81"/>
      <c r="AB1776" s="81"/>
      <c r="AC1776" s="86" t="s">
        <v>5459</v>
      </c>
      <c r="AD1776" s="81"/>
      <c r="AE1776" s="81" t="b">
        <v>0</v>
      </c>
      <c r="AF1776" s="81">
        <v>0</v>
      </c>
      <c r="AG1776" s="86" t="s">
        <v>6240</v>
      </c>
      <c r="AH1776" s="81" t="b">
        <v>0</v>
      </c>
      <c r="AI1776" s="81" t="s">
        <v>6478</v>
      </c>
      <c r="AJ1776" s="81"/>
      <c r="AK1776" s="86" t="s">
        <v>6240</v>
      </c>
      <c r="AL1776" s="81" t="b">
        <v>0</v>
      </c>
      <c r="AM1776" s="81">
        <v>0</v>
      </c>
      <c r="AN1776" s="86" t="s">
        <v>6240</v>
      </c>
      <c r="AO1776" s="86" t="s">
        <v>6503</v>
      </c>
      <c r="AP1776" s="81" t="b">
        <v>0</v>
      </c>
      <c r="AQ1776" s="86" t="s">
        <v>5459</v>
      </c>
      <c r="AR1776" s="81" t="s">
        <v>179</v>
      </c>
      <c r="AS1776" s="81">
        <v>0</v>
      </c>
      <c r="AT1776" s="81">
        <v>0</v>
      </c>
      <c r="AU1776" s="81" t="s">
        <v>6540</v>
      </c>
      <c r="AV1776" s="81" t="s">
        <v>6543</v>
      </c>
      <c r="AW1776" s="81" t="s">
        <v>12</v>
      </c>
      <c r="AX1776" s="81" t="s">
        <v>6548</v>
      </c>
      <c r="AY1776" s="81" t="s">
        <v>6555</v>
      </c>
      <c r="AZ1776" s="81" t="s">
        <v>6548</v>
      </c>
      <c r="BA1776" s="81" t="s">
        <v>6566</v>
      </c>
      <c r="BB1776" s="84" t="str">
        <f>HYPERLINK("https://api.twitter.com/1.1/geo/id/0fc374080c942001.json")</f>
        <v>https://api.twitter.com/1.1/geo/id/0fc374080c942001.json</v>
      </c>
    </row>
    <row r="1777" spans="1:54" x14ac:dyDescent="0.35">
      <c r="A1777" s="66" t="s">
        <v>1226</v>
      </c>
      <c r="B1777" s="66" t="s">
        <v>1146</v>
      </c>
      <c r="C1777" s="67"/>
      <c r="D1777" s="68"/>
      <c r="E1777" s="69"/>
      <c r="F1777" s="70"/>
      <c r="G1777" s="67"/>
      <c r="H1777" s="71"/>
      <c r="I1777" s="72"/>
      <c r="J1777" s="72"/>
      <c r="K1777" s="36"/>
      <c r="L1777" s="79"/>
      <c r="M1777" s="79"/>
      <c r="N1777" s="74"/>
      <c r="O1777" s="81" t="s">
        <v>1532</v>
      </c>
      <c r="P1777" s="83">
        <v>44467.062476851854</v>
      </c>
      <c r="Q1777" s="81" t="s">
        <v>2091</v>
      </c>
      <c r="R1777" s="81"/>
      <c r="S1777" s="81"/>
      <c r="T1777" s="81"/>
      <c r="U1777" s="84" t="str">
        <f>HYPERLINK("https://pbs.twimg.com/ext_tw_video_thumb/1442373678990196737/pu/img/UDVgFvOXidN40Fez.jpg")</f>
        <v>https://pbs.twimg.com/ext_tw_video_thumb/1442373678990196737/pu/img/UDVgFvOXidN40Fez.jpg</v>
      </c>
      <c r="V1777" s="84" t="str">
        <f>HYPERLINK("https://pbs.twimg.com/ext_tw_video_thumb/1442373678990196737/pu/img/UDVgFvOXidN40Fez.jpg")</f>
        <v>https://pbs.twimg.com/ext_tw_video_thumb/1442373678990196737/pu/img/UDVgFvOXidN40Fez.jpg</v>
      </c>
      <c r="W1777" s="83">
        <v>44467.062476851854</v>
      </c>
      <c r="X1777" s="89">
        <v>44467</v>
      </c>
      <c r="Y1777" s="86" t="s">
        <v>3983</v>
      </c>
      <c r="Z1777" s="84" t="str">
        <f>HYPERLINK("https://twitter.com/datel7190/status/1442662838489600007")</f>
        <v>https://twitter.com/datel7190/status/1442662838489600007</v>
      </c>
      <c r="AA1777" s="81"/>
      <c r="AB1777" s="81"/>
      <c r="AC1777" s="86" t="s">
        <v>5460</v>
      </c>
      <c r="AD1777" s="81"/>
      <c r="AE1777" s="81" t="b">
        <v>0</v>
      </c>
      <c r="AF1777" s="81">
        <v>0</v>
      </c>
      <c r="AG1777" s="86" t="s">
        <v>6240</v>
      </c>
      <c r="AH1777" s="81" t="b">
        <v>0</v>
      </c>
      <c r="AI1777" s="81" t="s">
        <v>6478</v>
      </c>
      <c r="AJ1777" s="81"/>
      <c r="AK1777" s="86" t="s">
        <v>6240</v>
      </c>
      <c r="AL1777" s="81" t="b">
        <v>0</v>
      </c>
      <c r="AM1777" s="81">
        <v>30</v>
      </c>
      <c r="AN1777" s="86" t="s">
        <v>5524</v>
      </c>
      <c r="AO1777" s="86" t="s">
        <v>6503</v>
      </c>
      <c r="AP1777" s="81" t="b">
        <v>0</v>
      </c>
      <c r="AQ1777" s="86" t="s">
        <v>5524</v>
      </c>
      <c r="AR1777" s="81" t="s">
        <v>179</v>
      </c>
      <c r="AS1777" s="81">
        <v>0</v>
      </c>
      <c r="AT1777" s="81">
        <v>0</v>
      </c>
      <c r="AU1777" s="81"/>
      <c r="AV1777" s="81"/>
      <c r="AW1777" s="81"/>
      <c r="AX1777" s="81"/>
      <c r="AY1777" s="81"/>
      <c r="AZ1777" s="81"/>
      <c r="BA1777" s="81"/>
      <c r="BB1777" s="81"/>
    </row>
    <row r="1778" spans="1:54" x14ac:dyDescent="0.35">
      <c r="A1778" s="66" t="s">
        <v>1227</v>
      </c>
      <c r="B1778" s="66" t="s">
        <v>1227</v>
      </c>
      <c r="C1778" s="67"/>
      <c r="D1778" s="68"/>
      <c r="E1778" s="69"/>
      <c r="F1778" s="70"/>
      <c r="G1778" s="67"/>
      <c r="H1778" s="71"/>
      <c r="I1778" s="72"/>
      <c r="J1778" s="72"/>
      <c r="K1778" s="36"/>
      <c r="L1778" s="79"/>
      <c r="M1778" s="79"/>
      <c r="N1778" s="74"/>
      <c r="O1778" s="81" t="s">
        <v>179</v>
      </c>
      <c r="P1778" s="83">
        <v>44463.091736111113</v>
      </c>
      <c r="Q1778" s="81" t="s">
        <v>2234</v>
      </c>
      <c r="R1778" s="84" t="str">
        <f>HYPERLINK("https://www.rekrutmen.net/2021/09/lowongan-kerja-semua-jurusan-pt-pos.html?utm_source=dlvr.it&amp;utm_medium=twitter")</f>
        <v>https://www.rekrutmen.net/2021/09/lowongan-kerja-semua-jurusan-pt-pos.html?utm_source=dlvr.it&amp;utm_medium=twitter</v>
      </c>
      <c r="S1778" s="81" t="s">
        <v>2622</v>
      </c>
      <c r="T1778" s="81"/>
      <c r="U1778" s="81"/>
      <c r="V1778" s="84" t="str">
        <f>HYPERLINK("https://pbs.twimg.com/profile_images/818558770900922369/N7x61JHW_normal.jpg")</f>
        <v>https://pbs.twimg.com/profile_images/818558770900922369/N7x61JHW_normal.jpg</v>
      </c>
      <c r="W1778" s="83">
        <v>44463.091736111113</v>
      </c>
      <c r="X1778" s="89">
        <v>44463</v>
      </c>
      <c r="Y1778" s="86" t="s">
        <v>3984</v>
      </c>
      <c r="Z1778" s="84" t="str">
        <f>HYPERLINK("https://twitter.com/lowongankerja07/status/1441223890676502528")</f>
        <v>https://twitter.com/lowongankerja07/status/1441223890676502528</v>
      </c>
      <c r="AA1778" s="81"/>
      <c r="AB1778" s="81"/>
      <c r="AC1778" s="86" t="s">
        <v>5461</v>
      </c>
      <c r="AD1778" s="81"/>
      <c r="AE1778" s="81" t="b">
        <v>0</v>
      </c>
      <c r="AF1778" s="81">
        <v>0</v>
      </c>
      <c r="AG1778" s="86" t="s">
        <v>6240</v>
      </c>
      <c r="AH1778" s="81" t="b">
        <v>0</v>
      </c>
      <c r="AI1778" s="81" t="s">
        <v>6478</v>
      </c>
      <c r="AJ1778" s="81"/>
      <c r="AK1778" s="86" t="s">
        <v>6240</v>
      </c>
      <c r="AL1778" s="81" t="b">
        <v>0</v>
      </c>
      <c r="AM1778" s="81">
        <v>0</v>
      </c>
      <c r="AN1778" s="86" t="s">
        <v>6240</v>
      </c>
      <c r="AO1778" s="86" t="s">
        <v>6515</v>
      </c>
      <c r="AP1778" s="81" t="b">
        <v>0</v>
      </c>
      <c r="AQ1778" s="86" t="s">
        <v>5461</v>
      </c>
      <c r="AR1778" s="81" t="s">
        <v>179</v>
      </c>
      <c r="AS1778" s="81">
        <v>0</v>
      </c>
      <c r="AT1778" s="81">
        <v>0</v>
      </c>
      <c r="AU1778" s="81"/>
      <c r="AV1778" s="81"/>
      <c r="AW1778" s="81"/>
      <c r="AX1778" s="81"/>
      <c r="AY1778" s="81"/>
      <c r="AZ1778" s="81"/>
      <c r="BA1778" s="81"/>
      <c r="BB1778" s="81"/>
    </row>
    <row r="1779" spans="1:54" x14ac:dyDescent="0.35">
      <c r="A1779" s="66" t="s">
        <v>1227</v>
      </c>
      <c r="B1779" s="66" t="s">
        <v>1227</v>
      </c>
      <c r="C1779" s="67"/>
      <c r="D1779" s="68"/>
      <c r="E1779" s="69"/>
      <c r="F1779" s="70"/>
      <c r="G1779" s="67"/>
      <c r="H1779" s="71"/>
      <c r="I1779" s="72"/>
      <c r="J1779" s="72"/>
      <c r="K1779" s="36"/>
      <c r="L1779" s="79"/>
      <c r="M1779" s="79"/>
      <c r="N1779" s="74"/>
      <c r="O1779" s="81" t="s">
        <v>179</v>
      </c>
      <c r="P1779" s="83">
        <v>44467.064606481479</v>
      </c>
      <c r="Q1779" s="81" t="s">
        <v>2235</v>
      </c>
      <c r="R1779" s="84" t="str">
        <f>HYPERLINK("https://www.rekrutmen.net/2021/09/lowongan-kerja-bumn-pt-pos-indonesia.html?utm_source=dlvr.it&amp;utm_medium=twitter")</f>
        <v>https://www.rekrutmen.net/2021/09/lowongan-kerja-bumn-pt-pos-indonesia.html?utm_source=dlvr.it&amp;utm_medium=twitter</v>
      </c>
      <c r="S1779" s="81" t="s">
        <v>2622</v>
      </c>
      <c r="T1779" s="81"/>
      <c r="U1779" s="81"/>
      <c r="V1779" s="84" t="str">
        <f>HYPERLINK("https://pbs.twimg.com/profile_images/818558770900922369/N7x61JHW_normal.jpg")</f>
        <v>https://pbs.twimg.com/profile_images/818558770900922369/N7x61JHW_normal.jpg</v>
      </c>
      <c r="W1779" s="83">
        <v>44467.064606481479</v>
      </c>
      <c r="X1779" s="89">
        <v>44467</v>
      </c>
      <c r="Y1779" s="86" t="s">
        <v>3985</v>
      </c>
      <c r="Z1779" s="84" t="str">
        <f>HYPERLINK("https://twitter.com/lowongankerja07/status/1442663611189452801")</f>
        <v>https://twitter.com/lowongankerja07/status/1442663611189452801</v>
      </c>
      <c r="AA1779" s="81"/>
      <c r="AB1779" s="81"/>
      <c r="AC1779" s="86" t="s">
        <v>5462</v>
      </c>
      <c r="AD1779" s="81"/>
      <c r="AE1779" s="81" t="b">
        <v>0</v>
      </c>
      <c r="AF1779" s="81">
        <v>0</v>
      </c>
      <c r="AG1779" s="86" t="s">
        <v>6240</v>
      </c>
      <c r="AH1779" s="81" t="b">
        <v>0</v>
      </c>
      <c r="AI1779" s="81" t="s">
        <v>6478</v>
      </c>
      <c r="AJ1779" s="81"/>
      <c r="AK1779" s="86" t="s">
        <v>6240</v>
      </c>
      <c r="AL1779" s="81" t="b">
        <v>0</v>
      </c>
      <c r="AM1779" s="81">
        <v>0</v>
      </c>
      <c r="AN1779" s="86" t="s">
        <v>6240</v>
      </c>
      <c r="AO1779" s="86" t="s">
        <v>6515</v>
      </c>
      <c r="AP1779" s="81" t="b">
        <v>0</v>
      </c>
      <c r="AQ1779" s="86" t="s">
        <v>5462</v>
      </c>
      <c r="AR1779" s="81" t="s">
        <v>179</v>
      </c>
      <c r="AS1779" s="81">
        <v>0</v>
      </c>
      <c r="AT1779" s="81">
        <v>0</v>
      </c>
      <c r="AU1779" s="81"/>
      <c r="AV1779" s="81"/>
      <c r="AW1779" s="81"/>
      <c r="AX1779" s="81"/>
      <c r="AY1779" s="81"/>
      <c r="AZ1779" s="81"/>
      <c r="BA1779" s="81"/>
      <c r="BB1779" s="81"/>
    </row>
    <row r="1780" spans="1:54" x14ac:dyDescent="0.35">
      <c r="A1780" s="66" t="s">
        <v>1227</v>
      </c>
      <c r="B1780" s="66" t="s">
        <v>1227</v>
      </c>
      <c r="C1780" s="67"/>
      <c r="D1780" s="68"/>
      <c r="E1780" s="69"/>
      <c r="F1780" s="70"/>
      <c r="G1780" s="67"/>
      <c r="H1780" s="71"/>
      <c r="I1780" s="72"/>
      <c r="J1780" s="72"/>
      <c r="K1780" s="36"/>
      <c r="L1780" s="79"/>
      <c r="M1780" s="79"/>
      <c r="N1780" s="74"/>
      <c r="O1780" s="81" t="s">
        <v>179</v>
      </c>
      <c r="P1780" s="83">
        <v>44467.064629629633</v>
      </c>
      <c r="Q1780" s="81" t="s">
        <v>2236</v>
      </c>
      <c r="R1780" s="84" t="str">
        <f>HYPERLINK("https://www.rekrutmen.net/2021/09/lowongan-kerja-d3-s1-pt-sicepat-ekspres.html?utm_source=dlvr.it&amp;utm_medium=twitter")</f>
        <v>https://www.rekrutmen.net/2021/09/lowongan-kerja-d3-s1-pt-sicepat-ekspres.html?utm_source=dlvr.it&amp;utm_medium=twitter</v>
      </c>
      <c r="S1780" s="81" t="s">
        <v>2622</v>
      </c>
      <c r="T1780" s="81"/>
      <c r="U1780" s="81"/>
      <c r="V1780" s="84" t="str">
        <f>HYPERLINK("https://pbs.twimg.com/profile_images/818558770900922369/N7x61JHW_normal.jpg")</f>
        <v>https://pbs.twimg.com/profile_images/818558770900922369/N7x61JHW_normal.jpg</v>
      </c>
      <c r="W1780" s="83">
        <v>44467.064629629633</v>
      </c>
      <c r="X1780" s="89">
        <v>44467</v>
      </c>
      <c r="Y1780" s="86" t="s">
        <v>3986</v>
      </c>
      <c r="Z1780" s="84" t="str">
        <f>HYPERLINK("https://twitter.com/lowongankerja07/status/1442663616503685128")</f>
        <v>https://twitter.com/lowongankerja07/status/1442663616503685128</v>
      </c>
      <c r="AA1780" s="81"/>
      <c r="AB1780" s="81"/>
      <c r="AC1780" s="86" t="s">
        <v>5463</v>
      </c>
      <c r="AD1780" s="81"/>
      <c r="AE1780" s="81" t="b">
        <v>0</v>
      </c>
      <c r="AF1780" s="81">
        <v>0</v>
      </c>
      <c r="AG1780" s="86" t="s">
        <v>6240</v>
      </c>
      <c r="AH1780" s="81" t="b">
        <v>0</v>
      </c>
      <c r="AI1780" s="81" t="s">
        <v>6478</v>
      </c>
      <c r="AJ1780" s="81"/>
      <c r="AK1780" s="86" t="s">
        <v>6240</v>
      </c>
      <c r="AL1780" s="81" t="b">
        <v>0</v>
      </c>
      <c r="AM1780" s="81">
        <v>0</v>
      </c>
      <c r="AN1780" s="86" t="s">
        <v>6240</v>
      </c>
      <c r="AO1780" s="86" t="s">
        <v>6515</v>
      </c>
      <c r="AP1780" s="81" t="b">
        <v>0</v>
      </c>
      <c r="AQ1780" s="86" t="s">
        <v>5463</v>
      </c>
      <c r="AR1780" s="81" t="s">
        <v>179</v>
      </c>
      <c r="AS1780" s="81">
        <v>0</v>
      </c>
      <c r="AT1780" s="81">
        <v>0</v>
      </c>
      <c r="AU1780" s="81"/>
      <c r="AV1780" s="81"/>
      <c r="AW1780" s="81"/>
      <c r="AX1780" s="81"/>
      <c r="AY1780" s="81"/>
      <c r="AZ1780" s="81"/>
      <c r="BA1780" s="81"/>
      <c r="BB1780" s="81"/>
    </row>
    <row r="1781" spans="1:54" x14ac:dyDescent="0.35">
      <c r="A1781" s="66" t="s">
        <v>1228</v>
      </c>
      <c r="B1781" s="66" t="s">
        <v>1228</v>
      </c>
      <c r="C1781" s="67"/>
      <c r="D1781" s="68"/>
      <c r="E1781" s="69"/>
      <c r="F1781" s="70"/>
      <c r="G1781" s="67"/>
      <c r="H1781" s="71"/>
      <c r="I1781" s="72"/>
      <c r="J1781" s="72"/>
      <c r="K1781" s="36"/>
      <c r="L1781" s="79"/>
      <c r="M1781" s="79"/>
      <c r="N1781" s="74"/>
      <c r="O1781" s="81" t="s">
        <v>179</v>
      </c>
      <c r="P1781" s="83">
        <v>44461.341006944444</v>
      </c>
      <c r="Q1781" s="81" t="s">
        <v>2237</v>
      </c>
      <c r="R1781" s="84" t="str">
        <f>HYPERLINK("https://www.rekrutmen.net/2021/09/lowongan-kerja-tenaga-frontliner-pos.html?utm_source=dlvr.it&amp;utm_medium=twitter")</f>
        <v>https://www.rekrutmen.net/2021/09/lowongan-kerja-tenaga-frontliner-pos.html?utm_source=dlvr.it&amp;utm_medium=twitter</v>
      </c>
      <c r="S1781" s="81" t="s">
        <v>2622</v>
      </c>
      <c r="T1781" s="81"/>
      <c r="U1781" s="81"/>
      <c r="V1781" s="84" t="str">
        <f>HYPERLINK("https://pbs.twimg.com/profile_images/666486550046183425/O6sqRn5i_normal.jpg")</f>
        <v>https://pbs.twimg.com/profile_images/666486550046183425/O6sqRn5i_normal.jpg</v>
      </c>
      <c r="W1781" s="83">
        <v>44461.341006944444</v>
      </c>
      <c r="X1781" s="89">
        <v>44461</v>
      </c>
      <c r="Y1781" s="86" t="s">
        <v>3434</v>
      </c>
      <c r="Z1781" s="84" t="str">
        <f>HYPERLINK("https://twitter.com/roistorez/status/1440589445414096900")</f>
        <v>https://twitter.com/roistorez/status/1440589445414096900</v>
      </c>
      <c r="AA1781" s="81"/>
      <c r="AB1781" s="81"/>
      <c r="AC1781" s="86" t="s">
        <v>5464</v>
      </c>
      <c r="AD1781" s="81"/>
      <c r="AE1781" s="81" t="b">
        <v>0</v>
      </c>
      <c r="AF1781" s="81">
        <v>0</v>
      </c>
      <c r="AG1781" s="86" t="s">
        <v>6240</v>
      </c>
      <c r="AH1781" s="81" t="b">
        <v>0</v>
      </c>
      <c r="AI1781" s="81" t="s">
        <v>6478</v>
      </c>
      <c r="AJ1781" s="81"/>
      <c r="AK1781" s="86" t="s">
        <v>6240</v>
      </c>
      <c r="AL1781" s="81" t="b">
        <v>0</v>
      </c>
      <c r="AM1781" s="81">
        <v>0</v>
      </c>
      <c r="AN1781" s="86" t="s">
        <v>6240</v>
      </c>
      <c r="AO1781" s="86" t="s">
        <v>6515</v>
      </c>
      <c r="AP1781" s="81" t="b">
        <v>0</v>
      </c>
      <c r="AQ1781" s="86" t="s">
        <v>5464</v>
      </c>
      <c r="AR1781" s="81" t="s">
        <v>179</v>
      </c>
      <c r="AS1781" s="81">
        <v>0</v>
      </c>
      <c r="AT1781" s="81">
        <v>0</v>
      </c>
      <c r="AU1781" s="81"/>
      <c r="AV1781" s="81"/>
      <c r="AW1781" s="81"/>
      <c r="AX1781" s="81"/>
      <c r="AY1781" s="81"/>
      <c r="AZ1781" s="81"/>
      <c r="BA1781" s="81"/>
      <c r="BB1781" s="81"/>
    </row>
    <row r="1782" spans="1:54" x14ac:dyDescent="0.35">
      <c r="A1782" s="66" t="s">
        <v>1228</v>
      </c>
      <c r="B1782" s="66" t="s">
        <v>1228</v>
      </c>
      <c r="C1782" s="67"/>
      <c r="D1782" s="68"/>
      <c r="E1782" s="69"/>
      <c r="F1782" s="70"/>
      <c r="G1782" s="67"/>
      <c r="H1782" s="71"/>
      <c r="I1782" s="72"/>
      <c r="J1782" s="72"/>
      <c r="K1782" s="36"/>
      <c r="L1782" s="79"/>
      <c r="M1782" s="79"/>
      <c r="N1782" s="74"/>
      <c r="O1782" s="81" t="s">
        <v>179</v>
      </c>
      <c r="P1782" s="83">
        <v>44462.465648148151</v>
      </c>
      <c r="Q1782" s="81" t="s">
        <v>2238</v>
      </c>
      <c r="R1782" s="84" t="str">
        <f>HYPERLINK("https://bursakerjadepnaker.com/lowongan-kerja-pt-pos-logistik-indonesia.html?utm_source=dlvr.it&amp;utm_medium=twitter")</f>
        <v>https://bursakerjadepnaker.com/lowongan-kerja-pt-pos-logistik-indonesia.html?utm_source=dlvr.it&amp;utm_medium=twitter</v>
      </c>
      <c r="S1782" s="81" t="s">
        <v>2623</v>
      </c>
      <c r="T1782" s="81"/>
      <c r="U1782" s="81"/>
      <c r="V1782" s="84" t="str">
        <f>HYPERLINK("https://pbs.twimg.com/profile_images/666486550046183425/O6sqRn5i_normal.jpg")</f>
        <v>https://pbs.twimg.com/profile_images/666486550046183425/O6sqRn5i_normal.jpg</v>
      </c>
      <c r="W1782" s="83">
        <v>44462.465648148151</v>
      </c>
      <c r="X1782" s="89">
        <v>44462</v>
      </c>
      <c r="Y1782" s="86" t="s">
        <v>3987</v>
      </c>
      <c r="Z1782" s="84" t="str">
        <f>HYPERLINK("https://twitter.com/roistorez/status/1440997004318965767")</f>
        <v>https://twitter.com/roistorez/status/1440997004318965767</v>
      </c>
      <c r="AA1782" s="81"/>
      <c r="AB1782" s="81"/>
      <c r="AC1782" s="86" t="s">
        <v>5465</v>
      </c>
      <c r="AD1782" s="81"/>
      <c r="AE1782" s="81" t="b">
        <v>0</v>
      </c>
      <c r="AF1782" s="81">
        <v>0</v>
      </c>
      <c r="AG1782" s="86" t="s">
        <v>6240</v>
      </c>
      <c r="AH1782" s="81" t="b">
        <v>0</v>
      </c>
      <c r="AI1782" s="81" t="s">
        <v>6478</v>
      </c>
      <c r="AJ1782" s="81"/>
      <c r="AK1782" s="86" t="s">
        <v>6240</v>
      </c>
      <c r="AL1782" s="81" t="b">
        <v>0</v>
      </c>
      <c r="AM1782" s="81">
        <v>0</v>
      </c>
      <c r="AN1782" s="86" t="s">
        <v>6240</v>
      </c>
      <c r="AO1782" s="86" t="s">
        <v>6515</v>
      </c>
      <c r="AP1782" s="81" t="b">
        <v>0</v>
      </c>
      <c r="AQ1782" s="86" t="s">
        <v>5465</v>
      </c>
      <c r="AR1782" s="81" t="s">
        <v>179</v>
      </c>
      <c r="AS1782" s="81">
        <v>0</v>
      </c>
      <c r="AT1782" s="81">
        <v>0</v>
      </c>
      <c r="AU1782" s="81"/>
      <c r="AV1782" s="81"/>
      <c r="AW1782" s="81"/>
      <c r="AX1782" s="81"/>
      <c r="AY1782" s="81"/>
      <c r="AZ1782" s="81"/>
      <c r="BA1782" s="81"/>
      <c r="BB1782" s="81"/>
    </row>
    <row r="1783" spans="1:54" x14ac:dyDescent="0.35">
      <c r="A1783" s="66" t="s">
        <v>1228</v>
      </c>
      <c r="B1783" s="66" t="s">
        <v>1228</v>
      </c>
      <c r="C1783" s="67"/>
      <c r="D1783" s="68"/>
      <c r="E1783" s="69"/>
      <c r="F1783" s="70"/>
      <c r="G1783" s="67"/>
      <c r="H1783" s="71"/>
      <c r="I1783" s="72"/>
      <c r="J1783" s="72"/>
      <c r="K1783" s="36"/>
      <c r="L1783" s="79"/>
      <c r="M1783" s="79"/>
      <c r="N1783" s="74"/>
      <c r="O1783" s="81" t="s">
        <v>179</v>
      </c>
      <c r="P1783" s="83">
        <v>44463.091736111113</v>
      </c>
      <c r="Q1783" s="81" t="s">
        <v>2239</v>
      </c>
      <c r="R1783" s="84" t="str">
        <f>HYPERLINK("https://www.rekrutmen.net/2021/09/lowongan-kerja-semua-jurusan-pt-pos.html?utm_source=dlvr.it&amp;utm_medium=twitter")</f>
        <v>https://www.rekrutmen.net/2021/09/lowongan-kerja-semua-jurusan-pt-pos.html?utm_source=dlvr.it&amp;utm_medium=twitter</v>
      </c>
      <c r="S1783" s="81" t="s">
        <v>2622</v>
      </c>
      <c r="T1783" s="81"/>
      <c r="U1783" s="81"/>
      <c r="V1783" s="84" t="str">
        <f>HYPERLINK("https://pbs.twimg.com/profile_images/666486550046183425/O6sqRn5i_normal.jpg")</f>
        <v>https://pbs.twimg.com/profile_images/666486550046183425/O6sqRn5i_normal.jpg</v>
      </c>
      <c r="W1783" s="83">
        <v>44463.091736111113</v>
      </c>
      <c r="X1783" s="89">
        <v>44463</v>
      </c>
      <c r="Y1783" s="86" t="s">
        <v>3984</v>
      </c>
      <c r="Z1783" s="84" t="str">
        <f>HYPERLINK("https://twitter.com/roistorez/status/1441223890819108866")</f>
        <v>https://twitter.com/roistorez/status/1441223890819108866</v>
      </c>
      <c r="AA1783" s="81"/>
      <c r="AB1783" s="81"/>
      <c r="AC1783" s="86" t="s">
        <v>5466</v>
      </c>
      <c r="AD1783" s="81"/>
      <c r="AE1783" s="81" t="b">
        <v>0</v>
      </c>
      <c r="AF1783" s="81">
        <v>0</v>
      </c>
      <c r="AG1783" s="86" t="s">
        <v>6240</v>
      </c>
      <c r="AH1783" s="81" t="b">
        <v>0</v>
      </c>
      <c r="AI1783" s="81" t="s">
        <v>6478</v>
      </c>
      <c r="AJ1783" s="81"/>
      <c r="AK1783" s="86" t="s">
        <v>6240</v>
      </c>
      <c r="AL1783" s="81" t="b">
        <v>0</v>
      </c>
      <c r="AM1783" s="81">
        <v>0</v>
      </c>
      <c r="AN1783" s="86" t="s">
        <v>6240</v>
      </c>
      <c r="AO1783" s="86" t="s">
        <v>6515</v>
      </c>
      <c r="AP1783" s="81" t="b">
        <v>0</v>
      </c>
      <c r="AQ1783" s="86" t="s">
        <v>5466</v>
      </c>
      <c r="AR1783" s="81" t="s">
        <v>179</v>
      </c>
      <c r="AS1783" s="81">
        <v>0</v>
      </c>
      <c r="AT1783" s="81">
        <v>0</v>
      </c>
      <c r="AU1783" s="81"/>
      <c r="AV1783" s="81"/>
      <c r="AW1783" s="81"/>
      <c r="AX1783" s="81"/>
      <c r="AY1783" s="81"/>
      <c r="AZ1783" s="81"/>
      <c r="BA1783" s="81"/>
      <c r="BB1783" s="81"/>
    </row>
    <row r="1784" spans="1:54" x14ac:dyDescent="0.35">
      <c r="A1784" s="66" t="s">
        <v>1228</v>
      </c>
      <c r="B1784" s="66" t="s">
        <v>1228</v>
      </c>
      <c r="C1784" s="67"/>
      <c r="D1784" s="68"/>
      <c r="E1784" s="69"/>
      <c r="F1784" s="70"/>
      <c r="G1784" s="67"/>
      <c r="H1784" s="71"/>
      <c r="I1784" s="72"/>
      <c r="J1784" s="72"/>
      <c r="K1784" s="36"/>
      <c r="L1784" s="79"/>
      <c r="M1784" s="79"/>
      <c r="N1784" s="74"/>
      <c r="O1784" s="81" t="s">
        <v>179</v>
      </c>
      <c r="P1784" s="83">
        <v>44467.064606481479</v>
      </c>
      <c r="Q1784" s="81" t="s">
        <v>2240</v>
      </c>
      <c r="R1784" s="84" t="str">
        <f>HYPERLINK("https://www.rekrutmen.net/2021/09/lowongan-kerja-bumn-pt-pos-indonesia.html?utm_source=dlvr.it&amp;utm_medium=twitter")</f>
        <v>https://www.rekrutmen.net/2021/09/lowongan-kerja-bumn-pt-pos-indonesia.html?utm_source=dlvr.it&amp;utm_medium=twitter</v>
      </c>
      <c r="S1784" s="81" t="s">
        <v>2622</v>
      </c>
      <c r="T1784" s="81"/>
      <c r="U1784" s="81"/>
      <c r="V1784" s="84" t="str">
        <f>HYPERLINK("https://pbs.twimg.com/profile_images/666486550046183425/O6sqRn5i_normal.jpg")</f>
        <v>https://pbs.twimg.com/profile_images/666486550046183425/O6sqRn5i_normal.jpg</v>
      </c>
      <c r="W1784" s="83">
        <v>44467.064606481479</v>
      </c>
      <c r="X1784" s="89">
        <v>44467</v>
      </c>
      <c r="Y1784" s="86" t="s">
        <v>3985</v>
      </c>
      <c r="Z1784" s="84" t="str">
        <f>HYPERLINK("https://twitter.com/roistorez/status/1442663611151761410")</f>
        <v>https://twitter.com/roistorez/status/1442663611151761410</v>
      </c>
      <c r="AA1784" s="81"/>
      <c r="AB1784" s="81"/>
      <c r="AC1784" s="86" t="s">
        <v>5467</v>
      </c>
      <c r="AD1784" s="81"/>
      <c r="AE1784" s="81" t="b">
        <v>0</v>
      </c>
      <c r="AF1784" s="81">
        <v>0</v>
      </c>
      <c r="AG1784" s="86" t="s">
        <v>6240</v>
      </c>
      <c r="AH1784" s="81" t="b">
        <v>0</v>
      </c>
      <c r="AI1784" s="81" t="s">
        <v>6478</v>
      </c>
      <c r="AJ1784" s="81"/>
      <c r="AK1784" s="86" t="s">
        <v>6240</v>
      </c>
      <c r="AL1784" s="81" t="b">
        <v>0</v>
      </c>
      <c r="AM1784" s="81">
        <v>0</v>
      </c>
      <c r="AN1784" s="86" t="s">
        <v>6240</v>
      </c>
      <c r="AO1784" s="86" t="s">
        <v>6515</v>
      </c>
      <c r="AP1784" s="81" t="b">
        <v>0</v>
      </c>
      <c r="AQ1784" s="86" t="s">
        <v>5467</v>
      </c>
      <c r="AR1784" s="81" t="s">
        <v>179</v>
      </c>
      <c r="AS1784" s="81">
        <v>0</v>
      </c>
      <c r="AT1784" s="81">
        <v>0</v>
      </c>
      <c r="AU1784" s="81"/>
      <c r="AV1784" s="81"/>
      <c r="AW1784" s="81"/>
      <c r="AX1784" s="81"/>
      <c r="AY1784" s="81"/>
      <c r="AZ1784" s="81"/>
      <c r="BA1784" s="81"/>
      <c r="BB1784" s="81"/>
    </row>
    <row r="1785" spans="1:54" x14ac:dyDescent="0.35">
      <c r="A1785" s="66" t="s">
        <v>1228</v>
      </c>
      <c r="B1785" s="66" t="s">
        <v>1228</v>
      </c>
      <c r="C1785" s="67"/>
      <c r="D1785" s="68"/>
      <c r="E1785" s="69"/>
      <c r="F1785" s="70"/>
      <c r="G1785" s="67"/>
      <c r="H1785" s="71"/>
      <c r="I1785" s="72"/>
      <c r="J1785" s="72"/>
      <c r="K1785" s="36"/>
      <c r="L1785" s="79"/>
      <c r="M1785" s="79"/>
      <c r="N1785" s="74"/>
      <c r="O1785" s="81" t="s">
        <v>179</v>
      </c>
      <c r="P1785" s="83">
        <v>44467.064629629633</v>
      </c>
      <c r="Q1785" s="81" t="s">
        <v>2241</v>
      </c>
      <c r="R1785" s="84" t="str">
        <f>HYPERLINK("https://www.rekrutmen.net/2021/09/lowongan-kerja-d3-s1-pt-sicepat-ekspres.html?utm_source=dlvr.it&amp;utm_medium=twitter")</f>
        <v>https://www.rekrutmen.net/2021/09/lowongan-kerja-d3-s1-pt-sicepat-ekspres.html?utm_source=dlvr.it&amp;utm_medium=twitter</v>
      </c>
      <c r="S1785" s="81" t="s">
        <v>2622</v>
      </c>
      <c r="T1785" s="81"/>
      <c r="U1785" s="81"/>
      <c r="V1785" s="84" t="str">
        <f>HYPERLINK("https://pbs.twimg.com/profile_images/666486550046183425/O6sqRn5i_normal.jpg")</f>
        <v>https://pbs.twimg.com/profile_images/666486550046183425/O6sqRn5i_normal.jpg</v>
      </c>
      <c r="W1785" s="83">
        <v>44467.064629629633</v>
      </c>
      <c r="X1785" s="89">
        <v>44467</v>
      </c>
      <c r="Y1785" s="86" t="s">
        <v>3986</v>
      </c>
      <c r="Z1785" s="84" t="str">
        <f>HYPERLINK("https://twitter.com/roistorez/status/1442663616608542721")</f>
        <v>https://twitter.com/roistorez/status/1442663616608542721</v>
      </c>
      <c r="AA1785" s="81"/>
      <c r="AB1785" s="81"/>
      <c r="AC1785" s="86" t="s">
        <v>5468</v>
      </c>
      <c r="AD1785" s="81"/>
      <c r="AE1785" s="81" t="b">
        <v>0</v>
      </c>
      <c r="AF1785" s="81">
        <v>0</v>
      </c>
      <c r="AG1785" s="86" t="s">
        <v>6240</v>
      </c>
      <c r="AH1785" s="81" t="b">
        <v>0</v>
      </c>
      <c r="AI1785" s="81" t="s">
        <v>6478</v>
      </c>
      <c r="AJ1785" s="81"/>
      <c r="AK1785" s="86" t="s">
        <v>6240</v>
      </c>
      <c r="AL1785" s="81" t="b">
        <v>0</v>
      </c>
      <c r="AM1785" s="81">
        <v>0</v>
      </c>
      <c r="AN1785" s="86" t="s">
        <v>6240</v>
      </c>
      <c r="AO1785" s="86" t="s">
        <v>6515</v>
      </c>
      <c r="AP1785" s="81" t="b">
        <v>0</v>
      </c>
      <c r="AQ1785" s="86" t="s">
        <v>5468</v>
      </c>
      <c r="AR1785" s="81" t="s">
        <v>179</v>
      </c>
      <c r="AS1785" s="81">
        <v>0</v>
      </c>
      <c r="AT1785" s="81">
        <v>0</v>
      </c>
      <c r="AU1785" s="81"/>
      <c r="AV1785" s="81"/>
      <c r="AW1785" s="81"/>
      <c r="AX1785" s="81"/>
      <c r="AY1785" s="81"/>
      <c r="AZ1785" s="81"/>
      <c r="BA1785" s="81"/>
      <c r="BB1785" s="81"/>
    </row>
    <row r="1786" spans="1:54" x14ac:dyDescent="0.35">
      <c r="A1786" s="66" t="s">
        <v>1229</v>
      </c>
      <c r="B1786" s="66" t="s">
        <v>1522</v>
      </c>
      <c r="C1786" s="67"/>
      <c r="D1786" s="68"/>
      <c r="E1786" s="69"/>
      <c r="F1786" s="70"/>
      <c r="G1786" s="67"/>
      <c r="H1786" s="71"/>
      <c r="I1786" s="72"/>
      <c r="J1786" s="72"/>
      <c r="K1786" s="36"/>
      <c r="L1786" s="79"/>
      <c r="M1786" s="79"/>
      <c r="N1786" s="74"/>
      <c r="O1786" s="81" t="s">
        <v>1535</v>
      </c>
      <c r="P1786" s="83">
        <v>44467.071412037039</v>
      </c>
      <c r="Q1786" s="81" t="s">
        <v>2242</v>
      </c>
      <c r="R1786" s="81"/>
      <c r="S1786" s="81"/>
      <c r="T1786" s="81"/>
      <c r="U1786" s="84" t="str">
        <f>HYPERLINK("https://pbs.twimg.com/media/FAVhJV7VkAUBb8a.jpg")</f>
        <v>https://pbs.twimg.com/media/FAVhJV7VkAUBb8a.jpg</v>
      </c>
      <c r="V1786" s="84" t="str">
        <f>HYPERLINK("https://pbs.twimg.com/media/FAVhJV7VkAUBb8a.jpg")</f>
        <v>https://pbs.twimg.com/media/FAVhJV7VkAUBb8a.jpg</v>
      </c>
      <c r="W1786" s="83">
        <v>44467.071412037039</v>
      </c>
      <c r="X1786" s="89">
        <v>44467</v>
      </c>
      <c r="Y1786" s="86" t="s">
        <v>3988</v>
      </c>
      <c r="Z1786" s="84" t="str">
        <f>HYPERLINK("https://twitter.com/lim_pato/status/1442666074793594883")</f>
        <v>https://twitter.com/lim_pato/status/1442666074793594883</v>
      </c>
      <c r="AA1786" s="81"/>
      <c r="AB1786" s="81"/>
      <c r="AC1786" s="86" t="s">
        <v>5469</v>
      </c>
      <c r="AD1786" s="81"/>
      <c r="AE1786" s="81" t="b">
        <v>0</v>
      </c>
      <c r="AF1786" s="81">
        <v>0</v>
      </c>
      <c r="AG1786" s="86" t="s">
        <v>6240</v>
      </c>
      <c r="AH1786" s="81" t="b">
        <v>0</v>
      </c>
      <c r="AI1786" s="81" t="s">
        <v>6478</v>
      </c>
      <c r="AJ1786" s="81"/>
      <c r="AK1786" s="86" t="s">
        <v>6240</v>
      </c>
      <c r="AL1786" s="81" t="b">
        <v>0</v>
      </c>
      <c r="AM1786" s="81">
        <v>0</v>
      </c>
      <c r="AN1786" s="86" t="s">
        <v>6240</v>
      </c>
      <c r="AO1786" s="86" t="s">
        <v>6507</v>
      </c>
      <c r="AP1786" s="81" t="b">
        <v>0</v>
      </c>
      <c r="AQ1786" s="86" t="s">
        <v>5469</v>
      </c>
      <c r="AR1786" s="81" t="s">
        <v>179</v>
      </c>
      <c r="AS1786" s="81">
        <v>0</v>
      </c>
      <c r="AT1786" s="81">
        <v>0</v>
      </c>
      <c r="AU1786" s="81"/>
      <c r="AV1786" s="81"/>
      <c r="AW1786" s="81"/>
      <c r="AX1786" s="81"/>
      <c r="AY1786" s="81"/>
      <c r="AZ1786" s="81"/>
      <c r="BA1786" s="81"/>
      <c r="BB1786" s="81"/>
    </row>
    <row r="1787" spans="1:54" x14ac:dyDescent="0.35">
      <c r="A1787" s="66" t="s">
        <v>1230</v>
      </c>
      <c r="B1787" s="66" t="s">
        <v>1230</v>
      </c>
      <c r="C1787" s="67"/>
      <c r="D1787" s="68"/>
      <c r="E1787" s="69"/>
      <c r="F1787" s="70"/>
      <c r="G1787" s="67"/>
      <c r="H1787" s="71"/>
      <c r="I1787" s="72"/>
      <c r="J1787" s="72"/>
      <c r="K1787" s="36"/>
      <c r="L1787" s="79"/>
      <c r="M1787" s="79"/>
      <c r="N1787" s="74"/>
      <c r="O1787" s="81" t="s">
        <v>179</v>
      </c>
      <c r="P1787" s="83">
        <v>44467.075520833336</v>
      </c>
      <c r="Q1787" s="81" t="s">
        <v>2243</v>
      </c>
      <c r="R1787" s="81"/>
      <c r="S1787" s="81"/>
      <c r="T1787" s="81"/>
      <c r="U1787" s="81"/>
      <c r="V1787" s="84" t="str">
        <f>HYPERLINK("https://pbs.twimg.com/profile_images/1438789709950447626/u-yDOld__normal.jpg")</f>
        <v>https://pbs.twimg.com/profile_images/1438789709950447626/u-yDOld__normal.jpg</v>
      </c>
      <c r="W1787" s="83">
        <v>44467.075520833336</v>
      </c>
      <c r="X1787" s="89">
        <v>44467</v>
      </c>
      <c r="Y1787" s="86" t="s">
        <v>3989</v>
      </c>
      <c r="Z1787" s="84" t="str">
        <f>HYPERLINK("https://twitter.com/kyufiies/status/1442667563310223362")</f>
        <v>https://twitter.com/kyufiies/status/1442667563310223362</v>
      </c>
      <c r="AA1787" s="81"/>
      <c r="AB1787" s="81"/>
      <c r="AC1787" s="86" t="s">
        <v>5470</v>
      </c>
      <c r="AD1787" s="81"/>
      <c r="AE1787" s="81" t="b">
        <v>0</v>
      </c>
      <c r="AF1787" s="81">
        <v>0</v>
      </c>
      <c r="AG1787" s="86" t="s">
        <v>6240</v>
      </c>
      <c r="AH1787" s="81" t="b">
        <v>0</v>
      </c>
      <c r="AI1787" s="81" t="s">
        <v>6478</v>
      </c>
      <c r="AJ1787" s="81"/>
      <c r="AK1787" s="86" t="s">
        <v>6240</v>
      </c>
      <c r="AL1787" s="81" t="b">
        <v>0</v>
      </c>
      <c r="AM1787" s="81">
        <v>0</v>
      </c>
      <c r="AN1787" s="86" t="s">
        <v>6240</v>
      </c>
      <c r="AO1787" s="86" t="s">
        <v>6503</v>
      </c>
      <c r="AP1787" s="81" t="b">
        <v>0</v>
      </c>
      <c r="AQ1787" s="86" t="s">
        <v>5470</v>
      </c>
      <c r="AR1787" s="81" t="s">
        <v>179</v>
      </c>
      <c r="AS1787" s="81">
        <v>0</v>
      </c>
      <c r="AT1787" s="81">
        <v>0</v>
      </c>
      <c r="AU1787" s="81"/>
      <c r="AV1787" s="81"/>
      <c r="AW1787" s="81"/>
      <c r="AX1787" s="81"/>
      <c r="AY1787" s="81"/>
      <c r="AZ1787" s="81"/>
      <c r="BA1787" s="81"/>
      <c r="BB1787" s="81"/>
    </row>
    <row r="1788" spans="1:54" x14ac:dyDescent="0.35">
      <c r="A1788" s="66" t="s">
        <v>1231</v>
      </c>
      <c r="B1788" s="66" t="s">
        <v>1232</v>
      </c>
      <c r="C1788" s="67"/>
      <c r="D1788" s="68"/>
      <c r="E1788" s="69"/>
      <c r="F1788" s="70"/>
      <c r="G1788" s="67"/>
      <c r="H1788" s="71"/>
      <c r="I1788" s="72"/>
      <c r="J1788" s="72"/>
      <c r="K1788" s="36"/>
      <c r="L1788" s="79"/>
      <c r="M1788" s="79"/>
      <c r="N1788" s="74"/>
      <c r="O1788" s="81" t="s">
        <v>1535</v>
      </c>
      <c r="P1788" s="83">
        <v>44459.381863425922</v>
      </c>
      <c r="Q1788" s="81" t="s">
        <v>2244</v>
      </c>
      <c r="R1788" s="81"/>
      <c r="S1788" s="81"/>
      <c r="T1788" s="81"/>
      <c r="U1788" s="84" t="str">
        <f>HYPERLINK("https://pbs.twimg.com/media/E_t6v1wUUAYuJiR.jpg")</f>
        <v>https://pbs.twimg.com/media/E_t6v1wUUAYuJiR.jpg</v>
      </c>
      <c r="V1788" s="84" t="str">
        <f>HYPERLINK("https://pbs.twimg.com/media/E_t6v1wUUAYuJiR.jpg")</f>
        <v>https://pbs.twimg.com/media/E_t6v1wUUAYuJiR.jpg</v>
      </c>
      <c r="W1788" s="83">
        <v>44459.381863425922</v>
      </c>
      <c r="X1788" s="89">
        <v>44459</v>
      </c>
      <c r="Y1788" s="86" t="s">
        <v>3990</v>
      </c>
      <c r="Z1788" s="84" t="str">
        <f>HYPERLINK("https://twitter.com/sitimaharani39/status/1439879475345252352")</f>
        <v>https://twitter.com/sitimaharani39/status/1439879475345252352</v>
      </c>
      <c r="AA1788" s="81"/>
      <c r="AB1788" s="81"/>
      <c r="AC1788" s="86" t="s">
        <v>5471</v>
      </c>
      <c r="AD1788" s="81"/>
      <c r="AE1788" s="81" t="b">
        <v>0</v>
      </c>
      <c r="AF1788" s="81">
        <v>1</v>
      </c>
      <c r="AG1788" s="86" t="s">
        <v>6240</v>
      </c>
      <c r="AH1788" s="81" t="b">
        <v>0</v>
      </c>
      <c r="AI1788" s="81" t="s">
        <v>6478</v>
      </c>
      <c r="AJ1788" s="81"/>
      <c r="AK1788" s="86" t="s">
        <v>6240</v>
      </c>
      <c r="AL1788" s="81" t="b">
        <v>0</v>
      </c>
      <c r="AM1788" s="81">
        <v>0</v>
      </c>
      <c r="AN1788" s="86" t="s">
        <v>6240</v>
      </c>
      <c r="AO1788" s="86" t="s">
        <v>6505</v>
      </c>
      <c r="AP1788" s="81" t="b">
        <v>0</v>
      </c>
      <c r="AQ1788" s="86" t="s">
        <v>5471</v>
      </c>
      <c r="AR1788" s="81" t="s">
        <v>179</v>
      </c>
      <c r="AS1788" s="81">
        <v>0</v>
      </c>
      <c r="AT1788" s="81">
        <v>0</v>
      </c>
      <c r="AU1788" s="81"/>
      <c r="AV1788" s="81"/>
      <c r="AW1788" s="81"/>
      <c r="AX1788" s="81"/>
      <c r="AY1788" s="81"/>
      <c r="AZ1788" s="81"/>
      <c r="BA1788" s="81"/>
      <c r="BB1788" s="81"/>
    </row>
    <row r="1789" spans="1:54" x14ac:dyDescent="0.35">
      <c r="A1789" s="66" t="s">
        <v>1232</v>
      </c>
      <c r="B1789" s="66" t="s">
        <v>1231</v>
      </c>
      <c r="C1789" s="67"/>
      <c r="D1789" s="68"/>
      <c r="E1789" s="69"/>
      <c r="F1789" s="70"/>
      <c r="G1789" s="67"/>
      <c r="H1789" s="71"/>
      <c r="I1789" s="72"/>
      <c r="J1789" s="72"/>
      <c r="K1789" s="36"/>
      <c r="L1789" s="79"/>
      <c r="M1789" s="79"/>
      <c r="N1789" s="74"/>
      <c r="O1789" s="81" t="s">
        <v>1534</v>
      </c>
      <c r="P1789" s="83">
        <v>44459.416944444441</v>
      </c>
      <c r="Q1789" s="81" t="s">
        <v>2245</v>
      </c>
      <c r="R1789" s="81"/>
      <c r="S1789" s="81"/>
      <c r="T1789" s="81"/>
      <c r="U1789" s="81"/>
      <c r="V1789" s="84" t="str">
        <f>HYPERLINK("https://pbs.twimg.com/profile_images/813703989061558273/pSVNdrgA_normal.jpg")</f>
        <v>https://pbs.twimg.com/profile_images/813703989061558273/pSVNdrgA_normal.jpg</v>
      </c>
      <c r="W1789" s="83">
        <v>44459.416944444441</v>
      </c>
      <c r="X1789" s="89">
        <v>44459</v>
      </c>
      <c r="Y1789" s="86" t="s">
        <v>3991</v>
      </c>
      <c r="Z1789" s="84" t="str">
        <f>HYPERLINK("https://twitter.com/bravobeacukai/status/1439892189085986819")</f>
        <v>https://twitter.com/bravobeacukai/status/1439892189085986819</v>
      </c>
      <c r="AA1789" s="81"/>
      <c r="AB1789" s="81"/>
      <c r="AC1789" s="86" t="s">
        <v>5472</v>
      </c>
      <c r="AD1789" s="86" t="s">
        <v>5471</v>
      </c>
      <c r="AE1789" s="81" t="b">
        <v>0</v>
      </c>
      <c r="AF1789" s="81">
        <v>1</v>
      </c>
      <c r="AG1789" s="86" t="s">
        <v>6464</v>
      </c>
      <c r="AH1789" s="81" t="b">
        <v>0</v>
      </c>
      <c r="AI1789" s="81" t="s">
        <v>6478</v>
      </c>
      <c r="AJ1789" s="81"/>
      <c r="AK1789" s="86" t="s">
        <v>6240</v>
      </c>
      <c r="AL1789" s="81" t="b">
        <v>0</v>
      </c>
      <c r="AM1789" s="81">
        <v>0</v>
      </c>
      <c r="AN1789" s="86" t="s">
        <v>6240</v>
      </c>
      <c r="AO1789" s="86" t="s">
        <v>6512</v>
      </c>
      <c r="AP1789" s="81" t="b">
        <v>0</v>
      </c>
      <c r="AQ1789" s="86" t="s">
        <v>5471</v>
      </c>
      <c r="AR1789" s="81" t="s">
        <v>179</v>
      </c>
      <c r="AS1789" s="81">
        <v>0</v>
      </c>
      <c r="AT1789" s="81">
        <v>0</v>
      </c>
      <c r="AU1789" s="81"/>
      <c r="AV1789" s="81"/>
      <c r="AW1789" s="81"/>
      <c r="AX1789" s="81"/>
      <c r="AY1789" s="81"/>
      <c r="AZ1789" s="81"/>
      <c r="BA1789" s="81"/>
      <c r="BB1789" s="81"/>
    </row>
    <row r="1790" spans="1:54" x14ac:dyDescent="0.35">
      <c r="A1790" s="66" t="s">
        <v>1232</v>
      </c>
      <c r="B1790" s="66" t="s">
        <v>1523</v>
      </c>
      <c r="C1790" s="67"/>
      <c r="D1790" s="68"/>
      <c r="E1790" s="69"/>
      <c r="F1790" s="70"/>
      <c r="G1790" s="67"/>
      <c r="H1790" s="71"/>
      <c r="I1790" s="72"/>
      <c r="J1790" s="72"/>
      <c r="K1790" s="36"/>
      <c r="L1790" s="79"/>
      <c r="M1790" s="79"/>
      <c r="N1790" s="74"/>
      <c r="O1790" s="81" t="s">
        <v>1534</v>
      </c>
      <c r="P1790" s="83">
        <v>44462.163113425922</v>
      </c>
      <c r="Q1790" s="81" t="s">
        <v>2246</v>
      </c>
      <c r="R1790" s="81"/>
      <c r="S1790" s="81"/>
      <c r="T1790" s="81"/>
      <c r="U1790" s="81"/>
      <c r="V1790" s="84" t="str">
        <f>HYPERLINK("https://pbs.twimg.com/profile_images/813703989061558273/pSVNdrgA_normal.jpg")</f>
        <v>https://pbs.twimg.com/profile_images/813703989061558273/pSVNdrgA_normal.jpg</v>
      </c>
      <c r="W1790" s="83">
        <v>44462.163113425922</v>
      </c>
      <c r="X1790" s="89">
        <v>44462</v>
      </c>
      <c r="Y1790" s="86" t="s">
        <v>3992</v>
      </c>
      <c r="Z1790" s="84" t="str">
        <f>HYPERLINK("https://twitter.com/bravobeacukai/status/1440887366860763147")</f>
        <v>https://twitter.com/bravobeacukai/status/1440887366860763147</v>
      </c>
      <c r="AA1790" s="81"/>
      <c r="AB1790" s="81"/>
      <c r="AC1790" s="86" t="s">
        <v>5473</v>
      </c>
      <c r="AD1790" s="86" t="s">
        <v>6226</v>
      </c>
      <c r="AE1790" s="81" t="b">
        <v>0</v>
      </c>
      <c r="AF1790" s="81">
        <v>0</v>
      </c>
      <c r="AG1790" s="86" t="s">
        <v>6465</v>
      </c>
      <c r="AH1790" s="81" t="b">
        <v>0</v>
      </c>
      <c r="AI1790" s="81" t="s">
        <v>6478</v>
      </c>
      <c r="AJ1790" s="81"/>
      <c r="AK1790" s="86" t="s">
        <v>6240</v>
      </c>
      <c r="AL1790" s="81" t="b">
        <v>0</v>
      </c>
      <c r="AM1790" s="81">
        <v>0</v>
      </c>
      <c r="AN1790" s="86" t="s">
        <v>6240</v>
      </c>
      <c r="AO1790" s="86" t="s">
        <v>6512</v>
      </c>
      <c r="AP1790" s="81" t="b">
        <v>0</v>
      </c>
      <c r="AQ1790" s="86" t="s">
        <v>6226</v>
      </c>
      <c r="AR1790" s="81" t="s">
        <v>179</v>
      </c>
      <c r="AS1790" s="81">
        <v>0</v>
      </c>
      <c r="AT1790" s="81">
        <v>0</v>
      </c>
      <c r="AU1790" s="81"/>
      <c r="AV1790" s="81"/>
      <c r="AW1790" s="81"/>
      <c r="AX1790" s="81"/>
      <c r="AY1790" s="81"/>
      <c r="AZ1790" s="81"/>
      <c r="BA1790" s="81"/>
      <c r="BB1790" s="81"/>
    </row>
    <row r="1791" spans="1:54" x14ac:dyDescent="0.35">
      <c r="A1791" s="66" t="s">
        <v>1232</v>
      </c>
      <c r="B1791" s="66" t="s">
        <v>1524</v>
      </c>
      <c r="C1791" s="67"/>
      <c r="D1791" s="68"/>
      <c r="E1791" s="69"/>
      <c r="F1791" s="70"/>
      <c r="G1791" s="67"/>
      <c r="H1791" s="71"/>
      <c r="I1791" s="72"/>
      <c r="J1791" s="72"/>
      <c r="K1791" s="36"/>
      <c r="L1791" s="79"/>
      <c r="M1791" s="79"/>
      <c r="N1791" s="74"/>
      <c r="O1791" s="81" t="s">
        <v>1534</v>
      </c>
      <c r="P1791" s="83">
        <v>44463.096250000002</v>
      </c>
      <c r="Q1791" s="81" t="s">
        <v>2247</v>
      </c>
      <c r="R1791" s="81"/>
      <c r="S1791" s="81"/>
      <c r="T1791" s="81"/>
      <c r="U1791" s="81"/>
      <c r="V1791" s="84" t="str">
        <f>HYPERLINK("https://pbs.twimg.com/profile_images/813703989061558273/pSVNdrgA_normal.jpg")</f>
        <v>https://pbs.twimg.com/profile_images/813703989061558273/pSVNdrgA_normal.jpg</v>
      </c>
      <c r="W1791" s="83">
        <v>44463.096250000002</v>
      </c>
      <c r="X1791" s="89">
        <v>44463</v>
      </c>
      <c r="Y1791" s="86" t="s">
        <v>3993</v>
      </c>
      <c r="Z1791" s="84" t="str">
        <f>HYPERLINK("https://twitter.com/bravobeacukai/status/1441225526245396480")</f>
        <v>https://twitter.com/bravobeacukai/status/1441225526245396480</v>
      </c>
      <c r="AA1791" s="81"/>
      <c r="AB1791" s="81"/>
      <c r="AC1791" s="86" t="s">
        <v>5474</v>
      </c>
      <c r="AD1791" s="86" t="s">
        <v>6227</v>
      </c>
      <c r="AE1791" s="81" t="b">
        <v>0</v>
      </c>
      <c r="AF1791" s="81">
        <v>0</v>
      </c>
      <c r="AG1791" s="86" t="s">
        <v>6466</v>
      </c>
      <c r="AH1791" s="81" t="b">
        <v>0</v>
      </c>
      <c r="AI1791" s="81" t="s">
        <v>6478</v>
      </c>
      <c r="AJ1791" s="81"/>
      <c r="AK1791" s="86" t="s">
        <v>6240</v>
      </c>
      <c r="AL1791" s="81" t="b">
        <v>0</v>
      </c>
      <c r="AM1791" s="81">
        <v>0</v>
      </c>
      <c r="AN1791" s="86" t="s">
        <v>6240</v>
      </c>
      <c r="AO1791" s="86" t="s">
        <v>6512</v>
      </c>
      <c r="AP1791" s="81" t="b">
        <v>0</v>
      </c>
      <c r="AQ1791" s="86" t="s">
        <v>6227</v>
      </c>
      <c r="AR1791" s="81" t="s">
        <v>179</v>
      </c>
      <c r="AS1791" s="81">
        <v>0</v>
      </c>
      <c r="AT1791" s="81">
        <v>0</v>
      </c>
      <c r="AU1791" s="81"/>
      <c r="AV1791" s="81"/>
      <c r="AW1791" s="81"/>
      <c r="AX1791" s="81"/>
      <c r="AY1791" s="81"/>
      <c r="AZ1791" s="81"/>
      <c r="BA1791" s="81"/>
      <c r="BB1791" s="81"/>
    </row>
    <row r="1792" spans="1:54" x14ac:dyDescent="0.35">
      <c r="A1792" s="66" t="s">
        <v>1232</v>
      </c>
      <c r="B1792" s="66" t="s">
        <v>1525</v>
      </c>
      <c r="C1792" s="67"/>
      <c r="D1792" s="68"/>
      <c r="E1792" s="69"/>
      <c r="F1792" s="70"/>
      <c r="G1792" s="67"/>
      <c r="H1792" s="71"/>
      <c r="I1792" s="72"/>
      <c r="J1792" s="72"/>
      <c r="K1792" s="36"/>
      <c r="L1792" s="79"/>
      <c r="M1792" s="79"/>
      <c r="N1792" s="74"/>
      <c r="O1792" s="81" t="s">
        <v>1534</v>
      </c>
      <c r="P1792" s="83">
        <v>44464.094837962963</v>
      </c>
      <c r="Q1792" s="81" t="s">
        <v>2248</v>
      </c>
      <c r="R1792" s="81"/>
      <c r="S1792" s="81"/>
      <c r="T1792" s="81"/>
      <c r="U1792" s="81"/>
      <c r="V1792" s="84" t="str">
        <f>HYPERLINK("https://pbs.twimg.com/profile_images/813703989061558273/pSVNdrgA_normal.jpg")</f>
        <v>https://pbs.twimg.com/profile_images/813703989061558273/pSVNdrgA_normal.jpg</v>
      </c>
      <c r="W1792" s="83">
        <v>44464.094837962963</v>
      </c>
      <c r="X1792" s="89">
        <v>44464</v>
      </c>
      <c r="Y1792" s="86" t="s">
        <v>3994</v>
      </c>
      <c r="Z1792" s="84" t="str">
        <f>HYPERLINK("https://twitter.com/bravobeacukai/status/1441587399658598404")</f>
        <v>https://twitter.com/bravobeacukai/status/1441587399658598404</v>
      </c>
      <c r="AA1792" s="81"/>
      <c r="AB1792" s="81"/>
      <c r="AC1792" s="86" t="s">
        <v>5475</v>
      </c>
      <c r="AD1792" s="86" t="s">
        <v>6228</v>
      </c>
      <c r="AE1792" s="81" t="b">
        <v>0</v>
      </c>
      <c r="AF1792" s="81">
        <v>0</v>
      </c>
      <c r="AG1792" s="86" t="s">
        <v>6467</v>
      </c>
      <c r="AH1792" s="81" t="b">
        <v>0</v>
      </c>
      <c r="AI1792" s="81" t="s">
        <v>6478</v>
      </c>
      <c r="AJ1792" s="81"/>
      <c r="AK1792" s="86" t="s">
        <v>6240</v>
      </c>
      <c r="AL1792" s="81" t="b">
        <v>0</v>
      </c>
      <c r="AM1792" s="81">
        <v>0</v>
      </c>
      <c r="AN1792" s="86" t="s">
        <v>6240</v>
      </c>
      <c r="AO1792" s="86" t="s">
        <v>6507</v>
      </c>
      <c r="AP1792" s="81" t="b">
        <v>0</v>
      </c>
      <c r="AQ1792" s="86" t="s">
        <v>6228</v>
      </c>
      <c r="AR1792" s="81" t="s">
        <v>179</v>
      </c>
      <c r="AS1792" s="81">
        <v>0</v>
      </c>
      <c r="AT1792" s="81">
        <v>0</v>
      </c>
      <c r="AU1792" s="81"/>
      <c r="AV1792" s="81"/>
      <c r="AW1792" s="81"/>
      <c r="AX1792" s="81"/>
      <c r="AY1792" s="81"/>
      <c r="AZ1792" s="81"/>
      <c r="BA1792" s="81"/>
      <c r="BB1792" s="81"/>
    </row>
    <row r="1793" spans="1:54" x14ac:dyDescent="0.35">
      <c r="A1793" s="66" t="s">
        <v>1232</v>
      </c>
      <c r="B1793" s="66" t="s">
        <v>1526</v>
      </c>
      <c r="C1793" s="67"/>
      <c r="D1793" s="68"/>
      <c r="E1793" s="69"/>
      <c r="F1793" s="70"/>
      <c r="G1793" s="67"/>
      <c r="H1793" s="71"/>
      <c r="I1793" s="72"/>
      <c r="J1793" s="72"/>
      <c r="K1793" s="36"/>
      <c r="L1793" s="79"/>
      <c r="M1793" s="79"/>
      <c r="N1793" s="74"/>
      <c r="O1793" s="81" t="s">
        <v>1534</v>
      </c>
      <c r="P1793" s="83">
        <v>44464.413483796299</v>
      </c>
      <c r="Q1793" s="81" t="s">
        <v>2249</v>
      </c>
      <c r="R1793" s="84" t="str">
        <f>HYPERLINK("https://beacukai.go.id/barangkiriman")</f>
        <v>https://beacukai.go.id/barangkiriman</v>
      </c>
      <c r="S1793" s="81" t="s">
        <v>2603</v>
      </c>
      <c r="T1793" s="81"/>
      <c r="U1793" s="81"/>
      <c r="V1793" s="84" t="str">
        <f>HYPERLINK("https://pbs.twimg.com/profile_images/813703989061558273/pSVNdrgA_normal.jpg")</f>
        <v>https://pbs.twimg.com/profile_images/813703989061558273/pSVNdrgA_normal.jpg</v>
      </c>
      <c r="W1793" s="83">
        <v>44464.413483796299</v>
      </c>
      <c r="X1793" s="89">
        <v>44464</v>
      </c>
      <c r="Y1793" s="86" t="s">
        <v>3995</v>
      </c>
      <c r="Z1793" s="84" t="str">
        <f>HYPERLINK("https://twitter.com/bravobeacukai/status/1441702873402798087")</f>
        <v>https://twitter.com/bravobeacukai/status/1441702873402798087</v>
      </c>
      <c r="AA1793" s="81"/>
      <c r="AB1793" s="81"/>
      <c r="AC1793" s="86" t="s">
        <v>5476</v>
      </c>
      <c r="AD1793" s="86" t="s">
        <v>6229</v>
      </c>
      <c r="AE1793" s="81" t="b">
        <v>0</v>
      </c>
      <c r="AF1793" s="81">
        <v>0</v>
      </c>
      <c r="AG1793" s="86" t="s">
        <v>6468</v>
      </c>
      <c r="AH1793" s="81" t="b">
        <v>0</v>
      </c>
      <c r="AI1793" s="81" t="s">
        <v>6478</v>
      </c>
      <c r="AJ1793" s="81"/>
      <c r="AK1793" s="86" t="s">
        <v>6240</v>
      </c>
      <c r="AL1793" s="81" t="b">
        <v>0</v>
      </c>
      <c r="AM1793" s="81">
        <v>0</v>
      </c>
      <c r="AN1793" s="86" t="s">
        <v>6240</v>
      </c>
      <c r="AO1793" s="86" t="s">
        <v>6512</v>
      </c>
      <c r="AP1793" s="81" t="b">
        <v>0</v>
      </c>
      <c r="AQ1793" s="86" t="s">
        <v>6229</v>
      </c>
      <c r="AR1793" s="81" t="s">
        <v>179</v>
      </c>
      <c r="AS1793" s="81">
        <v>0</v>
      </c>
      <c r="AT1793" s="81">
        <v>0</v>
      </c>
      <c r="AU1793" s="81"/>
      <c r="AV1793" s="81"/>
      <c r="AW1793" s="81"/>
      <c r="AX1793" s="81"/>
      <c r="AY1793" s="81"/>
      <c r="AZ1793" s="81"/>
      <c r="BA1793" s="81"/>
      <c r="BB1793" s="81"/>
    </row>
    <row r="1794" spans="1:54" x14ac:dyDescent="0.35">
      <c r="A1794" s="66" t="s">
        <v>1232</v>
      </c>
      <c r="B1794" s="66" t="s">
        <v>1527</v>
      </c>
      <c r="C1794" s="67"/>
      <c r="D1794" s="68"/>
      <c r="E1794" s="69"/>
      <c r="F1794" s="70"/>
      <c r="G1794" s="67"/>
      <c r="H1794" s="71"/>
      <c r="I1794" s="72"/>
      <c r="J1794" s="72"/>
      <c r="K1794" s="36"/>
      <c r="L1794" s="79"/>
      <c r="M1794" s="79"/>
      <c r="N1794" s="74"/>
      <c r="O1794" s="81" t="s">
        <v>1534</v>
      </c>
      <c r="P1794" s="83">
        <v>44467.084652777776</v>
      </c>
      <c r="Q1794" s="81" t="s">
        <v>2250</v>
      </c>
      <c r="R1794" s="81"/>
      <c r="S1794" s="81"/>
      <c r="T1794" s="81"/>
      <c r="U1794" s="81"/>
      <c r="V1794" s="84" t="str">
        <f>HYPERLINK("https://pbs.twimg.com/profile_images/813703989061558273/pSVNdrgA_normal.jpg")</f>
        <v>https://pbs.twimg.com/profile_images/813703989061558273/pSVNdrgA_normal.jpg</v>
      </c>
      <c r="W1794" s="83">
        <v>44467.084652777776</v>
      </c>
      <c r="X1794" s="89">
        <v>44467</v>
      </c>
      <c r="Y1794" s="86" t="s">
        <v>3996</v>
      </c>
      <c r="Z1794" s="84" t="str">
        <f>HYPERLINK("https://twitter.com/bravobeacukai/status/1442670871802306560")</f>
        <v>https://twitter.com/bravobeacukai/status/1442670871802306560</v>
      </c>
      <c r="AA1794" s="81"/>
      <c r="AB1794" s="81"/>
      <c r="AC1794" s="86" t="s">
        <v>5477</v>
      </c>
      <c r="AD1794" s="86" t="s">
        <v>6230</v>
      </c>
      <c r="AE1794" s="81" t="b">
        <v>0</v>
      </c>
      <c r="AF1794" s="81">
        <v>0</v>
      </c>
      <c r="AG1794" s="86" t="s">
        <v>6469</v>
      </c>
      <c r="AH1794" s="81" t="b">
        <v>0</v>
      </c>
      <c r="AI1794" s="81" t="s">
        <v>6478</v>
      </c>
      <c r="AJ1794" s="81"/>
      <c r="AK1794" s="86" t="s">
        <v>6240</v>
      </c>
      <c r="AL1794" s="81" t="b">
        <v>0</v>
      </c>
      <c r="AM1794" s="81">
        <v>0</v>
      </c>
      <c r="AN1794" s="86" t="s">
        <v>6240</v>
      </c>
      <c r="AO1794" s="86" t="s">
        <v>6512</v>
      </c>
      <c r="AP1794" s="81" t="b">
        <v>0</v>
      </c>
      <c r="AQ1794" s="86" t="s">
        <v>6230</v>
      </c>
      <c r="AR1794" s="81" t="s">
        <v>179</v>
      </c>
      <c r="AS1794" s="81">
        <v>0</v>
      </c>
      <c r="AT1794" s="81">
        <v>0</v>
      </c>
      <c r="AU1794" s="81"/>
      <c r="AV1794" s="81"/>
      <c r="AW1794" s="81"/>
      <c r="AX1794" s="81"/>
      <c r="AY1794" s="81"/>
      <c r="AZ1794" s="81"/>
      <c r="BA1794" s="81"/>
      <c r="BB1794" s="81"/>
    </row>
    <row r="1795" spans="1:54" x14ac:dyDescent="0.35">
      <c r="A1795" s="66" t="s">
        <v>1233</v>
      </c>
      <c r="B1795" s="66" t="s">
        <v>1146</v>
      </c>
      <c r="C1795" s="67"/>
      <c r="D1795" s="68"/>
      <c r="E1795" s="69"/>
      <c r="F1795" s="70"/>
      <c r="G1795" s="67"/>
      <c r="H1795" s="71"/>
      <c r="I1795" s="72"/>
      <c r="J1795" s="72"/>
      <c r="K1795" s="36"/>
      <c r="L1795" s="79"/>
      <c r="M1795" s="79"/>
      <c r="N1795" s="74"/>
      <c r="O1795" s="81" t="s">
        <v>1532</v>
      </c>
      <c r="P1795" s="83">
        <v>44467.088321759256</v>
      </c>
      <c r="Q1795" s="81" t="s">
        <v>2091</v>
      </c>
      <c r="R1795" s="81"/>
      <c r="S1795" s="81"/>
      <c r="T1795" s="81"/>
      <c r="U1795" s="84" t="str">
        <f>HYPERLINK("https://pbs.twimg.com/ext_tw_video_thumb/1442373678990196737/pu/img/UDVgFvOXidN40Fez.jpg")</f>
        <v>https://pbs.twimg.com/ext_tw_video_thumb/1442373678990196737/pu/img/UDVgFvOXidN40Fez.jpg</v>
      </c>
      <c r="V1795" s="84" t="str">
        <f>HYPERLINK("https://pbs.twimg.com/ext_tw_video_thumb/1442373678990196737/pu/img/UDVgFvOXidN40Fez.jpg")</f>
        <v>https://pbs.twimg.com/ext_tw_video_thumb/1442373678990196737/pu/img/UDVgFvOXidN40Fez.jpg</v>
      </c>
      <c r="W1795" s="83">
        <v>44467.088321759256</v>
      </c>
      <c r="X1795" s="89">
        <v>44467</v>
      </c>
      <c r="Y1795" s="86" t="s">
        <v>3997</v>
      </c>
      <c r="Z1795" s="84" t="str">
        <f>HYPERLINK("https://twitter.com/euisnurhalimah6/status/1442672203347021826")</f>
        <v>https://twitter.com/euisnurhalimah6/status/1442672203347021826</v>
      </c>
      <c r="AA1795" s="81"/>
      <c r="AB1795" s="81"/>
      <c r="AC1795" s="86" t="s">
        <v>5478</v>
      </c>
      <c r="AD1795" s="81"/>
      <c r="AE1795" s="81" t="b">
        <v>0</v>
      </c>
      <c r="AF1795" s="81">
        <v>0</v>
      </c>
      <c r="AG1795" s="86" t="s">
        <v>6240</v>
      </c>
      <c r="AH1795" s="81" t="b">
        <v>0</v>
      </c>
      <c r="AI1795" s="81" t="s">
        <v>6478</v>
      </c>
      <c r="AJ1795" s="81"/>
      <c r="AK1795" s="86" t="s">
        <v>6240</v>
      </c>
      <c r="AL1795" s="81" t="b">
        <v>0</v>
      </c>
      <c r="AM1795" s="81">
        <v>30</v>
      </c>
      <c r="AN1795" s="86" t="s">
        <v>5524</v>
      </c>
      <c r="AO1795" s="86" t="s">
        <v>6503</v>
      </c>
      <c r="AP1795" s="81" t="b">
        <v>0</v>
      </c>
      <c r="AQ1795" s="86" t="s">
        <v>5524</v>
      </c>
      <c r="AR1795" s="81" t="s">
        <v>179</v>
      </c>
      <c r="AS1795" s="81">
        <v>0</v>
      </c>
      <c r="AT1795" s="81">
        <v>0</v>
      </c>
      <c r="AU1795" s="81"/>
      <c r="AV1795" s="81"/>
      <c r="AW1795" s="81"/>
      <c r="AX1795" s="81"/>
      <c r="AY1795" s="81"/>
      <c r="AZ1795" s="81"/>
      <c r="BA1795" s="81"/>
      <c r="BB1795" s="81"/>
    </row>
    <row r="1796" spans="1:54" x14ac:dyDescent="0.35">
      <c r="A1796" s="66" t="s">
        <v>1234</v>
      </c>
      <c r="B1796" s="66" t="s">
        <v>1234</v>
      </c>
      <c r="C1796" s="67"/>
      <c r="D1796" s="68"/>
      <c r="E1796" s="69"/>
      <c r="F1796" s="70"/>
      <c r="G1796" s="67"/>
      <c r="H1796" s="71"/>
      <c r="I1796" s="72"/>
      <c r="J1796" s="72"/>
      <c r="K1796" s="36"/>
      <c r="L1796" s="79"/>
      <c r="M1796" s="79"/>
      <c r="N1796" s="74"/>
      <c r="O1796" s="81" t="s">
        <v>179</v>
      </c>
      <c r="P1796" s="83">
        <v>44467.094363425924</v>
      </c>
      <c r="Q1796" s="81" t="s">
        <v>2251</v>
      </c>
      <c r="R1796" s="84" t="str">
        <f>HYPERLINK("https://radarsolo.jawapos.com/ekonomi/28/09/2021/peringati-postel-pt-pos-indonesia-bertransformasi-ke-arah-digital/")</f>
        <v>https://radarsolo.jawapos.com/ekonomi/28/09/2021/peringati-postel-pt-pos-indonesia-bertransformasi-ke-arah-digital/</v>
      </c>
      <c r="S1796" s="81" t="s">
        <v>2650</v>
      </c>
      <c r="T1796" s="81"/>
      <c r="U1796" s="81"/>
      <c r="V1796" s="84" t="str">
        <f>HYPERLINK("https://pbs.twimg.com/profile_images/1418495014095577095/a15Zncbb_normal.jpg")</f>
        <v>https://pbs.twimg.com/profile_images/1418495014095577095/a15Zncbb_normal.jpg</v>
      </c>
      <c r="W1796" s="83">
        <v>44467.094363425924</v>
      </c>
      <c r="X1796" s="89">
        <v>44467</v>
      </c>
      <c r="Y1796" s="86" t="s">
        <v>3998</v>
      </c>
      <c r="Z1796" s="84" t="str">
        <f>HYPERLINK("https://twitter.com/jawapos/status/1442674394539560967")</f>
        <v>https://twitter.com/jawapos/status/1442674394539560967</v>
      </c>
      <c r="AA1796" s="81"/>
      <c r="AB1796" s="81"/>
      <c r="AC1796" s="86" t="s">
        <v>5479</v>
      </c>
      <c r="AD1796" s="81"/>
      <c r="AE1796" s="81" t="b">
        <v>0</v>
      </c>
      <c r="AF1796" s="81">
        <v>1</v>
      </c>
      <c r="AG1796" s="86" t="s">
        <v>6240</v>
      </c>
      <c r="AH1796" s="81" t="b">
        <v>0</v>
      </c>
      <c r="AI1796" s="81" t="s">
        <v>6478</v>
      </c>
      <c r="AJ1796" s="81"/>
      <c r="AK1796" s="86" t="s">
        <v>6240</v>
      </c>
      <c r="AL1796" s="81" t="b">
        <v>0</v>
      </c>
      <c r="AM1796" s="81">
        <v>0</v>
      </c>
      <c r="AN1796" s="86" t="s">
        <v>6240</v>
      </c>
      <c r="AO1796" s="86" t="s">
        <v>6533</v>
      </c>
      <c r="AP1796" s="81" t="b">
        <v>0</v>
      </c>
      <c r="AQ1796" s="86" t="s">
        <v>5479</v>
      </c>
      <c r="AR1796" s="81" t="s">
        <v>179</v>
      </c>
      <c r="AS1796" s="81">
        <v>0</v>
      </c>
      <c r="AT1796" s="81">
        <v>0</v>
      </c>
      <c r="AU1796" s="81"/>
      <c r="AV1796" s="81"/>
      <c r="AW1796" s="81"/>
      <c r="AX1796" s="81"/>
      <c r="AY1796" s="81"/>
      <c r="AZ1796" s="81"/>
      <c r="BA1796" s="81"/>
      <c r="BB1796" s="81"/>
    </row>
    <row r="1797" spans="1:54" x14ac:dyDescent="0.35">
      <c r="A1797" s="66" t="s">
        <v>1235</v>
      </c>
      <c r="B1797" s="66" t="s">
        <v>1235</v>
      </c>
      <c r="C1797" s="67"/>
      <c r="D1797" s="68"/>
      <c r="E1797" s="69"/>
      <c r="F1797" s="70"/>
      <c r="G1797" s="67"/>
      <c r="H1797" s="71"/>
      <c r="I1797" s="72"/>
      <c r="J1797" s="72"/>
      <c r="K1797" s="36"/>
      <c r="L1797" s="79"/>
      <c r="M1797" s="79"/>
      <c r="N1797" s="74"/>
      <c r="O1797" s="81" t="s">
        <v>179</v>
      </c>
      <c r="P1797" s="83">
        <v>44459.069027777776</v>
      </c>
      <c r="Q1797" s="81" t="s">
        <v>2252</v>
      </c>
      <c r="R1797" s="84" t="str">
        <f>HYPERLINK("https://www.google.co.id/maps/place/KANTOR+POS+Karang+Satria/@-6.2306253,107.0272483,17z/data=!3m1!4b1!4m5!3m4!1s0x2e698f5d937e865d:0x33777a34131eba!8m2!3d-6.2306306!4d107.0294423?hl=en&amp;shorturl=1")</f>
        <v>https://www.google.co.id/maps/place/KANTOR+POS+Karang+Satria/@-6.2306253,107.0272483,17z/data=!3m1!4b1!4m5!3m4!1s0x2e698f5d937e865d:0x33777a34131eba!8m2!3d-6.2306306!4d107.0294423?hl=en&amp;shorturl=1</v>
      </c>
      <c r="S1797" s="81" t="s">
        <v>2589</v>
      </c>
      <c r="T1797" s="81"/>
      <c r="U1797" s="84" t="str">
        <f>HYPERLINK("https://pbs.twimg.com/media/E_sTohxUcAYTwoP.jpg")</f>
        <v>https://pbs.twimg.com/media/E_sTohxUcAYTwoP.jpg</v>
      </c>
      <c r="V1797" s="84" t="str">
        <f>HYPERLINK("https://pbs.twimg.com/media/E_sTohxUcAYTwoP.jpg")</f>
        <v>https://pbs.twimg.com/media/E_sTohxUcAYTwoP.jpg</v>
      </c>
      <c r="W1797" s="83">
        <v>44459.069027777776</v>
      </c>
      <c r="X1797" s="89">
        <v>44459</v>
      </c>
      <c r="Y1797" s="86" t="s">
        <v>3999</v>
      </c>
      <c r="Z1797" s="84" t="str">
        <f>HYPERLINK("https://twitter.com/karangpos/status/1439766107355705344")</f>
        <v>https://twitter.com/karangpos/status/1439766107355705344</v>
      </c>
      <c r="AA1797" s="81"/>
      <c r="AB1797" s="81"/>
      <c r="AC1797" s="86" t="s">
        <v>5480</v>
      </c>
      <c r="AD1797" s="81"/>
      <c r="AE1797" s="81" t="b">
        <v>0</v>
      </c>
      <c r="AF1797" s="81">
        <v>0</v>
      </c>
      <c r="AG1797" s="86" t="s">
        <v>6240</v>
      </c>
      <c r="AH1797" s="81" t="b">
        <v>0</v>
      </c>
      <c r="AI1797" s="81" t="s">
        <v>6478</v>
      </c>
      <c r="AJ1797" s="81"/>
      <c r="AK1797" s="86" t="s">
        <v>6240</v>
      </c>
      <c r="AL1797" s="81" t="b">
        <v>0</v>
      </c>
      <c r="AM1797" s="81">
        <v>0</v>
      </c>
      <c r="AN1797" s="86" t="s">
        <v>6240</v>
      </c>
      <c r="AO1797" s="86" t="s">
        <v>6507</v>
      </c>
      <c r="AP1797" s="81" t="b">
        <v>0</v>
      </c>
      <c r="AQ1797" s="86" t="s">
        <v>5480</v>
      </c>
      <c r="AR1797" s="81" t="s">
        <v>179</v>
      </c>
      <c r="AS1797" s="81">
        <v>0</v>
      </c>
      <c r="AT1797" s="81">
        <v>0</v>
      </c>
      <c r="AU1797" s="81"/>
      <c r="AV1797" s="81"/>
      <c r="AW1797" s="81"/>
      <c r="AX1797" s="81"/>
      <c r="AY1797" s="81"/>
      <c r="AZ1797" s="81"/>
      <c r="BA1797" s="81"/>
      <c r="BB1797" s="81"/>
    </row>
    <row r="1798" spans="1:54" x14ac:dyDescent="0.35">
      <c r="A1798" s="66" t="s">
        <v>1235</v>
      </c>
      <c r="B1798" s="66" t="s">
        <v>1235</v>
      </c>
      <c r="C1798" s="67"/>
      <c r="D1798" s="68"/>
      <c r="E1798" s="69"/>
      <c r="F1798" s="70"/>
      <c r="G1798" s="67"/>
      <c r="H1798" s="71"/>
      <c r="I1798" s="72"/>
      <c r="J1798" s="72"/>
      <c r="K1798" s="36"/>
      <c r="L1798" s="79"/>
      <c r="M1798" s="79"/>
      <c r="N1798" s="74"/>
      <c r="O1798" s="81" t="s">
        <v>179</v>
      </c>
      <c r="P1798" s="83">
        <v>44463.084305555552</v>
      </c>
      <c r="Q1798" s="81" t="s">
        <v>2253</v>
      </c>
      <c r="R1798" s="81"/>
      <c r="S1798" s="81"/>
      <c r="T1798" s="86" t="s">
        <v>2748</v>
      </c>
      <c r="U1798" s="84" t="str">
        <f>HYPERLINK("https://pbs.twimg.com/media/FAA_CYZUcAsqt-m.jpg")</f>
        <v>https://pbs.twimg.com/media/FAA_CYZUcAsqt-m.jpg</v>
      </c>
      <c r="V1798" s="84" t="str">
        <f>HYPERLINK("https://pbs.twimg.com/media/FAA_CYZUcAsqt-m.jpg")</f>
        <v>https://pbs.twimg.com/media/FAA_CYZUcAsqt-m.jpg</v>
      </c>
      <c r="W1798" s="83">
        <v>44463.084305555552</v>
      </c>
      <c r="X1798" s="89">
        <v>44463</v>
      </c>
      <c r="Y1798" s="86" t="s">
        <v>4000</v>
      </c>
      <c r="Z1798" s="84" t="str">
        <f>HYPERLINK("https://twitter.com/karangpos/status/1441221196796727298")</f>
        <v>https://twitter.com/karangpos/status/1441221196796727298</v>
      </c>
      <c r="AA1798" s="81"/>
      <c r="AB1798" s="81"/>
      <c r="AC1798" s="86" t="s">
        <v>5481</v>
      </c>
      <c r="AD1798" s="81"/>
      <c r="AE1798" s="81" t="b">
        <v>0</v>
      </c>
      <c r="AF1798" s="81">
        <v>0</v>
      </c>
      <c r="AG1798" s="86" t="s">
        <v>6240</v>
      </c>
      <c r="AH1798" s="81" t="b">
        <v>0</v>
      </c>
      <c r="AI1798" s="81" t="s">
        <v>6478</v>
      </c>
      <c r="AJ1798" s="81"/>
      <c r="AK1798" s="86" t="s">
        <v>6240</v>
      </c>
      <c r="AL1798" s="81" t="b">
        <v>0</v>
      </c>
      <c r="AM1798" s="81">
        <v>0</v>
      </c>
      <c r="AN1798" s="86" t="s">
        <v>6240</v>
      </c>
      <c r="AO1798" s="86" t="s">
        <v>6507</v>
      </c>
      <c r="AP1798" s="81" t="b">
        <v>0</v>
      </c>
      <c r="AQ1798" s="86" t="s">
        <v>5481</v>
      </c>
      <c r="AR1798" s="81" t="s">
        <v>179</v>
      </c>
      <c r="AS1798" s="81">
        <v>0</v>
      </c>
      <c r="AT1798" s="81">
        <v>0</v>
      </c>
      <c r="AU1798" s="81"/>
      <c r="AV1798" s="81"/>
      <c r="AW1798" s="81"/>
      <c r="AX1798" s="81"/>
      <c r="AY1798" s="81"/>
      <c r="AZ1798" s="81"/>
      <c r="BA1798" s="81"/>
      <c r="BB1798" s="81"/>
    </row>
    <row r="1799" spans="1:54" x14ac:dyDescent="0.35">
      <c r="A1799" s="66" t="s">
        <v>1235</v>
      </c>
      <c r="B1799" s="66" t="s">
        <v>1235</v>
      </c>
      <c r="C1799" s="67"/>
      <c r="D1799" s="68"/>
      <c r="E1799" s="69"/>
      <c r="F1799" s="70"/>
      <c r="G1799" s="67"/>
      <c r="H1799" s="71"/>
      <c r="I1799" s="72"/>
      <c r="J1799" s="72"/>
      <c r="K1799" s="36"/>
      <c r="L1799" s="79"/>
      <c r="M1799" s="79"/>
      <c r="N1799" s="74"/>
      <c r="O1799" s="81" t="s">
        <v>179</v>
      </c>
      <c r="P1799" s="83">
        <v>44467.098379629628</v>
      </c>
      <c r="Q1799" s="81" t="s">
        <v>2254</v>
      </c>
      <c r="R1799" s="84" t="str">
        <f>HYPERLINK("https://www.google.co.id/maps/place/KANTOR+POS+Karang+Satria/@-6.2306253,107.0272483,17z/data=!3m1!4b1!4m5!3m4!1s0x2e698f5d937e865d:0x33777a34131eba!8m2!3d-6.2306306!4d107.0294423?hl=en&amp;shorturl=1")</f>
        <v>https://www.google.co.id/maps/place/KANTOR+POS+Karang+Satria/@-6.2306253,107.0272483,17z/data=!3m1!4b1!4m5!3m4!1s0x2e698f5d937e865d:0x33777a34131eba!8m2!3d-6.2306306!4d107.0294423?hl=en&amp;shorturl=1</v>
      </c>
      <c r="S1799" s="81" t="s">
        <v>2589</v>
      </c>
      <c r="T1799" s="81"/>
      <c r="U1799" s="84" t="str">
        <f>HYPERLINK("https://pbs.twimg.com/media/FAVqCJyVkAEQhP6.jpg")</f>
        <v>https://pbs.twimg.com/media/FAVqCJyVkAEQhP6.jpg</v>
      </c>
      <c r="V1799" s="84" t="str">
        <f>HYPERLINK("https://pbs.twimg.com/media/FAVqCJyVkAEQhP6.jpg")</f>
        <v>https://pbs.twimg.com/media/FAVqCJyVkAEQhP6.jpg</v>
      </c>
      <c r="W1799" s="83">
        <v>44467.098379629628</v>
      </c>
      <c r="X1799" s="89">
        <v>44467</v>
      </c>
      <c r="Y1799" s="86" t="s">
        <v>4001</v>
      </c>
      <c r="Z1799" s="84" t="str">
        <f>HYPERLINK("https://twitter.com/karangpos/status/1442675848591515652")</f>
        <v>https://twitter.com/karangpos/status/1442675848591515652</v>
      </c>
      <c r="AA1799" s="81"/>
      <c r="AB1799" s="81"/>
      <c r="AC1799" s="86" t="s">
        <v>5482</v>
      </c>
      <c r="AD1799" s="81"/>
      <c r="AE1799" s="81" t="b">
        <v>0</v>
      </c>
      <c r="AF1799" s="81">
        <v>0</v>
      </c>
      <c r="AG1799" s="86" t="s">
        <v>6240</v>
      </c>
      <c r="AH1799" s="81" t="b">
        <v>0</v>
      </c>
      <c r="AI1799" s="81" t="s">
        <v>6478</v>
      </c>
      <c r="AJ1799" s="81"/>
      <c r="AK1799" s="86" t="s">
        <v>6240</v>
      </c>
      <c r="AL1799" s="81" t="b">
        <v>0</v>
      </c>
      <c r="AM1799" s="81">
        <v>0</v>
      </c>
      <c r="AN1799" s="86" t="s">
        <v>6240</v>
      </c>
      <c r="AO1799" s="86" t="s">
        <v>6507</v>
      </c>
      <c r="AP1799" s="81" t="b">
        <v>0</v>
      </c>
      <c r="AQ1799" s="86" t="s">
        <v>5482</v>
      </c>
      <c r="AR1799" s="81" t="s">
        <v>179</v>
      </c>
      <c r="AS1799" s="81">
        <v>0</v>
      </c>
      <c r="AT1799" s="81">
        <v>0</v>
      </c>
      <c r="AU1799" s="81"/>
      <c r="AV1799" s="81"/>
      <c r="AW1799" s="81"/>
      <c r="AX1799" s="81"/>
      <c r="AY1799" s="81"/>
      <c r="AZ1799" s="81"/>
      <c r="BA1799" s="81"/>
      <c r="BB1799" s="81"/>
    </row>
    <row r="1800" spans="1:54" x14ac:dyDescent="0.35">
      <c r="A1800" s="66" t="s">
        <v>1236</v>
      </c>
      <c r="B1800" s="66" t="s">
        <v>1236</v>
      </c>
      <c r="C1800" s="67"/>
      <c r="D1800" s="68"/>
      <c r="E1800" s="69"/>
      <c r="F1800" s="70"/>
      <c r="G1800" s="67"/>
      <c r="H1800" s="71"/>
      <c r="I1800" s="72"/>
      <c r="J1800" s="72"/>
      <c r="K1800" s="36"/>
      <c r="L1800" s="79"/>
      <c r="M1800" s="79"/>
      <c r="N1800" s="74"/>
      <c r="O1800" s="81" t="s">
        <v>179</v>
      </c>
      <c r="P1800" s="83">
        <v>44467.10733796296</v>
      </c>
      <c r="Q1800" s="81" t="s">
        <v>2255</v>
      </c>
      <c r="R1800" s="81"/>
      <c r="S1800" s="81"/>
      <c r="T1800" s="81"/>
      <c r="U1800" s="81"/>
      <c r="V1800" s="84" t="str">
        <f>HYPERLINK("https://pbs.twimg.com/profile_images/1436870725101506569/-SRAWO1m_normal.jpg")</f>
        <v>https://pbs.twimg.com/profile_images/1436870725101506569/-SRAWO1m_normal.jpg</v>
      </c>
      <c r="W1800" s="83">
        <v>44467.10733796296</v>
      </c>
      <c r="X1800" s="89">
        <v>44467</v>
      </c>
      <c r="Y1800" s="86" t="s">
        <v>4002</v>
      </c>
      <c r="Z1800" s="84" t="str">
        <f>HYPERLINK("https://twitter.com/gdlks12/status/1442679093497978885")</f>
        <v>https://twitter.com/gdlks12/status/1442679093497978885</v>
      </c>
      <c r="AA1800" s="81"/>
      <c r="AB1800" s="81"/>
      <c r="AC1800" s="86" t="s">
        <v>5483</v>
      </c>
      <c r="AD1800" s="81"/>
      <c r="AE1800" s="81" t="b">
        <v>0</v>
      </c>
      <c r="AF1800" s="81">
        <v>0</v>
      </c>
      <c r="AG1800" s="86" t="s">
        <v>6240</v>
      </c>
      <c r="AH1800" s="81" t="b">
        <v>0</v>
      </c>
      <c r="AI1800" s="81" t="s">
        <v>6478</v>
      </c>
      <c r="AJ1800" s="81"/>
      <c r="AK1800" s="86" t="s">
        <v>6240</v>
      </c>
      <c r="AL1800" s="81" t="b">
        <v>0</v>
      </c>
      <c r="AM1800" s="81">
        <v>0</v>
      </c>
      <c r="AN1800" s="86" t="s">
        <v>6240</v>
      </c>
      <c r="AO1800" s="86" t="s">
        <v>6505</v>
      </c>
      <c r="AP1800" s="81" t="b">
        <v>0</v>
      </c>
      <c r="AQ1800" s="86" t="s">
        <v>5483</v>
      </c>
      <c r="AR1800" s="81" t="s">
        <v>179</v>
      </c>
      <c r="AS1800" s="81">
        <v>0</v>
      </c>
      <c r="AT1800" s="81">
        <v>0</v>
      </c>
      <c r="AU1800" s="81"/>
      <c r="AV1800" s="81"/>
      <c r="AW1800" s="81"/>
      <c r="AX1800" s="81"/>
      <c r="AY1800" s="81"/>
      <c r="AZ1800" s="81"/>
      <c r="BA1800" s="81"/>
      <c r="BB1800" s="81"/>
    </row>
    <row r="1801" spans="1:54" x14ac:dyDescent="0.35">
      <c r="A1801" s="66" t="s">
        <v>1237</v>
      </c>
      <c r="B1801" s="66" t="s">
        <v>1146</v>
      </c>
      <c r="C1801" s="67"/>
      <c r="D1801" s="68"/>
      <c r="E1801" s="69"/>
      <c r="F1801" s="70"/>
      <c r="G1801" s="67"/>
      <c r="H1801" s="71"/>
      <c r="I1801" s="72"/>
      <c r="J1801" s="72"/>
      <c r="K1801" s="36"/>
      <c r="L1801" s="79"/>
      <c r="M1801" s="79"/>
      <c r="N1801" s="74"/>
      <c r="O1801" s="81" t="s">
        <v>1532</v>
      </c>
      <c r="P1801" s="83">
        <v>44467.114062499997</v>
      </c>
      <c r="Q1801" s="81" t="s">
        <v>2091</v>
      </c>
      <c r="R1801" s="81"/>
      <c r="S1801" s="81"/>
      <c r="T1801" s="81"/>
      <c r="U1801" s="84" t="str">
        <f>HYPERLINK("https://pbs.twimg.com/ext_tw_video_thumb/1442373678990196737/pu/img/UDVgFvOXidN40Fez.jpg")</f>
        <v>https://pbs.twimg.com/ext_tw_video_thumb/1442373678990196737/pu/img/UDVgFvOXidN40Fez.jpg</v>
      </c>
      <c r="V1801" s="84" t="str">
        <f>HYPERLINK("https://pbs.twimg.com/ext_tw_video_thumb/1442373678990196737/pu/img/UDVgFvOXidN40Fez.jpg")</f>
        <v>https://pbs.twimg.com/ext_tw_video_thumb/1442373678990196737/pu/img/UDVgFvOXidN40Fez.jpg</v>
      </c>
      <c r="W1801" s="83">
        <v>44467.114062499997</v>
      </c>
      <c r="X1801" s="89">
        <v>44467</v>
      </c>
      <c r="Y1801" s="86" t="s">
        <v>4003</v>
      </c>
      <c r="Z1801" s="84" t="str">
        <f>HYPERLINK("https://twitter.com/ardhobani/status/1442681531047182339")</f>
        <v>https://twitter.com/ardhobani/status/1442681531047182339</v>
      </c>
      <c r="AA1801" s="81"/>
      <c r="AB1801" s="81"/>
      <c r="AC1801" s="86" t="s">
        <v>5484</v>
      </c>
      <c r="AD1801" s="81"/>
      <c r="AE1801" s="81" t="b">
        <v>0</v>
      </c>
      <c r="AF1801" s="81">
        <v>0</v>
      </c>
      <c r="AG1801" s="86" t="s">
        <v>6240</v>
      </c>
      <c r="AH1801" s="81" t="b">
        <v>0</v>
      </c>
      <c r="AI1801" s="81" t="s">
        <v>6478</v>
      </c>
      <c r="AJ1801" s="81"/>
      <c r="AK1801" s="86" t="s">
        <v>6240</v>
      </c>
      <c r="AL1801" s="81" t="b">
        <v>0</v>
      </c>
      <c r="AM1801" s="81">
        <v>30</v>
      </c>
      <c r="AN1801" s="86" t="s">
        <v>5524</v>
      </c>
      <c r="AO1801" s="86" t="s">
        <v>6503</v>
      </c>
      <c r="AP1801" s="81" t="b">
        <v>0</v>
      </c>
      <c r="AQ1801" s="86" t="s">
        <v>5524</v>
      </c>
      <c r="AR1801" s="81" t="s">
        <v>179</v>
      </c>
      <c r="AS1801" s="81">
        <v>0</v>
      </c>
      <c r="AT1801" s="81">
        <v>0</v>
      </c>
      <c r="AU1801" s="81"/>
      <c r="AV1801" s="81"/>
      <c r="AW1801" s="81"/>
      <c r="AX1801" s="81"/>
      <c r="AY1801" s="81"/>
      <c r="AZ1801" s="81"/>
      <c r="BA1801" s="81"/>
      <c r="BB1801" s="81"/>
    </row>
    <row r="1802" spans="1:54" x14ac:dyDescent="0.35">
      <c r="A1802" s="66" t="s">
        <v>1238</v>
      </c>
      <c r="B1802" s="66" t="s">
        <v>1238</v>
      </c>
      <c r="C1802" s="67"/>
      <c r="D1802" s="68"/>
      <c r="E1802" s="69"/>
      <c r="F1802" s="70"/>
      <c r="G1802" s="67"/>
      <c r="H1802" s="71"/>
      <c r="I1802" s="72"/>
      <c r="J1802" s="72"/>
      <c r="K1802" s="36"/>
      <c r="L1802" s="79"/>
      <c r="M1802" s="79"/>
      <c r="N1802" s="74"/>
      <c r="O1802" s="81" t="s">
        <v>179</v>
      </c>
      <c r="P1802" s="83">
        <v>44467.11923611111</v>
      </c>
      <c r="Q1802" s="81" t="s">
        <v>2256</v>
      </c>
      <c r="R1802" s="81"/>
      <c r="S1802" s="81"/>
      <c r="T1802" s="86" t="s">
        <v>2749</v>
      </c>
      <c r="U1802" s="84" t="str">
        <f>HYPERLINK("https://pbs.twimg.com/media/FAVw6BvVcAAhYYi.jpg")</f>
        <v>https://pbs.twimg.com/media/FAVw6BvVcAAhYYi.jpg</v>
      </c>
      <c r="V1802" s="84" t="str">
        <f>HYPERLINK("https://pbs.twimg.com/media/FAVw6BvVcAAhYYi.jpg")</f>
        <v>https://pbs.twimg.com/media/FAVw6BvVcAAhYYi.jpg</v>
      </c>
      <c r="W1802" s="83">
        <v>44467.11923611111</v>
      </c>
      <c r="X1802" s="89">
        <v>44467</v>
      </c>
      <c r="Y1802" s="86" t="s">
        <v>4004</v>
      </c>
      <c r="Z1802" s="84" t="str">
        <f>HYPERLINK("https://twitter.com/bbamwin/status/1442683404412067849")</f>
        <v>https://twitter.com/bbamwin/status/1442683404412067849</v>
      </c>
      <c r="AA1802" s="81"/>
      <c r="AB1802" s="81"/>
      <c r="AC1802" s="86" t="s">
        <v>5485</v>
      </c>
      <c r="AD1802" s="86" t="s">
        <v>6231</v>
      </c>
      <c r="AE1802" s="81" t="b">
        <v>0</v>
      </c>
      <c r="AF1802" s="81">
        <v>0</v>
      </c>
      <c r="AG1802" s="86" t="s">
        <v>6470</v>
      </c>
      <c r="AH1802" s="81" t="b">
        <v>0</v>
      </c>
      <c r="AI1802" s="81" t="s">
        <v>6479</v>
      </c>
      <c r="AJ1802" s="81"/>
      <c r="AK1802" s="86" t="s">
        <v>6240</v>
      </c>
      <c r="AL1802" s="81" t="b">
        <v>0</v>
      </c>
      <c r="AM1802" s="81">
        <v>0</v>
      </c>
      <c r="AN1802" s="86" t="s">
        <v>6240</v>
      </c>
      <c r="AO1802" s="86" t="s">
        <v>6505</v>
      </c>
      <c r="AP1802" s="81" t="b">
        <v>0</v>
      </c>
      <c r="AQ1802" s="86" t="s">
        <v>6231</v>
      </c>
      <c r="AR1802" s="81" t="s">
        <v>179</v>
      </c>
      <c r="AS1802" s="81">
        <v>0</v>
      </c>
      <c r="AT1802" s="81">
        <v>0</v>
      </c>
      <c r="AU1802" s="81"/>
      <c r="AV1802" s="81"/>
      <c r="AW1802" s="81"/>
      <c r="AX1802" s="81"/>
      <c r="AY1802" s="81"/>
      <c r="AZ1802" s="81"/>
      <c r="BA1802" s="81"/>
      <c r="BB1802" s="81"/>
    </row>
    <row r="1803" spans="1:54" x14ac:dyDescent="0.35">
      <c r="A1803" s="66" t="s">
        <v>1239</v>
      </c>
      <c r="B1803" s="66" t="s">
        <v>1146</v>
      </c>
      <c r="C1803" s="67"/>
      <c r="D1803" s="68"/>
      <c r="E1803" s="69"/>
      <c r="F1803" s="70"/>
      <c r="G1803" s="67"/>
      <c r="H1803" s="71"/>
      <c r="I1803" s="72"/>
      <c r="J1803" s="72"/>
      <c r="K1803" s="36"/>
      <c r="L1803" s="79"/>
      <c r="M1803" s="79"/>
      <c r="N1803" s="74"/>
      <c r="O1803" s="81" t="s">
        <v>1532</v>
      </c>
      <c r="P1803" s="83">
        <v>44467.11986111111</v>
      </c>
      <c r="Q1803" s="81" t="s">
        <v>2091</v>
      </c>
      <c r="R1803" s="81"/>
      <c r="S1803" s="81"/>
      <c r="T1803" s="81"/>
      <c r="U1803" s="84" t="str">
        <f>HYPERLINK("https://pbs.twimg.com/ext_tw_video_thumb/1442373678990196737/pu/img/UDVgFvOXidN40Fez.jpg")</f>
        <v>https://pbs.twimg.com/ext_tw_video_thumb/1442373678990196737/pu/img/UDVgFvOXidN40Fez.jpg</v>
      </c>
      <c r="V1803" s="84" t="str">
        <f>HYPERLINK("https://pbs.twimg.com/ext_tw_video_thumb/1442373678990196737/pu/img/UDVgFvOXidN40Fez.jpg")</f>
        <v>https://pbs.twimg.com/ext_tw_video_thumb/1442373678990196737/pu/img/UDVgFvOXidN40Fez.jpg</v>
      </c>
      <c r="W1803" s="83">
        <v>44467.11986111111</v>
      </c>
      <c r="X1803" s="89">
        <v>44467</v>
      </c>
      <c r="Y1803" s="86" t="s">
        <v>4005</v>
      </c>
      <c r="Z1803" s="84" t="str">
        <f>HYPERLINK("https://twitter.com/pelangii_senja/status/1442683632292823041")</f>
        <v>https://twitter.com/pelangii_senja/status/1442683632292823041</v>
      </c>
      <c r="AA1803" s="81"/>
      <c r="AB1803" s="81"/>
      <c r="AC1803" s="86" t="s">
        <v>5486</v>
      </c>
      <c r="AD1803" s="81"/>
      <c r="AE1803" s="81" t="b">
        <v>0</v>
      </c>
      <c r="AF1803" s="81">
        <v>0</v>
      </c>
      <c r="AG1803" s="86" t="s">
        <v>6240</v>
      </c>
      <c r="AH1803" s="81" t="b">
        <v>0</v>
      </c>
      <c r="AI1803" s="81" t="s">
        <v>6478</v>
      </c>
      <c r="AJ1803" s="81"/>
      <c r="AK1803" s="86" t="s">
        <v>6240</v>
      </c>
      <c r="AL1803" s="81" t="b">
        <v>0</v>
      </c>
      <c r="AM1803" s="81">
        <v>30</v>
      </c>
      <c r="AN1803" s="86" t="s">
        <v>5524</v>
      </c>
      <c r="AO1803" s="86" t="s">
        <v>6503</v>
      </c>
      <c r="AP1803" s="81" t="b">
        <v>0</v>
      </c>
      <c r="AQ1803" s="86" t="s">
        <v>5524</v>
      </c>
      <c r="AR1803" s="81" t="s">
        <v>179</v>
      </c>
      <c r="AS1803" s="81">
        <v>0</v>
      </c>
      <c r="AT1803" s="81">
        <v>0</v>
      </c>
      <c r="AU1803" s="81"/>
      <c r="AV1803" s="81"/>
      <c r="AW1803" s="81"/>
      <c r="AX1803" s="81"/>
      <c r="AY1803" s="81"/>
      <c r="AZ1803" s="81"/>
      <c r="BA1803" s="81"/>
      <c r="BB1803" s="81"/>
    </row>
    <row r="1804" spans="1:54" x14ac:dyDescent="0.35">
      <c r="A1804" s="66" t="s">
        <v>1240</v>
      </c>
      <c r="B1804" s="66" t="s">
        <v>1508</v>
      </c>
      <c r="C1804" s="67"/>
      <c r="D1804" s="68"/>
      <c r="E1804" s="69"/>
      <c r="F1804" s="70"/>
      <c r="G1804" s="67"/>
      <c r="H1804" s="71"/>
      <c r="I1804" s="72"/>
      <c r="J1804" s="72"/>
      <c r="K1804" s="36"/>
      <c r="L1804" s="79"/>
      <c r="M1804" s="79"/>
      <c r="N1804" s="74"/>
      <c r="O1804" s="81" t="s">
        <v>1534</v>
      </c>
      <c r="P1804" s="83">
        <v>44467.122858796298</v>
      </c>
      <c r="Q1804" s="81" t="s">
        <v>2257</v>
      </c>
      <c r="R1804" s="84" t="str">
        <f>HYPERLINK("https://www.indonesiatech.id/2021/09/27/menkominfo-johnny-plate-percepatan-transformasi-dilakukan-di-semua-sektor/")</f>
        <v>https://www.indonesiatech.id/2021/09/27/menkominfo-johnny-plate-percepatan-transformasi-dilakukan-di-semua-sektor/</v>
      </c>
      <c r="S1804" s="81" t="s">
        <v>2651</v>
      </c>
      <c r="T1804" s="81"/>
      <c r="U1804" s="81"/>
      <c r="V1804" s="84" t="str">
        <f>HYPERLINK("https://pbs.twimg.com/profile_images/1219388666465796096/JjjAaWkq_normal.jpg")</f>
        <v>https://pbs.twimg.com/profile_images/1219388666465796096/JjjAaWkq_normal.jpg</v>
      </c>
      <c r="W1804" s="83">
        <v>44467.122858796298</v>
      </c>
      <c r="X1804" s="89">
        <v>44467</v>
      </c>
      <c r="Y1804" s="86" t="s">
        <v>4006</v>
      </c>
      <c r="Z1804" s="84" t="str">
        <f>HYPERLINK("https://twitter.com/infosebelah/status/1442684719464804354")</f>
        <v>https://twitter.com/infosebelah/status/1442684719464804354</v>
      </c>
      <c r="AA1804" s="81"/>
      <c r="AB1804" s="81"/>
      <c r="AC1804" s="86" t="s">
        <v>5487</v>
      </c>
      <c r="AD1804" s="81"/>
      <c r="AE1804" s="81" t="b">
        <v>0</v>
      </c>
      <c r="AF1804" s="81">
        <v>1</v>
      </c>
      <c r="AG1804" s="86" t="s">
        <v>6471</v>
      </c>
      <c r="AH1804" s="81" t="b">
        <v>0</v>
      </c>
      <c r="AI1804" s="81" t="s">
        <v>6478</v>
      </c>
      <c r="AJ1804" s="81"/>
      <c r="AK1804" s="86" t="s">
        <v>6240</v>
      </c>
      <c r="AL1804" s="81" t="b">
        <v>0</v>
      </c>
      <c r="AM1804" s="81">
        <v>1</v>
      </c>
      <c r="AN1804" s="86" t="s">
        <v>6240</v>
      </c>
      <c r="AO1804" s="86" t="s">
        <v>6503</v>
      </c>
      <c r="AP1804" s="81" t="b">
        <v>0</v>
      </c>
      <c r="AQ1804" s="86" t="s">
        <v>5487</v>
      </c>
      <c r="AR1804" s="81" t="s">
        <v>179</v>
      </c>
      <c r="AS1804" s="81">
        <v>0</v>
      </c>
      <c r="AT1804" s="81">
        <v>0</v>
      </c>
      <c r="AU1804" s="81"/>
      <c r="AV1804" s="81"/>
      <c r="AW1804" s="81"/>
      <c r="AX1804" s="81"/>
      <c r="AY1804" s="81"/>
      <c r="AZ1804" s="81"/>
      <c r="BA1804" s="81"/>
      <c r="BB1804" s="81"/>
    </row>
    <row r="1805" spans="1:54" x14ac:dyDescent="0.35">
      <c r="A1805" s="66" t="s">
        <v>1241</v>
      </c>
      <c r="B1805" s="66" t="s">
        <v>1241</v>
      </c>
      <c r="C1805" s="67"/>
      <c r="D1805" s="68"/>
      <c r="E1805" s="69"/>
      <c r="F1805" s="70"/>
      <c r="G1805" s="67"/>
      <c r="H1805" s="71"/>
      <c r="I1805" s="72"/>
      <c r="J1805" s="72"/>
      <c r="K1805" s="36"/>
      <c r="L1805" s="79"/>
      <c r="M1805" s="79"/>
      <c r="N1805" s="74"/>
      <c r="O1805" s="81" t="s">
        <v>179</v>
      </c>
      <c r="P1805" s="83">
        <v>44458.124444444446</v>
      </c>
      <c r="Q1805" s="81" t="s">
        <v>2258</v>
      </c>
      <c r="R1805" s="81"/>
      <c r="S1805" s="81"/>
      <c r="T1805" s="81"/>
      <c r="U1805" s="84" t="str">
        <f>HYPERLINK("https://pbs.twimg.com/media/E_ncUfkXoAAaLpe.jpg")</f>
        <v>https://pbs.twimg.com/media/E_ncUfkXoAAaLpe.jpg</v>
      </c>
      <c r="V1805" s="84" t="str">
        <f>HYPERLINK("https://pbs.twimg.com/media/E_ncUfkXoAAaLpe.jpg")</f>
        <v>https://pbs.twimg.com/media/E_ncUfkXoAAaLpe.jpg</v>
      </c>
      <c r="W1805" s="83">
        <v>44458.124444444446</v>
      </c>
      <c r="X1805" s="89">
        <v>44458</v>
      </c>
      <c r="Y1805" s="86" t="s">
        <v>4007</v>
      </c>
      <c r="Z1805" s="84" t="str">
        <f>HYPERLINK("https://twitter.com/tinggibdnalami/status/1439423802581131270")</f>
        <v>https://twitter.com/tinggibdnalami/status/1439423802581131270</v>
      </c>
      <c r="AA1805" s="81"/>
      <c r="AB1805" s="81"/>
      <c r="AC1805" s="86" t="s">
        <v>5488</v>
      </c>
      <c r="AD1805" s="81"/>
      <c r="AE1805" s="81" t="b">
        <v>0</v>
      </c>
      <c r="AF1805" s="81">
        <v>0</v>
      </c>
      <c r="AG1805" s="86" t="s">
        <v>6240</v>
      </c>
      <c r="AH1805" s="81" t="b">
        <v>0</v>
      </c>
      <c r="AI1805" s="81" t="s">
        <v>6478</v>
      </c>
      <c r="AJ1805" s="81"/>
      <c r="AK1805" s="86" t="s">
        <v>6240</v>
      </c>
      <c r="AL1805" s="81" t="b">
        <v>0</v>
      </c>
      <c r="AM1805" s="81">
        <v>0</v>
      </c>
      <c r="AN1805" s="86" t="s">
        <v>6240</v>
      </c>
      <c r="AO1805" s="86" t="s">
        <v>6509</v>
      </c>
      <c r="AP1805" s="81" t="b">
        <v>0</v>
      </c>
      <c r="AQ1805" s="86" t="s">
        <v>5488</v>
      </c>
      <c r="AR1805" s="81" t="s">
        <v>179</v>
      </c>
      <c r="AS1805" s="81">
        <v>0</v>
      </c>
      <c r="AT1805" s="81">
        <v>0</v>
      </c>
      <c r="AU1805" s="81"/>
      <c r="AV1805" s="81"/>
      <c r="AW1805" s="81"/>
      <c r="AX1805" s="81"/>
      <c r="AY1805" s="81"/>
      <c r="AZ1805" s="81"/>
      <c r="BA1805" s="81"/>
      <c r="BB1805" s="81"/>
    </row>
    <row r="1806" spans="1:54" x14ac:dyDescent="0.35">
      <c r="A1806" s="66" t="s">
        <v>1241</v>
      </c>
      <c r="B1806" s="66" t="s">
        <v>1241</v>
      </c>
      <c r="C1806" s="67"/>
      <c r="D1806" s="68"/>
      <c r="E1806" s="69"/>
      <c r="F1806" s="70"/>
      <c r="G1806" s="67"/>
      <c r="H1806" s="71"/>
      <c r="I1806" s="72"/>
      <c r="J1806" s="72"/>
      <c r="K1806" s="36"/>
      <c r="L1806" s="79"/>
      <c r="M1806" s="79"/>
      <c r="N1806" s="74"/>
      <c r="O1806" s="81" t="s">
        <v>179</v>
      </c>
      <c r="P1806" s="83">
        <v>44459.124467592592</v>
      </c>
      <c r="Q1806" s="81" t="s">
        <v>2259</v>
      </c>
      <c r="R1806" s="81"/>
      <c r="S1806" s="81"/>
      <c r="T1806" s="81"/>
      <c r="U1806" s="84" t="str">
        <f>HYPERLINK("https://pbs.twimg.com/media/E_sl6yDX0AA-iEy.jpg")</f>
        <v>https://pbs.twimg.com/media/E_sl6yDX0AA-iEy.jpg</v>
      </c>
      <c r="V1806" s="84" t="str">
        <f>HYPERLINK("https://pbs.twimg.com/media/E_sl6yDX0AA-iEy.jpg")</f>
        <v>https://pbs.twimg.com/media/E_sl6yDX0AA-iEy.jpg</v>
      </c>
      <c r="W1806" s="83">
        <v>44459.124467592592</v>
      </c>
      <c r="X1806" s="89">
        <v>44459</v>
      </c>
      <c r="Y1806" s="86" t="s">
        <v>4008</v>
      </c>
      <c r="Z1806" s="84" t="str">
        <f>HYPERLINK("https://twitter.com/tinggibdnalami/status/1439786199858749442")</f>
        <v>https://twitter.com/tinggibdnalami/status/1439786199858749442</v>
      </c>
      <c r="AA1806" s="81"/>
      <c r="AB1806" s="81"/>
      <c r="AC1806" s="86" t="s">
        <v>5489</v>
      </c>
      <c r="AD1806" s="81"/>
      <c r="AE1806" s="81" t="b">
        <v>0</v>
      </c>
      <c r="AF1806" s="81">
        <v>0</v>
      </c>
      <c r="AG1806" s="86" t="s">
        <v>6240</v>
      </c>
      <c r="AH1806" s="81" t="b">
        <v>0</v>
      </c>
      <c r="AI1806" s="81" t="s">
        <v>6478</v>
      </c>
      <c r="AJ1806" s="81"/>
      <c r="AK1806" s="86" t="s">
        <v>6240</v>
      </c>
      <c r="AL1806" s="81" t="b">
        <v>0</v>
      </c>
      <c r="AM1806" s="81">
        <v>0</v>
      </c>
      <c r="AN1806" s="86" t="s">
        <v>6240</v>
      </c>
      <c r="AO1806" s="86" t="s">
        <v>6509</v>
      </c>
      <c r="AP1806" s="81" t="b">
        <v>0</v>
      </c>
      <c r="AQ1806" s="86" t="s">
        <v>5489</v>
      </c>
      <c r="AR1806" s="81" t="s">
        <v>179</v>
      </c>
      <c r="AS1806" s="81">
        <v>0</v>
      </c>
      <c r="AT1806" s="81">
        <v>0</v>
      </c>
      <c r="AU1806" s="81"/>
      <c r="AV1806" s="81"/>
      <c r="AW1806" s="81"/>
      <c r="AX1806" s="81"/>
      <c r="AY1806" s="81"/>
      <c r="AZ1806" s="81"/>
      <c r="BA1806" s="81"/>
      <c r="BB1806" s="81"/>
    </row>
    <row r="1807" spans="1:54" x14ac:dyDescent="0.35">
      <c r="A1807" s="66" t="s">
        <v>1241</v>
      </c>
      <c r="B1807" s="66" t="s">
        <v>1241</v>
      </c>
      <c r="C1807" s="67"/>
      <c r="D1807" s="68"/>
      <c r="E1807" s="69"/>
      <c r="F1807" s="70"/>
      <c r="G1807" s="67"/>
      <c r="H1807" s="71"/>
      <c r="I1807" s="72"/>
      <c r="J1807" s="72"/>
      <c r="K1807" s="36"/>
      <c r="L1807" s="79"/>
      <c r="M1807" s="79"/>
      <c r="N1807" s="74"/>
      <c r="O1807" s="81" t="s">
        <v>179</v>
      </c>
      <c r="P1807" s="83">
        <v>44460.124884259261</v>
      </c>
      <c r="Q1807" s="81" t="s">
        <v>2260</v>
      </c>
      <c r="R1807" s="81"/>
      <c r="S1807" s="81"/>
      <c r="T1807" s="81"/>
      <c r="U1807" s="84" t="str">
        <f>HYPERLINK("https://pbs.twimg.com/media/E_xvpTbVgAIq5r-.jpg")</f>
        <v>https://pbs.twimg.com/media/E_xvpTbVgAIq5r-.jpg</v>
      </c>
      <c r="V1807" s="84" t="str">
        <f>HYPERLINK("https://pbs.twimg.com/media/E_xvpTbVgAIq5r-.jpg")</f>
        <v>https://pbs.twimg.com/media/E_xvpTbVgAIq5r-.jpg</v>
      </c>
      <c r="W1807" s="83">
        <v>44460.124884259261</v>
      </c>
      <c r="X1807" s="89">
        <v>44460</v>
      </c>
      <c r="Y1807" s="86" t="s">
        <v>4009</v>
      </c>
      <c r="Z1807" s="84" t="str">
        <f>HYPERLINK("https://twitter.com/tinggibdnalami/status/1440148739310571525")</f>
        <v>https://twitter.com/tinggibdnalami/status/1440148739310571525</v>
      </c>
      <c r="AA1807" s="81"/>
      <c r="AB1807" s="81"/>
      <c r="AC1807" s="86" t="s">
        <v>5490</v>
      </c>
      <c r="AD1807" s="81"/>
      <c r="AE1807" s="81" t="b">
        <v>0</v>
      </c>
      <c r="AF1807" s="81">
        <v>0</v>
      </c>
      <c r="AG1807" s="86" t="s">
        <v>6240</v>
      </c>
      <c r="AH1807" s="81" t="b">
        <v>0</v>
      </c>
      <c r="AI1807" s="81" t="s">
        <v>6478</v>
      </c>
      <c r="AJ1807" s="81"/>
      <c r="AK1807" s="86" t="s">
        <v>6240</v>
      </c>
      <c r="AL1807" s="81" t="b">
        <v>0</v>
      </c>
      <c r="AM1807" s="81">
        <v>0</v>
      </c>
      <c r="AN1807" s="86" t="s">
        <v>6240</v>
      </c>
      <c r="AO1807" s="86" t="s">
        <v>6509</v>
      </c>
      <c r="AP1807" s="81" t="b">
        <v>0</v>
      </c>
      <c r="AQ1807" s="86" t="s">
        <v>5490</v>
      </c>
      <c r="AR1807" s="81" t="s">
        <v>179</v>
      </c>
      <c r="AS1807" s="81">
        <v>0</v>
      </c>
      <c r="AT1807" s="81">
        <v>0</v>
      </c>
      <c r="AU1807" s="81"/>
      <c r="AV1807" s="81"/>
      <c r="AW1807" s="81"/>
      <c r="AX1807" s="81"/>
      <c r="AY1807" s="81"/>
      <c r="AZ1807" s="81"/>
      <c r="BA1807" s="81"/>
      <c r="BB1807" s="81"/>
    </row>
    <row r="1808" spans="1:54" x14ac:dyDescent="0.35">
      <c r="A1808" s="66" t="s">
        <v>1241</v>
      </c>
      <c r="B1808" s="66" t="s">
        <v>1241</v>
      </c>
      <c r="C1808" s="67"/>
      <c r="D1808" s="68"/>
      <c r="E1808" s="69"/>
      <c r="F1808" s="70"/>
      <c r="G1808" s="67"/>
      <c r="H1808" s="71"/>
      <c r="I1808" s="72"/>
      <c r="J1808" s="72"/>
      <c r="K1808" s="36"/>
      <c r="L1808" s="79"/>
      <c r="M1808" s="79"/>
      <c r="N1808" s="74"/>
      <c r="O1808" s="81" t="s">
        <v>179</v>
      </c>
      <c r="P1808" s="83">
        <v>44461.124675925923</v>
      </c>
      <c r="Q1808" s="81" t="s">
        <v>2261</v>
      </c>
      <c r="R1808" s="81"/>
      <c r="S1808" s="81"/>
      <c r="T1808" s="81"/>
      <c r="U1808" s="84" t="str">
        <f>HYPERLINK("https://pbs.twimg.com/media/E_25Km-VkA8hkVE.jpg")</f>
        <v>https://pbs.twimg.com/media/E_25Km-VkA8hkVE.jpg</v>
      </c>
      <c r="V1808" s="84" t="str">
        <f>HYPERLINK("https://pbs.twimg.com/media/E_25Km-VkA8hkVE.jpg")</f>
        <v>https://pbs.twimg.com/media/E_25Km-VkA8hkVE.jpg</v>
      </c>
      <c r="W1808" s="83">
        <v>44461.124675925923</v>
      </c>
      <c r="X1808" s="89">
        <v>44461</v>
      </c>
      <c r="Y1808" s="86" t="s">
        <v>4010</v>
      </c>
      <c r="Z1808" s="84" t="str">
        <f>HYPERLINK("https://twitter.com/tinggibdnalami/status/1440511049958977539")</f>
        <v>https://twitter.com/tinggibdnalami/status/1440511049958977539</v>
      </c>
      <c r="AA1808" s="81"/>
      <c r="AB1808" s="81"/>
      <c r="AC1808" s="86" t="s">
        <v>5491</v>
      </c>
      <c r="AD1808" s="81"/>
      <c r="AE1808" s="81" t="b">
        <v>0</v>
      </c>
      <c r="AF1808" s="81">
        <v>0</v>
      </c>
      <c r="AG1808" s="86" t="s">
        <v>6240</v>
      </c>
      <c r="AH1808" s="81" t="b">
        <v>0</v>
      </c>
      <c r="AI1808" s="81" t="s">
        <v>6478</v>
      </c>
      <c r="AJ1808" s="81"/>
      <c r="AK1808" s="86" t="s">
        <v>6240</v>
      </c>
      <c r="AL1808" s="81" t="b">
        <v>0</v>
      </c>
      <c r="AM1808" s="81">
        <v>0</v>
      </c>
      <c r="AN1808" s="86" t="s">
        <v>6240</v>
      </c>
      <c r="AO1808" s="86" t="s">
        <v>6509</v>
      </c>
      <c r="AP1808" s="81" t="b">
        <v>0</v>
      </c>
      <c r="AQ1808" s="86" t="s">
        <v>5491</v>
      </c>
      <c r="AR1808" s="81" t="s">
        <v>179</v>
      </c>
      <c r="AS1808" s="81">
        <v>0</v>
      </c>
      <c r="AT1808" s="81">
        <v>0</v>
      </c>
      <c r="AU1808" s="81"/>
      <c r="AV1808" s="81"/>
      <c r="AW1808" s="81"/>
      <c r="AX1808" s="81"/>
      <c r="AY1808" s="81"/>
      <c r="AZ1808" s="81"/>
      <c r="BA1808" s="81"/>
      <c r="BB1808" s="81"/>
    </row>
    <row r="1809" spans="1:54" x14ac:dyDescent="0.35">
      <c r="A1809" s="66" t="s">
        <v>1241</v>
      </c>
      <c r="B1809" s="66" t="s">
        <v>1241</v>
      </c>
      <c r="C1809" s="67"/>
      <c r="D1809" s="68"/>
      <c r="E1809" s="69"/>
      <c r="F1809" s="70"/>
      <c r="G1809" s="67"/>
      <c r="H1809" s="71"/>
      <c r="I1809" s="72"/>
      <c r="J1809" s="72"/>
      <c r="K1809" s="36"/>
      <c r="L1809" s="79"/>
      <c r="M1809" s="79"/>
      <c r="N1809" s="74"/>
      <c r="O1809" s="81" t="s">
        <v>179</v>
      </c>
      <c r="P1809" s="83">
        <v>44462.124826388892</v>
      </c>
      <c r="Q1809" s="81" t="s">
        <v>2262</v>
      </c>
      <c r="R1809" s="81"/>
      <c r="S1809" s="81"/>
      <c r="T1809" s="81"/>
      <c r="U1809" s="84" t="str">
        <f>HYPERLINK("https://pbs.twimg.com/media/E_8Czf1XoAA9apo.jpg")</f>
        <v>https://pbs.twimg.com/media/E_8Czf1XoAA9apo.jpg</v>
      </c>
      <c r="V1809" s="84" t="str">
        <f>HYPERLINK("https://pbs.twimg.com/media/E_8Czf1XoAA9apo.jpg")</f>
        <v>https://pbs.twimg.com/media/E_8Czf1XoAA9apo.jpg</v>
      </c>
      <c r="W1809" s="83">
        <v>44462.124826388892</v>
      </c>
      <c r="X1809" s="89">
        <v>44462</v>
      </c>
      <c r="Y1809" s="86" t="s">
        <v>4011</v>
      </c>
      <c r="Z1809" s="84" t="str">
        <f>HYPERLINK("https://twitter.com/tinggibdnalami/status/1440873491864109056")</f>
        <v>https://twitter.com/tinggibdnalami/status/1440873491864109056</v>
      </c>
      <c r="AA1809" s="81"/>
      <c r="AB1809" s="81"/>
      <c r="AC1809" s="86" t="s">
        <v>5492</v>
      </c>
      <c r="AD1809" s="81"/>
      <c r="AE1809" s="81" t="b">
        <v>0</v>
      </c>
      <c r="AF1809" s="81">
        <v>0</v>
      </c>
      <c r="AG1809" s="86" t="s">
        <v>6240</v>
      </c>
      <c r="AH1809" s="81" t="b">
        <v>0</v>
      </c>
      <c r="AI1809" s="81" t="s">
        <v>6478</v>
      </c>
      <c r="AJ1809" s="81"/>
      <c r="AK1809" s="86" t="s">
        <v>6240</v>
      </c>
      <c r="AL1809" s="81" t="b">
        <v>0</v>
      </c>
      <c r="AM1809" s="81">
        <v>0</v>
      </c>
      <c r="AN1809" s="86" t="s">
        <v>6240</v>
      </c>
      <c r="AO1809" s="86" t="s">
        <v>6509</v>
      </c>
      <c r="AP1809" s="81" t="b">
        <v>0</v>
      </c>
      <c r="AQ1809" s="86" t="s">
        <v>5492</v>
      </c>
      <c r="AR1809" s="81" t="s">
        <v>179</v>
      </c>
      <c r="AS1809" s="81">
        <v>0</v>
      </c>
      <c r="AT1809" s="81">
        <v>0</v>
      </c>
      <c r="AU1809" s="81"/>
      <c r="AV1809" s="81"/>
      <c r="AW1809" s="81"/>
      <c r="AX1809" s="81"/>
      <c r="AY1809" s="81"/>
      <c r="AZ1809" s="81"/>
      <c r="BA1809" s="81"/>
      <c r="BB1809" s="81"/>
    </row>
    <row r="1810" spans="1:54" x14ac:dyDescent="0.35">
      <c r="A1810" s="66" t="s">
        <v>1241</v>
      </c>
      <c r="B1810" s="66" t="s">
        <v>1241</v>
      </c>
      <c r="C1810" s="67"/>
      <c r="D1810" s="68"/>
      <c r="E1810" s="69"/>
      <c r="F1810" s="70"/>
      <c r="G1810" s="67"/>
      <c r="H1810" s="71"/>
      <c r="I1810" s="72"/>
      <c r="J1810" s="72"/>
      <c r="K1810" s="36"/>
      <c r="L1810" s="79"/>
      <c r="M1810" s="79"/>
      <c r="N1810" s="74"/>
      <c r="O1810" s="81" t="s">
        <v>179</v>
      </c>
      <c r="P1810" s="83">
        <v>44463.125069444446</v>
      </c>
      <c r="Q1810" s="81" t="s">
        <v>2263</v>
      </c>
      <c r="R1810" s="81"/>
      <c r="S1810" s="81"/>
      <c r="T1810" s="81"/>
      <c r="U1810" s="84" t="str">
        <f>HYPERLINK("https://pbs.twimg.com/media/FABMedZXsAAa5d5.jpg")</f>
        <v>https://pbs.twimg.com/media/FABMedZXsAAa5d5.jpg</v>
      </c>
      <c r="V1810" s="84" t="str">
        <f>HYPERLINK("https://pbs.twimg.com/media/FABMedZXsAAa5d5.jpg")</f>
        <v>https://pbs.twimg.com/media/FABMedZXsAAa5d5.jpg</v>
      </c>
      <c r="W1810" s="83">
        <v>44463.125069444446</v>
      </c>
      <c r="X1810" s="89">
        <v>44463</v>
      </c>
      <c r="Y1810" s="86" t="s">
        <v>4012</v>
      </c>
      <c r="Z1810" s="84" t="str">
        <f>HYPERLINK("https://twitter.com/tinggibdnalami/status/1441235969382895619")</f>
        <v>https://twitter.com/tinggibdnalami/status/1441235969382895619</v>
      </c>
      <c r="AA1810" s="81"/>
      <c r="AB1810" s="81"/>
      <c r="AC1810" s="86" t="s">
        <v>5493</v>
      </c>
      <c r="AD1810" s="81"/>
      <c r="AE1810" s="81" t="b">
        <v>0</v>
      </c>
      <c r="AF1810" s="81">
        <v>0</v>
      </c>
      <c r="AG1810" s="86" t="s">
        <v>6240</v>
      </c>
      <c r="AH1810" s="81" t="b">
        <v>0</v>
      </c>
      <c r="AI1810" s="81" t="s">
        <v>6478</v>
      </c>
      <c r="AJ1810" s="81"/>
      <c r="AK1810" s="86" t="s">
        <v>6240</v>
      </c>
      <c r="AL1810" s="81" t="b">
        <v>0</v>
      </c>
      <c r="AM1810" s="81">
        <v>0</v>
      </c>
      <c r="AN1810" s="86" t="s">
        <v>6240</v>
      </c>
      <c r="AO1810" s="86" t="s">
        <v>6509</v>
      </c>
      <c r="AP1810" s="81" t="b">
        <v>0</v>
      </c>
      <c r="AQ1810" s="86" t="s">
        <v>5493</v>
      </c>
      <c r="AR1810" s="81" t="s">
        <v>179</v>
      </c>
      <c r="AS1810" s="81">
        <v>0</v>
      </c>
      <c r="AT1810" s="81">
        <v>0</v>
      </c>
      <c r="AU1810" s="81"/>
      <c r="AV1810" s="81"/>
      <c r="AW1810" s="81"/>
      <c r="AX1810" s="81"/>
      <c r="AY1810" s="81"/>
      <c r="AZ1810" s="81"/>
      <c r="BA1810" s="81"/>
      <c r="BB1810" s="81"/>
    </row>
    <row r="1811" spans="1:54" x14ac:dyDescent="0.35">
      <c r="A1811" s="66" t="s">
        <v>1241</v>
      </c>
      <c r="B1811" s="66" t="s">
        <v>1241</v>
      </c>
      <c r="C1811" s="67"/>
      <c r="D1811" s="68"/>
      <c r="E1811" s="69"/>
      <c r="F1811" s="70"/>
      <c r="G1811" s="67"/>
      <c r="H1811" s="71"/>
      <c r="I1811" s="72"/>
      <c r="J1811" s="72"/>
      <c r="K1811" s="36"/>
      <c r="L1811" s="79"/>
      <c r="M1811" s="79"/>
      <c r="N1811" s="74"/>
      <c r="O1811" s="81" t="s">
        <v>179</v>
      </c>
      <c r="P1811" s="83">
        <v>44464.124386574076</v>
      </c>
      <c r="Q1811" s="81" t="s">
        <v>2264</v>
      </c>
      <c r="R1811" s="81"/>
      <c r="S1811" s="81"/>
      <c r="T1811" s="81"/>
      <c r="U1811" s="84" t="str">
        <f>HYPERLINK("https://pbs.twimg.com/media/FAGV1xxXIAAJcxg.jpg")</f>
        <v>https://pbs.twimg.com/media/FAGV1xxXIAAJcxg.jpg</v>
      </c>
      <c r="V1811" s="84" t="str">
        <f>HYPERLINK("https://pbs.twimg.com/media/FAGV1xxXIAAJcxg.jpg")</f>
        <v>https://pbs.twimg.com/media/FAGV1xxXIAAJcxg.jpg</v>
      </c>
      <c r="W1811" s="83">
        <v>44464.124386574076</v>
      </c>
      <c r="X1811" s="89">
        <v>44464</v>
      </c>
      <c r="Y1811" s="86" t="s">
        <v>4013</v>
      </c>
      <c r="Z1811" s="84" t="str">
        <f>HYPERLINK("https://twitter.com/tinggibdnalami/status/1441598108853489664")</f>
        <v>https://twitter.com/tinggibdnalami/status/1441598108853489664</v>
      </c>
      <c r="AA1811" s="81"/>
      <c r="AB1811" s="81"/>
      <c r="AC1811" s="86" t="s">
        <v>5494</v>
      </c>
      <c r="AD1811" s="81"/>
      <c r="AE1811" s="81" t="b">
        <v>0</v>
      </c>
      <c r="AF1811" s="81">
        <v>0</v>
      </c>
      <c r="AG1811" s="86" t="s">
        <v>6240</v>
      </c>
      <c r="AH1811" s="81" t="b">
        <v>0</v>
      </c>
      <c r="AI1811" s="81" t="s">
        <v>6478</v>
      </c>
      <c r="AJ1811" s="81"/>
      <c r="AK1811" s="86" t="s">
        <v>6240</v>
      </c>
      <c r="AL1811" s="81" t="b">
        <v>0</v>
      </c>
      <c r="AM1811" s="81">
        <v>0</v>
      </c>
      <c r="AN1811" s="86" t="s">
        <v>6240</v>
      </c>
      <c r="AO1811" s="86" t="s">
        <v>6509</v>
      </c>
      <c r="AP1811" s="81" t="b">
        <v>0</v>
      </c>
      <c r="AQ1811" s="86" t="s">
        <v>5494</v>
      </c>
      <c r="AR1811" s="81" t="s">
        <v>179</v>
      </c>
      <c r="AS1811" s="81">
        <v>0</v>
      </c>
      <c r="AT1811" s="81">
        <v>0</v>
      </c>
      <c r="AU1811" s="81"/>
      <c r="AV1811" s="81"/>
      <c r="AW1811" s="81"/>
      <c r="AX1811" s="81"/>
      <c r="AY1811" s="81"/>
      <c r="AZ1811" s="81"/>
      <c r="BA1811" s="81"/>
      <c r="BB1811" s="81"/>
    </row>
    <row r="1812" spans="1:54" x14ac:dyDescent="0.35">
      <c r="A1812" s="66" t="s">
        <v>1241</v>
      </c>
      <c r="B1812" s="66" t="s">
        <v>1241</v>
      </c>
      <c r="C1812" s="67"/>
      <c r="D1812" s="68"/>
      <c r="E1812" s="69"/>
      <c r="F1812" s="70"/>
      <c r="G1812" s="67"/>
      <c r="H1812" s="71"/>
      <c r="I1812" s="72"/>
      <c r="J1812" s="72"/>
      <c r="K1812" s="36"/>
      <c r="L1812" s="79"/>
      <c r="M1812" s="79"/>
      <c r="N1812" s="74"/>
      <c r="O1812" s="81" t="s">
        <v>179</v>
      </c>
      <c r="P1812" s="83">
        <v>44465.125185185185</v>
      </c>
      <c r="Q1812" s="81" t="s">
        <v>2265</v>
      </c>
      <c r="R1812" s="81"/>
      <c r="S1812" s="81"/>
      <c r="T1812" s="81"/>
      <c r="U1812" s="84" t="str">
        <f>HYPERLINK("https://pbs.twimg.com/media/FALfsXfXsAE9IHY.jpg")</f>
        <v>https://pbs.twimg.com/media/FALfsXfXsAE9IHY.jpg</v>
      </c>
      <c r="V1812" s="84" t="str">
        <f>HYPERLINK("https://pbs.twimg.com/media/FALfsXfXsAE9IHY.jpg")</f>
        <v>https://pbs.twimg.com/media/FALfsXfXsAE9IHY.jpg</v>
      </c>
      <c r="W1812" s="83">
        <v>44465.125185185185</v>
      </c>
      <c r="X1812" s="89">
        <v>44465</v>
      </c>
      <c r="Y1812" s="86" t="s">
        <v>4014</v>
      </c>
      <c r="Z1812" s="84" t="str">
        <f>HYPERLINK("https://twitter.com/tinggibdnalami/status/1441960786125934598")</f>
        <v>https://twitter.com/tinggibdnalami/status/1441960786125934598</v>
      </c>
      <c r="AA1812" s="81"/>
      <c r="AB1812" s="81"/>
      <c r="AC1812" s="86" t="s">
        <v>5495</v>
      </c>
      <c r="AD1812" s="81"/>
      <c r="AE1812" s="81" t="b">
        <v>0</v>
      </c>
      <c r="AF1812" s="81">
        <v>0</v>
      </c>
      <c r="AG1812" s="86" t="s">
        <v>6240</v>
      </c>
      <c r="AH1812" s="81" t="b">
        <v>0</v>
      </c>
      <c r="AI1812" s="81" t="s">
        <v>6478</v>
      </c>
      <c r="AJ1812" s="81"/>
      <c r="AK1812" s="86" t="s">
        <v>6240</v>
      </c>
      <c r="AL1812" s="81" t="b">
        <v>0</v>
      </c>
      <c r="AM1812" s="81">
        <v>0</v>
      </c>
      <c r="AN1812" s="86" t="s">
        <v>6240</v>
      </c>
      <c r="AO1812" s="86" t="s">
        <v>6509</v>
      </c>
      <c r="AP1812" s="81" t="b">
        <v>0</v>
      </c>
      <c r="AQ1812" s="86" t="s">
        <v>5495</v>
      </c>
      <c r="AR1812" s="81" t="s">
        <v>179</v>
      </c>
      <c r="AS1812" s="81">
        <v>0</v>
      </c>
      <c r="AT1812" s="81">
        <v>0</v>
      </c>
      <c r="AU1812" s="81"/>
      <c r="AV1812" s="81"/>
      <c r="AW1812" s="81"/>
      <c r="AX1812" s="81"/>
      <c r="AY1812" s="81"/>
      <c r="AZ1812" s="81"/>
      <c r="BA1812" s="81"/>
      <c r="BB1812" s="81"/>
    </row>
    <row r="1813" spans="1:54" x14ac:dyDescent="0.35">
      <c r="A1813" s="66" t="s">
        <v>1241</v>
      </c>
      <c r="B1813" s="66" t="s">
        <v>1241</v>
      </c>
      <c r="C1813" s="67"/>
      <c r="D1813" s="68"/>
      <c r="E1813" s="69"/>
      <c r="F1813" s="70"/>
      <c r="G1813" s="67"/>
      <c r="H1813" s="71"/>
      <c r="I1813" s="72"/>
      <c r="J1813" s="72"/>
      <c r="K1813" s="36"/>
      <c r="L1813" s="79"/>
      <c r="M1813" s="79"/>
      <c r="N1813" s="74"/>
      <c r="O1813" s="81" t="s">
        <v>179</v>
      </c>
      <c r="P1813" s="83">
        <v>44466.124560185184</v>
      </c>
      <c r="Q1813" s="81" t="s">
        <v>2266</v>
      </c>
      <c r="R1813" s="81"/>
      <c r="S1813" s="81"/>
      <c r="T1813" s="81"/>
      <c r="U1813" s="84" t="str">
        <f>HYPERLINK("https://pbs.twimg.com/media/FAQpFA5WEAEY50A.jpg")</f>
        <v>https://pbs.twimg.com/media/FAQpFA5WEAEY50A.jpg</v>
      </c>
      <c r="V1813" s="84" t="str">
        <f>HYPERLINK("https://pbs.twimg.com/media/FAQpFA5WEAEY50A.jpg")</f>
        <v>https://pbs.twimg.com/media/FAQpFA5WEAEY50A.jpg</v>
      </c>
      <c r="W1813" s="83">
        <v>44466.124560185184</v>
      </c>
      <c r="X1813" s="89">
        <v>44466</v>
      </c>
      <c r="Y1813" s="86" t="s">
        <v>4015</v>
      </c>
      <c r="Z1813" s="84" t="str">
        <f>HYPERLINK("https://twitter.com/tinggibdnalami/status/1442322948359065600")</f>
        <v>https://twitter.com/tinggibdnalami/status/1442322948359065600</v>
      </c>
      <c r="AA1813" s="81"/>
      <c r="AB1813" s="81"/>
      <c r="AC1813" s="86" t="s">
        <v>5496</v>
      </c>
      <c r="AD1813" s="81"/>
      <c r="AE1813" s="81" t="b">
        <v>0</v>
      </c>
      <c r="AF1813" s="81">
        <v>0</v>
      </c>
      <c r="AG1813" s="86" t="s">
        <v>6240</v>
      </c>
      <c r="AH1813" s="81" t="b">
        <v>0</v>
      </c>
      <c r="AI1813" s="81" t="s">
        <v>6478</v>
      </c>
      <c r="AJ1813" s="81"/>
      <c r="AK1813" s="86" t="s">
        <v>6240</v>
      </c>
      <c r="AL1813" s="81" t="b">
        <v>0</v>
      </c>
      <c r="AM1813" s="81">
        <v>0</v>
      </c>
      <c r="AN1813" s="86" t="s">
        <v>6240</v>
      </c>
      <c r="AO1813" s="86" t="s">
        <v>6509</v>
      </c>
      <c r="AP1813" s="81" t="b">
        <v>0</v>
      </c>
      <c r="AQ1813" s="86" t="s">
        <v>5496</v>
      </c>
      <c r="AR1813" s="81" t="s">
        <v>179</v>
      </c>
      <c r="AS1813" s="81">
        <v>0</v>
      </c>
      <c r="AT1813" s="81">
        <v>0</v>
      </c>
      <c r="AU1813" s="81"/>
      <c r="AV1813" s="81"/>
      <c r="AW1813" s="81"/>
      <c r="AX1813" s="81"/>
      <c r="AY1813" s="81"/>
      <c r="AZ1813" s="81"/>
      <c r="BA1813" s="81"/>
      <c r="BB1813" s="81"/>
    </row>
    <row r="1814" spans="1:54" x14ac:dyDescent="0.35">
      <c r="A1814" s="66" t="s">
        <v>1241</v>
      </c>
      <c r="B1814" s="66" t="s">
        <v>1241</v>
      </c>
      <c r="C1814" s="67"/>
      <c r="D1814" s="68"/>
      <c r="E1814" s="69"/>
      <c r="F1814" s="70"/>
      <c r="G1814" s="67"/>
      <c r="H1814" s="71"/>
      <c r="I1814" s="72"/>
      <c r="J1814" s="72"/>
      <c r="K1814" s="36"/>
      <c r="L1814" s="79"/>
      <c r="M1814" s="79"/>
      <c r="N1814" s="74"/>
      <c r="O1814" s="81" t="s">
        <v>179</v>
      </c>
      <c r="P1814" s="83">
        <v>44467.125057870369</v>
      </c>
      <c r="Q1814" s="81" t="s">
        <v>2267</v>
      </c>
      <c r="R1814" s="81"/>
      <c r="S1814" s="81"/>
      <c r="T1814" s="81"/>
      <c r="U1814" s="84" t="str">
        <f>HYPERLINK("https://pbs.twimg.com/media/FAVy1QVWQAMXc_L.jpg")</f>
        <v>https://pbs.twimg.com/media/FAVy1QVWQAMXc_L.jpg</v>
      </c>
      <c r="V1814" s="84" t="str">
        <f>HYPERLINK("https://pbs.twimg.com/media/FAVy1QVWQAMXc_L.jpg")</f>
        <v>https://pbs.twimg.com/media/FAVy1QVWQAMXc_L.jpg</v>
      </c>
      <c r="W1814" s="83">
        <v>44467.125057870369</v>
      </c>
      <c r="X1814" s="89">
        <v>44467</v>
      </c>
      <c r="Y1814" s="86" t="s">
        <v>4016</v>
      </c>
      <c r="Z1814" s="84" t="str">
        <f>HYPERLINK("https://twitter.com/tinggibdnalami/status/1442685516416274437")</f>
        <v>https://twitter.com/tinggibdnalami/status/1442685516416274437</v>
      </c>
      <c r="AA1814" s="81"/>
      <c r="AB1814" s="81"/>
      <c r="AC1814" s="86" t="s">
        <v>5497</v>
      </c>
      <c r="AD1814" s="81"/>
      <c r="AE1814" s="81" t="b">
        <v>0</v>
      </c>
      <c r="AF1814" s="81">
        <v>0</v>
      </c>
      <c r="AG1814" s="86" t="s">
        <v>6240</v>
      </c>
      <c r="AH1814" s="81" t="b">
        <v>0</v>
      </c>
      <c r="AI1814" s="81" t="s">
        <v>6478</v>
      </c>
      <c r="AJ1814" s="81"/>
      <c r="AK1814" s="86" t="s">
        <v>6240</v>
      </c>
      <c r="AL1814" s="81" t="b">
        <v>0</v>
      </c>
      <c r="AM1814" s="81">
        <v>0</v>
      </c>
      <c r="AN1814" s="86" t="s">
        <v>6240</v>
      </c>
      <c r="AO1814" s="86" t="s">
        <v>6509</v>
      </c>
      <c r="AP1814" s="81" t="b">
        <v>0</v>
      </c>
      <c r="AQ1814" s="86" t="s">
        <v>5497</v>
      </c>
      <c r="AR1814" s="81" t="s">
        <v>179</v>
      </c>
      <c r="AS1814" s="81">
        <v>0</v>
      </c>
      <c r="AT1814" s="81">
        <v>0</v>
      </c>
      <c r="AU1814" s="81"/>
      <c r="AV1814" s="81"/>
      <c r="AW1814" s="81"/>
      <c r="AX1814" s="81"/>
      <c r="AY1814" s="81"/>
      <c r="AZ1814" s="81"/>
      <c r="BA1814" s="81"/>
      <c r="BB1814" s="81"/>
    </row>
    <row r="1815" spans="1:54" x14ac:dyDescent="0.35">
      <c r="A1815" s="66" t="s">
        <v>1242</v>
      </c>
      <c r="B1815" s="66" t="s">
        <v>1242</v>
      </c>
      <c r="C1815" s="67"/>
      <c r="D1815" s="68"/>
      <c r="E1815" s="69"/>
      <c r="F1815" s="70"/>
      <c r="G1815" s="67"/>
      <c r="H1815" s="71"/>
      <c r="I1815" s="72"/>
      <c r="J1815" s="72"/>
      <c r="K1815" s="36"/>
      <c r="L1815" s="79"/>
      <c r="M1815" s="79"/>
      <c r="N1815" s="74"/>
      <c r="O1815" s="81" t="s">
        <v>179</v>
      </c>
      <c r="P1815" s="83">
        <v>44467.139490740738</v>
      </c>
      <c r="Q1815" s="81" t="s">
        <v>2268</v>
      </c>
      <c r="R1815" s="84" t="str">
        <f>HYPERLINK("https://rakyatsulsel.co/2021/09/28/rektor-uim-pt-pos-indonesia-regional-ii-jakarta-teken-mou/")</f>
        <v>https://rakyatsulsel.co/2021/09/28/rektor-uim-pt-pos-indonesia-regional-ii-jakarta-teken-mou/</v>
      </c>
      <c r="S1815" s="81" t="s">
        <v>2652</v>
      </c>
      <c r="T1815" s="81"/>
      <c r="U1815" s="81"/>
      <c r="V1815" s="84" t="str">
        <f>HYPERLINK("https://pbs.twimg.com/profile_images/468189764227588096/bPK2k9BJ_normal.jpeg")</f>
        <v>https://pbs.twimg.com/profile_images/468189764227588096/bPK2k9BJ_normal.jpeg</v>
      </c>
      <c r="W1815" s="83">
        <v>44467.139490740738</v>
      </c>
      <c r="X1815" s="89">
        <v>44467</v>
      </c>
      <c r="Y1815" s="86" t="s">
        <v>4017</v>
      </c>
      <c r="Z1815" s="84" t="str">
        <f>HYPERLINK("https://twitter.com/rakyatsulsel/status/1442690748323926017")</f>
        <v>https://twitter.com/rakyatsulsel/status/1442690748323926017</v>
      </c>
      <c r="AA1815" s="81"/>
      <c r="AB1815" s="81"/>
      <c r="AC1815" s="86" t="s">
        <v>5498</v>
      </c>
      <c r="AD1815" s="81"/>
      <c r="AE1815" s="81" t="b">
        <v>0</v>
      </c>
      <c r="AF1815" s="81">
        <v>0</v>
      </c>
      <c r="AG1815" s="86" t="s">
        <v>6240</v>
      </c>
      <c r="AH1815" s="81" t="b">
        <v>0</v>
      </c>
      <c r="AI1815" s="81" t="s">
        <v>6478</v>
      </c>
      <c r="AJ1815" s="81"/>
      <c r="AK1815" s="86" t="s">
        <v>6240</v>
      </c>
      <c r="AL1815" s="81" t="b">
        <v>0</v>
      </c>
      <c r="AM1815" s="81">
        <v>0</v>
      </c>
      <c r="AN1815" s="86" t="s">
        <v>6240</v>
      </c>
      <c r="AO1815" s="86" t="s">
        <v>6528</v>
      </c>
      <c r="AP1815" s="81" t="b">
        <v>0</v>
      </c>
      <c r="AQ1815" s="86" t="s">
        <v>5498</v>
      </c>
      <c r="AR1815" s="81" t="s">
        <v>179</v>
      </c>
      <c r="AS1815" s="81">
        <v>0</v>
      </c>
      <c r="AT1815" s="81">
        <v>0</v>
      </c>
      <c r="AU1815" s="81"/>
      <c r="AV1815" s="81"/>
      <c r="AW1815" s="81"/>
      <c r="AX1815" s="81"/>
      <c r="AY1815" s="81"/>
      <c r="AZ1815" s="81"/>
      <c r="BA1815" s="81"/>
      <c r="BB1815" s="81"/>
    </row>
    <row r="1816" spans="1:54" x14ac:dyDescent="0.35">
      <c r="A1816" s="66" t="s">
        <v>1243</v>
      </c>
      <c r="B1816" s="66" t="s">
        <v>1243</v>
      </c>
      <c r="C1816" s="67"/>
      <c r="D1816" s="68"/>
      <c r="E1816" s="69"/>
      <c r="F1816" s="70"/>
      <c r="G1816" s="67"/>
      <c r="H1816" s="71"/>
      <c r="I1816" s="72"/>
      <c r="J1816" s="72"/>
      <c r="K1816" s="36"/>
      <c r="L1816" s="79"/>
      <c r="M1816" s="79"/>
      <c r="N1816" s="74"/>
      <c r="O1816" s="81" t="s">
        <v>179</v>
      </c>
      <c r="P1816" s="83">
        <v>44467.144282407404</v>
      </c>
      <c r="Q1816" s="81" t="s">
        <v>2269</v>
      </c>
      <c r="R1816" s="81"/>
      <c r="S1816" s="81"/>
      <c r="T1816" s="81"/>
      <c r="U1816" s="81"/>
      <c r="V1816" s="84" t="str">
        <f>HYPERLINK("https://pbs.twimg.com/profile_images/1431491655207579648/Xy9UhXHH_normal.jpg")</f>
        <v>https://pbs.twimg.com/profile_images/1431491655207579648/Xy9UhXHH_normal.jpg</v>
      </c>
      <c r="W1816" s="83">
        <v>44467.144282407404</v>
      </c>
      <c r="X1816" s="89">
        <v>44467</v>
      </c>
      <c r="Y1816" s="86" t="s">
        <v>4018</v>
      </c>
      <c r="Z1816" s="84" t="str">
        <f>HYPERLINK("https://twitter.com/pacarminbin/status/1442692482161127425")</f>
        <v>https://twitter.com/pacarminbin/status/1442692482161127425</v>
      </c>
      <c r="AA1816" s="81"/>
      <c r="AB1816" s="81"/>
      <c r="AC1816" s="86" t="s">
        <v>5499</v>
      </c>
      <c r="AD1816" s="81"/>
      <c r="AE1816" s="81" t="b">
        <v>0</v>
      </c>
      <c r="AF1816" s="81">
        <v>0</v>
      </c>
      <c r="AG1816" s="86" t="s">
        <v>6240</v>
      </c>
      <c r="AH1816" s="81" t="b">
        <v>0</v>
      </c>
      <c r="AI1816" s="81" t="s">
        <v>6478</v>
      </c>
      <c r="AJ1816" s="81"/>
      <c r="AK1816" s="86" t="s">
        <v>6240</v>
      </c>
      <c r="AL1816" s="81" t="b">
        <v>0</v>
      </c>
      <c r="AM1816" s="81">
        <v>0</v>
      </c>
      <c r="AN1816" s="86" t="s">
        <v>6240</v>
      </c>
      <c r="AO1816" s="86" t="s">
        <v>6503</v>
      </c>
      <c r="AP1816" s="81" t="b">
        <v>0</v>
      </c>
      <c r="AQ1816" s="86" t="s">
        <v>5499</v>
      </c>
      <c r="AR1816" s="81" t="s">
        <v>179</v>
      </c>
      <c r="AS1816" s="81">
        <v>0</v>
      </c>
      <c r="AT1816" s="81">
        <v>0</v>
      </c>
      <c r="AU1816" s="81"/>
      <c r="AV1816" s="81"/>
      <c r="AW1816" s="81"/>
      <c r="AX1816" s="81"/>
      <c r="AY1816" s="81"/>
      <c r="AZ1816" s="81"/>
      <c r="BA1816" s="81"/>
      <c r="BB1816" s="81"/>
    </row>
    <row r="1817" spans="1:54" x14ac:dyDescent="0.35">
      <c r="A1817" s="66" t="s">
        <v>1244</v>
      </c>
      <c r="B1817" s="66" t="s">
        <v>1367</v>
      </c>
      <c r="C1817" s="67"/>
      <c r="D1817" s="68"/>
      <c r="E1817" s="69"/>
      <c r="F1817" s="70"/>
      <c r="G1817" s="67"/>
      <c r="H1817" s="71"/>
      <c r="I1817" s="72"/>
      <c r="J1817" s="72"/>
      <c r="K1817" s="36"/>
      <c r="L1817" s="79"/>
      <c r="M1817" s="79"/>
      <c r="N1817" s="74"/>
      <c r="O1817" s="81" t="s">
        <v>1534</v>
      </c>
      <c r="P1817" s="83">
        <v>44467.162326388891</v>
      </c>
      <c r="Q1817" s="81" t="s">
        <v>2270</v>
      </c>
      <c r="R1817" s="81"/>
      <c r="S1817" s="81"/>
      <c r="T1817" s="81"/>
      <c r="U1817" s="81"/>
      <c r="V1817" s="84" t="str">
        <f>HYPERLINK("https://pbs.twimg.com/profile_images/1442546100880113667/C1sfwWQy_normal.jpg")</f>
        <v>https://pbs.twimg.com/profile_images/1442546100880113667/C1sfwWQy_normal.jpg</v>
      </c>
      <c r="W1817" s="83">
        <v>44467.162326388891</v>
      </c>
      <c r="X1817" s="89">
        <v>44467</v>
      </c>
      <c r="Y1817" s="86" t="s">
        <v>4019</v>
      </c>
      <c r="Z1817" s="84" t="str">
        <f>HYPERLINK("https://twitter.com/berjakey/status/1442699019814203392")</f>
        <v>https://twitter.com/berjakey/status/1442699019814203392</v>
      </c>
      <c r="AA1817" s="81"/>
      <c r="AB1817" s="81"/>
      <c r="AC1817" s="86" t="s">
        <v>5500</v>
      </c>
      <c r="AD1817" s="86" t="s">
        <v>6232</v>
      </c>
      <c r="AE1817" s="81" t="b">
        <v>0</v>
      </c>
      <c r="AF1817" s="81">
        <v>0</v>
      </c>
      <c r="AG1817" s="86" t="s">
        <v>6331</v>
      </c>
      <c r="AH1817" s="81" t="b">
        <v>0</v>
      </c>
      <c r="AI1817" s="81" t="s">
        <v>6478</v>
      </c>
      <c r="AJ1817" s="81"/>
      <c r="AK1817" s="86" t="s">
        <v>6240</v>
      </c>
      <c r="AL1817" s="81" t="b">
        <v>0</v>
      </c>
      <c r="AM1817" s="81">
        <v>0</v>
      </c>
      <c r="AN1817" s="86" t="s">
        <v>6240</v>
      </c>
      <c r="AO1817" s="86" t="s">
        <v>6505</v>
      </c>
      <c r="AP1817" s="81" t="b">
        <v>0</v>
      </c>
      <c r="AQ1817" s="86" t="s">
        <v>6232</v>
      </c>
      <c r="AR1817" s="81" t="s">
        <v>179</v>
      </c>
      <c r="AS1817" s="81">
        <v>0</v>
      </c>
      <c r="AT1817" s="81">
        <v>0</v>
      </c>
      <c r="AU1817" s="81"/>
      <c r="AV1817" s="81"/>
      <c r="AW1817" s="81"/>
      <c r="AX1817" s="81"/>
      <c r="AY1817" s="81"/>
      <c r="AZ1817" s="81"/>
      <c r="BA1817" s="81"/>
      <c r="BB1817" s="81"/>
    </row>
    <row r="1818" spans="1:54" x14ac:dyDescent="0.35">
      <c r="A1818" s="66" t="s">
        <v>1245</v>
      </c>
      <c r="B1818" s="66" t="s">
        <v>1367</v>
      </c>
      <c r="C1818" s="67"/>
      <c r="D1818" s="68"/>
      <c r="E1818" s="69"/>
      <c r="F1818" s="70"/>
      <c r="G1818" s="67"/>
      <c r="H1818" s="71"/>
      <c r="I1818" s="72"/>
      <c r="J1818" s="72"/>
      <c r="K1818" s="36"/>
      <c r="L1818" s="79"/>
      <c r="M1818" s="79"/>
      <c r="N1818" s="74"/>
      <c r="O1818" s="81" t="s">
        <v>1534</v>
      </c>
      <c r="P1818" s="83">
        <v>44467.162523148145</v>
      </c>
      <c r="Q1818" s="81" t="s">
        <v>2271</v>
      </c>
      <c r="R1818" s="81"/>
      <c r="S1818" s="81"/>
      <c r="T1818" s="81"/>
      <c r="U1818" s="81"/>
      <c r="V1818" s="84" t="str">
        <f>HYPERLINK("https://pbs.twimg.com/profile_images/1359473911398682626/s5GpQdYs_normal.jpg")</f>
        <v>https://pbs.twimg.com/profile_images/1359473911398682626/s5GpQdYs_normal.jpg</v>
      </c>
      <c r="W1818" s="83">
        <v>44467.162523148145</v>
      </c>
      <c r="X1818" s="89">
        <v>44467</v>
      </c>
      <c r="Y1818" s="86" t="s">
        <v>4020</v>
      </c>
      <c r="Z1818" s="84" t="str">
        <f>HYPERLINK("https://twitter.com/matchxlouds/status/1442699091268435974")</f>
        <v>https://twitter.com/matchxlouds/status/1442699091268435974</v>
      </c>
      <c r="AA1818" s="81"/>
      <c r="AB1818" s="81"/>
      <c r="AC1818" s="86" t="s">
        <v>5501</v>
      </c>
      <c r="AD1818" s="86" t="s">
        <v>6232</v>
      </c>
      <c r="AE1818" s="81" t="b">
        <v>0</v>
      </c>
      <c r="AF1818" s="81">
        <v>0</v>
      </c>
      <c r="AG1818" s="86" t="s">
        <v>6331</v>
      </c>
      <c r="AH1818" s="81" t="b">
        <v>0</v>
      </c>
      <c r="AI1818" s="81" t="s">
        <v>6479</v>
      </c>
      <c r="AJ1818" s="81"/>
      <c r="AK1818" s="86" t="s">
        <v>6240</v>
      </c>
      <c r="AL1818" s="81" t="b">
        <v>0</v>
      </c>
      <c r="AM1818" s="81">
        <v>0</v>
      </c>
      <c r="AN1818" s="86" t="s">
        <v>6240</v>
      </c>
      <c r="AO1818" s="86" t="s">
        <v>6503</v>
      </c>
      <c r="AP1818" s="81" t="b">
        <v>0</v>
      </c>
      <c r="AQ1818" s="86" t="s">
        <v>6232</v>
      </c>
      <c r="AR1818" s="81" t="s">
        <v>179</v>
      </c>
      <c r="AS1818" s="81">
        <v>0</v>
      </c>
      <c r="AT1818" s="81">
        <v>0</v>
      </c>
      <c r="AU1818" s="81"/>
      <c r="AV1818" s="81"/>
      <c r="AW1818" s="81"/>
      <c r="AX1818" s="81"/>
      <c r="AY1818" s="81"/>
      <c r="AZ1818" s="81"/>
      <c r="BA1818" s="81"/>
      <c r="BB1818" s="81"/>
    </row>
    <row r="1819" spans="1:54" x14ac:dyDescent="0.35">
      <c r="A1819" s="66" t="s">
        <v>1246</v>
      </c>
      <c r="B1819" s="66" t="s">
        <v>1367</v>
      </c>
      <c r="C1819" s="67"/>
      <c r="D1819" s="68"/>
      <c r="E1819" s="69"/>
      <c r="F1819" s="70"/>
      <c r="G1819" s="67"/>
      <c r="H1819" s="71"/>
      <c r="I1819" s="72"/>
      <c r="J1819" s="72"/>
      <c r="K1819" s="36"/>
      <c r="L1819" s="79"/>
      <c r="M1819" s="79"/>
      <c r="N1819" s="74"/>
      <c r="O1819" s="81" t="s">
        <v>1534</v>
      </c>
      <c r="P1819" s="83">
        <v>44467.162951388891</v>
      </c>
      <c r="Q1819" s="81" t="s">
        <v>2272</v>
      </c>
      <c r="R1819" s="81"/>
      <c r="S1819" s="81"/>
      <c r="T1819" s="81"/>
      <c r="U1819" s="81"/>
      <c r="V1819" s="84" t="str">
        <f>HYPERLINK("https://pbs.twimg.com/profile_images/1429628226612043779/Vx-FKabZ_normal.jpg")</f>
        <v>https://pbs.twimg.com/profile_images/1429628226612043779/Vx-FKabZ_normal.jpg</v>
      </c>
      <c r="W1819" s="83">
        <v>44467.162951388891</v>
      </c>
      <c r="X1819" s="89">
        <v>44467</v>
      </c>
      <c r="Y1819" s="86" t="s">
        <v>4021</v>
      </c>
      <c r="Z1819" s="84" t="str">
        <f>HYPERLINK("https://twitter.com/sandaranscoups/status/1442699249121038342")</f>
        <v>https://twitter.com/sandaranscoups/status/1442699249121038342</v>
      </c>
      <c r="AA1819" s="81"/>
      <c r="AB1819" s="81"/>
      <c r="AC1819" s="86" t="s">
        <v>5502</v>
      </c>
      <c r="AD1819" s="86" t="s">
        <v>6232</v>
      </c>
      <c r="AE1819" s="81" t="b">
        <v>0</v>
      </c>
      <c r="AF1819" s="81">
        <v>0</v>
      </c>
      <c r="AG1819" s="86" t="s">
        <v>6331</v>
      </c>
      <c r="AH1819" s="81" t="b">
        <v>0</v>
      </c>
      <c r="AI1819" s="81" t="s">
        <v>6478</v>
      </c>
      <c r="AJ1819" s="81"/>
      <c r="AK1819" s="86" t="s">
        <v>6240</v>
      </c>
      <c r="AL1819" s="81" t="b">
        <v>0</v>
      </c>
      <c r="AM1819" s="81">
        <v>0</v>
      </c>
      <c r="AN1819" s="86" t="s">
        <v>6240</v>
      </c>
      <c r="AO1819" s="86" t="s">
        <v>6503</v>
      </c>
      <c r="AP1819" s="81" t="b">
        <v>0</v>
      </c>
      <c r="AQ1819" s="86" t="s">
        <v>6232</v>
      </c>
      <c r="AR1819" s="81" t="s">
        <v>179</v>
      </c>
      <c r="AS1819" s="81">
        <v>0</v>
      </c>
      <c r="AT1819" s="81">
        <v>0</v>
      </c>
      <c r="AU1819" s="81"/>
      <c r="AV1819" s="81"/>
      <c r="AW1819" s="81"/>
      <c r="AX1819" s="81"/>
      <c r="AY1819" s="81"/>
      <c r="AZ1819" s="81"/>
      <c r="BA1819" s="81"/>
      <c r="BB1819" s="81"/>
    </row>
    <row r="1820" spans="1:54" x14ac:dyDescent="0.35">
      <c r="A1820" s="66" t="s">
        <v>1247</v>
      </c>
      <c r="B1820" s="66" t="s">
        <v>1247</v>
      </c>
      <c r="C1820" s="67"/>
      <c r="D1820" s="68"/>
      <c r="E1820" s="69"/>
      <c r="F1820" s="70"/>
      <c r="G1820" s="67"/>
      <c r="H1820" s="71"/>
      <c r="I1820" s="72"/>
      <c r="J1820" s="72"/>
      <c r="K1820" s="36"/>
      <c r="L1820" s="79"/>
      <c r="M1820" s="79"/>
      <c r="N1820" s="74"/>
      <c r="O1820" s="81" t="s">
        <v>179</v>
      </c>
      <c r="P1820" s="83">
        <v>44459.481215277781</v>
      </c>
      <c r="Q1820" s="81" t="s">
        <v>1650</v>
      </c>
      <c r="R1820" s="81"/>
      <c r="S1820" s="81"/>
      <c r="T1820" s="86" t="s">
        <v>2667</v>
      </c>
      <c r="U1820" s="84" t="str">
        <f>HYPERLINK("https://pbs.twimg.com/media/E_ubZIHUYAESLiB.jpg")</f>
        <v>https://pbs.twimg.com/media/E_ubZIHUYAESLiB.jpg</v>
      </c>
      <c r="V1820" s="84" t="str">
        <f>HYPERLINK("https://pbs.twimg.com/media/E_ubZIHUYAESLiB.jpg")</f>
        <v>https://pbs.twimg.com/media/E_ubZIHUYAESLiB.jpg</v>
      </c>
      <c r="W1820" s="83">
        <v>44459.481215277781</v>
      </c>
      <c r="X1820" s="89">
        <v>44459</v>
      </c>
      <c r="Y1820" s="86" t="s">
        <v>4022</v>
      </c>
      <c r="Z1820" s="84" t="str">
        <f>HYPERLINK("https://twitter.com/linorieng/status/1439915481238958085")</f>
        <v>https://twitter.com/linorieng/status/1439915481238958085</v>
      </c>
      <c r="AA1820" s="81"/>
      <c r="AB1820" s="81"/>
      <c r="AC1820" s="86" t="s">
        <v>5503</v>
      </c>
      <c r="AD1820" s="81"/>
      <c r="AE1820" s="81" t="b">
        <v>0</v>
      </c>
      <c r="AF1820" s="81">
        <v>18</v>
      </c>
      <c r="AG1820" s="86" t="s">
        <v>6240</v>
      </c>
      <c r="AH1820" s="81" t="b">
        <v>0</v>
      </c>
      <c r="AI1820" s="81" t="s">
        <v>6479</v>
      </c>
      <c r="AJ1820" s="81"/>
      <c r="AK1820" s="86" t="s">
        <v>6240</v>
      </c>
      <c r="AL1820" s="81" t="b">
        <v>0</v>
      </c>
      <c r="AM1820" s="81">
        <v>27</v>
      </c>
      <c r="AN1820" s="86" t="s">
        <v>6240</v>
      </c>
      <c r="AO1820" s="86" t="s">
        <v>6503</v>
      </c>
      <c r="AP1820" s="81" t="b">
        <v>0</v>
      </c>
      <c r="AQ1820" s="86" t="s">
        <v>5503</v>
      </c>
      <c r="AR1820" s="81" t="s">
        <v>179</v>
      </c>
      <c r="AS1820" s="81">
        <v>0</v>
      </c>
      <c r="AT1820" s="81">
        <v>0</v>
      </c>
      <c r="AU1820" s="81"/>
      <c r="AV1820" s="81"/>
      <c r="AW1820" s="81"/>
      <c r="AX1820" s="81"/>
      <c r="AY1820" s="81"/>
      <c r="AZ1820" s="81"/>
      <c r="BA1820" s="81"/>
      <c r="BB1820" s="81"/>
    </row>
    <row r="1821" spans="1:54" x14ac:dyDescent="0.35">
      <c r="A1821" s="66" t="s">
        <v>1247</v>
      </c>
      <c r="B1821" s="66" t="s">
        <v>1247</v>
      </c>
      <c r="C1821" s="67"/>
      <c r="D1821" s="68"/>
      <c r="E1821" s="69"/>
      <c r="F1821" s="70"/>
      <c r="G1821" s="67"/>
      <c r="H1821" s="71"/>
      <c r="I1821" s="72"/>
      <c r="J1821" s="72"/>
      <c r="K1821" s="36"/>
      <c r="L1821" s="79"/>
      <c r="M1821" s="79"/>
      <c r="N1821" s="74"/>
      <c r="O1821" s="81" t="s">
        <v>179</v>
      </c>
      <c r="P1821" s="83">
        <v>44461.327557870369</v>
      </c>
      <c r="Q1821" s="81" t="s">
        <v>1755</v>
      </c>
      <c r="R1821" s="81"/>
      <c r="S1821" s="81"/>
      <c r="T1821" s="86" t="s">
        <v>2667</v>
      </c>
      <c r="U1821" s="84" t="str">
        <f>HYPERLINK("https://pbs.twimg.com/media/E_38CFLVkAAf4fL.jpg")</f>
        <v>https://pbs.twimg.com/media/E_38CFLVkAAf4fL.jpg</v>
      </c>
      <c r="V1821" s="84" t="str">
        <f>HYPERLINK("https://pbs.twimg.com/media/E_38CFLVkAAf4fL.jpg")</f>
        <v>https://pbs.twimg.com/media/E_38CFLVkAAf4fL.jpg</v>
      </c>
      <c r="W1821" s="83">
        <v>44461.327557870369</v>
      </c>
      <c r="X1821" s="89">
        <v>44461</v>
      </c>
      <c r="Y1821" s="86" t="s">
        <v>4023</v>
      </c>
      <c r="Z1821" s="84" t="str">
        <f>HYPERLINK("https://twitter.com/linorieng/status/1440584572043886602")</f>
        <v>https://twitter.com/linorieng/status/1440584572043886602</v>
      </c>
      <c r="AA1821" s="81"/>
      <c r="AB1821" s="81"/>
      <c r="AC1821" s="86" t="s">
        <v>5504</v>
      </c>
      <c r="AD1821" s="81"/>
      <c r="AE1821" s="81" t="b">
        <v>0</v>
      </c>
      <c r="AF1821" s="81">
        <v>13</v>
      </c>
      <c r="AG1821" s="86" t="s">
        <v>6240</v>
      </c>
      <c r="AH1821" s="81" t="b">
        <v>0</v>
      </c>
      <c r="AI1821" s="81" t="s">
        <v>6479</v>
      </c>
      <c r="AJ1821" s="81"/>
      <c r="AK1821" s="86" t="s">
        <v>6240</v>
      </c>
      <c r="AL1821" s="81" t="b">
        <v>0</v>
      </c>
      <c r="AM1821" s="81">
        <v>25</v>
      </c>
      <c r="AN1821" s="86" t="s">
        <v>6240</v>
      </c>
      <c r="AO1821" s="86" t="s">
        <v>6503</v>
      </c>
      <c r="AP1821" s="81" t="b">
        <v>0</v>
      </c>
      <c r="AQ1821" s="86" t="s">
        <v>5504</v>
      </c>
      <c r="AR1821" s="81" t="s">
        <v>179</v>
      </c>
      <c r="AS1821" s="81">
        <v>0</v>
      </c>
      <c r="AT1821" s="81">
        <v>0</v>
      </c>
      <c r="AU1821" s="81"/>
      <c r="AV1821" s="81"/>
      <c r="AW1821" s="81"/>
      <c r="AX1821" s="81"/>
      <c r="AY1821" s="81"/>
      <c r="AZ1821" s="81"/>
      <c r="BA1821" s="81"/>
      <c r="BB1821" s="81"/>
    </row>
    <row r="1822" spans="1:54" x14ac:dyDescent="0.35">
      <c r="A1822" s="66" t="s">
        <v>1247</v>
      </c>
      <c r="B1822" s="66" t="s">
        <v>1247</v>
      </c>
      <c r="C1822" s="67"/>
      <c r="D1822" s="68"/>
      <c r="E1822" s="69"/>
      <c r="F1822" s="70"/>
      <c r="G1822" s="67"/>
      <c r="H1822" s="71"/>
      <c r="I1822" s="72"/>
      <c r="J1822" s="72"/>
      <c r="K1822" s="36"/>
      <c r="L1822" s="79"/>
      <c r="M1822" s="79"/>
      <c r="N1822" s="74"/>
      <c r="O1822" s="81" t="s">
        <v>179</v>
      </c>
      <c r="P1822" s="83">
        <v>44466.32402777778</v>
      </c>
      <c r="Q1822" s="81" t="s">
        <v>2110</v>
      </c>
      <c r="R1822" s="81"/>
      <c r="S1822" s="81"/>
      <c r="T1822" s="86" t="s">
        <v>2667</v>
      </c>
      <c r="U1822" s="84" t="str">
        <f>HYPERLINK("https://pbs.twimg.com/media/FARq0TBVUAYl272.jpg")</f>
        <v>https://pbs.twimg.com/media/FARq0TBVUAYl272.jpg</v>
      </c>
      <c r="V1822" s="84" t="str">
        <f>HYPERLINK("https://pbs.twimg.com/media/FARq0TBVUAYl272.jpg")</f>
        <v>https://pbs.twimg.com/media/FARq0TBVUAYl272.jpg</v>
      </c>
      <c r="W1822" s="83">
        <v>44466.32402777778</v>
      </c>
      <c r="X1822" s="89">
        <v>44466</v>
      </c>
      <c r="Y1822" s="86" t="s">
        <v>4024</v>
      </c>
      <c r="Z1822" s="84" t="str">
        <f>HYPERLINK("https://twitter.com/linorieng/status/1442395231924613127")</f>
        <v>https://twitter.com/linorieng/status/1442395231924613127</v>
      </c>
      <c r="AA1822" s="81"/>
      <c r="AB1822" s="81"/>
      <c r="AC1822" s="86" t="s">
        <v>5505</v>
      </c>
      <c r="AD1822" s="81"/>
      <c r="AE1822" s="81" t="b">
        <v>0</v>
      </c>
      <c r="AF1822" s="81">
        <v>4</v>
      </c>
      <c r="AG1822" s="86" t="s">
        <v>6240</v>
      </c>
      <c r="AH1822" s="81" t="b">
        <v>0</v>
      </c>
      <c r="AI1822" s="81" t="s">
        <v>6479</v>
      </c>
      <c r="AJ1822" s="81"/>
      <c r="AK1822" s="86" t="s">
        <v>6240</v>
      </c>
      <c r="AL1822" s="81" t="b">
        <v>0</v>
      </c>
      <c r="AM1822" s="81">
        <v>9</v>
      </c>
      <c r="AN1822" s="86" t="s">
        <v>6240</v>
      </c>
      <c r="AO1822" s="86" t="s">
        <v>6503</v>
      </c>
      <c r="AP1822" s="81" t="b">
        <v>0</v>
      </c>
      <c r="AQ1822" s="86" t="s">
        <v>5505</v>
      </c>
      <c r="AR1822" s="81" t="s">
        <v>179</v>
      </c>
      <c r="AS1822" s="81">
        <v>0</v>
      </c>
      <c r="AT1822" s="81">
        <v>0</v>
      </c>
      <c r="AU1822" s="81"/>
      <c r="AV1822" s="81"/>
      <c r="AW1822" s="81"/>
      <c r="AX1822" s="81"/>
      <c r="AY1822" s="81"/>
      <c r="AZ1822" s="81"/>
      <c r="BA1822" s="81"/>
      <c r="BB1822" s="81"/>
    </row>
    <row r="1823" spans="1:54" x14ac:dyDescent="0.35">
      <c r="A1823" s="66" t="s">
        <v>1247</v>
      </c>
      <c r="B1823" s="66" t="s">
        <v>1247</v>
      </c>
      <c r="C1823" s="67"/>
      <c r="D1823" s="68"/>
      <c r="E1823" s="69"/>
      <c r="F1823" s="70"/>
      <c r="G1823" s="67"/>
      <c r="H1823" s="71"/>
      <c r="I1823" s="72"/>
      <c r="J1823" s="72"/>
      <c r="K1823" s="36"/>
      <c r="L1823" s="79"/>
      <c r="M1823" s="79"/>
      <c r="N1823" s="74"/>
      <c r="O1823" s="81" t="s">
        <v>179</v>
      </c>
      <c r="P1823" s="83">
        <v>44466.593194444446</v>
      </c>
      <c r="Q1823" s="81" t="s">
        <v>2184</v>
      </c>
      <c r="R1823" s="81"/>
      <c r="S1823" s="81"/>
      <c r="T1823" s="86" t="s">
        <v>2667</v>
      </c>
      <c r="U1823" s="84" t="str">
        <f>HYPERLINK("https://pbs.twimg.com/media/FATDiHHVEAIdbWq.jpg")</f>
        <v>https://pbs.twimg.com/media/FATDiHHVEAIdbWq.jpg</v>
      </c>
      <c r="V1823" s="84" t="str">
        <f>HYPERLINK("https://pbs.twimg.com/media/FATDiHHVEAIdbWq.jpg")</f>
        <v>https://pbs.twimg.com/media/FATDiHHVEAIdbWq.jpg</v>
      </c>
      <c r="W1823" s="83">
        <v>44466.593194444446</v>
      </c>
      <c r="X1823" s="89">
        <v>44466</v>
      </c>
      <c r="Y1823" s="86" t="s">
        <v>4025</v>
      </c>
      <c r="Z1823" s="84" t="str">
        <f>HYPERLINK("https://twitter.com/linorieng/status/1442492775157534723")</f>
        <v>https://twitter.com/linorieng/status/1442492775157534723</v>
      </c>
      <c r="AA1823" s="81"/>
      <c r="AB1823" s="81"/>
      <c r="AC1823" s="86" t="s">
        <v>5506</v>
      </c>
      <c r="AD1823" s="81"/>
      <c r="AE1823" s="81" t="b">
        <v>0</v>
      </c>
      <c r="AF1823" s="81">
        <v>1</v>
      </c>
      <c r="AG1823" s="86" t="s">
        <v>6240</v>
      </c>
      <c r="AH1823" s="81" t="b">
        <v>0</v>
      </c>
      <c r="AI1823" s="81" t="s">
        <v>6479</v>
      </c>
      <c r="AJ1823" s="81"/>
      <c r="AK1823" s="86" t="s">
        <v>6240</v>
      </c>
      <c r="AL1823" s="81" t="b">
        <v>0</v>
      </c>
      <c r="AM1823" s="81">
        <v>2</v>
      </c>
      <c r="AN1823" s="86" t="s">
        <v>6240</v>
      </c>
      <c r="AO1823" s="86" t="s">
        <v>6503</v>
      </c>
      <c r="AP1823" s="81" t="b">
        <v>0</v>
      </c>
      <c r="AQ1823" s="86" t="s">
        <v>5506</v>
      </c>
      <c r="AR1823" s="81" t="s">
        <v>179</v>
      </c>
      <c r="AS1823" s="81">
        <v>0</v>
      </c>
      <c r="AT1823" s="81">
        <v>0</v>
      </c>
      <c r="AU1823" s="81"/>
      <c r="AV1823" s="81"/>
      <c r="AW1823" s="81"/>
      <c r="AX1823" s="81"/>
      <c r="AY1823" s="81"/>
      <c r="AZ1823" s="81"/>
      <c r="BA1823" s="81"/>
      <c r="BB1823" s="81"/>
    </row>
    <row r="1824" spans="1:54" x14ac:dyDescent="0.35">
      <c r="A1824" s="66" t="s">
        <v>1248</v>
      </c>
      <c r="B1824" s="66" t="s">
        <v>1247</v>
      </c>
      <c r="C1824" s="67"/>
      <c r="D1824" s="68"/>
      <c r="E1824" s="69"/>
      <c r="F1824" s="70"/>
      <c r="G1824" s="67"/>
      <c r="H1824" s="71"/>
      <c r="I1824" s="72"/>
      <c r="J1824" s="72"/>
      <c r="K1824" s="36"/>
      <c r="L1824" s="79"/>
      <c r="M1824" s="79"/>
      <c r="N1824" s="74"/>
      <c r="O1824" s="81" t="s">
        <v>1532</v>
      </c>
      <c r="P1824" s="83">
        <v>44459.509097222224</v>
      </c>
      <c r="Q1824" s="81" t="s">
        <v>1650</v>
      </c>
      <c r="R1824" s="81"/>
      <c r="S1824" s="81"/>
      <c r="T1824" s="86" t="s">
        <v>2667</v>
      </c>
      <c r="U1824" s="84" t="str">
        <f>HYPERLINK("https://pbs.twimg.com/media/E_ubZIHUYAESLiB.jpg")</f>
        <v>https://pbs.twimg.com/media/E_ubZIHUYAESLiB.jpg</v>
      </c>
      <c r="V1824" s="84" t="str">
        <f>HYPERLINK("https://pbs.twimg.com/media/E_ubZIHUYAESLiB.jpg")</f>
        <v>https://pbs.twimg.com/media/E_ubZIHUYAESLiB.jpg</v>
      </c>
      <c r="W1824" s="83">
        <v>44459.509097222224</v>
      </c>
      <c r="X1824" s="89">
        <v>44459</v>
      </c>
      <c r="Y1824" s="86" t="s">
        <v>4026</v>
      </c>
      <c r="Z1824" s="84" t="str">
        <f>HYPERLINK("https://twitter.com/shiningstar0606/status/1439925584449007626")</f>
        <v>https://twitter.com/shiningstar0606/status/1439925584449007626</v>
      </c>
      <c r="AA1824" s="81"/>
      <c r="AB1824" s="81"/>
      <c r="AC1824" s="86" t="s">
        <v>5507</v>
      </c>
      <c r="AD1824" s="81"/>
      <c r="AE1824" s="81" t="b">
        <v>0</v>
      </c>
      <c r="AF1824" s="81">
        <v>0</v>
      </c>
      <c r="AG1824" s="86" t="s">
        <v>6240</v>
      </c>
      <c r="AH1824" s="81" t="b">
        <v>0</v>
      </c>
      <c r="AI1824" s="81" t="s">
        <v>6479</v>
      </c>
      <c r="AJ1824" s="81"/>
      <c r="AK1824" s="86" t="s">
        <v>6240</v>
      </c>
      <c r="AL1824" s="81" t="b">
        <v>0</v>
      </c>
      <c r="AM1824" s="81">
        <v>27</v>
      </c>
      <c r="AN1824" s="86" t="s">
        <v>5503</v>
      </c>
      <c r="AO1824" s="86" t="s">
        <v>6503</v>
      </c>
      <c r="AP1824" s="81" t="b">
        <v>0</v>
      </c>
      <c r="AQ1824" s="86" t="s">
        <v>5503</v>
      </c>
      <c r="AR1824" s="81" t="s">
        <v>179</v>
      </c>
      <c r="AS1824" s="81">
        <v>0</v>
      </c>
      <c r="AT1824" s="81">
        <v>0</v>
      </c>
      <c r="AU1824" s="81"/>
      <c r="AV1824" s="81"/>
      <c r="AW1824" s="81"/>
      <c r="AX1824" s="81"/>
      <c r="AY1824" s="81"/>
      <c r="AZ1824" s="81"/>
      <c r="BA1824" s="81"/>
      <c r="BB1824" s="81"/>
    </row>
    <row r="1825" spans="1:54" x14ac:dyDescent="0.35">
      <c r="A1825" s="66" t="s">
        <v>1248</v>
      </c>
      <c r="B1825" s="66" t="s">
        <v>1247</v>
      </c>
      <c r="C1825" s="67"/>
      <c r="D1825" s="68"/>
      <c r="E1825" s="69"/>
      <c r="F1825" s="70"/>
      <c r="G1825" s="67"/>
      <c r="H1825" s="71"/>
      <c r="I1825" s="72"/>
      <c r="J1825" s="72"/>
      <c r="K1825" s="36"/>
      <c r="L1825" s="79"/>
      <c r="M1825" s="79"/>
      <c r="N1825" s="74"/>
      <c r="O1825" s="81" t="s">
        <v>1532</v>
      </c>
      <c r="P1825" s="83">
        <v>44463.114351851851</v>
      </c>
      <c r="Q1825" s="81" t="s">
        <v>1755</v>
      </c>
      <c r="R1825" s="81"/>
      <c r="S1825" s="81"/>
      <c r="T1825" s="86" t="s">
        <v>2667</v>
      </c>
      <c r="U1825" s="84" t="str">
        <f>HYPERLINK("https://pbs.twimg.com/media/E_38CFLVkAAf4fL.jpg")</f>
        <v>https://pbs.twimg.com/media/E_38CFLVkAAf4fL.jpg</v>
      </c>
      <c r="V1825" s="84" t="str">
        <f>HYPERLINK("https://pbs.twimg.com/media/E_38CFLVkAAf4fL.jpg")</f>
        <v>https://pbs.twimg.com/media/E_38CFLVkAAf4fL.jpg</v>
      </c>
      <c r="W1825" s="83">
        <v>44463.114351851851</v>
      </c>
      <c r="X1825" s="89">
        <v>44463</v>
      </c>
      <c r="Y1825" s="86" t="s">
        <v>4027</v>
      </c>
      <c r="Z1825" s="84" t="str">
        <f>HYPERLINK("https://twitter.com/shiningstar0606/status/1441232086908555266")</f>
        <v>https://twitter.com/shiningstar0606/status/1441232086908555266</v>
      </c>
      <c r="AA1825" s="81"/>
      <c r="AB1825" s="81"/>
      <c r="AC1825" s="86" t="s">
        <v>5508</v>
      </c>
      <c r="AD1825" s="81"/>
      <c r="AE1825" s="81" t="b">
        <v>0</v>
      </c>
      <c r="AF1825" s="81">
        <v>0</v>
      </c>
      <c r="AG1825" s="86" t="s">
        <v>6240</v>
      </c>
      <c r="AH1825" s="81" t="b">
        <v>0</v>
      </c>
      <c r="AI1825" s="81" t="s">
        <v>6479</v>
      </c>
      <c r="AJ1825" s="81"/>
      <c r="AK1825" s="86" t="s">
        <v>6240</v>
      </c>
      <c r="AL1825" s="81" t="b">
        <v>0</v>
      </c>
      <c r="AM1825" s="81">
        <v>25</v>
      </c>
      <c r="AN1825" s="86" t="s">
        <v>5504</v>
      </c>
      <c r="AO1825" s="86" t="s">
        <v>6503</v>
      </c>
      <c r="AP1825" s="81" t="b">
        <v>0</v>
      </c>
      <c r="AQ1825" s="86" t="s">
        <v>5504</v>
      </c>
      <c r="AR1825" s="81" t="s">
        <v>179</v>
      </c>
      <c r="AS1825" s="81">
        <v>0</v>
      </c>
      <c r="AT1825" s="81">
        <v>0</v>
      </c>
      <c r="AU1825" s="81"/>
      <c r="AV1825" s="81"/>
      <c r="AW1825" s="81"/>
      <c r="AX1825" s="81"/>
      <c r="AY1825" s="81"/>
      <c r="AZ1825" s="81"/>
      <c r="BA1825" s="81"/>
      <c r="BB1825" s="81"/>
    </row>
    <row r="1826" spans="1:54" x14ac:dyDescent="0.35">
      <c r="A1826" s="66" t="s">
        <v>1248</v>
      </c>
      <c r="B1826" s="66" t="s">
        <v>1247</v>
      </c>
      <c r="C1826" s="67"/>
      <c r="D1826" s="68"/>
      <c r="E1826" s="69"/>
      <c r="F1826" s="70"/>
      <c r="G1826" s="67"/>
      <c r="H1826" s="71"/>
      <c r="I1826" s="72"/>
      <c r="J1826" s="72"/>
      <c r="K1826" s="36"/>
      <c r="L1826" s="79"/>
      <c r="M1826" s="79"/>
      <c r="N1826" s="74"/>
      <c r="O1826" s="81" t="s">
        <v>1532</v>
      </c>
      <c r="P1826" s="83">
        <v>44466.532106481478</v>
      </c>
      <c r="Q1826" s="81" t="s">
        <v>2110</v>
      </c>
      <c r="R1826" s="81"/>
      <c r="S1826" s="81"/>
      <c r="T1826" s="86" t="s">
        <v>2667</v>
      </c>
      <c r="U1826" s="84" t="str">
        <f>HYPERLINK("https://pbs.twimg.com/media/FARq0TBVUAYl272.jpg")</f>
        <v>https://pbs.twimg.com/media/FARq0TBVUAYl272.jpg</v>
      </c>
      <c r="V1826" s="84" t="str">
        <f>HYPERLINK("https://pbs.twimg.com/media/FARq0TBVUAYl272.jpg")</f>
        <v>https://pbs.twimg.com/media/FARq0TBVUAYl272.jpg</v>
      </c>
      <c r="W1826" s="83">
        <v>44466.532106481478</v>
      </c>
      <c r="X1826" s="89">
        <v>44466</v>
      </c>
      <c r="Y1826" s="86" t="s">
        <v>4028</v>
      </c>
      <c r="Z1826" s="84" t="str">
        <f>HYPERLINK("https://twitter.com/shiningstar0606/status/1442470636404629507")</f>
        <v>https://twitter.com/shiningstar0606/status/1442470636404629507</v>
      </c>
      <c r="AA1826" s="81"/>
      <c r="AB1826" s="81"/>
      <c r="AC1826" s="86" t="s">
        <v>5509</v>
      </c>
      <c r="AD1826" s="81"/>
      <c r="AE1826" s="81" t="b">
        <v>0</v>
      </c>
      <c r="AF1826" s="81">
        <v>0</v>
      </c>
      <c r="AG1826" s="86" t="s">
        <v>6240</v>
      </c>
      <c r="AH1826" s="81" t="b">
        <v>0</v>
      </c>
      <c r="AI1826" s="81" t="s">
        <v>6479</v>
      </c>
      <c r="AJ1826" s="81"/>
      <c r="AK1826" s="86" t="s">
        <v>6240</v>
      </c>
      <c r="AL1826" s="81" t="b">
        <v>0</v>
      </c>
      <c r="AM1826" s="81">
        <v>9</v>
      </c>
      <c r="AN1826" s="86" t="s">
        <v>5505</v>
      </c>
      <c r="AO1826" s="86" t="s">
        <v>6503</v>
      </c>
      <c r="AP1826" s="81" t="b">
        <v>0</v>
      </c>
      <c r="AQ1826" s="86" t="s">
        <v>5505</v>
      </c>
      <c r="AR1826" s="81" t="s">
        <v>179</v>
      </c>
      <c r="AS1826" s="81">
        <v>0</v>
      </c>
      <c r="AT1826" s="81">
        <v>0</v>
      </c>
      <c r="AU1826" s="81"/>
      <c r="AV1826" s="81"/>
      <c r="AW1826" s="81"/>
      <c r="AX1826" s="81"/>
      <c r="AY1826" s="81"/>
      <c r="AZ1826" s="81"/>
      <c r="BA1826" s="81"/>
      <c r="BB1826" s="81"/>
    </row>
    <row r="1827" spans="1:54" x14ac:dyDescent="0.35">
      <c r="A1827" s="66" t="s">
        <v>1248</v>
      </c>
      <c r="B1827" s="66" t="s">
        <v>1247</v>
      </c>
      <c r="C1827" s="67"/>
      <c r="D1827" s="68"/>
      <c r="E1827" s="69"/>
      <c r="F1827" s="70"/>
      <c r="G1827" s="67"/>
      <c r="H1827" s="71"/>
      <c r="I1827" s="72"/>
      <c r="J1827" s="72"/>
      <c r="K1827" s="36"/>
      <c r="L1827" s="79"/>
      <c r="M1827" s="79"/>
      <c r="N1827" s="74"/>
      <c r="O1827" s="81" t="s">
        <v>1532</v>
      </c>
      <c r="P1827" s="83">
        <v>44467.162986111114</v>
      </c>
      <c r="Q1827" s="81" t="s">
        <v>2184</v>
      </c>
      <c r="R1827" s="81"/>
      <c r="S1827" s="81"/>
      <c r="T1827" s="86" t="s">
        <v>2667</v>
      </c>
      <c r="U1827" s="84" t="str">
        <f>HYPERLINK("https://pbs.twimg.com/media/FATDiHHVEAIdbWq.jpg")</f>
        <v>https://pbs.twimg.com/media/FATDiHHVEAIdbWq.jpg</v>
      </c>
      <c r="V1827" s="84" t="str">
        <f>HYPERLINK("https://pbs.twimg.com/media/FATDiHHVEAIdbWq.jpg")</f>
        <v>https://pbs.twimg.com/media/FATDiHHVEAIdbWq.jpg</v>
      </c>
      <c r="W1827" s="83">
        <v>44467.162986111114</v>
      </c>
      <c r="X1827" s="89">
        <v>44467</v>
      </c>
      <c r="Y1827" s="86" t="s">
        <v>4029</v>
      </c>
      <c r="Z1827" s="84" t="str">
        <f>HYPERLINK("https://twitter.com/shiningstar0606/status/1442699261825601543")</f>
        <v>https://twitter.com/shiningstar0606/status/1442699261825601543</v>
      </c>
      <c r="AA1827" s="81"/>
      <c r="AB1827" s="81"/>
      <c r="AC1827" s="86" t="s">
        <v>5510</v>
      </c>
      <c r="AD1827" s="81"/>
      <c r="AE1827" s="81" t="b">
        <v>0</v>
      </c>
      <c r="AF1827" s="81">
        <v>0</v>
      </c>
      <c r="AG1827" s="86" t="s">
        <v>6240</v>
      </c>
      <c r="AH1827" s="81" t="b">
        <v>0</v>
      </c>
      <c r="AI1827" s="81" t="s">
        <v>6479</v>
      </c>
      <c r="AJ1827" s="81"/>
      <c r="AK1827" s="86" t="s">
        <v>6240</v>
      </c>
      <c r="AL1827" s="81" t="b">
        <v>0</v>
      </c>
      <c r="AM1827" s="81">
        <v>2</v>
      </c>
      <c r="AN1827" s="86" t="s">
        <v>5506</v>
      </c>
      <c r="AO1827" s="86" t="s">
        <v>6503</v>
      </c>
      <c r="AP1827" s="81" t="b">
        <v>0</v>
      </c>
      <c r="AQ1827" s="86" t="s">
        <v>5506</v>
      </c>
      <c r="AR1827" s="81" t="s">
        <v>179</v>
      </c>
      <c r="AS1827" s="81">
        <v>0</v>
      </c>
      <c r="AT1827" s="81">
        <v>0</v>
      </c>
      <c r="AU1827" s="81"/>
      <c r="AV1827" s="81"/>
      <c r="AW1827" s="81"/>
      <c r="AX1827" s="81"/>
      <c r="AY1827" s="81"/>
      <c r="AZ1827" s="81"/>
      <c r="BA1827" s="81"/>
      <c r="BB1827" s="81"/>
    </row>
    <row r="1828" spans="1:54" x14ac:dyDescent="0.35">
      <c r="A1828" s="66" t="s">
        <v>1249</v>
      </c>
      <c r="B1828" s="66" t="s">
        <v>1367</v>
      </c>
      <c r="C1828" s="67"/>
      <c r="D1828" s="68"/>
      <c r="E1828" s="69"/>
      <c r="F1828" s="70"/>
      <c r="G1828" s="67"/>
      <c r="H1828" s="71"/>
      <c r="I1828" s="72"/>
      <c r="J1828" s="72"/>
      <c r="K1828" s="36"/>
      <c r="L1828" s="79"/>
      <c r="M1828" s="79"/>
      <c r="N1828" s="74"/>
      <c r="O1828" s="81" t="s">
        <v>1534</v>
      </c>
      <c r="P1828" s="83">
        <v>44467.163055555553</v>
      </c>
      <c r="Q1828" s="81" t="s">
        <v>2273</v>
      </c>
      <c r="R1828" s="81"/>
      <c r="S1828" s="81"/>
      <c r="T1828" s="81"/>
      <c r="U1828" s="81"/>
      <c r="V1828" s="84" t="str">
        <f>HYPERLINK("https://pbs.twimg.com/profile_images/1442462284534587392/Tm5zY5N4_normal.png")</f>
        <v>https://pbs.twimg.com/profile_images/1442462284534587392/Tm5zY5N4_normal.png</v>
      </c>
      <c r="W1828" s="83">
        <v>44467.163055555553</v>
      </c>
      <c r="X1828" s="89">
        <v>44467</v>
      </c>
      <c r="Y1828" s="86" t="s">
        <v>4030</v>
      </c>
      <c r="Z1828" s="84" t="str">
        <f>HYPERLINK("https://twitter.com/kiwlunaa/status/1442699287352070146")</f>
        <v>https://twitter.com/kiwlunaa/status/1442699287352070146</v>
      </c>
      <c r="AA1828" s="81"/>
      <c r="AB1828" s="81"/>
      <c r="AC1828" s="86" t="s">
        <v>5511</v>
      </c>
      <c r="AD1828" s="86" t="s">
        <v>6232</v>
      </c>
      <c r="AE1828" s="81" t="b">
        <v>0</v>
      </c>
      <c r="AF1828" s="81">
        <v>1</v>
      </c>
      <c r="AG1828" s="86" t="s">
        <v>6331</v>
      </c>
      <c r="AH1828" s="81" t="b">
        <v>0</v>
      </c>
      <c r="AI1828" s="81" t="s">
        <v>6478</v>
      </c>
      <c r="AJ1828" s="81"/>
      <c r="AK1828" s="86" t="s">
        <v>6240</v>
      </c>
      <c r="AL1828" s="81" t="b">
        <v>0</v>
      </c>
      <c r="AM1828" s="81">
        <v>0</v>
      </c>
      <c r="AN1828" s="86" t="s">
        <v>6240</v>
      </c>
      <c r="AO1828" s="86" t="s">
        <v>6503</v>
      </c>
      <c r="AP1828" s="81" t="b">
        <v>0</v>
      </c>
      <c r="AQ1828" s="86" t="s">
        <v>6232</v>
      </c>
      <c r="AR1828" s="81" t="s">
        <v>179</v>
      </c>
      <c r="AS1828" s="81">
        <v>0</v>
      </c>
      <c r="AT1828" s="81">
        <v>0</v>
      </c>
      <c r="AU1828" s="81"/>
      <c r="AV1828" s="81"/>
      <c r="AW1828" s="81"/>
      <c r="AX1828" s="81"/>
      <c r="AY1828" s="81"/>
      <c r="AZ1828" s="81"/>
      <c r="BA1828" s="81"/>
      <c r="BB1828" s="81"/>
    </row>
    <row r="1829" spans="1:54" x14ac:dyDescent="0.35">
      <c r="A1829" s="66" t="s">
        <v>1250</v>
      </c>
      <c r="B1829" s="66" t="s">
        <v>1367</v>
      </c>
      <c r="C1829" s="67"/>
      <c r="D1829" s="68"/>
      <c r="E1829" s="69"/>
      <c r="F1829" s="70"/>
      <c r="G1829" s="67"/>
      <c r="H1829" s="71"/>
      <c r="I1829" s="72"/>
      <c r="J1829" s="72"/>
      <c r="K1829" s="36"/>
      <c r="L1829" s="79"/>
      <c r="M1829" s="79"/>
      <c r="N1829" s="74"/>
      <c r="O1829" s="81" t="s">
        <v>1534</v>
      </c>
      <c r="P1829" s="83">
        <v>44467.163101851853</v>
      </c>
      <c r="Q1829" s="81" t="s">
        <v>2274</v>
      </c>
      <c r="R1829" s="81"/>
      <c r="S1829" s="81"/>
      <c r="T1829" s="81"/>
      <c r="U1829" s="81"/>
      <c r="V1829" s="84" t="str">
        <f>HYPERLINK("https://pbs.twimg.com/profile_images/1441997351992774666/dI-ghhYl_normal.jpg")</f>
        <v>https://pbs.twimg.com/profile_images/1441997351992774666/dI-ghhYl_normal.jpg</v>
      </c>
      <c r="W1829" s="83">
        <v>44467.163101851853</v>
      </c>
      <c r="X1829" s="89">
        <v>44467</v>
      </c>
      <c r="Y1829" s="86" t="s">
        <v>4031</v>
      </c>
      <c r="Z1829" s="84" t="str">
        <f>HYPERLINK("https://twitter.com/junxoala/status/1442699302745165824")</f>
        <v>https://twitter.com/junxoala/status/1442699302745165824</v>
      </c>
      <c r="AA1829" s="81"/>
      <c r="AB1829" s="81"/>
      <c r="AC1829" s="86" t="s">
        <v>5512</v>
      </c>
      <c r="AD1829" s="86" t="s">
        <v>6232</v>
      </c>
      <c r="AE1829" s="81" t="b">
        <v>0</v>
      </c>
      <c r="AF1829" s="81">
        <v>0</v>
      </c>
      <c r="AG1829" s="86" t="s">
        <v>6331</v>
      </c>
      <c r="AH1829" s="81" t="b">
        <v>0</v>
      </c>
      <c r="AI1829" s="81" t="s">
        <v>6479</v>
      </c>
      <c r="AJ1829" s="81"/>
      <c r="AK1829" s="86" t="s">
        <v>6240</v>
      </c>
      <c r="AL1829" s="81" t="b">
        <v>0</v>
      </c>
      <c r="AM1829" s="81">
        <v>0</v>
      </c>
      <c r="AN1829" s="86" t="s">
        <v>6240</v>
      </c>
      <c r="AO1829" s="86" t="s">
        <v>6503</v>
      </c>
      <c r="AP1829" s="81" t="b">
        <v>0</v>
      </c>
      <c r="AQ1829" s="86" t="s">
        <v>6232</v>
      </c>
      <c r="AR1829" s="81" t="s">
        <v>179</v>
      </c>
      <c r="AS1829" s="81">
        <v>0</v>
      </c>
      <c r="AT1829" s="81">
        <v>0</v>
      </c>
      <c r="AU1829" s="81"/>
      <c r="AV1829" s="81"/>
      <c r="AW1829" s="81"/>
      <c r="AX1829" s="81"/>
      <c r="AY1829" s="81"/>
      <c r="AZ1829" s="81"/>
      <c r="BA1829" s="81"/>
      <c r="BB1829" s="81"/>
    </row>
    <row r="1830" spans="1:54" x14ac:dyDescent="0.35">
      <c r="A1830" s="66" t="s">
        <v>1251</v>
      </c>
      <c r="B1830" s="66" t="s">
        <v>1367</v>
      </c>
      <c r="C1830" s="67"/>
      <c r="D1830" s="68"/>
      <c r="E1830" s="69"/>
      <c r="F1830" s="70"/>
      <c r="G1830" s="67"/>
      <c r="H1830" s="71"/>
      <c r="I1830" s="72"/>
      <c r="J1830" s="72"/>
      <c r="K1830" s="36"/>
      <c r="L1830" s="79"/>
      <c r="M1830" s="79"/>
      <c r="N1830" s="74"/>
      <c r="O1830" s="81" t="s">
        <v>1534</v>
      </c>
      <c r="P1830" s="83">
        <v>44467.164317129631</v>
      </c>
      <c r="Q1830" s="81" t="s">
        <v>2275</v>
      </c>
      <c r="R1830" s="81"/>
      <c r="S1830" s="81"/>
      <c r="T1830" s="81"/>
      <c r="U1830" s="81"/>
      <c r="V1830" s="84" t="str">
        <f>HYPERLINK("https://pbs.twimg.com/profile_images/1423099162371903492/MghPO-fT_normal.jpg")</f>
        <v>https://pbs.twimg.com/profile_images/1423099162371903492/MghPO-fT_normal.jpg</v>
      </c>
      <c r="W1830" s="83">
        <v>44467.164317129631</v>
      </c>
      <c r="X1830" s="89">
        <v>44467</v>
      </c>
      <c r="Y1830" s="86" t="s">
        <v>4032</v>
      </c>
      <c r="Z1830" s="84" t="str">
        <f>HYPERLINK("https://twitter.com/captainllama_/status/1442699742299914241")</f>
        <v>https://twitter.com/captainllama_/status/1442699742299914241</v>
      </c>
      <c r="AA1830" s="81"/>
      <c r="AB1830" s="81"/>
      <c r="AC1830" s="86" t="s">
        <v>5513</v>
      </c>
      <c r="AD1830" s="86" t="s">
        <v>6232</v>
      </c>
      <c r="AE1830" s="81" t="b">
        <v>0</v>
      </c>
      <c r="AF1830" s="81">
        <v>0</v>
      </c>
      <c r="AG1830" s="86" t="s">
        <v>6331</v>
      </c>
      <c r="AH1830" s="81" t="b">
        <v>0</v>
      </c>
      <c r="AI1830" s="81" t="s">
        <v>6478</v>
      </c>
      <c r="AJ1830" s="81"/>
      <c r="AK1830" s="86" t="s">
        <v>6240</v>
      </c>
      <c r="AL1830" s="81" t="b">
        <v>0</v>
      </c>
      <c r="AM1830" s="81">
        <v>0</v>
      </c>
      <c r="AN1830" s="86" t="s">
        <v>6240</v>
      </c>
      <c r="AO1830" s="86" t="s">
        <v>6503</v>
      </c>
      <c r="AP1830" s="81" t="b">
        <v>0</v>
      </c>
      <c r="AQ1830" s="86" t="s">
        <v>6232</v>
      </c>
      <c r="AR1830" s="81" t="s">
        <v>179</v>
      </c>
      <c r="AS1830" s="81">
        <v>0</v>
      </c>
      <c r="AT1830" s="81">
        <v>0</v>
      </c>
      <c r="AU1830" s="81"/>
      <c r="AV1830" s="81"/>
      <c r="AW1830" s="81"/>
      <c r="AX1830" s="81"/>
      <c r="AY1830" s="81"/>
      <c r="AZ1830" s="81"/>
      <c r="BA1830" s="81"/>
      <c r="BB1830" s="81"/>
    </row>
    <row r="1831" spans="1:54" x14ac:dyDescent="0.35">
      <c r="A1831" s="66" t="s">
        <v>1252</v>
      </c>
      <c r="B1831" s="66" t="s">
        <v>1528</v>
      </c>
      <c r="C1831" s="67"/>
      <c r="D1831" s="68"/>
      <c r="E1831" s="69"/>
      <c r="F1831" s="70"/>
      <c r="G1831" s="67"/>
      <c r="H1831" s="71"/>
      <c r="I1831" s="72"/>
      <c r="J1831" s="72"/>
      <c r="K1831" s="36"/>
      <c r="L1831" s="79"/>
      <c r="M1831" s="79"/>
      <c r="N1831" s="74"/>
      <c r="O1831" s="81" t="s">
        <v>1534</v>
      </c>
      <c r="P1831" s="83">
        <v>44467.167685185188</v>
      </c>
      <c r="Q1831" s="81" t="s">
        <v>2276</v>
      </c>
      <c r="R1831" s="81"/>
      <c r="S1831" s="81"/>
      <c r="T1831" s="81"/>
      <c r="U1831" s="81"/>
      <c r="V1831" s="84" t="str">
        <f>HYPERLINK("https://pbs.twimg.com/profile_images/1437434413042724872/XEdu5aep_normal.jpg")</f>
        <v>https://pbs.twimg.com/profile_images/1437434413042724872/XEdu5aep_normal.jpg</v>
      </c>
      <c r="W1831" s="83">
        <v>44467.167685185188</v>
      </c>
      <c r="X1831" s="89">
        <v>44467</v>
      </c>
      <c r="Y1831" s="86" t="s">
        <v>4033</v>
      </c>
      <c r="Z1831" s="84" t="str">
        <f>HYPERLINK("https://twitter.com/ibigwintday/status/1442700963224055808")</f>
        <v>https://twitter.com/ibigwintday/status/1442700963224055808</v>
      </c>
      <c r="AA1831" s="81"/>
      <c r="AB1831" s="81"/>
      <c r="AC1831" s="86" t="s">
        <v>5514</v>
      </c>
      <c r="AD1831" s="86" t="s">
        <v>6233</v>
      </c>
      <c r="AE1831" s="81" t="b">
        <v>0</v>
      </c>
      <c r="AF1831" s="81">
        <v>0</v>
      </c>
      <c r="AG1831" s="86" t="s">
        <v>6472</v>
      </c>
      <c r="AH1831" s="81" t="b">
        <v>0</v>
      </c>
      <c r="AI1831" s="81" t="s">
        <v>6478</v>
      </c>
      <c r="AJ1831" s="81"/>
      <c r="AK1831" s="86" t="s">
        <v>6240</v>
      </c>
      <c r="AL1831" s="81" t="b">
        <v>0</v>
      </c>
      <c r="AM1831" s="81">
        <v>0</v>
      </c>
      <c r="AN1831" s="86" t="s">
        <v>6240</v>
      </c>
      <c r="AO1831" s="86" t="s">
        <v>6503</v>
      </c>
      <c r="AP1831" s="81" t="b">
        <v>0</v>
      </c>
      <c r="AQ1831" s="86" t="s">
        <v>6233</v>
      </c>
      <c r="AR1831" s="81" t="s">
        <v>179</v>
      </c>
      <c r="AS1831" s="81">
        <v>0</v>
      </c>
      <c r="AT1831" s="81">
        <v>0</v>
      </c>
      <c r="AU1831" s="81"/>
      <c r="AV1831" s="81"/>
      <c r="AW1831" s="81"/>
      <c r="AX1831" s="81"/>
      <c r="AY1831" s="81"/>
      <c r="AZ1831" s="81"/>
      <c r="BA1831" s="81"/>
      <c r="BB1831" s="81"/>
    </row>
    <row r="1832" spans="1:54" x14ac:dyDescent="0.35">
      <c r="A1832" s="66" t="s">
        <v>1253</v>
      </c>
      <c r="B1832" s="66" t="s">
        <v>1367</v>
      </c>
      <c r="C1832" s="67"/>
      <c r="D1832" s="68"/>
      <c r="E1832" s="69"/>
      <c r="F1832" s="70"/>
      <c r="G1832" s="67"/>
      <c r="H1832" s="71"/>
      <c r="I1832" s="72"/>
      <c r="J1832" s="72"/>
      <c r="K1832" s="36"/>
      <c r="L1832" s="79"/>
      <c r="M1832" s="79"/>
      <c r="N1832" s="74"/>
      <c r="O1832" s="81" t="s">
        <v>1534</v>
      </c>
      <c r="P1832" s="83">
        <v>44467.169988425929</v>
      </c>
      <c r="Q1832" s="81" t="s">
        <v>2277</v>
      </c>
      <c r="R1832" s="81"/>
      <c r="S1832" s="81"/>
      <c r="T1832" s="81"/>
      <c r="U1832" s="81"/>
      <c r="V1832" s="84" t="str">
        <f>HYPERLINK("https://pbs.twimg.com/profile_images/1435619073354723332/ReJVHv6H_normal.jpg")</f>
        <v>https://pbs.twimg.com/profile_images/1435619073354723332/ReJVHv6H_normal.jpg</v>
      </c>
      <c r="W1832" s="83">
        <v>44467.169988425929</v>
      </c>
      <c r="X1832" s="89">
        <v>44467</v>
      </c>
      <c r="Y1832" s="86" t="s">
        <v>4034</v>
      </c>
      <c r="Z1832" s="84" t="str">
        <f>HYPERLINK("https://twitter.com/dwuagg/status/1442701796577738755")</f>
        <v>https://twitter.com/dwuagg/status/1442701796577738755</v>
      </c>
      <c r="AA1832" s="81"/>
      <c r="AB1832" s="81"/>
      <c r="AC1832" s="86" t="s">
        <v>5515</v>
      </c>
      <c r="AD1832" s="86" t="s">
        <v>6232</v>
      </c>
      <c r="AE1832" s="81" t="b">
        <v>0</v>
      </c>
      <c r="AF1832" s="81">
        <v>0</v>
      </c>
      <c r="AG1832" s="86" t="s">
        <v>6331</v>
      </c>
      <c r="AH1832" s="81" t="b">
        <v>0</v>
      </c>
      <c r="AI1832" s="81" t="s">
        <v>6479</v>
      </c>
      <c r="AJ1832" s="81"/>
      <c r="AK1832" s="86" t="s">
        <v>6240</v>
      </c>
      <c r="AL1832" s="81" t="b">
        <v>0</v>
      </c>
      <c r="AM1832" s="81">
        <v>0</v>
      </c>
      <c r="AN1832" s="86" t="s">
        <v>6240</v>
      </c>
      <c r="AO1832" s="86" t="s">
        <v>6503</v>
      </c>
      <c r="AP1832" s="81" t="b">
        <v>0</v>
      </c>
      <c r="AQ1832" s="86" t="s">
        <v>6232</v>
      </c>
      <c r="AR1832" s="81" t="s">
        <v>179</v>
      </c>
      <c r="AS1832" s="81">
        <v>0</v>
      </c>
      <c r="AT1832" s="81">
        <v>0</v>
      </c>
      <c r="AU1832" s="81"/>
      <c r="AV1832" s="81"/>
      <c r="AW1832" s="81"/>
      <c r="AX1832" s="81"/>
      <c r="AY1832" s="81"/>
      <c r="AZ1832" s="81"/>
      <c r="BA1832" s="81"/>
      <c r="BB1832" s="81"/>
    </row>
    <row r="1833" spans="1:54" x14ac:dyDescent="0.35">
      <c r="A1833" s="66" t="s">
        <v>1254</v>
      </c>
      <c r="B1833" s="66" t="s">
        <v>1529</v>
      </c>
      <c r="C1833" s="67"/>
      <c r="D1833" s="68"/>
      <c r="E1833" s="69"/>
      <c r="F1833" s="70"/>
      <c r="G1833" s="67"/>
      <c r="H1833" s="71"/>
      <c r="I1833" s="72"/>
      <c r="J1833" s="72"/>
      <c r="K1833" s="36"/>
      <c r="L1833" s="79"/>
      <c r="M1833" s="79"/>
      <c r="N1833" s="74"/>
      <c r="O1833" s="81" t="s">
        <v>1534</v>
      </c>
      <c r="P1833" s="83">
        <v>44467.167743055557</v>
      </c>
      <c r="Q1833" s="81" t="s">
        <v>2278</v>
      </c>
      <c r="R1833" s="81"/>
      <c r="S1833" s="81"/>
      <c r="T1833" s="81"/>
      <c r="U1833" s="81"/>
      <c r="V1833" s="84" t="str">
        <f>HYPERLINK("https://pbs.twimg.com/profile_images/1436300681044914176/TOg2QFRZ_normal.jpg")</f>
        <v>https://pbs.twimg.com/profile_images/1436300681044914176/TOg2QFRZ_normal.jpg</v>
      </c>
      <c r="W1833" s="83">
        <v>44467.167743055557</v>
      </c>
      <c r="X1833" s="89">
        <v>44467</v>
      </c>
      <c r="Y1833" s="86" t="s">
        <v>4035</v>
      </c>
      <c r="Z1833" s="84" t="str">
        <f>HYPERLINK("https://twitter.com/seelaaa_/status/1442700985831333889")</f>
        <v>https://twitter.com/seelaaa_/status/1442700985831333889</v>
      </c>
      <c r="AA1833" s="81"/>
      <c r="AB1833" s="81"/>
      <c r="AC1833" s="86" t="s">
        <v>5516</v>
      </c>
      <c r="AD1833" s="86" t="s">
        <v>6234</v>
      </c>
      <c r="AE1833" s="81" t="b">
        <v>0</v>
      </c>
      <c r="AF1833" s="81">
        <v>0</v>
      </c>
      <c r="AG1833" s="86" t="s">
        <v>6473</v>
      </c>
      <c r="AH1833" s="81" t="b">
        <v>0</v>
      </c>
      <c r="AI1833" s="81" t="s">
        <v>6478</v>
      </c>
      <c r="AJ1833" s="81"/>
      <c r="AK1833" s="86" t="s">
        <v>6240</v>
      </c>
      <c r="AL1833" s="81" t="b">
        <v>0</v>
      </c>
      <c r="AM1833" s="81">
        <v>0</v>
      </c>
      <c r="AN1833" s="86" t="s">
        <v>6240</v>
      </c>
      <c r="AO1833" s="86" t="s">
        <v>6503</v>
      </c>
      <c r="AP1833" s="81" t="b">
        <v>0</v>
      </c>
      <c r="AQ1833" s="86" t="s">
        <v>6234</v>
      </c>
      <c r="AR1833" s="81" t="s">
        <v>179</v>
      </c>
      <c r="AS1833" s="81">
        <v>0</v>
      </c>
      <c r="AT1833" s="81">
        <v>0</v>
      </c>
      <c r="AU1833" s="81"/>
      <c r="AV1833" s="81"/>
      <c r="AW1833" s="81"/>
      <c r="AX1833" s="81"/>
      <c r="AY1833" s="81"/>
      <c r="AZ1833" s="81"/>
      <c r="BA1833" s="81"/>
      <c r="BB1833" s="81"/>
    </row>
    <row r="1834" spans="1:54" x14ac:dyDescent="0.35">
      <c r="A1834" s="66" t="s">
        <v>1255</v>
      </c>
      <c r="B1834" s="66" t="s">
        <v>1254</v>
      </c>
      <c r="C1834" s="67"/>
      <c r="D1834" s="68"/>
      <c r="E1834" s="69"/>
      <c r="F1834" s="70"/>
      <c r="G1834" s="67"/>
      <c r="H1834" s="71"/>
      <c r="I1834" s="72"/>
      <c r="J1834" s="72"/>
      <c r="K1834" s="36"/>
      <c r="L1834" s="79"/>
      <c r="M1834" s="79"/>
      <c r="N1834" s="74"/>
      <c r="O1834" s="81" t="s">
        <v>1534</v>
      </c>
      <c r="P1834" s="83">
        <v>44467.168865740743</v>
      </c>
      <c r="Q1834" s="81" t="s">
        <v>2279</v>
      </c>
      <c r="R1834" s="81"/>
      <c r="S1834" s="81"/>
      <c r="T1834" s="81"/>
      <c r="U1834" s="81"/>
      <c r="V1834" s="84" t="str">
        <f>HYPERLINK("https://pbs.twimg.com/profile_images/1440871770009997315/vIJFf9IU_normal.jpg")</f>
        <v>https://pbs.twimg.com/profile_images/1440871770009997315/vIJFf9IU_normal.jpg</v>
      </c>
      <c r="W1834" s="83">
        <v>44467.168865740743</v>
      </c>
      <c r="X1834" s="89">
        <v>44467</v>
      </c>
      <c r="Y1834" s="86" t="s">
        <v>4036</v>
      </c>
      <c r="Z1834" s="84" t="str">
        <f>HYPERLINK("https://twitter.com/yvelixie_bang28/status/1442701391730933771")</f>
        <v>https://twitter.com/yvelixie_bang28/status/1442701391730933771</v>
      </c>
      <c r="AA1834" s="81"/>
      <c r="AB1834" s="81"/>
      <c r="AC1834" s="86" t="s">
        <v>5517</v>
      </c>
      <c r="AD1834" s="86" t="s">
        <v>6235</v>
      </c>
      <c r="AE1834" s="81" t="b">
        <v>0</v>
      </c>
      <c r="AF1834" s="81">
        <v>0</v>
      </c>
      <c r="AG1834" s="86" t="s">
        <v>6474</v>
      </c>
      <c r="AH1834" s="81" t="b">
        <v>0</v>
      </c>
      <c r="AI1834" s="81" t="s">
        <v>6478</v>
      </c>
      <c r="AJ1834" s="81"/>
      <c r="AK1834" s="86" t="s">
        <v>6240</v>
      </c>
      <c r="AL1834" s="81" t="b">
        <v>0</v>
      </c>
      <c r="AM1834" s="81">
        <v>0</v>
      </c>
      <c r="AN1834" s="86" t="s">
        <v>6240</v>
      </c>
      <c r="AO1834" s="86" t="s">
        <v>6503</v>
      </c>
      <c r="AP1834" s="81" t="b">
        <v>0</v>
      </c>
      <c r="AQ1834" s="86" t="s">
        <v>6235</v>
      </c>
      <c r="AR1834" s="81" t="s">
        <v>179</v>
      </c>
      <c r="AS1834" s="81">
        <v>0</v>
      </c>
      <c r="AT1834" s="81">
        <v>0</v>
      </c>
      <c r="AU1834" s="81"/>
      <c r="AV1834" s="81"/>
      <c r="AW1834" s="81"/>
      <c r="AX1834" s="81"/>
      <c r="AY1834" s="81"/>
      <c r="AZ1834" s="81"/>
      <c r="BA1834" s="81"/>
      <c r="BB1834" s="81"/>
    </row>
    <row r="1835" spans="1:54" x14ac:dyDescent="0.35">
      <c r="A1835" s="66" t="s">
        <v>1254</v>
      </c>
      <c r="B1835" s="66" t="s">
        <v>1255</v>
      </c>
      <c r="C1835" s="67"/>
      <c r="D1835" s="68"/>
      <c r="E1835" s="69"/>
      <c r="F1835" s="70"/>
      <c r="G1835" s="67"/>
      <c r="H1835" s="71"/>
      <c r="I1835" s="72"/>
      <c r="J1835" s="72"/>
      <c r="K1835" s="36"/>
      <c r="L1835" s="79"/>
      <c r="M1835" s="79"/>
      <c r="N1835" s="74"/>
      <c r="O1835" s="81" t="s">
        <v>1534</v>
      </c>
      <c r="P1835" s="83">
        <v>44467.170104166667</v>
      </c>
      <c r="Q1835" s="81" t="s">
        <v>2280</v>
      </c>
      <c r="R1835" s="81"/>
      <c r="S1835" s="81"/>
      <c r="T1835" s="81"/>
      <c r="U1835" s="81"/>
      <c r="V1835" s="84" t="str">
        <f>HYPERLINK("https://pbs.twimg.com/profile_images/1436300681044914176/TOg2QFRZ_normal.jpg")</f>
        <v>https://pbs.twimg.com/profile_images/1436300681044914176/TOg2QFRZ_normal.jpg</v>
      </c>
      <c r="W1835" s="83">
        <v>44467.170104166667</v>
      </c>
      <c r="X1835" s="89">
        <v>44467</v>
      </c>
      <c r="Y1835" s="86" t="s">
        <v>4037</v>
      </c>
      <c r="Z1835" s="84" t="str">
        <f>HYPERLINK("https://twitter.com/seelaaa_/status/1442701841154723845")</f>
        <v>https://twitter.com/seelaaa_/status/1442701841154723845</v>
      </c>
      <c r="AA1835" s="81"/>
      <c r="AB1835" s="81"/>
      <c r="AC1835" s="86" t="s">
        <v>5518</v>
      </c>
      <c r="AD1835" s="86" t="s">
        <v>5517</v>
      </c>
      <c r="AE1835" s="81" t="b">
        <v>0</v>
      </c>
      <c r="AF1835" s="81">
        <v>0</v>
      </c>
      <c r="AG1835" s="86" t="s">
        <v>6475</v>
      </c>
      <c r="AH1835" s="81" t="b">
        <v>0</v>
      </c>
      <c r="AI1835" s="81" t="s">
        <v>6478</v>
      </c>
      <c r="AJ1835" s="81"/>
      <c r="AK1835" s="86" t="s">
        <v>6240</v>
      </c>
      <c r="AL1835" s="81" t="b">
        <v>0</v>
      </c>
      <c r="AM1835" s="81">
        <v>0</v>
      </c>
      <c r="AN1835" s="86" t="s">
        <v>6240</v>
      </c>
      <c r="AO1835" s="86" t="s">
        <v>6503</v>
      </c>
      <c r="AP1835" s="81" t="b">
        <v>0</v>
      </c>
      <c r="AQ1835" s="86" t="s">
        <v>5517</v>
      </c>
      <c r="AR1835" s="81" t="s">
        <v>179</v>
      </c>
      <c r="AS1835" s="81">
        <v>0</v>
      </c>
      <c r="AT1835" s="81">
        <v>0</v>
      </c>
      <c r="AU1835" s="81"/>
      <c r="AV1835" s="81"/>
      <c r="AW1835" s="81"/>
      <c r="AX1835" s="81"/>
      <c r="AY1835" s="81"/>
      <c r="AZ1835" s="81"/>
      <c r="BA1835" s="81"/>
      <c r="BB1835" s="81"/>
    </row>
    <row r="1836" spans="1:54" x14ac:dyDescent="0.35">
      <c r="A1836" s="66" t="s">
        <v>1256</v>
      </c>
      <c r="B1836" s="66" t="s">
        <v>1256</v>
      </c>
      <c r="C1836" s="67"/>
      <c r="D1836" s="68"/>
      <c r="E1836" s="69"/>
      <c r="F1836" s="70"/>
      <c r="G1836" s="67"/>
      <c r="H1836" s="71"/>
      <c r="I1836" s="72"/>
      <c r="J1836" s="72"/>
      <c r="K1836" s="36"/>
      <c r="L1836" s="79"/>
      <c r="M1836" s="79"/>
      <c r="N1836" s="74"/>
      <c r="O1836" s="81" t="s">
        <v>179</v>
      </c>
      <c r="P1836" s="83">
        <v>44467.176296296297</v>
      </c>
      <c r="Q1836" s="81" t="s">
        <v>2281</v>
      </c>
      <c r="R1836" s="81"/>
      <c r="S1836" s="81"/>
      <c r="T1836" s="81"/>
      <c r="U1836" s="81"/>
      <c r="V1836" s="84" t="str">
        <f>HYPERLINK("https://pbs.twimg.com/profile_images/1439426635787169793/xfnYFplD_normal.jpg")</f>
        <v>https://pbs.twimg.com/profile_images/1439426635787169793/xfnYFplD_normal.jpg</v>
      </c>
      <c r="W1836" s="83">
        <v>44467.176296296297</v>
      </c>
      <c r="X1836" s="89">
        <v>44467</v>
      </c>
      <c r="Y1836" s="86" t="s">
        <v>4038</v>
      </c>
      <c r="Z1836" s="84" t="str">
        <f>HYPERLINK("https://twitter.com/je_ariff/status/1442704083954008072")</f>
        <v>https://twitter.com/je_ariff/status/1442704083954008072</v>
      </c>
      <c r="AA1836" s="81"/>
      <c r="AB1836" s="81"/>
      <c r="AC1836" s="86" t="s">
        <v>5519</v>
      </c>
      <c r="AD1836" s="81"/>
      <c r="AE1836" s="81" t="b">
        <v>0</v>
      </c>
      <c r="AF1836" s="81">
        <v>0</v>
      </c>
      <c r="AG1836" s="86" t="s">
        <v>6240</v>
      </c>
      <c r="AH1836" s="81" t="b">
        <v>0</v>
      </c>
      <c r="AI1836" s="81" t="s">
        <v>6478</v>
      </c>
      <c r="AJ1836" s="81"/>
      <c r="AK1836" s="86" t="s">
        <v>6240</v>
      </c>
      <c r="AL1836" s="81" t="b">
        <v>0</v>
      </c>
      <c r="AM1836" s="81">
        <v>0</v>
      </c>
      <c r="AN1836" s="86" t="s">
        <v>6240</v>
      </c>
      <c r="AO1836" s="86" t="s">
        <v>6503</v>
      </c>
      <c r="AP1836" s="81" t="b">
        <v>0</v>
      </c>
      <c r="AQ1836" s="86" t="s">
        <v>5519</v>
      </c>
      <c r="AR1836" s="81" t="s">
        <v>179</v>
      </c>
      <c r="AS1836" s="81">
        <v>0</v>
      </c>
      <c r="AT1836" s="81">
        <v>0</v>
      </c>
      <c r="AU1836" s="81"/>
      <c r="AV1836" s="81"/>
      <c r="AW1836" s="81"/>
      <c r="AX1836" s="81"/>
      <c r="AY1836" s="81"/>
      <c r="AZ1836" s="81"/>
      <c r="BA1836" s="81"/>
      <c r="BB1836" s="81"/>
    </row>
    <row r="1837" spans="1:54" x14ac:dyDescent="0.35">
      <c r="A1837" s="66" t="s">
        <v>1257</v>
      </c>
      <c r="B1837" s="66" t="s">
        <v>1530</v>
      </c>
      <c r="C1837" s="67"/>
      <c r="D1837" s="68"/>
      <c r="E1837" s="69"/>
      <c r="F1837" s="70"/>
      <c r="G1837" s="67"/>
      <c r="H1837" s="71"/>
      <c r="I1837" s="72"/>
      <c r="J1837" s="72"/>
      <c r="K1837" s="36"/>
      <c r="L1837" s="79"/>
      <c r="M1837" s="79"/>
      <c r="N1837" s="74"/>
      <c r="O1837" s="81" t="s">
        <v>1535</v>
      </c>
      <c r="P1837" s="83">
        <v>44464.946574074071</v>
      </c>
      <c r="Q1837" s="81" t="s">
        <v>2282</v>
      </c>
      <c r="R1837" s="84" t="s">
        <v>2571</v>
      </c>
      <c r="S1837" s="81" t="s">
        <v>2625</v>
      </c>
      <c r="T1837" s="81"/>
      <c r="U1837" s="81"/>
      <c r="V1837" s="84" t="str">
        <f>HYPERLINK("https://pbs.twimg.com/profile_images/1076392555414077441/WQav5fb3_normal.jpg")</f>
        <v>https://pbs.twimg.com/profile_images/1076392555414077441/WQav5fb3_normal.jpg</v>
      </c>
      <c r="W1837" s="83">
        <v>44464.946574074071</v>
      </c>
      <c r="X1837" s="89">
        <v>44464</v>
      </c>
      <c r="Y1837" s="86" t="s">
        <v>4039</v>
      </c>
      <c r="Z1837" s="84" t="str">
        <f>HYPERLINK("https://twitter.com/truplapng/status/1441896059509239813")</f>
        <v>https://twitter.com/truplapng/status/1441896059509239813</v>
      </c>
      <c r="AA1837" s="81"/>
      <c r="AB1837" s="81"/>
      <c r="AC1837" s="86" t="s">
        <v>5520</v>
      </c>
      <c r="AD1837" s="81"/>
      <c r="AE1837" s="81" t="b">
        <v>0</v>
      </c>
      <c r="AF1837" s="81">
        <v>0</v>
      </c>
      <c r="AG1837" s="86" t="s">
        <v>6240</v>
      </c>
      <c r="AH1837" s="81" t="b">
        <v>0</v>
      </c>
      <c r="AI1837" s="81" t="s">
        <v>6478</v>
      </c>
      <c r="AJ1837" s="81"/>
      <c r="AK1837" s="86" t="s">
        <v>6240</v>
      </c>
      <c r="AL1837" s="81" t="b">
        <v>0</v>
      </c>
      <c r="AM1837" s="81">
        <v>0</v>
      </c>
      <c r="AN1837" s="86" t="s">
        <v>6240</v>
      </c>
      <c r="AO1837" s="86" t="s">
        <v>6515</v>
      </c>
      <c r="AP1837" s="81" t="b">
        <v>0</v>
      </c>
      <c r="AQ1837" s="86" t="s">
        <v>5520</v>
      </c>
      <c r="AR1837" s="81" t="s">
        <v>179</v>
      </c>
      <c r="AS1837" s="81">
        <v>0</v>
      </c>
      <c r="AT1837" s="81">
        <v>0</v>
      </c>
      <c r="AU1837" s="81"/>
      <c r="AV1837" s="81"/>
      <c r="AW1837" s="81"/>
      <c r="AX1837" s="81"/>
      <c r="AY1837" s="81"/>
      <c r="AZ1837" s="81"/>
      <c r="BA1837" s="81"/>
      <c r="BB1837" s="81"/>
    </row>
    <row r="1838" spans="1:54" x14ac:dyDescent="0.35">
      <c r="A1838" s="66" t="s">
        <v>1257</v>
      </c>
      <c r="B1838" s="66" t="s">
        <v>1530</v>
      </c>
      <c r="C1838" s="67"/>
      <c r="D1838" s="68"/>
      <c r="E1838" s="69"/>
      <c r="F1838" s="70"/>
      <c r="G1838" s="67"/>
      <c r="H1838" s="71"/>
      <c r="I1838" s="72"/>
      <c r="J1838" s="72"/>
      <c r="K1838" s="36"/>
      <c r="L1838" s="79"/>
      <c r="M1838" s="79"/>
      <c r="N1838" s="74"/>
      <c r="O1838" s="81" t="s">
        <v>1535</v>
      </c>
      <c r="P1838" s="83">
        <v>44467.176435185182</v>
      </c>
      <c r="Q1838" s="81" t="s">
        <v>2283</v>
      </c>
      <c r="R1838" s="84" t="s">
        <v>2572</v>
      </c>
      <c r="S1838" s="81" t="s">
        <v>2625</v>
      </c>
      <c r="T1838" s="81"/>
      <c r="U1838" s="81"/>
      <c r="V1838" s="84" t="str">
        <f>HYPERLINK("https://pbs.twimg.com/profile_images/1076392555414077441/WQav5fb3_normal.jpg")</f>
        <v>https://pbs.twimg.com/profile_images/1076392555414077441/WQav5fb3_normal.jpg</v>
      </c>
      <c r="W1838" s="83">
        <v>44467.176435185182</v>
      </c>
      <c r="X1838" s="89">
        <v>44467</v>
      </c>
      <c r="Y1838" s="86" t="s">
        <v>4040</v>
      </c>
      <c r="Z1838" s="84" t="str">
        <f>HYPERLINK("https://twitter.com/truplapng/status/1442704134742839296")</f>
        <v>https://twitter.com/truplapng/status/1442704134742839296</v>
      </c>
      <c r="AA1838" s="81"/>
      <c r="AB1838" s="81"/>
      <c r="AC1838" s="86" t="s">
        <v>5521</v>
      </c>
      <c r="AD1838" s="81"/>
      <c r="AE1838" s="81" t="b">
        <v>0</v>
      </c>
      <c r="AF1838" s="81">
        <v>0</v>
      </c>
      <c r="AG1838" s="86" t="s">
        <v>6240</v>
      </c>
      <c r="AH1838" s="81" t="b">
        <v>0</v>
      </c>
      <c r="AI1838" s="81" t="s">
        <v>6479</v>
      </c>
      <c r="AJ1838" s="81"/>
      <c r="AK1838" s="86" t="s">
        <v>6240</v>
      </c>
      <c r="AL1838" s="81" t="b">
        <v>0</v>
      </c>
      <c r="AM1838" s="81">
        <v>0</v>
      </c>
      <c r="AN1838" s="86" t="s">
        <v>6240</v>
      </c>
      <c r="AO1838" s="86" t="s">
        <v>6515</v>
      </c>
      <c r="AP1838" s="81" t="b">
        <v>0</v>
      </c>
      <c r="AQ1838" s="86" t="s">
        <v>5521</v>
      </c>
      <c r="AR1838" s="81" t="s">
        <v>179</v>
      </c>
      <c r="AS1838" s="81">
        <v>0</v>
      </c>
      <c r="AT1838" s="81">
        <v>0</v>
      </c>
      <c r="AU1838" s="81"/>
      <c r="AV1838" s="81"/>
      <c r="AW1838" s="81"/>
      <c r="AX1838" s="81"/>
      <c r="AY1838" s="81"/>
      <c r="AZ1838" s="81"/>
      <c r="BA1838" s="81"/>
      <c r="BB1838" s="81"/>
    </row>
    <row r="1839" spans="1:54" x14ac:dyDescent="0.35">
      <c r="A1839" s="66" t="s">
        <v>1258</v>
      </c>
      <c r="B1839" s="66" t="s">
        <v>1258</v>
      </c>
      <c r="C1839" s="67"/>
      <c r="D1839" s="68"/>
      <c r="E1839" s="69"/>
      <c r="F1839" s="70"/>
      <c r="G1839" s="67"/>
      <c r="H1839" s="71"/>
      <c r="I1839" s="72"/>
      <c r="J1839" s="72"/>
      <c r="K1839" s="36"/>
      <c r="L1839" s="79"/>
      <c r="M1839" s="79"/>
      <c r="N1839" s="74"/>
      <c r="O1839" s="81" t="s">
        <v>179</v>
      </c>
      <c r="P1839" s="83">
        <v>44467.1799537037</v>
      </c>
      <c r="Q1839" s="81" t="s">
        <v>2284</v>
      </c>
      <c r="R1839" s="81"/>
      <c r="S1839" s="81"/>
      <c r="T1839" s="86" t="s">
        <v>2750</v>
      </c>
      <c r="U1839" s="84" t="str">
        <f>HYPERLINK("https://pbs.twimg.com/media/FAWE6X1UUAMJYqy.jpg")</f>
        <v>https://pbs.twimg.com/media/FAWE6X1UUAMJYqy.jpg</v>
      </c>
      <c r="V1839" s="84" t="str">
        <f>HYPERLINK("https://pbs.twimg.com/media/FAWE6X1UUAMJYqy.jpg")</f>
        <v>https://pbs.twimg.com/media/FAWE6X1UUAMJYqy.jpg</v>
      </c>
      <c r="W1839" s="83">
        <v>44467.1799537037</v>
      </c>
      <c r="X1839" s="89">
        <v>44467</v>
      </c>
      <c r="Y1839" s="86" t="s">
        <v>4041</v>
      </c>
      <c r="Z1839" s="84" t="str">
        <f>HYPERLINK("https://twitter.com/asabri_official/status/1442705409127575560")</f>
        <v>https://twitter.com/asabri_official/status/1442705409127575560</v>
      </c>
      <c r="AA1839" s="81"/>
      <c r="AB1839" s="81"/>
      <c r="AC1839" s="86" t="s">
        <v>5522</v>
      </c>
      <c r="AD1839" s="86" t="s">
        <v>6236</v>
      </c>
      <c r="AE1839" s="81" t="b">
        <v>0</v>
      </c>
      <c r="AF1839" s="81">
        <v>0</v>
      </c>
      <c r="AG1839" s="86" t="s">
        <v>6476</v>
      </c>
      <c r="AH1839" s="81" t="b">
        <v>0</v>
      </c>
      <c r="AI1839" s="81" t="s">
        <v>6478</v>
      </c>
      <c r="AJ1839" s="81"/>
      <c r="AK1839" s="86" t="s">
        <v>6240</v>
      </c>
      <c r="AL1839" s="81" t="b">
        <v>0</v>
      </c>
      <c r="AM1839" s="81">
        <v>0</v>
      </c>
      <c r="AN1839" s="86" t="s">
        <v>6240</v>
      </c>
      <c r="AO1839" s="86" t="s">
        <v>6505</v>
      </c>
      <c r="AP1839" s="81" t="b">
        <v>0</v>
      </c>
      <c r="AQ1839" s="86" t="s">
        <v>6236</v>
      </c>
      <c r="AR1839" s="81" t="s">
        <v>179</v>
      </c>
      <c r="AS1839" s="81">
        <v>0</v>
      </c>
      <c r="AT1839" s="81">
        <v>0</v>
      </c>
      <c r="AU1839" s="81"/>
      <c r="AV1839" s="81"/>
      <c r="AW1839" s="81"/>
      <c r="AX1839" s="81"/>
      <c r="AY1839" s="81"/>
      <c r="AZ1839" s="81"/>
      <c r="BA1839" s="81"/>
      <c r="BB1839" s="81"/>
    </row>
    <row r="1840" spans="1:54" x14ac:dyDescent="0.35">
      <c r="A1840" s="66" t="s">
        <v>1259</v>
      </c>
      <c r="B1840" s="66" t="s">
        <v>1367</v>
      </c>
      <c r="C1840" s="67"/>
      <c r="D1840" s="68"/>
      <c r="E1840" s="69"/>
      <c r="F1840" s="70"/>
      <c r="G1840" s="67"/>
      <c r="H1840" s="71"/>
      <c r="I1840" s="72"/>
      <c r="J1840" s="72"/>
      <c r="K1840" s="36"/>
      <c r="L1840" s="79"/>
      <c r="M1840" s="79"/>
      <c r="N1840" s="74"/>
      <c r="O1840" s="81" t="s">
        <v>1534</v>
      </c>
      <c r="P1840" s="83">
        <v>44467.181747685187</v>
      </c>
      <c r="Q1840" s="81" t="s">
        <v>2285</v>
      </c>
      <c r="R1840" s="81"/>
      <c r="S1840" s="81"/>
      <c r="T1840" s="81"/>
      <c r="U1840" s="81"/>
      <c r="V1840" s="84" t="str">
        <f>HYPERLINK("https://pbs.twimg.com/profile_images/1436374668756148230/9Nn5_3TQ_normal.jpg")</f>
        <v>https://pbs.twimg.com/profile_images/1436374668756148230/9Nn5_3TQ_normal.jpg</v>
      </c>
      <c r="W1840" s="83">
        <v>44467.181747685187</v>
      </c>
      <c r="X1840" s="89">
        <v>44467</v>
      </c>
      <c r="Y1840" s="86" t="s">
        <v>4042</v>
      </c>
      <c r="Z1840" s="84" t="str">
        <f>HYPERLINK("https://twitter.com/bvttercupp/status/1442706061509545985")</f>
        <v>https://twitter.com/bvttercupp/status/1442706061509545985</v>
      </c>
      <c r="AA1840" s="81"/>
      <c r="AB1840" s="81"/>
      <c r="AC1840" s="86" t="s">
        <v>5523</v>
      </c>
      <c r="AD1840" s="86" t="s">
        <v>6232</v>
      </c>
      <c r="AE1840" s="81" t="b">
        <v>0</v>
      </c>
      <c r="AF1840" s="81">
        <v>0</v>
      </c>
      <c r="AG1840" s="86" t="s">
        <v>6331</v>
      </c>
      <c r="AH1840" s="81" t="b">
        <v>0</v>
      </c>
      <c r="AI1840" s="81" t="s">
        <v>6489</v>
      </c>
      <c r="AJ1840" s="81"/>
      <c r="AK1840" s="86" t="s">
        <v>6240</v>
      </c>
      <c r="AL1840" s="81" t="b">
        <v>0</v>
      </c>
      <c r="AM1840" s="81">
        <v>0</v>
      </c>
      <c r="AN1840" s="86" t="s">
        <v>6240</v>
      </c>
      <c r="AO1840" s="86" t="s">
        <v>6505</v>
      </c>
      <c r="AP1840" s="81" t="b">
        <v>0</v>
      </c>
      <c r="AQ1840" s="86" t="s">
        <v>6232</v>
      </c>
      <c r="AR1840" s="81" t="s">
        <v>179</v>
      </c>
      <c r="AS1840" s="81">
        <v>0</v>
      </c>
      <c r="AT1840" s="81">
        <v>0</v>
      </c>
      <c r="AU1840" s="81"/>
      <c r="AV1840" s="81"/>
      <c r="AW1840" s="81"/>
      <c r="AX1840" s="81"/>
      <c r="AY1840" s="81"/>
      <c r="AZ1840" s="81"/>
      <c r="BA1840" s="81"/>
      <c r="BB1840" s="81"/>
    </row>
    <row r="1841" spans="1:54" x14ac:dyDescent="0.35">
      <c r="A1841" s="66" t="s">
        <v>1146</v>
      </c>
      <c r="B1841" s="66" t="s">
        <v>1146</v>
      </c>
      <c r="C1841" s="67"/>
      <c r="D1841" s="68"/>
      <c r="E1841" s="69"/>
      <c r="F1841" s="70"/>
      <c r="G1841" s="67"/>
      <c r="H1841" s="71"/>
      <c r="I1841" s="72"/>
      <c r="J1841" s="72"/>
      <c r="K1841" s="36"/>
      <c r="L1841" s="79"/>
      <c r="M1841" s="79"/>
      <c r="N1841" s="74"/>
      <c r="O1841" s="81" t="s">
        <v>179</v>
      </c>
      <c r="P1841" s="83">
        <v>44466.264675925922</v>
      </c>
      <c r="Q1841" s="81" t="s">
        <v>2091</v>
      </c>
      <c r="R1841" s="81"/>
      <c r="S1841" s="81"/>
      <c r="T1841" s="81"/>
      <c r="U1841" s="84" t="str">
        <f>HYPERLINK("https://pbs.twimg.com/ext_tw_video_thumb/1442373678990196737/pu/img/UDVgFvOXidN40Fez.jpg")</f>
        <v>https://pbs.twimg.com/ext_tw_video_thumb/1442373678990196737/pu/img/UDVgFvOXidN40Fez.jpg</v>
      </c>
      <c r="V1841" s="84" t="str">
        <f>HYPERLINK("https://pbs.twimg.com/ext_tw_video_thumb/1442373678990196737/pu/img/UDVgFvOXidN40Fez.jpg")</f>
        <v>https://pbs.twimg.com/ext_tw_video_thumb/1442373678990196737/pu/img/UDVgFvOXidN40Fez.jpg</v>
      </c>
      <c r="W1841" s="83">
        <v>44466.264675925922</v>
      </c>
      <c r="X1841" s="89">
        <v>44466</v>
      </c>
      <c r="Y1841" s="86" t="s">
        <v>4043</v>
      </c>
      <c r="Z1841" s="84" t="str">
        <f>HYPERLINK("https://twitter.com/telkomindonesia/status/1442373723781091330")</f>
        <v>https://twitter.com/telkomindonesia/status/1442373723781091330</v>
      </c>
      <c r="AA1841" s="81"/>
      <c r="AB1841" s="81"/>
      <c r="AC1841" s="86" t="s">
        <v>5524</v>
      </c>
      <c r="AD1841" s="81"/>
      <c r="AE1841" s="81" t="b">
        <v>0</v>
      </c>
      <c r="AF1841" s="81">
        <v>22</v>
      </c>
      <c r="AG1841" s="86" t="s">
        <v>6240</v>
      </c>
      <c r="AH1841" s="81" t="b">
        <v>0</v>
      </c>
      <c r="AI1841" s="81" t="s">
        <v>6478</v>
      </c>
      <c r="AJ1841" s="81"/>
      <c r="AK1841" s="86" t="s">
        <v>6240</v>
      </c>
      <c r="AL1841" s="81" t="b">
        <v>0</v>
      </c>
      <c r="AM1841" s="81">
        <v>30</v>
      </c>
      <c r="AN1841" s="86" t="s">
        <v>6240</v>
      </c>
      <c r="AO1841" s="86" t="s">
        <v>6503</v>
      </c>
      <c r="AP1841" s="81" t="b">
        <v>0</v>
      </c>
      <c r="AQ1841" s="86" t="s">
        <v>5524</v>
      </c>
      <c r="AR1841" s="81" t="s">
        <v>179</v>
      </c>
      <c r="AS1841" s="81">
        <v>0</v>
      </c>
      <c r="AT1841" s="81">
        <v>0</v>
      </c>
      <c r="AU1841" s="81"/>
      <c r="AV1841" s="81"/>
      <c r="AW1841" s="81"/>
      <c r="AX1841" s="81"/>
      <c r="AY1841" s="81"/>
      <c r="AZ1841" s="81"/>
      <c r="BA1841" s="81"/>
      <c r="BB1841" s="81"/>
    </row>
    <row r="1842" spans="1:54" x14ac:dyDescent="0.35">
      <c r="A1842" s="66" t="s">
        <v>1260</v>
      </c>
      <c r="B1842" s="66" t="s">
        <v>1146</v>
      </c>
      <c r="C1842" s="67"/>
      <c r="D1842" s="68"/>
      <c r="E1842" s="69"/>
      <c r="F1842" s="70"/>
      <c r="G1842" s="67"/>
      <c r="H1842" s="71"/>
      <c r="I1842" s="72"/>
      <c r="J1842" s="72"/>
      <c r="K1842" s="36"/>
      <c r="L1842" s="79"/>
      <c r="M1842" s="79"/>
      <c r="N1842" s="74"/>
      <c r="O1842" s="81" t="s">
        <v>1532</v>
      </c>
      <c r="P1842" s="83">
        <v>44467.182430555556</v>
      </c>
      <c r="Q1842" s="81" t="s">
        <v>2091</v>
      </c>
      <c r="R1842" s="81"/>
      <c r="S1842" s="81"/>
      <c r="T1842" s="81"/>
      <c r="U1842" s="84" t="str">
        <f>HYPERLINK("https://pbs.twimg.com/ext_tw_video_thumb/1442373678990196737/pu/img/UDVgFvOXidN40Fez.jpg")</f>
        <v>https://pbs.twimg.com/ext_tw_video_thumb/1442373678990196737/pu/img/UDVgFvOXidN40Fez.jpg</v>
      </c>
      <c r="V1842" s="84" t="str">
        <f>HYPERLINK("https://pbs.twimg.com/ext_tw_video_thumb/1442373678990196737/pu/img/UDVgFvOXidN40Fez.jpg")</f>
        <v>https://pbs.twimg.com/ext_tw_video_thumb/1442373678990196737/pu/img/UDVgFvOXidN40Fez.jpg</v>
      </c>
      <c r="W1842" s="83">
        <v>44467.182430555556</v>
      </c>
      <c r="X1842" s="89">
        <v>44467</v>
      </c>
      <c r="Y1842" s="86" t="s">
        <v>4044</v>
      </c>
      <c r="Z1842" s="84" t="str">
        <f>HYPERLINK("https://twitter.com/rhutiyyy/status/1442706307144773632")</f>
        <v>https://twitter.com/rhutiyyy/status/1442706307144773632</v>
      </c>
      <c r="AA1842" s="81"/>
      <c r="AB1842" s="81"/>
      <c r="AC1842" s="86" t="s">
        <v>5525</v>
      </c>
      <c r="AD1842" s="81"/>
      <c r="AE1842" s="81" t="b">
        <v>0</v>
      </c>
      <c r="AF1842" s="81">
        <v>0</v>
      </c>
      <c r="AG1842" s="86" t="s">
        <v>6240</v>
      </c>
      <c r="AH1842" s="81" t="b">
        <v>0</v>
      </c>
      <c r="AI1842" s="81" t="s">
        <v>6478</v>
      </c>
      <c r="AJ1842" s="81"/>
      <c r="AK1842" s="86" t="s">
        <v>6240</v>
      </c>
      <c r="AL1842" s="81" t="b">
        <v>0</v>
      </c>
      <c r="AM1842" s="81">
        <v>30</v>
      </c>
      <c r="AN1842" s="86" t="s">
        <v>5524</v>
      </c>
      <c r="AO1842" s="86" t="s">
        <v>6503</v>
      </c>
      <c r="AP1842" s="81" t="b">
        <v>0</v>
      </c>
      <c r="AQ1842" s="86" t="s">
        <v>5524</v>
      </c>
      <c r="AR1842" s="81" t="s">
        <v>179</v>
      </c>
      <c r="AS1842" s="81">
        <v>0</v>
      </c>
      <c r="AT1842" s="81">
        <v>0</v>
      </c>
      <c r="AU1842" s="81"/>
      <c r="AV1842" s="81"/>
      <c r="AW1842" s="81"/>
      <c r="AX1842" s="81"/>
      <c r="AY1842" s="81"/>
      <c r="AZ1842" s="81"/>
      <c r="BA1842" s="81"/>
      <c r="BB1842" s="81"/>
    </row>
    <row r="1843" spans="1:54" x14ac:dyDescent="0.35">
      <c r="A1843" s="66" t="s">
        <v>1261</v>
      </c>
      <c r="B1843" s="66" t="s">
        <v>1261</v>
      </c>
      <c r="C1843" s="67"/>
      <c r="D1843" s="68"/>
      <c r="E1843" s="69"/>
      <c r="F1843" s="70"/>
      <c r="G1843" s="67"/>
      <c r="H1843" s="71"/>
      <c r="I1843" s="72"/>
      <c r="J1843" s="72"/>
      <c r="K1843" s="36"/>
      <c r="L1843" s="79"/>
      <c r="M1843" s="79"/>
      <c r="N1843" s="74"/>
      <c r="O1843" s="81" t="s">
        <v>179</v>
      </c>
      <c r="P1843" s="83">
        <v>44453.570601851854</v>
      </c>
      <c r="Q1843" s="81" t="s">
        <v>1653</v>
      </c>
      <c r="R1843" s="84" t="str">
        <f>HYPERLINK("https://api.whatsapp.com/send?phone=6281222353823")</f>
        <v>https://api.whatsapp.com/send?phone=6281222353823</v>
      </c>
      <c r="S1843" s="81" t="s">
        <v>2597</v>
      </c>
      <c r="T1843" s="81"/>
      <c r="U1843" s="84" t="str">
        <f>HYPERLINK("https://pbs.twimg.com/media/E_P_XMQWYAUXeaR.jpg")</f>
        <v>https://pbs.twimg.com/media/E_P_XMQWYAUXeaR.jpg</v>
      </c>
      <c r="V1843" s="84" t="str">
        <f>HYPERLINK("https://pbs.twimg.com/media/E_P_XMQWYAUXeaR.jpg")</f>
        <v>https://pbs.twimg.com/media/E_P_XMQWYAUXeaR.jpg</v>
      </c>
      <c r="W1843" s="83">
        <v>44453.570601851854</v>
      </c>
      <c r="X1843" s="89">
        <v>44453</v>
      </c>
      <c r="Y1843" s="86" t="s">
        <v>4045</v>
      </c>
      <c r="Z1843" s="84" t="str">
        <f>HYPERLINK("https://twitter.com/amwidyou/status/1437773545434763271")</f>
        <v>https://twitter.com/amwidyou/status/1437773545434763271</v>
      </c>
      <c r="AA1843" s="81"/>
      <c r="AB1843" s="81"/>
      <c r="AC1843" s="86" t="s">
        <v>5526</v>
      </c>
      <c r="AD1843" s="81"/>
      <c r="AE1843" s="81" t="b">
        <v>0</v>
      </c>
      <c r="AF1843" s="81">
        <v>73</v>
      </c>
      <c r="AG1843" s="86" t="s">
        <v>6240</v>
      </c>
      <c r="AH1843" s="81" t="b">
        <v>0</v>
      </c>
      <c r="AI1843" s="81" t="s">
        <v>6478</v>
      </c>
      <c r="AJ1843" s="81"/>
      <c r="AK1843" s="86" t="s">
        <v>6240</v>
      </c>
      <c r="AL1843" s="81" t="b">
        <v>0</v>
      </c>
      <c r="AM1843" s="81">
        <v>49</v>
      </c>
      <c r="AN1843" s="86" t="s">
        <v>6240</v>
      </c>
      <c r="AO1843" s="86" t="s">
        <v>6503</v>
      </c>
      <c r="AP1843" s="81" t="b">
        <v>0</v>
      </c>
      <c r="AQ1843" s="86" t="s">
        <v>5526</v>
      </c>
      <c r="AR1843" s="81" t="s">
        <v>1532</v>
      </c>
      <c r="AS1843" s="81">
        <v>0</v>
      </c>
      <c r="AT1843" s="81">
        <v>0</v>
      </c>
      <c r="AU1843" s="81" t="s">
        <v>6542</v>
      </c>
      <c r="AV1843" s="81" t="s">
        <v>6543</v>
      </c>
      <c r="AW1843" s="81" t="s">
        <v>12</v>
      </c>
      <c r="AX1843" s="81" t="s">
        <v>6550</v>
      </c>
      <c r="AY1843" s="81" t="s">
        <v>6557</v>
      </c>
      <c r="AZ1843" s="81" t="s">
        <v>6563</v>
      </c>
      <c r="BA1843" s="81" t="s">
        <v>6564</v>
      </c>
      <c r="BB1843" s="84" t="str">
        <f>HYPERLINK("https://api.twitter.com/1.1/geo/id/04f4e198a524dc50.json")</f>
        <v>https://api.twitter.com/1.1/geo/id/04f4e198a524dc50.json</v>
      </c>
    </row>
    <row r="1844" spans="1:54" x14ac:dyDescent="0.35">
      <c r="A1844" s="66" t="s">
        <v>1262</v>
      </c>
      <c r="B1844" s="66" t="s">
        <v>1261</v>
      </c>
      <c r="C1844" s="67"/>
      <c r="D1844" s="68"/>
      <c r="E1844" s="69"/>
      <c r="F1844" s="70"/>
      <c r="G1844" s="67"/>
      <c r="H1844" s="71"/>
      <c r="I1844" s="72"/>
      <c r="J1844" s="72"/>
      <c r="K1844" s="36"/>
      <c r="L1844" s="79"/>
      <c r="M1844" s="79"/>
      <c r="N1844" s="74"/>
      <c r="O1844" s="81" t="s">
        <v>1532</v>
      </c>
      <c r="P1844" s="83">
        <v>44467.183888888889</v>
      </c>
      <c r="Q1844" s="81" t="s">
        <v>1653</v>
      </c>
      <c r="R1844" s="84" t="str">
        <f>HYPERLINK("https://api.whatsapp.com/send?phone=6281222353823")</f>
        <v>https://api.whatsapp.com/send?phone=6281222353823</v>
      </c>
      <c r="S1844" s="81" t="s">
        <v>2597</v>
      </c>
      <c r="T1844" s="81"/>
      <c r="U1844" s="84" t="str">
        <f>HYPERLINK("https://pbs.twimg.com/media/E_P_XMQWYAUXeaR.jpg")</f>
        <v>https://pbs.twimg.com/media/E_P_XMQWYAUXeaR.jpg</v>
      </c>
      <c r="V1844" s="84" t="str">
        <f>HYPERLINK("https://pbs.twimg.com/media/E_P_XMQWYAUXeaR.jpg")</f>
        <v>https://pbs.twimg.com/media/E_P_XMQWYAUXeaR.jpg</v>
      </c>
      <c r="W1844" s="83">
        <v>44467.183888888889</v>
      </c>
      <c r="X1844" s="89">
        <v>44467</v>
      </c>
      <c r="Y1844" s="86" t="s">
        <v>4046</v>
      </c>
      <c r="Z1844" s="84" t="str">
        <f>HYPERLINK("https://twitter.com/_gita05/status/1442706834113003520")</f>
        <v>https://twitter.com/_gita05/status/1442706834113003520</v>
      </c>
      <c r="AA1844" s="81"/>
      <c r="AB1844" s="81"/>
      <c r="AC1844" s="86" t="s">
        <v>5527</v>
      </c>
      <c r="AD1844" s="81"/>
      <c r="AE1844" s="81" t="b">
        <v>0</v>
      </c>
      <c r="AF1844" s="81">
        <v>0</v>
      </c>
      <c r="AG1844" s="86" t="s">
        <v>6240</v>
      </c>
      <c r="AH1844" s="81" t="b">
        <v>0</v>
      </c>
      <c r="AI1844" s="81" t="s">
        <v>6478</v>
      </c>
      <c r="AJ1844" s="81"/>
      <c r="AK1844" s="86" t="s">
        <v>6240</v>
      </c>
      <c r="AL1844" s="81" t="b">
        <v>0</v>
      </c>
      <c r="AM1844" s="81">
        <v>49</v>
      </c>
      <c r="AN1844" s="86" t="s">
        <v>5526</v>
      </c>
      <c r="AO1844" s="86" t="s">
        <v>6503</v>
      </c>
      <c r="AP1844" s="81" t="b">
        <v>0</v>
      </c>
      <c r="AQ1844" s="86" t="s">
        <v>5526</v>
      </c>
      <c r="AR1844" s="81" t="s">
        <v>179</v>
      </c>
      <c r="AS1844" s="81">
        <v>0</v>
      </c>
      <c r="AT1844" s="81">
        <v>0</v>
      </c>
      <c r="AU1844" s="81"/>
      <c r="AV1844" s="81"/>
      <c r="AW1844" s="81"/>
      <c r="AX1844" s="81"/>
      <c r="AY1844" s="81"/>
      <c r="AZ1844" s="81"/>
      <c r="BA1844" s="81"/>
      <c r="BB1844" s="81"/>
    </row>
    <row r="1845" spans="1:54" x14ac:dyDescent="0.35">
      <c r="A1845" s="66" t="s">
        <v>1263</v>
      </c>
      <c r="B1845" s="66" t="s">
        <v>1367</v>
      </c>
      <c r="C1845" s="67"/>
      <c r="D1845" s="68"/>
      <c r="E1845" s="69"/>
      <c r="F1845" s="70"/>
      <c r="G1845" s="67"/>
      <c r="H1845" s="71"/>
      <c r="I1845" s="72"/>
      <c r="J1845" s="72"/>
      <c r="K1845" s="36"/>
      <c r="L1845" s="79"/>
      <c r="M1845" s="79"/>
      <c r="N1845" s="74"/>
      <c r="O1845" s="81" t="s">
        <v>1534</v>
      </c>
      <c r="P1845" s="83">
        <v>44467.184351851851</v>
      </c>
      <c r="Q1845" s="81" t="s">
        <v>2286</v>
      </c>
      <c r="R1845" s="81"/>
      <c r="S1845" s="81"/>
      <c r="T1845" s="81"/>
      <c r="U1845" s="81"/>
      <c r="V1845" s="84" t="str">
        <f>HYPERLINK("https://pbs.twimg.com/profile_images/1438470101129261060/qw3iKfyc_normal.jpg")</f>
        <v>https://pbs.twimg.com/profile_images/1438470101129261060/qw3iKfyc_normal.jpg</v>
      </c>
      <c r="W1845" s="83">
        <v>44467.184351851851</v>
      </c>
      <c r="X1845" s="89">
        <v>44467</v>
      </c>
      <c r="Y1845" s="86" t="s">
        <v>4047</v>
      </c>
      <c r="Z1845" s="84" t="str">
        <f>HYPERLINK("https://twitter.com/dattebayo96_/status/1442707003076317184")</f>
        <v>https://twitter.com/dattebayo96_/status/1442707003076317184</v>
      </c>
      <c r="AA1845" s="81"/>
      <c r="AB1845" s="81"/>
      <c r="AC1845" s="86" t="s">
        <v>5528</v>
      </c>
      <c r="AD1845" s="86" t="s">
        <v>6232</v>
      </c>
      <c r="AE1845" s="81" t="b">
        <v>0</v>
      </c>
      <c r="AF1845" s="81">
        <v>0</v>
      </c>
      <c r="AG1845" s="86" t="s">
        <v>6331</v>
      </c>
      <c r="AH1845" s="81" t="b">
        <v>0</v>
      </c>
      <c r="AI1845" s="81" t="s">
        <v>6478</v>
      </c>
      <c r="AJ1845" s="81"/>
      <c r="AK1845" s="86" t="s">
        <v>6240</v>
      </c>
      <c r="AL1845" s="81" t="b">
        <v>0</v>
      </c>
      <c r="AM1845" s="81">
        <v>0</v>
      </c>
      <c r="AN1845" s="86" t="s">
        <v>6240</v>
      </c>
      <c r="AO1845" s="86" t="s">
        <v>6503</v>
      </c>
      <c r="AP1845" s="81" t="b">
        <v>0</v>
      </c>
      <c r="AQ1845" s="86" t="s">
        <v>6232</v>
      </c>
      <c r="AR1845" s="81" t="s">
        <v>179</v>
      </c>
      <c r="AS1845" s="81">
        <v>0</v>
      </c>
      <c r="AT1845" s="81">
        <v>0</v>
      </c>
      <c r="AU1845" s="81"/>
      <c r="AV1845" s="81"/>
      <c r="AW1845" s="81"/>
      <c r="AX1845" s="81"/>
      <c r="AY1845" s="81"/>
      <c r="AZ1845" s="81"/>
      <c r="BA1845" s="81"/>
      <c r="BB1845" s="81"/>
    </row>
    <row r="1846" spans="1:54" x14ac:dyDescent="0.35">
      <c r="A1846" s="66" t="s">
        <v>1264</v>
      </c>
      <c r="B1846" s="66" t="s">
        <v>1298</v>
      </c>
      <c r="C1846" s="67"/>
      <c r="D1846" s="68"/>
      <c r="E1846" s="69"/>
      <c r="F1846" s="70"/>
      <c r="G1846" s="67"/>
      <c r="H1846" s="71"/>
      <c r="I1846" s="72"/>
      <c r="J1846" s="72"/>
      <c r="K1846" s="36"/>
      <c r="L1846" s="79"/>
      <c r="M1846" s="79"/>
      <c r="N1846" s="74"/>
      <c r="O1846" s="81" t="s">
        <v>1534</v>
      </c>
      <c r="P1846" s="83">
        <v>44467.185185185182</v>
      </c>
      <c r="Q1846" s="81" t="s">
        <v>2287</v>
      </c>
      <c r="R1846" s="81"/>
      <c r="S1846" s="81"/>
      <c r="T1846" s="81"/>
      <c r="U1846" s="81"/>
      <c r="V1846" s="84" t="str">
        <f>HYPERLINK("https://pbs.twimg.com/profile_images/1422220365074374657/3s7ayQki_normal.jpg")</f>
        <v>https://pbs.twimg.com/profile_images/1422220365074374657/3s7ayQki_normal.jpg</v>
      </c>
      <c r="W1846" s="83">
        <v>44467.185185185182</v>
      </c>
      <c r="X1846" s="89">
        <v>44467</v>
      </c>
      <c r="Y1846" s="86" t="s">
        <v>4048</v>
      </c>
      <c r="Z1846" s="84" t="str">
        <f>HYPERLINK("https://twitter.com/enjoyourmark/status/1442707303707275267")</f>
        <v>https://twitter.com/enjoyourmark/status/1442707303707275267</v>
      </c>
      <c r="AA1846" s="81"/>
      <c r="AB1846" s="81"/>
      <c r="AC1846" s="86" t="s">
        <v>5529</v>
      </c>
      <c r="AD1846" s="86" t="s">
        <v>6237</v>
      </c>
      <c r="AE1846" s="81" t="b">
        <v>0</v>
      </c>
      <c r="AF1846" s="81">
        <v>0</v>
      </c>
      <c r="AG1846" s="86" t="s">
        <v>6267</v>
      </c>
      <c r="AH1846" s="81" t="b">
        <v>0</v>
      </c>
      <c r="AI1846" s="81" t="s">
        <v>6478</v>
      </c>
      <c r="AJ1846" s="81"/>
      <c r="AK1846" s="86" t="s">
        <v>6240</v>
      </c>
      <c r="AL1846" s="81" t="b">
        <v>0</v>
      </c>
      <c r="AM1846" s="81">
        <v>0</v>
      </c>
      <c r="AN1846" s="86" t="s">
        <v>6240</v>
      </c>
      <c r="AO1846" s="86" t="s">
        <v>6503</v>
      </c>
      <c r="AP1846" s="81" t="b">
        <v>0</v>
      </c>
      <c r="AQ1846" s="86" t="s">
        <v>6237</v>
      </c>
      <c r="AR1846" s="81" t="s">
        <v>179</v>
      </c>
      <c r="AS1846" s="81">
        <v>0</v>
      </c>
      <c r="AT1846" s="81">
        <v>0</v>
      </c>
      <c r="AU1846" s="81"/>
      <c r="AV1846" s="81"/>
      <c r="AW1846" s="81"/>
      <c r="AX1846" s="81"/>
      <c r="AY1846" s="81"/>
      <c r="AZ1846" s="81"/>
      <c r="BA1846" s="81"/>
      <c r="BB1846" s="81"/>
    </row>
    <row r="1847" spans="1:54" x14ac:dyDescent="0.35">
      <c r="A1847" s="66" t="s">
        <v>1265</v>
      </c>
      <c r="B1847" s="66" t="s">
        <v>1367</v>
      </c>
      <c r="C1847" s="67"/>
      <c r="D1847" s="68"/>
      <c r="E1847" s="69"/>
      <c r="F1847" s="70"/>
      <c r="G1847" s="67"/>
      <c r="H1847" s="71"/>
      <c r="I1847" s="72"/>
      <c r="J1847" s="72"/>
      <c r="K1847" s="36"/>
      <c r="L1847" s="79"/>
      <c r="M1847" s="79"/>
      <c r="N1847" s="74"/>
      <c r="O1847" s="81" t="s">
        <v>1534</v>
      </c>
      <c r="P1847" s="83">
        <v>44467.186574074076</v>
      </c>
      <c r="Q1847" s="81" t="s">
        <v>2288</v>
      </c>
      <c r="R1847" s="81"/>
      <c r="S1847" s="81"/>
      <c r="T1847" s="81"/>
      <c r="U1847" s="81"/>
      <c r="V1847" s="84" t="str">
        <f>HYPERLINK("https://pbs.twimg.com/profile_images/1427745705590870017/ghCm_-vW_normal.jpg")</f>
        <v>https://pbs.twimg.com/profile_images/1427745705590870017/ghCm_-vW_normal.jpg</v>
      </c>
      <c r="W1847" s="83">
        <v>44467.186574074076</v>
      </c>
      <c r="X1847" s="89">
        <v>44467</v>
      </c>
      <c r="Y1847" s="86" t="s">
        <v>4049</v>
      </c>
      <c r="Z1847" s="84" t="str">
        <f>HYPERLINK("https://twitter.com/najusaaaaa/status/1442707810769272833")</f>
        <v>https://twitter.com/najusaaaaa/status/1442707810769272833</v>
      </c>
      <c r="AA1847" s="81"/>
      <c r="AB1847" s="81"/>
      <c r="AC1847" s="86" t="s">
        <v>5530</v>
      </c>
      <c r="AD1847" s="86" t="s">
        <v>6232</v>
      </c>
      <c r="AE1847" s="81" t="b">
        <v>0</v>
      </c>
      <c r="AF1847" s="81">
        <v>0</v>
      </c>
      <c r="AG1847" s="86" t="s">
        <v>6331</v>
      </c>
      <c r="AH1847" s="81" t="b">
        <v>0</v>
      </c>
      <c r="AI1847" s="81" t="s">
        <v>6478</v>
      </c>
      <c r="AJ1847" s="81"/>
      <c r="AK1847" s="86" t="s">
        <v>6240</v>
      </c>
      <c r="AL1847" s="81" t="b">
        <v>0</v>
      </c>
      <c r="AM1847" s="81">
        <v>0</v>
      </c>
      <c r="AN1847" s="86" t="s">
        <v>6240</v>
      </c>
      <c r="AO1847" s="86" t="s">
        <v>6503</v>
      </c>
      <c r="AP1847" s="81" t="b">
        <v>0</v>
      </c>
      <c r="AQ1847" s="86" t="s">
        <v>6232</v>
      </c>
      <c r="AR1847" s="81" t="s">
        <v>179</v>
      </c>
      <c r="AS1847" s="81">
        <v>0</v>
      </c>
      <c r="AT1847" s="81">
        <v>0</v>
      </c>
      <c r="AU1847" s="81"/>
      <c r="AV1847" s="81"/>
      <c r="AW1847" s="81"/>
      <c r="AX1847" s="81"/>
      <c r="AY1847" s="81"/>
      <c r="AZ1847" s="81"/>
      <c r="BA1847" s="81"/>
      <c r="BB1847" s="81"/>
    </row>
    <row r="1848" spans="1:54" x14ac:dyDescent="0.35">
      <c r="A1848" s="66" t="s">
        <v>1266</v>
      </c>
      <c r="B1848" s="66" t="s">
        <v>1266</v>
      </c>
      <c r="C1848" s="67"/>
      <c r="D1848" s="68"/>
      <c r="E1848" s="69"/>
      <c r="F1848" s="70"/>
      <c r="G1848" s="67"/>
      <c r="H1848" s="71"/>
      <c r="I1848" s="72"/>
      <c r="J1848" s="72"/>
      <c r="K1848" s="36"/>
      <c r="L1848" s="79"/>
      <c r="M1848" s="79"/>
      <c r="N1848" s="74"/>
      <c r="O1848" s="81" t="s">
        <v>179</v>
      </c>
      <c r="P1848" s="83">
        <v>44467.189745370371</v>
      </c>
      <c r="Q1848" s="81" t="s">
        <v>2289</v>
      </c>
      <c r="R1848" s="84" t="str">
        <f>HYPERLINK("https://nahawepesansan.blogspot.com/2021/09/kurang-3-hari-lagi-info-loker-pt-pos.html")</f>
        <v>https://nahawepesansan.blogspot.com/2021/09/kurang-3-hari-lagi-info-loker-pt-pos.html</v>
      </c>
      <c r="S1848" s="81" t="s">
        <v>2653</v>
      </c>
      <c r="T1848" s="81"/>
      <c r="U1848" s="81"/>
      <c r="V1848" s="84" t="str">
        <f>HYPERLINK("https://pbs.twimg.com/profile_images/1418986516622233602/vqTbWnjn_normal.jpg")</f>
        <v>https://pbs.twimg.com/profile_images/1418986516622233602/vqTbWnjn_normal.jpg</v>
      </c>
      <c r="W1848" s="83">
        <v>44467.189745370371</v>
      </c>
      <c r="X1848" s="89">
        <v>44467</v>
      </c>
      <c r="Y1848" s="86" t="s">
        <v>4050</v>
      </c>
      <c r="Z1848" s="84" t="str">
        <f>HYPERLINK("https://twitter.com/ummunaha/status/1442708959001931780")</f>
        <v>https://twitter.com/ummunaha/status/1442708959001931780</v>
      </c>
      <c r="AA1848" s="81"/>
      <c r="AB1848" s="81"/>
      <c r="AC1848" s="86" t="s">
        <v>5531</v>
      </c>
      <c r="AD1848" s="81"/>
      <c r="AE1848" s="81" t="b">
        <v>0</v>
      </c>
      <c r="AF1848" s="81">
        <v>0</v>
      </c>
      <c r="AG1848" s="86" t="s">
        <v>6240</v>
      </c>
      <c r="AH1848" s="81" t="b">
        <v>0</v>
      </c>
      <c r="AI1848" s="81" t="s">
        <v>6478</v>
      </c>
      <c r="AJ1848" s="81"/>
      <c r="AK1848" s="86" t="s">
        <v>6240</v>
      </c>
      <c r="AL1848" s="81" t="b">
        <v>0</v>
      </c>
      <c r="AM1848" s="81">
        <v>0</v>
      </c>
      <c r="AN1848" s="86" t="s">
        <v>6240</v>
      </c>
      <c r="AO1848" s="86" t="s">
        <v>6507</v>
      </c>
      <c r="AP1848" s="81" t="b">
        <v>0</v>
      </c>
      <c r="AQ1848" s="86" t="s">
        <v>5531</v>
      </c>
      <c r="AR1848" s="81" t="s">
        <v>179</v>
      </c>
      <c r="AS1848" s="81">
        <v>0</v>
      </c>
      <c r="AT1848" s="81">
        <v>0</v>
      </c>
      <c r="AU1848" s="81"/>
      <c r="AV1848" s="81"/>
      <c r="AW1848" s="81"/>
      <c r="AX1848" s="81"/>
      <c r="AY1848" s="81"/>
      <c r="AZ1848" s="81"/>
      <c r="BA1848" s="81"/>
      <c r="BB1848" s="81"/>
    </row>
    <row r="1849" spans="1:54" x14ac:dyDescent="0.35">
      <c r="A1849" s="66" t="s">
        <v>1267</v>
      </c>
      <c r="B1849" s="66" t="s">
        <v>1334</v>
      </c>
      <c r="C1849" s="67"/>
      <c r="D1849" s="68"/>
      <c r="E1849" s="69"/>
      <c r="F1849" s="70"/>
      <c r="G1849" s="67"/>
      <c r="H1849" s="71"/>
      <c r="I1849" s="72"/>
      <c r="J1849" s="72"/>
      <c r="K1849" s="36"/>
      <c r="L1849" s="79"/>
      <c r="M1849" s="79"/>
      <c r="N1849" s="74"/>
      <c r="O1849" s="81" t="s">
        <v>1534</v>
      </c>
      <c r="P1849" s="83">
        <v>44467.200208333335</v>
      </c>
      <c r="Q1849" s="81" t="s">
        <v>2290</v>
      </c>
      <c r="R1849" s="81"/>
      <c r="S1849" s="81"/>
      <c r="T1849" s="81"/>
      <c r="U1849" s="81"/>
      <c r="V1849" s="84" t="str">
        <f>HYPERLINK("https://pbs.twimg.com/profile_images/1440569665999097858/bKQs_pXr_normal.jpg")</f>
        <v>https://pbs.twimg.com/profile_images/1440569665999097858/bKQs_pXr_normal.jpg</v>
      </c>
      <c r="W1849" s="83">
        <v>44467.200208333335</v>
      </c>
      <c r="X1849" s="89">
        <v>44467</v>
      </c>
      <c r="Y1849" s="86" t="s">
        <v>4051</v>
      </c>
      <c r="Z1849" s="84" t="str">
        <f>HYPERLINK("https://twitter.com/peachyjaemine/status/1442712751177035780")</f>
        <v>https://twitter.com/peachyjaemine/status/1442712751177035780</v>
      </c>
      <c r="AA1849" s="81"/>
      <c r="AB1849" s="81"/>
      <c r="AC1849" s="86" t="s">
        <v>5532</v>
      </c>
      <c r="AD1849" s="86" t="s">
        <v>6238</v>
      </c>
      <c r="AE1849" s="81" t="b">
        <v>0</v>
      </c>
      <c r="AF1849" s="81">
        <v>0</v>
      </c>
      <c r="AG1849" s="86" t="s">
        <v>6299</v>
      </c>
      <c r="AH1849" s="81" t="b">
        <v>0</v>
      </c>
      <c r="AI1849" s="81" t="s">
        <v>6478</v>
      </c>
      <c r="AJ1849" s="81"/>
      <c r="AK1849" s="86" t="s">
        <v>6240</v>
      </c>
      <c r="AL1849" s="81" t="b">
        <v>0</v>
      </c>
      <c r="AM1849" s="81">
        <v>0</v>
      </c>
      <c r="AN1849" s="86" t="s">
        <v>6240</v>
      </c>
      <c r="AO1849" s="86" t="s">
        <v>6507</v>
      </c>
      <c r="AP1849" s="81" t="b">
        <v>0</v>
      </c>
      <c r="AQ1849" s="86" t="s">
        <v>6238</v>
      </c>
      <c r="AR1849" s="81" t="s">
        <v>179</v>
      </c>
      <c r="AS1849" s="81">
        <v>0</v>
      </c>
      <c r="AT1849" s="81">
        <v>0</v>
      </c>
      <c r="AU1849" s="81"/>
      <c r="AV1849" s="81"/>
      <c r="AW1849" s="81"/>
      <c r="AX1849" s="81"/>
      <c r="AY1849" s="81"/>
      <c r="AZ1849" s="81"/>
      <c r="BA1849" s="81"/>
      <c r="BB1849" s="81"/>
    </row>
    <row r="1850" spans="1:54" x14ac:dyDescent="0.35">
      <c r="A1850" s="66" t="s">
        <v>1268</v>
      </c>
      <c r="B1850" s="66" t="s">
        <v>1531</v>
      </c>
      <c r="C1850" s="67"/>
      <c r="D1850" s="68"/>
      <c r="E1850" s="69"/>
      <c r="F1850" s="70"/>
      <c r="G1850" s="67"/>
      <c r="H1850" s="71"/>
      <c r="I1850" s="72"/>
      <c r="J1850" s="72"/>
      <c r="K1850" s="36"/>
      <c r="L1850" s="79"/>
      <c r="M1850" s="79"/>
      <c r="N1850" s="74"/>
      <c r="O1850" s="81" t="s">
        <v>1534</v>
      </c>
      <c r="P1850" s="83">
        <v>44466.701550925929</v>
      </c>
      <c r="Q1850" s="81" t="s">
        <v>2291</v>
      </c>
      <c r="R1850" s="81"/>
      <c r="S1850" s="81"/>
      <c r="T1850" s="81"/>
      <c r="U1850" s="81"/>
      <c r="V1850" s="84" t="str">
        <f>HYPERLINK("https://pbs.twimg.com/profile_images/1432961033979645952/ZdLIUvML_normal.jpg")</f>
        <v>https://pbs.twimg.com/profile_images/1432961033979645952/ZdLIUvML_normal.jpg</v>
      </c>
      <c r="W1850" s="83">
        <v>44466.701550925929</v>
      </c>
      <c r="X1850" s="89">
        <v>44466</v>
      </c>
      <c r="Y1850" s="86" t="s">
        <v>4052</v>
      </c>
      <c r="Z1850" s="84" t="str">
        <f>HYPERLINK("https://twitter.com/sicepat_ekspres/status/1442532043628244994")</f>
        <v>https://twitter.com/sicepat_ekspres/status/1442532043628244994</v>
      </c>
      <c r="AA1850" s="81"/>
      <c r="AB1850" s="81"/>
      <c r="AC1850" s="86" t="s">
        <v>5533</v>
      </c>
      <c r="AD1850" s="86" t="s">
        <v>6239</v>
      </c>
      <c r="AE1850" s="81" t="b">
        <v>0</v>
      </c>
      <c r="AF1850" s="81">
        <v>0</v>
      </c>
      <c r="AG1850" s="86" t="s">
        <v>6477</v>
      </c>
      <c r="AH1850" s="81" t="b">
        <v>0</v>
      </c>
      <c r="AI1850" s="81" t="s">
        <v>6478</v>
      </c>
      <c r="AJ1850" s="81"/>
      <c r="AK1850" s="86" t="s">
        <v>6240</v>
      </c>
      <c r="AL1850" s="81" t="b">
        <v>0</v>
      </c>
      <c r="AM1850" s="81">
        <v>0</v>
      </c>
      <c r="AN1850" s="86" t="s">
        <v>6240</v>
      </c>
      <c r="AO1850" s="86" t="s">
        <v>6534</v>
      </c>
      <c r="AP1850" s="81" t="b">
        <v>0</v>
      </c>
      <c r="AQ1850" s="86" t="s">
        <v>6239</v>
      </c>
      <c r="AR1850" s="81" t="s">
        <v>179</v>
      </c>
      <c r="AS1850" s="81">
        <v>0</v>
      </c>
      <c r="AT1850" s="81">
        <v>0</v>
      </c>
      <c r="AU1850" s="81"/>
      <c r="AV1850" s="81"/>
      <c r="AW1850" s="81"/>
      <c r="AX1850" s="81"/>
      <c r="AY1850" s="81"/>
      <c r="AZ1850" s="81"/>
      <c r="BA1850" s="81"/>
      <c r="BB1850" s="81"/>
    </row>
    <row r="1851" spans="1:54" x14ac:dyDescent="0.35">
      <c r="A1851" s="66" t="s">
        <v>1268</v>
      </c>
      <c r="B1851" s="66" t="s">
        <v>1268</v>
      </c>
      <c r="C1851" s="67"/>
      <c r="D1851" s="68"/>
      <c r="E1851" s="69"/>
      <c r="F1851" s="70"/>
      <c r="G1851" s="67"/>
      <c r="H1851" s="71"/>
      <c r="I1851" s="72"/>
      <c r="J1851" s="72"/>
      <c r="K1851" s="36"/>
      <c r="L1851" s="79"/>
      <c r="M1851" s="79"/>
      <c r="N1851" s="74"/>
      <c r="O1851" s="81" t="s">
        <v>179</v>
      </c>
      <c r="P1851" s="83">
        <v>44463.166724537034</v>
      </c>
      <c r="Q1851" s="81" t="s">
        <v>2292</v>
      </c>
      <c r="R1851" s="81"/>
      <c r="S1851" s="81"/>
      <c r="T1851" s="81"/>
      <c r="U1851" s="84" t="str">
        <f>HYPERLINK("https://pbs.twimg.com/media/FABaNGdWQAAqtdu.jpg")</f>
        <v>https://pbs.twimg.com/media/FABaNGdWQAAqtdu.jpg</v>
      </c>
      <c r="V1851" s="84" t="str">
        <f>HYPERLINK("https://pbs.twimg.com/media/FABaNGdWQAAqtdu.jpg")</f>
        <v>https://pbs.twimg.com/media/FABaNGdWQAAqtdu.jpg</v>
      </c>
      <c r="W1851" s="83">
        <v>44463.166724537034</v>
      </c>
      <c r="X1851" s="89">
        <v>44463</v>
      </c>
      <c r="Y1851" s="86" t="s">
        <v>4053</v>
      </c>
      <c r="Z1851" s="84" t="str">
        <f>HYPERLINK("https://twitter.com/sicepat_ekspres/status/1441251063244410880")</f>
        <v>https://twitter.com/sicepat_ekspres/status/1441251063244410880</v>
      </c>
      <c r="AA1851" s="81"/>
      <c r="AB1851" s="81"/>
      <c r="AC1851" s="86" t="s">
        <v>5534</v>
      </c>
      <c r="AD1851" s="81"/>
      <c r="AE1851" s="81" t="b">
        <v>0</v>
      </c>
      <c r="AF1851" s="81">
        <v>4</v>
      </c>
      <c r="AG1851" s="86" t="s">
        <v>6240</v>
      </c>
      <c r="AH1851" s="81" t="b">
        <v>0</v>
      </c>
      <c r="AI1851" s="81" t="s">
        <v>6478</v>
      </c>
      <c r="AJ1851" s="81"/>
      <c r="AK1851" s="86" t="s">
        <v>6240</v>
      </c>
      <c r="AL1851" s="81" t="b">
        <v>0</v>
      </c>
      <c r="AM1851" s="81">
        <v>0</v>
      </c>
      <c r="AN1851" s="86" t="s">
        <v>6240</v>
      </c>
      <c r="AO1851" s="86" t="s">
        <v>6521</v>
      </c>
      <c r="AP1851" s="81" t="b">
        <v>0</v>
      </c>
      <c r="AQ1851" s="86" t="s">
        <v>5534</v>
      </c>
      <c r="AR1851" s="81" t="s">
        <v>179</v>
      </c>
      <c r="AS1851" s="81">
        <v>0</v>
      </c>
      <c r="AT1851" s="81">
        <v>0</v>
      </c>
      <c r="AU1851" s="81"/>
      <c r="AV1851" s="81"/>
      <c r="AW1851" s="81"/>
      <c r="AX1851" s="81"/>
      <c r="AY1851" s="81"/>
      <c r="AZ1851" s="81"/>
      <c r="BA1851" s="81"/>
      <c r="BB1851" s="81"/>
    </row>
    <row r="1852" spans="1:54" x14ac:dyDescent="0.35">
      <c r="A1852" s="66" t="s">
        <v>1268</v>
      </c>
      <c r="B1852" s="66" t="s">
        <v>1268</v>
      </c>
      <c r="C1852" s="67"/>
      <c r="D1852" s="68"/>
      <c r="E1852" s="69"/>
      <c r="F1852" s="70"/>
      <c r="G1852" s="67"/>
      <c r="H1852" s="71"/>
      <c r="I1852" s="72"/>
      <c r="J1852" s="72"/>
      <c r="K1852" s="36"/>
      <c r="L1852" s="79"/>
      <c r="M1852" s="79"/>
      <c r="N1852" s="74"/>
      <c r="O1852" s="81" t="s">
        <v>179</v>
      </c>
      <c r="P1852" s="83">
        <v>44467.144803240742</v>
      </c>
      <c r="Q1852" s="81" t="s">
        <v>2293</v>
      </c>
      <c r="R1852" s="81"/>
      <c r="S1852" s="81"/>
      <c r="T1852" s="86" t="s">
        <v>2751</v>
      </c>
      <c r="U1852" s="84" t="str">
        <f>HYPERLINK("https://pbs.twimg.com/media/FAV5V2NXEAcvWlm.jpg")</f>
        <v>https://pbs.twimg.com/media/FAV5V2NXEAcvWlm.jpg</v>
      </c>
      <c r="V1852" s="84" t="str">
        <f>HYPERLINK("https://pbs.twimg.com/media/FAV5V2NXEAcvWlm.jpg")</f>
        <v>https://pbs.twimg.com/media/FAV5V2NXEAcvWlm.jpg</v>
      </c>
      <c r="W1852" s="83">
        <v>44467.144803240742</v>
      </c>
      <c r="X1852" s="89">
        <v>44467</v>
      </c>
      <c r="Y1852" s="86" t="s">
        <v>4054</v>
      </c>
      <c r="Z1852" s="84" t="str">
        <f>HYPERLINK("https://twitter.com/sicepat_ekspres/status/1442692673668894722")</f>
        <v>https://twitter.com/sicepat_ekspres/status/1442692673668894722</v>
      </c>
      <c r="AA1852" s="81"/>
      <c r="AB1852" s="81"/>
      <c r="AC1852" s="86" t="s">
        <v>5535</v>
      </c>
      <c r="AD1852" s="81"/>
      <c r="AE1852" s="81" t="b">
        <v>0</v>
      </c>
      <c r="AF1852" s="81">
        <v>2</v>
      </c>
      <c r="AG1852" s="86" t="s">
        <v>6240</v>
      </c>
      <c r="AH1852" s="81" t="b">
        <v>0</v>
      </c>
      <c r="AI1852" s="81" t="s">
        <v>6478</v>
      </c>
      <c r="AJ1852" s="81"/>
      <c r="AK1852" s="86" t="s">
        <v>6240</v>
      </c>
      <c r="AL1852" s="81" t="b">
        <v>0</v>
      </c>
      <c r="AM1852" s="81">
        <v>1</v>
      </c>
      <c r="AN1852" s="86" t="s">
        <v>6240</v>
      </c>
      <c r="AO1852" s="86" t="s">
        <v>6521</v>
      </c>
      <c r="AP1852" s="81" t="b">
        <v>0</v>
      </c>
      <c r="AQ1852" s="86" t="s">
        <v>5535</v>
      </c>
      <c r="AR1852" s="81" t="s">
        <v>179</v>
      </c>
      <c r="AS1852" s="81">
        <v>0</v>
      </c>
      <c r="AT1852" s="81">
        <v>0</v>
      </c>
      <c r="AU1852" s="81"/>
      <c r="AV1852" s="81"/>
      <c r="AW1852" s="81"/>
      <c r="AX1852" s="81"/>
      <c r="AY1852" s="81"/>
      <c r="AZ1852" s="81"/>
      <c r="BA1852" s="81"/>
      <c r="BB1852" s="81"/>
    </row>
    <row r="1853" spans="1:54" x14ac:dyDescent="0.35">
      <c r="A1853" s="66" t="s">
        <v>1268</v>
      </c>
      <c r="B1853" s="66" t="s">
        <v>1268</v>
      </c>
      <c r="C1853" s="67"/>
      <c r="D1853" s="68"/>
      <c r="E1853" s="69"/>
      <c r="F1853" s="70"/>
      <c r="G1853" s="67"/>
      <c r="H1853" s="71"/>
      <c r="I1853" s="72"/>
      <c r="J1853" s="72"/>
      <c r="K1853" s="36"/>
      <c r="L1853" s="79"/>
      <c r="M1853" s="79"/>
      <c r="N1853" s="74"/>
      <c r="O1853" s="81" t="s">
        <v>179</v>
      </c>
      <c r="P1853" s="83">
        <v>44467.208391203705</v>
      </c>
      <c r="Q1853" s="81" t="s">
        <v>2294</v>
      </c>
      <c r="R1853" s="81"/>
      <c r="S1853" s="81"/>
      <c r="T1853" s="81"/>
      <c r="U1853" s="84" t="str">
        <f>HYPERLINK("https://pbs.twimg.com/media/FAWOS8JXIAAM2E4.jpg")</f>
        <v>https://pbs.twimg.com/media/FAWOS8JXIAAM2E4.jpg</v>
      </c>
      <c r="V1853" s="84" t="str">
        <f>HYPERLINK("https://pbs.twimg.com/media/FAWOS8JXIAAM2E4.jpg")</f>
        <v>https://pbs.twimg.com/media/FAWOS8JXIAAM2E4.jpg</v>
      </c>
      <c r="W1853" s="83">
        <v>44467.208391203705</v>
      </c>
      <c r="X1853" s="89">
        <v>44467</v>
      </c>
      <c r="Y1853" s="86" t="s">
        <v>4055</v>
      </c>
      <c r="Z1853" s="84" t="str">
        <f>HYPERLINK("https://twitter.com/sicepat_ekspres/status/1442715713047781378")</f>
        <v>https://twitter.com/sicepat_ekspres/status/1442715713047781378</v>
      </c>
      <c r="AA1853" s="81"/>
      <c r="AB1853" s="81"/>
      <c r="AC1853" s="86" t="s">
        <v>5536</v>
      </c>
      <c r="AD1853" s="81"/>
      <c r="AE1853" s="81" t="b">
        <v>0</v>
      </c>
      <c r="AF1853" s="81">
        <v>0</v>
      </c>
      <c r="AG1853" s="86" t="s">
        <v>6240</v>
      </c>
      <c r="AH1853" s="81" t="b">
        <v>0</v>
      </c>
      <c r="AI1853" s="81" t="s">
        <v>6478</v>
      </c>
      <c r="AJ1853" s="81"/>
      <c r="AK1853" s="86" t="s">
        <v>6240</v>
      </c>
      <c r="AL1853" s="81" t="b">
        <v>0</v>
      </c>
      <c r="AM1853" s="81">
        <v>1</v>
      </c>
      <c r="AN1853" s="86" t="s">
        <v>6240</v>
      </c>
      <c r="AO1853" s="86" t="s">
        <v>6521</v>
      </c>
      <c r="AP1853" s="81" t="b">
        <v>0</v>
      </c>
      <c r="AQ1853" s="86" t="s">
        <v>5536</v>
      </c>
      <c r="AR1853" s="81" t="s">
        <v>179</v>
      </c>
      <c r="AS1853" s="81">
        <v>0</v>
      </c>
      <c r="AT1853" s="81">
        <v>0</v>
      </c>
      <c r="AU1853" s="81"/>
      <c r="AV1853" s="81"/>
      <c r="AW1853" s="81"/>
      <c r="AX1853" s="81"/>
      <c r="AY1853" s="81"/>
      <c r="AZ1853" s="81"/>
      <c r="BA1853" s="81"/>
      <c r="BB1853" s="81"/>
    </row>
    <row r="1854" spans="1:54" x14ac:dyDescent="0.35">
      <c r="A1854" s="66" t="s">
        <v>1269</v>
      </c>
      <c r="B1854" s="66" t="s">
        <v>1269</v>
      </c>
      <c r="C1854" s="67"/>
      <c r="D1854" s="68"/>
      <c r="E1854" s="69"/>
      <c r="F1854" s="70"/>
      <c r="G1854" s="67"/>
      <c r="H1854" s="71"/>
      <c r="I1854" s="72"/>
      <c r="J1854" s="72"/>
      <c r="K1854" s="36"/>
      <c r="L1854" s="79"/>
      <c r="M1854" s="79"/>
      <c r="N1854" s="74"/>
      <c r="O1854" s="81" t="s">
        <v>179</v>
      </c>
      <c r="P1854" s="83">
        <v>44457.760775462964</v>
      </c>
      <c r="Q1854" s="81" t="s">
        <v>2295</v>
      </c>
      <c r="R1854" s="81"/>
      <c r="S1854" s="81"/>
      <c r="T1854" s="81"/>
      <c r="U1854" s="81"/>
      <c r="V1854" s="84" t="str">
        <f>HYPERLINK("https://pbs.twimg.com/profile_images/378800000705328795/304bfd91ee90011498fd092cc79a423e_normal.jpeg")</f>
        <v>https://pbs.twimg.com/profile_images/378800000705328795/304bfd91ee90011498fd092cc79a423e_normal.jpeg</v>
      </c>
      <c r="W1854" s="83">
        <v>44457.760775462964</v>
      </c>
      <c r="X1854" s="89">
        <v>44457</v>
      </c>
      <c r="Y1854" s="86" t="s">
        <v>4056</v>
      </c>
      <c r="Z1854" s="84" t="str">
        <f>HYPERLINK("https://twitter.com/pos_indonesia/status/1439292012147007494")</f>
        <v>https://twitter.com/pos_indonesia/status/1439292012147007494</v>
      </c>
      <c r="AA1854" s="81"/>
      <c r="AB1854" s="81"/>
      <c r="AC1854" s="86" t="s">
        <v>5537</v>
      </c>
      <c r="AD1854" s="81"/>
      <c r="AE1854" s="81" t="b">
        <v>0</v>
      </c>
      <c r="AF1854" s="81">
        <v>0</v>
      </c>
      <c r="AG1854" s="86" t="s">
        <v>6240</v>
      </c>
      <c r="AH1854" s="81" t="b">
        <v>0</v>
      </c>
      <c r="AI1854" s="81" t="s">
        <v>6479</v>
      </c>
      <c r="AJ1854" s="81"/>
      <c r="AK1854" s="86" t="s">
        <v>6240</v>
      </c>
      <c r="AL1854" s="81" t="b">
        <v>0</v>
      </c>
      <c r="AM1854" s="81">
        <v>0</v>
      </c>
      <c r="AN1854" s="86" t="s">
        <v>6240</v>
      </c>
      <c r="AO1854" s="86" t="s">
        <v>6506</v>
      </c>
      <c r="AP1854" s="81" t="b">
        <v>0</v>
      </c>
      <c r="AQ1854" s="86" t="s">
        <v>5537</v>
      </c>
      <c r="AR1854" s="81" t="s">
        <v>179</v>
      </c>
      <c r="AS1854" s="81">
        <v>0</v>
      </c>
      <c r="AT1854" s="81">
        <v>0</v>
      </c>
      <c r="AU1854" s="81"/>
      <c r="AV1854" s="81"/>
      <c r="AW1854" s="81"/>
      <c r="AX1854" s="81"/>
      <c r="AY1854" s="81"/>
      <c r="AZ1854" s="81"/>
      <c r="BA1854" s="81"/>
      <c r="BB1854" s="81"/>
    </row>
    <row r="1855" spans="1:54" x14ac:dyDescent="0.35">
      <c r="A1855" s="66" t="s">
        <v>1269</v>
      </c>
      <c r="B1855" s="66" t="s">
        <v>1269</v>
      </c>
      <c r="C1855" s="67"/>
      <c r="D1855" s="68"/>
      <c r="E1855" s="69"/>
      <c r="F1855" s="70"/>
      <c r="G1855" s="67"/>
      <c r="H1855" s="71"/>
      <c r="I1855" s="72"/>
      <c r="J1855" s="72"/>
      <c r="K1855" s="36"/>
      <c r="L1855" s="79"/>
      <c r="M1855" s="79"/>
      <c r="N1855" s="74"/>
      <c r="O1855" s="81" t="s">
        <v>179</v>
      </c>
      <c r="P1855" s="83">
        <v>44457.781574074077</v>
      </c>
      <c r="Q1855" s="81" t="s">
        <v>2296</v>
      </c>
      <c r="R1855" s="81"/>
      <c r="S1855" s="81"/>
      <c r="T1855" s="81"/>
      <c r="U1855" s="81"/>
      <c r="V1855" s="84" t="str">
        <f>HYPERLINK("https://pbs.twimg.com/profile_images/378800000705328795/304bfd91ee90011498fd092cc79a423e_normal.jpeg")</f>
        <v>https://pbs.twimg.com/profile_images/378800000705328795/304bfd91ee90011498fd092cc79a423e_normal.jpeg</v>
      </c>
      <c r="W1855" s="83">
        <v>44457.781574074077</v>
      </c>
      <c r="X1855" s="89">
        <v>44457</v>
      </c>
      <c r="Y1855" s="86" t="s">
        <v>4057</v>
      </c>
      <c r="Z1855" s="84" t="str">
        <f>HYPERLINK("https://twitter.com/pos_indonesia/status/1439299552503164930")</f>
        <v>https://twitter.com/pos_indonesia/status/1439299552503164930</v>
      </c>
      <c r="AA1855" s="81"/>
      <c r="AB1855" s="81"/>
      <c r="AC1855" s="86" t="s">
        <v>5538</v>
      </c>
      <c r="AD1855" s="81"/>
      <c r="AE1855" s="81" t="b">
        <v>0</v>
      </c>
      <c r="AF1855" s="81">
        <v>0</v>
      </c>
      <c r="AG1855" s="86" t="s">
        <v>6240</v>
      </c>
      <c r="AH1855" s="81" t="b">
        <v>0</v>
      </c>
      <c r="AI1855" s="81" t="s">
        <v>6479</v>
      </c>
      <c r="AJ1855" s="81"/>
      <c r="AK1855" s="86" t="s">
        <v>6240</v>
      </c>
      <c r="AL1855" s="81" t="b">
        <v>0</v>
      </c>
      <c r="AM1855" s="81">
        <v>0</v>
      </c>
      <c r="AN1855" s="86" t="s">
        <v>6240</v>
      </c>
      <c r="AO1855" s="86" t="s">
        <v>6506</v>
      </c>
      <c r="AP1855" s="81" t="b">
        <v>0</v>
      </c>
      <c r="AQ1855" s="86" t="s">
        <v>5538</v>
      </c>
      <c r="AR1855" s="81" t="s">
        <v>179</v>
      </c>
      <c r="AS1855" s="81">
        <v>0</v>
      </c>
      <c r="AT1855" s="81">
        <v>0</v>
      </c>
      <c r="AU1855" s="81"/>
      <c r="AV1855" s="81"/>
      <c r="AW1855" s="81"/>
      <c r="AX1855" s="81"/>
      <c r="AY1855" s="81"/>
      <c r="AZ1855" s="81"/>
      <c r="BA1855" s="81"/>
      <c r="BB1855" s="81"/>
    </row>
    <row r="1856" spans="1:54" x14ac:dyDescent="0.35">
      <c r="A1856" s="66" t="s">
        <v>1269</v>
      </c>
      <c r="B1856" s="66" t="s">
        <v>1269</v>
      </c>
      <c r="C1856" s="67"/>
      <c r="D1856" s="68"/>
      <c r="E1856" s="69"/>
      <c r="F1856" s="70"/>
      <c r="G1856" s="67"/>
      <c r="H1856" s="71"/>
      <c r="I1856" s="72"/>
      <c r="J1856" s="72"/>
      <c r="K1856" s="36"/>
      <c r="L1856" s="79"/>
      <c r="M1856" s="79"/>
      <c r="N1856" s="74"/>
      <c r="O1856" s="81" t="s">
        <v>179</v>
      </c>
      <c r="P1856" s="83">
        <v>44457.802430555559</v>
      </c>
      <c r="Q1856" s="81" t="s">
        <v>2297</v>
      </c>
      <c r="R1856" s="81"/>
      <c r="S1856" s="81"/>
      <c r="T1856" s="81"/>
      <c r="U1856" s="81"/>
      <c r="V1856" s="84" t="str">
        <f>HYPERLINK("https://pbs.twimg.com/profile_images/378800000705328795/304bfd91ee90011498fd092cc79a423e_normal.jpeg")</f>
        <v>https://pbs.twimg.com/profile_images/378800000705328795/304bfd91ee90011498fd092cc79a423e_normal.jpeg</v>
      </c>
      <c r="W1856" s="83">
        <v>44457.802430555559</v>
      </c>
      <c r="X1856" s="89">
        <v>44457</v>
      </c>
      <c r="Y1856" s="86" t="s">
        <v>4058</v>
      </c>
      <c r="Z1856" s="84" t="str">
        <f>HYPERLINK("https://twitter.com/pos_indonesia/status/1439307108910911499")</f>
        <v>https://twitter.com/pos_indonesia/status/1439307108910911499</v>
      </c>
      <c r="AA1856" s="81"/>
      <c r="AB1856" s="81"/>
      <c r="AC1856" s="86" t="s">
        <v>5539</v>
      </c>
      <c r="AD1856" s="81"/>
      <c r="AE1856" s="81" t="b">
        <v>0</v>
      </c>
      <c r="AF1856" s="81">
        <v>0</v>
      </c>
      <c r="AG1856" s="86" t="s">
        <v>6240</v>
      </c>
      <c r="AH1856" s="81" t="b">
        <v>0</v>
      </c>
      <c r="AI1856" s="81" t="s">
        <v>6479</v>
      </c>
      <c r="AJ1856" s="81"/>
      <c r="AK1856" s="86" t="s">
        <v>6240</v>
      </c>
      <c r="AL1856" s="81" t="b">
        <v>0</v>
      </c>
      <c r="AM1856" s="81">
        <v>0</v>
      </c>
      <c r="AN1856" s="86" t="s">
        <v>6240</v>
      </c>
      <c r="AO1856" s="86" t="s">
        <v>6506</v>
      </c>
      <c r="AP1856" s="81" t="b">
        <v>0</v>
      </c>
      <c r="AQ1856" s="86" t="s">
        <v>5539</v>
      </c>
      <c r="AR1856" s="81" t="s">
        <v>179</v>
      </c>
      <c r="AS1856" s="81">
        <v>0</v>
      </c>
      <c r="AT1856" s="81">
        <v>0</v>
      </c>
      <c r="AU1856" s="81"/>
      <c r="AV1856" s="81"/>
      <c r="AW1856" s="81"/>
      <c r="AX1856" s="81"/>
      <c r="AY1856" s="81"/>
      <c r="AZ1856" s="81"/>
      <c r="BA1856" s="81"/>
      <c r="BB1856" s="81"/>
    </row>
    <row r="1857" spans="1:54" x14ac:dyDescent="0.35">
      <c r="A1857" s="66" t="s">
        <v>1269</v>
      </c>
      <c r="B1857" s="66" t="s">
        <v>1269</v>
      </c>
      <c r="C1857" s="67"/>
      <c r="D1857" s="68"/>
      <c r="E1857" s="69"/>
      <c r="F1857" s="70"/>
      <c r="G1857" s="67"/>
      <c r="H1857" s="71"/>
      <c r="I1857" s="72"/>
      <c r="J1857" s="72"/>
      <c r="K1857" s="36"/>
      <c r="L1857" s="79"/>
      <c r="M1857" s="79"/>
      <c r="N1857" s="74"/>
      <c r="O1857" s="81" t="s">
        <v>179</v>
      </c>
      <c r="P1857" s="83">
        <v>44457.823252314818</v>
      </c>
      <c r="Q1857" s="81" t="s">
        <v>2298</v>
      </c>
      <c r="R1857" s="81"/>
      <c r="S1857" s="81"/>
      <c r="T1857" s="81"/>
      <c r="U1857" s="81"/>
      <c r="V1857" s="84" t="str">
        <f>HYPERLINK("https://pbs.twimg.com/profile_images/378800000705328795/304bfd91ee90011498fd092cc79a423e_normal.jpeg")</f>
        <v>https://pbs.twimg.com/profile_images/378800000705328795/304bfd91ee90011498fd092cc79a423e_normal.jpeg</v>
      </c>
      <c r="W1857" s="83">
        <v>44457.823252314818</v>
      </c>
      <c r="X1857" s="89">
        <v>44457</v>
      </c>
      <c r="Y1857" s="86" t="s">
        <v>4059</v>
      </c>
      <c r="Z1857" s="84" t="str">
        <f>HYPERLINK("https://twitter.com/pos_indonesia/status/1439314652890951680")</f>
        <v>https://twitter.com/pos_indonesia/status/1439314652890951680</v>
      </c>
      <c r="AA1857" s="81"/>
      <c r="AB1857" s="81"/>
      <c r="AC1857" s="86" t="s">
        <v>5540</v>
      </c>
      <c r="AD1857" s="81"/>
      <c r="AE1857" s="81" t="b">
        <v>0</v>
      </c>
      <c r="AF1857" s="81">
        <v>0</v>
      </c>
      <c r="AG1857" s="86" t="s">
        <v>6240</v>
      </c>
      <c r="AH1857" s="81" t="b">
        <v>0</v>
      </c>
      <c r="AI1857" s="81" t="s">
        <v>6479</v>
      </c>
      <c r="AJ1857" s="81"/>
      <c r="AK1857" s="86" t="s">
        <v>6240</v>
      </c>
      <c r="AL1857" s="81" t="b">
        <v>0</v>
      </c>
      <c r="AM1857" s="81">
        <v>0</v>
      </c>
      <c r="AN1857" s="86" t="s">
        <v>6240</v>
      </c>
      <c r="AO1857" s="86" t="s">
        <v>6506</v>
      </c>
      <c r="AP1857" s="81" t="b">
        <v>0</v>
      </c>
      <c r="AQ1857" s="86" t="s">
        <v>5540</v>
      </c>
      <c r="AR1857" s="81" t="s">
        <v>179</v>
      </c>
      <c r="AS1857" s="81">
        <v>0</v>
      </c>
      <c r="AT1857" s="81">
        <v>0</v>
      </c>
      <c r="AU1857" s="81"/>
      <c r="AV1857" s="81"/>
      <c r="AW1857" s="81"/>
      <c r="AX1857" s="81"/>
      <c r="AY1857" s="81"/>
      <c r="AZ1857" s="81"/>
      <c r="BA1857" s="81"/>
      <c r="BB1857" s="81"/>
    </row>
    <row r="1858" spans="1:54" x14ac:dyDescent="0.35">
      <c r="A1858" s="66" t="s">
        <v>1269</v>
      </c>
      <c r="B1858" s="66" t="s">
        <v>1269</v>
      </c>
      <c r="C1858" s="67"/>
      <c r="D1858" s="68"/>
      <c r="E1858" s="69"/>
      <c r="F1858" s="70"/>
      <c r="G1858" s="67"/>
      <c r="H1858" s="71"/>
      <c r="I1858" s="72"/>
      <c r="J1858" s="72"/>
      <c r="K1858" s="36"/>
      <c r="L1858" s="79"/>
      <c r="M1858" s="79"/>
      <c r="N1858" s="74"/>
      <c r="O1858" s="81" t="s">
        <v>179</v>
      </c>
      <c r="P1858" s="83">
        <v>44457.84412037037</v>
      </c>
      <c r="Q1858" s="81" t="s">
        <v>2299</v>
      </c>
      <c r="R1858" s="81"/>
      <c r="S1858" s="81"/>
      <c r="T1858" s="81"/>
      <c r="U1858" s="81"/>
      <c r="V1858" s="84" t="str">
        <f>HYPERLINK("https://pbs.twimg.com/profile_images/378800000705328795/304bfd91ee90011498fd092cc79a423e_normal.jpeg")</f>
        <v>https://pbs.twimg.com/profile_images/378800000705328795/304bfd91ee90011498fd092cc79a423e_normal.jpeg</v>
      </c>
      <c r="W1858" s="83">
        <v>44457.84412037037</v>
      </c>
      <c r="X1858" s="89">
        <v>44457</v>
      </c>
      <c r="Y1858" s="86" t="s">
        <v>4060</v>
      </c>
      <c r="Z1858" s="84" t="str">
        <f>HYPERLINK("https://twitter.com/pos_indonesia/status/1439322217100181505")</f>
        <v>https://twitter.com/pos_indonesia/status/1439322217100181505</v>
      </c>
      <c r="AA1858" s="81"/>
      <c r="AB1858" s="81"/>
      <c r="AC1858" s="86" t="s">
        <v>5541</v>
      </c>
      <c r="AD1858" s="81"/>
      <c r="AE1858" s="81" t="b">
        <v>0</v>
      </c>
      <c r="AF1858" s="81">
        <v>0</v>
      </c>
      <c r="AG1858" s="86" t="s">
        <v>6240</v>
      </c>
      <c r="AH1858" s="81" t="b">
        <v>0</v>
      </c>
      <c r="AI1858" s="81" t="s">
        <v>6479</v>
      </c>
      <c r="AJ1858" s="81"/>
      <c r="AK1858" s="86" t="s">
        <v>6240</v>
      </c>
      <c r="AL1858" s="81" t="b">
        <v>0</v>
      </c>
      <c r="AM1858" s="81">
        <v>0</v>
      </c>
      <c r="AN1858" s="86" t="s">
        <v>6240</v>
      </c>
      <c r="AO1858" s="86" t="s">
        <v>6506</v>
      </c>
      <c r="AP1858" s="81" t="b">
        <v>0</v>
      </c>
      <c r="AQ1858" s="86" t="s">
        <v>5541</v>
      </c>
      <c r="AR1858" s="81" t="s">
        <v>179</v>
      </c>
      <c r="AS1858" s="81">
        <v>0</v>
      </c>
      <c r="AT1858" s="81">
        <v>0</v>
      </c>
      <c r="AU1858" s="81"/>
      <c r="AV1858" s="81"/>
      <c r="AW1858" s="81"/>
      <c r="AX1858" s="81"/>
      <c r="AY1858" s="81"/>
      <c r="AZ1858" s="81"/>
      <c r="BA1858" s="81"/>
      <c r="BB1858" s="81"/>
    </row>
    <row r="1859" spans="1:54" x14ac:dyDescent="0.35">
      <c r="A1859" s="66" t="s">
        <v>1269</v>
      </c>
      <c r="B1859" s="66" t="s">
        <v>1269</v>
      </c>
      <c r="C1859" s="67"/>
      <c r="D1859" s="68"/>
      <c r="E1859" s="69"/>
      <c r="F1859" s="70"/>
      <c r="G1859" s="67"/>
      <c r="H1859" s="71"/>
      <c r="I1859" s="72"/>
      <c r="J1859" s="72"/>
      <c r="K1859" s="36"/>
      <c r="L1859" s="79"/>
      <c r="M1859" s="79"/>
      <c r="N1859" s="74"/>
      <c r="O1859" s="81" t="s">
        <v>179</v>
      </c>
      <c r="P1859" s="83">
        <v>44457.864930555559</v>
      </c>
      <c r="Q1859" s="81" t="s">
        <v>2300</v>
      </c>
      <c r="R1859" s="81"/>
      <c r="S1859" s="81"/>
      <c r="T1859" s="81"/>
      <c r="U1859" s="81"/>
      <c r="V1859" s="84" t="str">
        <f>HYPERLINK("https://pbs.twimg.com/profile_images/378800000705328795/304bfd91ee90011498fd092cc79a423e_normal.jpeg")</f>
        <v>https://pbs.twimg.com/profile_images/378800000705328795/304bfd91ee90011498fd092cc79a423e_normal.jpeg</v>
      </c>
      <c r="W1859" s="83">
        <v>44457.864930555559</v>
      </c>
      <c r="X1859" s="89">
        <v>44457</v>
      </c>
      <c r="Y1859" s="86" t="s">
        <v>4061</v>
      </c>
      <c r="Z1859" s="84" t="str">
        <f>HYPERLINK("https://twitter.com/pos_indonesia/status/1439329756416131073")</f>
        <v>https://twitter.com/pos_indonesia/status/1439329756416131073</v>
      </c>
      <c r="AA1859" s="81"/>
      <c r="AB1859" s="81"/>
      <c r="AC1859" s="86" t="s">
        <v>5542</v>
      </c>
      <c r="AD1859" s="81"/>
      <c r="AE1859" s="81" t="b">
        <v>0</v>
      </c>
      <c r="AF1859" s="81">
        <v>0</v>
      </c>
      <c r="AG1859" s="86" t="s">
        <v>6240</v>
      </c>
      <c r="AH1859" s="81" t="b">
        <v>0</v>
      </c>
      <c r="AI1859" s="81" t="s">
        <v>6479</v>
      </c>
      <c r="AJ1859" s="81"/>
      <c r="AK1859" s="86" t="s">
        <v>6240</v>
      </c>
      <c r="AL1859" s="81" t="b">
        <v>0</v>
      </c>
      <c r="AM1859" s="81">
        <v>0</v>
      </c>
      <c r="AN1859" s="86" t="s">
        <v>6240</v>
      </c>
      <c r="AO1859" s="86" t="s">
        <v>6506</v>
      </c>
      <c r="AP1859" s="81" t="b">
        <v>0</v>
      </c>
      <c r="AQ1859" s="86" t="s">
        <v>5542</v>
      </c>
      <c r="AR1859" s="81" t="s">
        <v>179</v>
      </c>
      <c r="AS1859" s="81">
        <v>0</v>
      </c>
      <c r="AT1859" s="81">
        <v>0</v>
      </c>
      <c r="AU1859" s="81"/>
      <c r="AV1859" s="81"/>
      <c r="AW1859" s="81"/>
      <c r="AX1859" s="81"/>
      <c r="AY1859" s="81"/>
      <c r="AZ1859" s="81"/>
      <c r="BA1859" s="81"/>
      <c r="BB1859" s="81"/>
    </row>
    <row r="1860" spans="1:54" x14ac:dyDescent="0.35">
      <c r="A1860" s="66" t="s">
        <v>1269</v>
      </c>
      <c r="B1860" s="66" t="s">
        <v>1269</v>
      </c>
      <c r="C1860" s="67"/>
      <c r="D1860" s="68"/>
      <c r="E1860" s="69"/>
      <c r="F1860" s="70"/>
      <c r="G1860" s="67"/>
      <c r="H1860" s="71"/>
      <c r="I1860" s="72"/>
      <c r="J1860" s="72"/>
      <c r="K1860" s="36"/>
      <c r="L1860" s="79"/>
      <c r="M1860" s="79"/>
      <c r="N1860" s="74"/>
      <c r="O1860" s="81" t="s">
        <v>179</v>
      </c>
      <c r="P1860" s="83">
        <v>44457.885752314818</v>
      </c>
      <c r="Q1860" s="81" t="s">
        <v>2301</v>
      </c>
      <c r="R1860" s="81"/>
      <c r="S1860" s="81"/>
      <c r="T1860" s="81"/>
      <c r="U1860" s="81"/>
      <c r="V1860" s="84" t="str">
        <f>HYPERLINK("https://pbs.twimg.com/profile_images/378800000705328795/304bfd91ee90011498fd092cc79a423e_normal.jpeg")</f>
        <v>https://pbs.twimg.com/profile_images/378800000705328795/304bfd91ee90011498fd092cc79a423e_normal.jpeg</v>
      </c>
      <c r="W1860" s="83">
        <v>44457.885752314818</v>
      </c>
      <c r="X1860" s="89">
        <v>44457</v>
      </c>
      <c r="Y1860" s="86" t="s">
        <v>4062</v>
      </c>
      <c r="Z1860" s="84" t="str">
        <f>HYPERLINK("https://twitter.com/pos_indonesia/status/1439337305521618947")</f>
        <v>https://twitter.com/pos_indonesia/status/1439337305521618947</v>
      </c>
      <c r="AA1860" s="81"/>
      <c r="AB1860" s="81"/>
      <c r="AC1860" s="86" t="s">
        <v>5543</v>
      </c>
      <c r="AD1860" s="81"/>
      <c r="AE1860" s="81" t="b">
        <v>0</v>
      </c>
      <c r="AF1860" s="81">
        <v>0</v>
      </c>
      <c r="AG1860" s="86" t="s">
        <v>6240</v>
      </c>
      <c r="AH1860" s="81" t="b">
        <v>0</v>
      </c>
      <c r="AI1860" s="81" t="s">
        <v>6479</v>
      </c>
      <c r="AJ1860" s="81"/>
      <c r="AK1860" s="86" t="s">
        <v>6240</v>
      </c>
      <c r="AL1860" s="81" t="b">
        <v>0</v>
      </c>
      <c r="AM1860" s="81">
        <v>0</v>
      </c>
      <c r="AN1860" s="86" t="s">
        <v>6240</v>
      </c>
      <c r="AO1860" s="86" t="s">
        <v>6506</v>
      </c>
      <c r="AP1860" s="81" t="b">
        <v>0</v>
      </c>
      <c r="AQ1860" s="86" t="s">
        <v>5543</v>
      </c>
      <c r="AR1860" s="81" t="s">
        <v>179</v>
      </c>
      <c r="AS1860" s="81">
        <v>0</v>
      </c>
      <c r="AT1860" s="81">
        <v>0</v>
      </c>
      <c r="AU1860" s="81"/>
      <c r="AV1860" s="81"/>
      <c r="AW1860" s="81"/>
      <c r="AX1860" s="81"/>
      <c r="AY1860" s="81"/>
      <c r="AZ1860" s="81"/>
      <c r="BA1860" s="81"/>
      <c r="BB1860" s="81"/>
    </row>
    <row r="1861" spans="1:54" x14ac:dyDescent="0.35">
      <c r="A1861" s="66" t="s">
        <v>1269</v>
      </c>
      <c r="B1861" s="66" t="s">
        <v>1269</v>
      </c>
      <c r="C1861" s="67"/>
      <c r="D1861" s="68"/>
      <c r="E1861" s="69"/>
      <c r="F1861" s="70"/>
      <c r="G1861" s="67"/>
      <c r="H1861" s="71"/>
      <c r="I1861" s="72"/>
      <c r="J1861" s="72"/>
      <c r="K1861" s="36"/>
      <c r="L1861" s="79"/>
      <c r="M1861" s="79"/>
      <c r="N1861" s="74"/>
      <c r="O1861" s="81" t="s">
        <v>179</v>
      </c>
      <c r="P1861" s="83">
        <v>44457.906585648147</v>
      </c>
      <c r="Q1861" s="81" t="s">
        <v>2302</v>
      </c>
      <c r="R1861" s="81"/>
      <c r="S1861" s="81"/>
      <c r="T1861" s="81"/>
      <c r="U1861" s="81"/>
      <c r="V1861" s="84" t="str">
        <f>HYPERLINK("https://pbs.twimg.com/profile_images/378800000705328795/304bfd91ee90011498fd092cc79a423e_normal.jpeg")</f>
        <v>https://pbs.twimg.com/profile_images/378800000705328795/304bfd91ee90011498fd092cc79a423e_normal.jpeg</v>
      </c>
      <c r="W1861" s="83">
        <v>44457.906585648147</v>
      </c>
      <c r="X1861" s="89">
        <v>44457</v>
      </c>
      <c r="Y1861" s="86" t="s">
        <v>4063</v>
      </c>
      <c r="Z1861" s="84" t="str">
        <f>HYPERLINK("https://twitter.com/pos_indonesia/status/1439344853649747969")</f>
        <v>https://twitter.com/pos_indonesia/status/1439344853649747969</v>
      </c>
      <c r="AA1861" s="81"/>
      <c r="AB1861" s="81"/>
      <c r="AC1861" s="86" t="s">
        <v>5544</v>
      </c>
      <c r="AD1861" s="81"/>
      <c r="AE1861" s="81" t="b">
        <v>0</v>
      </c>
      <c r="AF1861" s="81">
        <v>0</v>
      </c>
      <c r="AG1861" s="86" t="s">
        <v>6240</v>
      </c>
      <c r="AH1861" s="81" t="b">
        <v>0</v>
      </c>
      <c r="AI1861" s="81" t="s">
        <v>6479</v>
      </c>
      <c r="AJ1861" s="81"/>
      <c r="AK1861" s="86" t="s">
        <v>6240</v>
      </c>
      <c r="AL1861" s="81" t="b">
        <v>0</v>
      </c>
      <c r="AM1861" s="81">
        <v>0</v>
      </c>
      <c r="AN1861" s="86" t="s">
        <v>6240</v>
      </c>
      <c r="AO1861" s="86" t="s">
        <v>6506</v>
      </c>
      <c r="AP1861" s="81" t="b">
        <v>0</v>
      </c>
      <c r="AQ1861" s="86" t="s">
        <v>5544</v>
      </c>
      <c r="AR1861" s="81" t="s">
        <v>179</v>
      </c>
      <c r="AS1861" s="81">
        <v>0</v>
      </c>
      <c r="AT1861" s="81">
        <v>0</v>
      </c>
      <c r="AU1861" s="81"/>
      <c r="AV1861" s="81"/>
      <c r="AW1861" s="81"/>
      <c r="AX1861" s="81"/>
      <c r="AY1861" s="81"/>
      <c r="AZ1861" s="81"/>
      <c r="BA1861" s="81"/>
      <c r="BB1861" s="81"/>
    </row>
    <row r="1862" spans="1:54" x14ac:dyDescent="0.35">
      <c r="A1862" s="66" t="s">
        <v>1269</v>
      </c>
      <c r="B1862" s="66" t="s">
        <v>1269</v>
      </c>
      <c r="C1862" s="67"/>
      <c r="D1862" s="68"/>
      <c r="E1862" s="69"/>
      <c r="F1862" s="70"/>
      <c r="G1862" s="67"/>
      <c r="H1862" s="71"/>
      <c r="I1862" s="72"/>
      <c r="J1862" s="72"/>
      <c r="K1862" s="36"/>
      <c r="L1862" s="79"/>
      <c r="M1862" s="79"/>
      <c r="N1862" s="74"/>
      <c r="O1862" s="81" t="s">
        <v>179</v>
      </c>
      <c r="P1862" s="83">
        <v>44457.927442129629</v>
      </c>
      <c r="Q1862" s="81" t="s">
        <v>2303</v>
      </c>
      <c r="R1862" s="81"/>
      <c r="S1862" s="81"/>
      <c r="T1862" s="81"/>
      <c r="U1862" s="81"/>
      <c r="V1862" s="84" t="str">
        <f>HYPERLINK("https://pbs.twimg.com/profile_images/378800000705328795/304bfd91ee90011498fd092cc79a423e_normal.jpeg")</f>
        <v>https://pbs.twimg.com/profile_images/378800000705328795/304bfd91ee90011498fd092cc79a423e_normal.jpeg</v>
      </c>
      <c r="W1862" s="83">
        <v>44457.927442129629</v>
      </c>
      <c r="X1862" s="89">
        <v>44457</v>
      </c>
      <c r="Y1862" s="86" t="s">
        <v>4064</v>
      </c>
      <c r="Z1862" s="84" t="str">
        <f>HYPERLINK("https://twitter.com/pos_indonesia/status/1439352411416457217")</f>
        <v>https://twitter.com/pos_indonesia/status/1439352411416457217</v>
      </c>
      <c r="AA1862" s="81"/>
      <c r="AB1862" s="81"/>
      <c r="AC1862" s="86" t="s">
        <v>5545</v>
      </c>
      <c r="AD1862" s="81"/>
      <c r="AE1862" s="81" t="b">
        <v>0</v>
      </c>
      <c r="AF1862" s="81">
        <v>0</v>
      </c>
      <c r="AG1862" s="86" t="s">
        <v>6240</v>
      </c>
      <c r="AH1862" s="81" t="b">
        <v>0</v>
      </c>
      <c r="AI1862" s="81" t="s">
        <v>6479</v>
      </c>
      <c r="AJ1862" s="81"/>
      <c r="AK1862" s="86" t="s">
        <v>6240</v>
      </c>
      <c r="AL1862" s="81" t="b">
        <v>0</v>
      </c>
      <c r="AM1862" s="81">
        <v>0</v>
      </c>
      <c r="AN1862" s="86" t="s">
        <v>6240</v>
      </c>
      <c r="AO1862" s="86" t="s">
        <v>6506</v>
      </c>
      <c r="AP1862" s="81" t="b">
        <v>0</v>
      </c>
      <c r="AQ1862" s="86" t="s">
        <v>5545</v>
      </c>
      <c r="AR1862" s="81" t="s">
        <v>179</v>
      </c>
      <c r="AS1862" s="81">
        <v>0</v>
      </c>
      <c r="AT1862" s="81">
        <v>0</v>
      </c>
      <c r="AU1862" s="81"/>
      <c r="AV1862" s="81"/>
      <c r="AW1862" s="81"/>
      <c r="AX1862" s="81"/>
      <c r="AY1862" s="81"/>
      <c r="AZ1862" s="81"/>
      <c r="BA1862" s="81"/>
      <c r="BB1862" s="81"/>
    </row>
    <row r="1863" spans="1:54" x14ac:dyDescent="0.35">
      <c r="A1863" s="66" t="s">
        <v>1269</v>
      </c>
      <c r="B1863" s="66" t="s">
        <v>1269</v>
      </c>
      <c r="C1863" s="67"/>
      <c r="D1863" s="68"/>
      <c r="E1863" s="69"/>
      <c r="F1863" s="70"/>
      <c r="G1863" s="67"/>
      <c r="H1863" s="71"/>
      <c r="I1863" s="72"/>
      <c r="J1863" s="72"/>
      <c r="K1863" s="36"/>
      <c r="L1863" s="79"/>
      <c r="M1863" s="79"/>
      <c r="N1863" s="74"/>
      <c r="O1863" s="81" t="s">
        <v>179</v>
      </c>
      <c r="P1863" s="83">
        <v>44457.948252314818</v>
      </c>
      <c r="Q1863" s="81" t="s">
        <v>2304</v>
      </c>
      <c r="R1863" s="81"/>
      <c r="S1863" s="81"/>
      <c r="T1863" s="81"/>
      <c r="U1863" s="81"/>
      <c r="V1863" s="84" t="str">
        <f>HYPERLINK("https://pbs.twimg.com/profile_images/378800000705328795/304bfd91ee90011498fd092cc79a423e_normal.jpeg")</f>
        <v>https://pbs.twimg.com/profile_images/378800000705328795/304bfd91ee90011498fd092cc79a423e_normal.jpeg</v>
      </c>
      <c r="W1863" s="83">
        <v>44457.948252314818</v>
      </c>
      <c r="X1863" s="89">
        <v>44457</v>
      </c>
      <c r="Y1863" s="86" t="s">
        <v>4065</v>
      </c>
      <c r="Z1863" s="84" t="str">
        <f>HYPERLINK("https://twitter.com/pos_indonesia/status/1439359952057876483")</f>
        <v>https://twitter.com/pos_indonesia/status/1439359952057876483</v>
      </c>
      <c r="AA1863" s="81"/>
      <c r="AB1863" s="81"/>
      <c r="AC1863" s="86" t="s">
        <v>5546</v>
      </c>
      <c r="AD1863" s="81"/>
      <c r="AE1863" s="81" t="b">
        <v>0</v>
      </c>
      <c r="AF1863" s="81">
        <v>0</v>
      </c>
      <c r="AG1863" s="86" t="s">
        <v>6240</v>
      </c>
      <c r="AH1863" s="81" t="b">
        <v>0</v>
      </c>
      <c r="AI1863" s="81" t="s">
        <v>6479</v>
      </c>
      <c r="AJ1863" s="81"/>
      <c r="AK1863" s="86" t="s">
        <v>6240</v>
      </c>
      <c r="AL1863" s="81" t="b">
        <v>0</v>
      </c>
      <c r="AM1863" s="81">
        <v>0</v>
      </c>
      <c r="AN1863" s="86" t="s">
        <v>6240</v>
      </c>
      <c r="AO1863" s="86" t="s">
        <v>6506</v>
      </c>
      <c r="AP1863" s="81" t="b">
        <v>0</v>
      </c>
      <c r="AQ1863" s="86" t="s">
        <v>5546</v>
      </c>
      <c r="AR1863" s="81" t="s">
        <v>179</v>
      </c>
      <c r="AS1863" s="81">
        <v>0</v>
      </c>
      <c r="AT1863" s="81">
        <v>0</v>
      </c>
      <c r="AU1863" s="81"/>
      <c r="AV1863" s="81"/>
      <c r="AW1863" s="81"/>
      <c r="AX1863" s="81"/>
      <c r="AY1863" s="81"/>
      <c r="AZ1863" s="81"/>
      <c r="BA1863" s="81"/>
      <c r="BB1863" s="81"/>
    </row>
    <row r="1864" spans="1:54" x14ac:dyDescent="0.35">
      <c r="A1864" s="66" t="s">
        <v>1269</v>
      </c>
      <c r="B1864" s="66" t="s">
        <v>1269</v>
      </c>
      <c r="C1864" s="67"/>
      <c r="D1864" s="68"/>
      <c r="E1864" s="69"/>
      <c r="F1864" s="70"/>
      <c r="G1864" s="67"/>
      <c r="H1864" s="71"/>
      <c r="I1864" s="72"/>
      <c r="J1864" s="72"/>
      <c r="K1864" s="36"/>
      <c r="L1864" s="79"/>
      <c r="M1864" s="79"/>
      <c r="N1864" s="74"/>
      <c r="O1864" s="81" t="s">
        <v>179</v>
      </c>
      <c r="P1864" s="83">
        <v>44457.969143518516</v>
      </c>
      <c r="Q1864" s="81" t="s">
        <v>2305</v>
      </c>
      <c r="R1864" s="81"/>
      <c r="S1864" s="81"/>
      <c r="T1864" s="81"/>
      <c r="U1864" s="81"/>
      <c r="V1864" s="84" t="str">
        <f>HYPERLINK("https://pbs.twimg.com/profile_images/378800000705328795/304bfd91ee90011498fd092cc79a423e_normal.jpeg")</f>
        <v>https://pbs.twimg.com/profile_images/378800000705328795/304bfd91ee90011498fd092cc79a423e_normal.jpeg</v>
      </c>
      <c r="W1864" s="83">
        <v>44457.969143518516</v>
      </c>
      <c r="X1864" s="89">
        <v>44457</v>
      </c>
      <c r="Y1864" s="86" t="s">
        <v>4066</v>
      </c>
      <c r="Z1864" s="84" t="str">
        <f>HYPERLINK("https://twitter.com/pos_indonesia/status/1439367524613718017")</f>
        <v>https://twitter.com/pos_indonesia/status/1439367524613718017</v>
      </c>
      <c r="AA1864" s="81"/>
      <c r="AB1864" s="81"/>
      <c r="AC1864" s="86" t="s">
        <v>5547</v>
      </c>
      <c r="AD1864" s="81"/>
      <c r="AE1864" s="81" t="b">
        <v>0</v>
      </c>
      <c r="AF1864" s="81">
        <v>0</v>
      </c>
      <c r="AG1864" s="86" t="s">
        <v>6240</v>
      </c>
      <c r="AH1864" s="81" t="b">
        <v>0</v>
      </c>
      <c r="AI1864" s="81" t="s">
        <v>6479</v>
      </c>
      <c r="AJ1864" s="81"/>
      <c r="AK1864" s="86" t="s">
        <v>6240</v>
      </c>
      <c r="AL1864" s="81" t="b">
        <v>0</v>
      </c>
      <c r="AM1864" s="81">
        <v>0</v>
      </c>
      <c r="AN1864" s="86" t="s">
        <v>6240</v>
      </c>
      <c r="AO1864" s="86" t="s">
        <v>6506</v>
      </c>
      <c r="AP1864" s="81" t="b">
        <v>0</v>
      </c>
      <c r="AQ1864" s="86" t="s">
        <v>5547</v>
      </c>
      <c r="AR1864" s="81" t="s">
        <v>179</v>
      </c>
      <c r="AS1864" s="81">
        <v>0</v>
      </c>
      <c r="AT1864" s="81">
        <v>0</v>
      </c>
      <c r="AU1864" s="81"/>
      <c r="AV1864" s="81"/>
      <c r="AW1864" s="81"/>
      <c r="AX1864" s="81"/>
      <c r="AY1864" s="81"/>
      <c r="AZ1864" s="81"/>
      <c r="BA1864" s="81"/>
      <c r="BB1864" s="81"/>
    </row>
    <row r="1865" spans="1:54" x14ac:dyDescent="0.35">
      <c r="A1865" s="66" t="s">
        <v>1269</v>
      </c>
      <c r="B1865" s="66" t="s">
        <v>1269</v>
      </c>
      <c r="C1865" s="67"/>
      <c r="D1865" s="68"/>
      <c r="E1865" s="69"/>
      <c r="F1865" s="70"/>
      <c r="G1865" s="67"/>
      <c r="H1865" s="71"/>
      <c r="I1865" s="72"/>
      <c r="J1865" s="72"/>
      <c r="K1865" s="36"/>
      <c r="L1865" s="79"/>
      <c r="M1865" s="79"/>
      <c r="N1865" s="74"/>
      <c r="O1865" s="81" t="s">
        <v>179</v>
      </c>
      <c r="P1865" s="83">
        <v>44457.989918981482</v>
      </c>
      <c r="Q1865" s="81" t="s">
        <v>2306</v>
      </c>
      <c r="R1865" s="81"/>
      <c r="S1865" s="81"/>
      <c r="T1865" s="81"/>
      <c r="U1865" s="81"/>
      <c r="V1865" s="84" t="str">
        <f>HYPERLINK("https://pbs.twimg.com/profile_images/378800000705328795/304bfd91ee90011498fd092cc79a423e_normal.jpeg")</f>
        <v>https://pbs.twimg.com/profile_images/378800000705328795/304bfd91ee90011498fd092cc79a423e_normal.jpeg</v>
      </c>
      <c r="W1865" s="83">
        <v>44457.989918981482</v>
      </c>
      <c r="X1865" s="89">
        <v>44457</v>
      </c>
      <c r="Y1865" s="86" t="s">
        <v>4067</v>
      </c>
      <c r="Z1865" s="84" t="str">
        <f>HYPERLINK("https://twitter.com/pos_indonesia/status/1439375052558925824")</f>
        <v>https://twitter.com/pos_indonesia/status/1439375052558925824</v>
      </c>
      <c r="AA1865" s="81"/>
      <c r="AB1865" s="81"/>
      <c r="AC1865" s="86" t="s">
        <v>5548</v>
      </c>
      <c r="AD1865" s="81"/>
      <c r="AE1865" s="81" t="b">
        <v>0</v>
      </c>
      <c r="AF1865" s="81">
        <v>0</v>
      </c>
      <c r="AG1865" s="86" t="s">
        <v>6240</v>
      </c>
      <c r="AH1865" s="81" t="b">
        <v>0</v>
      </c>
      <c r="AI1865" s="81" t="s">
        <v>6479</v>
      </c>
      <c r="AJ1865" s="81"/>
      <c r="AK1865" s="86" t="s">
        <v>6240</v>
      </c>
      <c r="AL1865" s="81" t="b">
        <v>0</v>
      </c>
      <c r="AM1865" s="81">
        <v>0</v>
      </c>
      <c r="AN1865" s="86" t="s">
        <v>6240</v>
      </c>
      <c r="AO1865" s="86" t="s">
        <v>6506</v>
      </c>
      <c r="AP1865" s="81" t="b">
        <v>0</v>
      </c>
      <c r="AQ1865" s="86" t="s">
        <v>5548</v>
      </c>
      <c r="AR1865" s="81" t="s">
        <v>179</v>
      </c>
      <c r="AS1865" s="81">
        <v>0</v>
      </c>
      <c r="AT1865" s="81">
        <v>0</v>
      </c>
      <c r="AU1865" s="81"/>
      <c r="AV1865" s="81"/>
      <c r="AW1865" s="81"/>
      <c r="AX1865" s="81"/>
      <c r="AY1865" s="81"/>
      <c r="AZ1865" s="81"/>
      <c r="BA1865" s="81"/>
      <c r="BB1865" s="81"/>
    </row>
    <row r="1866" spans="1:54" x14ac:dyDescent="0.35">
      <c r="A1866" s="66" t="s">
        <v>1269</v>
      </c>
      <c r="B1866" s="66" t="s">
        <v>1269</v>
      </c>
      <c r="C1866" s="67"/>
      <c r="D1866" s="68"/>
      <c r="E1866" s="69"/>
      <c r="F1866" s="70"/>
      <c r="G1866" s="67"/>
      <c r="H1866" s="71"/>
      <c r="I1866" s="72"/>
      <c r="J1866" s="72"/>
      <c r="K1866" s="36"/>
      <c r="L1866" s="79"/>
      <c r="M1866" s="79"/>
      <c r="N1866" s="74"/>
      <c r="O1866" s="81" t="s">
        <v>179</v>
      </c>
      <c r="P1866" s="83">
        <v>44458.010810185187</v>
      </c>
      <c r="Q1866" s="81" t="s">
        <v>2307</v>
      </c>
      <c r="R1866" s="81"/>
      <c r="S1866" s="81"/>
      <c r="T1866" s="81"/>
      <c r="U1866" s="81"/>
      <c r="V1866" s="84" t="str">
        <f>HYPERLINK("https://pbs.twimg.com/profile_images/378800000705328795/304bfd91ee90011498fd092cc79a423e_normal.jpeg")</f>
        <v>https://pbs.twimg.com/profile_images/378800000705328795/304bfd91ee90011498fd092cc79a423e_normal.jpeg</v>
      </c>
      <c r="W1866" s="83">
        <v>44458.010810185187</v>
      </c>
      <c r="X1866" s="89">
        <v>44458</v>
      </c>
      <c r="Y1866" s="86" t="s">
        <v>4068</v>
      </c>
      <c r="Z1866" s="84" t="str">
        <f>HYPERLINK("https://twitter.com/pos_indonesia/status/1439382623130845185")</f>
        <v>https://twitter.com/pos_indonesia/status/1439382623130845185</v>
      </c>
      <c r="AA1866" s="81"/>
      <c r="AB1866" s="81"/>
      <c r="AC1866" s="86" t="s">
        <v>5549</v>
      </c>
      <c r="AD1866" s="81"/>
      <c r="AE1866" s="81" t="b">
        <v>0</v>
      </c>
      <c r="AF1866" s="81">
        <v>0</v>
      </c>
      <c r="AG1866" s="86" t="s">
        <v>6240</v>
      </c>
      <c r="AH1866" s="81" t="b">
        <v>0</v>
      </c>
      <c r="AI1866" s="81" t="s">
        <v>6479</v>
      </c>
      <c r="AJ1866" s="81"/>
      <c r="AK1866" s="86" t="s">
        <v>6240</v>
      </c>
      <c r="AL1866" s="81" t="b">
        <v>0</v>
      </c>
      <c r="AM1866" s="81">
        <v>0</v>
      </c>
      <c r="AN1866" s="86" t="s">
        <v>6240</v>
      </c>
      <c r="AO1866" s="86" t="s">
        <v>6506</v>
      </c>
      <c r="AP1866" s="81" t="b">
        <v>0</v>
      </c>
      <c r="AQ1866" s="86" t="s">
        <v>5549</v>
      </c>
      <c r="AR1866" s="81" t="s">
        <v>179</v>
      </c>
      <c r="AS1866" s="81">
        <v>0</v>
      </c>
      <c r="AT1866" s="81">
        <v>0</v>
      </c>
      <c r="AU1866" s="81"/>
      <c r="AV1866" s="81"/>
      <c r="AW1866" s="81"/>
      <c r="AX1866" s="81"/>
      <c r="AY1866" s="81"/>
      <c r="AZ1866" s="81"/>
      <c r="BA1866" s="81"/>
      <c r="BB1866" s="81"/>
    </row>
    <row r="1867" spans="1:54" x14ac:dyDescent="0.35">
      <c r="A1867" s="66" t="s">
        <v>1269</v>
      </c>
      <c r="B1867" s="66" t="s">
        <v>1269</v>
      </c>
      <c r="C1867" s="67"/>
      <c r="D1867" s="68"/>
      <c r="E1867" s="69"/>
      <c r="F1867" s="70"/>
      <c r="G1867" s="67"/>
      <c r="H1867" s="71"/>
      <c r="I1867" s="72"/>
      <c r="J1867" s="72"/>
      <c r="K1867" s="36"/>
      <c r="L1867" s="79"/>
      <c r="M1867" s="79"/>
      <c r="N1867" s="74"/>
      <c r="O1867" s="81" t="s">
        <v>179</v>
      </c>
      <c r="P1867" s="83">
        <v>44458.031585648147</v>
      </c>
      <c r="Q1867" s="81" t="s">
        <v>2308</v>
      </c>
      <c r="R1867" s="81"/>
      <c r="S1867" s="81"/>
      <c r="T1867" s="81"/>
      <c r="U1867" s="81"/>
      <c r="V1867" s="84" t="str">
        <f>HYPERLINK("https://pbs.twimg.com/profile_images/378800000705328795/304bfd91ee90011498fd092cc79a423e_normal.jpeg")</f>
        <v>https://pbs.twimg.com/profile_images/378800000705328795/304bfd91ee90011498fd092cc79a423e_normal.jpeg</v>
      </c>
      <c r="W1867" s="83">
        <v>44458.031585648147</v>
      </c>
      <c r="X1867" s="89">
        <v>44458</v>
      </c>
      <c r="Y1867" s="86" t="s">
        <v>4069</v>
      </c>
      <c r="Z1867" s="84" t="str">
        <f>HYPERLINK("https://twitter.com/pos_indonesia/status/1439390150509809667")</f>
        <v>https://twitter.com/pos_indonesia/status/1439390150509809667</v>
      </c>
      <c r="AA1867" s="81"/>
      <c r="AB1867" s="81"/>
      <c r="AC1867" s="86" t="s">
        <v>5550</v>
      </c>
      <c r="AD1867" s="81"/>
      <c r="AE1867" s="81" t="b">
        <v>0</v>
      </c>
      <c r="AF1867" s="81">
        <v>0</v>
      </c>
      <c r="AG1867" s="86" t="s">
        <v>6240</v>
      </c>
      <c r="AH1867" s="81" t="b">
        <v>0</v>
      </c>
      <c r="AI1867" s="81" t="s">
        <v>6479</v>
      </c>
      <c r="AJ1867" s="81"/>
      <c r="AK1867" s="86" t="s">
        <v>6240</v>
      </c>
      <c r="AL1867" s="81" t="b">
        <v>0</v>
      </c>
      <c r="AM1867" s="81">
        <v>0</v>
      </c>
      <c r="AN1867" s="86" t="s">
        <v>6240</v>
      </c>
      <c r="AO1867" s="86" t="s">
        <v>6506</v>
      </c>
      <c r="AP1867" s="81" t="b">
        <v>0</v>
      </c>
      <c r="AQ1867" s="86" t="s">
        <v>5550</v>
      </c>
      <c r="AR1867" s="81" t="s">
        <v>179</v>
      </c>
      <c r="AS1867" s="81">
        <v>0</v>
      </c>
      <c r="AT1867" s="81">
        <v>0</v>
      </c>
      <c r="AU1867" s="81"/>
      <c r="AV1867" s="81"/>
      <c r="AW1867" s="81"/>
      <c r="AX1867" s="81"/>
      <c r="AY1867" s="81"/>
      <c r="AZ1867" s="81"/>
      <c r="BA1867" s="81"/>
      <c r="BB1867" s="81"/>
    </row>
    <row r="1868" spans="1:54" x14ac:dyDescent="0.35">
      <c r="A1868" s="66" t="s">
        <v>1269</v>
      </c>
      <c r="B1868" s="66" t="s">
        <v>1269</v>
      </c>
      <c r="C1868" s="67"/>
      <c r="D1868" s="68"/>
      <c r="E1868" s="69"/>
      <c r="F1868" s="70"/>
      <c r="G1868" s="67"/>
      <c r="H1868" s="71"/>
      <c r="I1868" s="72"/>
      <c r="J1868" s="72"/>
      <c r="K1868" s="36"/>
      <c r="L1868" s="79"/>
      <c r="M1868" s="79"/>
      <c r="N1868" s="74"/>
      <c r="O1868" s="81" t="s">
        <v>179</v>
      </c>
      <c r="P1868" s="83">
        <v>44458.052465277775</v>
      </c>
      <c r="Q1868" s="81" t="s">
        <v>2309</v>
      </c>
      <c r="R1868" s="81"/>
      <c r="S1868" s="81"/>
      <c r="T1868" s="81"/>
      <c r="U1868" s="81"/>
      <c r="V1868" s="84" t="str">
        <f>HYPERLINK("https://pbs.twimg.com/profile_images/378800000705328795/304bfd91ee90011498fd092cc79a423e_normal.jpeg")</f>
        <v>https://pbs.twimg.com/profile_images/378800000705328795/304bfd91ee90011498fd092cc79a423e_normal.jpeg</v>
      </c>
      <c r="W1868" s="83">
        <v>44458.052465277775</v>
      </c>
      <c r="X1868" s="89">
        <v>44458</v>
      </c>
      <c r="Y1868" s="86" t="s">
        <v>4070</v>
      </c>
      <c r="Z1868" s="84" t="str">
        <f>HYPERLINK("https://twitter.com/pos_indonesia/status/1439397718267367427")</f>
        <v>https://twitter.com/pos_indonesia/status/1439397718267367427</v>
      </c>
      <c r="AA1868" s="81"/>
      <c r="AB1868" s="81"/>
      <c r="AC1868" s="86" t="s">
        <v>5551</v>
      </c>
      <c r="AD1868" s="81"/>
      <c r="AE1868" s="81" t="b">
        <v>0</v>
      </c>
      <c r="AF1868" s="81">
        <v>0</v>
      </c>
      <c r="AG1868" s="86" t="s">
        <v>6240</v>
      </c>
      <c r="AH1868" s="81" t="b">
        <v>0</v>
      </c>
      <c r="AI1868" s="81" t="s">
        <v>6479</v>
      </c>
      <c r="AJ1868" s="81"/>
      <c r="AK1868" s="86" t="s">
        <v>6240</v>
      </c>
      <c r="AL1868" s="81" t="b">
        <v>0</v>
      </c>
      <c r="AM1868" s="81">
        <v>0</v>
      </c>
      <c r="AN1868" s="86" t="s">
        <v>6240</v>
      </c>
      <c r="AO1868" s="86" t="s">
        <v>6506</v>
      </c>
      <c r="AP1868" s="81" t="b">
        <v>0</v>
      </c>
      <c r="AQ1868" s="86" t="s">
        <v>5551</v>
      </c>
      <c r="AR1868" s="81" t="s">
        <v>179</v>
      </c>
      <c r="AS1868" s="81">
        <v>0</v>
      </c>
      <c r="AT1868" s="81">
        <v>0</v>
      </c>
      <c r="AU1868" s="81"/>
      <c r="AV1868" s="81"/>
      <c r="AW1868" s="81"/>
      <c r="AX1868" s="81"/>
      <c r="AY1868" s="81"/>
      <c r="AZ1868" s="81"/>
      <c r="BA1868" s="81"/>
      <c r="BB1868" s="81"/>
    </row>
    <row r="1869" spans="1:54" x14ac:dyDescent="0.35">
      <c r="A1869" s="66" t="s">
        <v>1269</v>
      </c>
      <c r="B1869" s="66" t="s">
        <v>1269</v>
      </c>
      <c r="C1869" s="67"/>
      <c r="D1869" s="68"/>
      <c r="E1869" s="69"/>
      <c r="F1869" s="70"/>
      <c r="G1869" s="67"/>
      <c r="H1869" s="71"/>
      <c r="I1869" s="72"/>
      <c r="J1869" s="72"/>
      <c r="K1869" s="36"/>
      <c r="L1869" s="79"/>
      <c r="M1869" s="79"/>
      <c r="N1869" s="74"/>
      <c r="O1869" s="81" t="s">
        <v>179</v>
      </c>
      <c r="P1869" s="83">
        <v>44458.073252314818</v>
      </c>
      <c r="Q1869" s="81" t="s">
        <v>2310</v>
      </c>
      <c r="R1869" s="81"/>
      <c r="S1869" s="81"/>
      <c r="T1869" s="81"/>
      <c r="U1869" s="81"/>
      <c r="V1869" s="84" t="str">
        <f>HYPERLINK("https://pbs.twimg.com/profile_images/378800000705328795/304bfd91ee90011498fd092cc79a423e_normal.jpeg")</f>
        <v>https://pbs.twimg.com/profile_images/378800000705328795/304bfd91ee90011498fd092cc79a423e_normal.jpeg</v>
      </c>
      <c r="W1869" s="83">
        <v>44458.073252314818</v>
      </c>
      <c r="X1869" s="89">
        <v>44458</v>
      </c>
      <c r="Y1869" s="86" t="s">
        <v>4071</v>
      </c>
      <c r="Z1869" s="84" t="str">
        <f>HYPERLINK("https://twitter.com/pos_indonesia/status/1439405253351260163")</f>
        <v>https://twitter.com/pos_indonesia/status/1439405253351260163</v>
      </c>
      <c r="AA1869" s="81"/>
      <c r="AB1869" s="81"/>
      <c r="AC1869" s="86" t="s">
        <v>5552</v>
      </c>
      <c r="AD1869" s="81"/>
      <c r="AE1869" s="81" t="b">
        <v>0</v>
      </c>
      <c r="AF1869" s="81">
        <v>0</v>
      </c>
      <c r="AG1869" s="86" t="s">
        <v>6240</v>
      </c>
      <c r="AH1869" s="81" t="b">
        <v>0</v>
      </c>
      <c r="AI1869" s="81" t="s">
        <v>6479</v>
      </c>
      <c r="AJ1869" s="81"/>
      <c r="AK1869" s="86" t="s">
        <v>6240</v>
      </c>
      <c r="AL1869" s="81" t="b">
        <v>0</v>
      </c>
      <c r="AM1869" s="81">
        <v>0</v>
      </c>
      <c r="AN1869" s="86" t="s">
        <v>6240</v>
      </c>
      <c r="AO1869" s="86" t="s">
        <v>6506</v>
      </c>
      <c r="AP1869" s="81" t="b">
        <v>0</v>
      </c>
      <c r="AQ1869" s="86" t="s">
        <v>5552</v>
      </c>
      <c r="AR1869" s="81" t="s">
        <v>179</v>
      </c>
      <c r="AS1869" s="81">
        <v>0</v>
      </c>
      <c r="AT1869" s="81">
        <v>0</v>
      </c>
      <c r="AU1869" s="81"/>
      <c r="AV1869" s="81"/>
      <c r="AW1869" s="81"/>
      <c r="AX1869" s="81"/>
      <c r="AY1869" s="81"/>
      <c r="AZ1869" s="81"/>
      <c r="BA1869" s="81"/>
      <c r="BB1869" s="81"/>
    </row>
    <row r="1870" spans="1:54" x14ac:dyDescent="0.35">
      <c r="A1870" s="66" t="s">
        <v>1269</v>
      </c>
      <c r="B1870" s="66" t="s">
        <v>1269</v>
      </c>
      <c r="C1870" s="67"/>
      <c r="D1870" s="68"/>
      <c r="E1870" s="69"/>
      <c r="F1870" s="70"/>
      <c r="G1870" s="67"/>
      <c r="H1870" s="71"/>
      <c r="I1870" s="72"/>
      <c r="J1870" s="72"/>
      <c r="K1870" s="36"/>
      <c r="L1870" s="79"/>
      <c r="M1870" s="79"/>
      <c r="N1870" s="74"/>
      <c r="O1870" s="81" t="s">
        <v>179</v>
      </c>
      <c r="P1870" s="83">
        <v>44458.094143518516</v>
      </c>
      <c r="Q1870" s="81" t="s">
        <v>2311</v>
      </c>
      <c r="R1870" s="81"/>
      <c r="S1870" s="81"/>
      <c r="T1870" s="81"/>
      <c r="U1870" s="81"/>
      <c r="V1870" s="84" t="str">
        <f>HYPERLINK("https://pbs.twimg.com/profile_images/378800000705328795/304bfd91ee90011498fd092cc79a423e_normal.jpeg")</f>
        <v>https://pbs.twimg.com/profile_images/378800000705328795/304bfd91ee90011498fd092cc79a423e_normal.jpeg</v>
      </c>
      <c r="W1870" s="83">
        <v>44458.094143518516</v>
      </c>
      <c r="X1870" s="89">
        <v>44458</v>
      </c>
      <c r="Y1870" s="86" t="s">
        <v>4072</v>
      </c>
      <c r="Z1870" s="84" t="str">
        <f>HYPERLINK("https://twitter.com/pos_indonesia/status/1439412823092719628")</f>
        <v>https://twitter.com/pos_indonesia/status/1439412823092719628</v>
      </c>
      <c r="AA1870" s="81"/>
      <c r="AB1870" s="81"/>
      <c r="AC1870" s="86" t="s">
        <v>5553</v>
      </c>
      <c r="AD1870" s="81"/>
      <c r="AE1870" s="81" t="b">
        <v>0</v>
      </c>
      <c r="AF1870" s="81">
        <v>0</v>
      </c>
      <c r="AG1870" s="86" t="s">
        <v>6240</v>
      </c>
      <c r="AH1870" s="81" t="b">
        <v>0</v>
      </c>
      <c r="AI1870" s="81" t="s">
        <v>6479</v>
      </c>
      <c r="AJ1870" s="81"/>
      <c r="AK1870" s="86" t="s">
        <v>6240</v>
      </c>
      <c r="AL1870" s="81" t="b">
        <v>0</v>
      </c>
      <c r="AM1870" s="81">
        <v>0</v>
      </c>
      <c r="AN1870" s="86" t="s">
        <v>6240</v>
      </c>
      <c r="AO1870" s="86" t="s">
        <v>6506</v>
      </c>
      <c r="AP1870" s="81" t="b">
        <v>0</v>
      </c>
      <c r="AQ1870" s="86" t="s">
        <v>5553</v>
      </c>
      <c r="AR1870" s="81" t="s">
        <v>179</v>
      </c>
      <c r="AS1870" s="81">
        <v>0</v>
      </c>
      <c r="AT1870" s="81">
        <v>0</v>
      </c>
      <c r="AU1870" s="81"/>
      <c r="AV1870" s="81"/>
      <c r="AW1870" s="81"/>
      <c r="AX1870" s="81"/>
      <c r="AY1870" s="81"/>
      <c r="AZ1870" s="81"/>
      <c r="BA1870" s="81"/>
      <c r="BB1870" s="81"/>
    </row>
    <row r="1871" spans="1:54" x14ac:dyDescent="0.35">
      <c r="A1871" s="66" t="s">
        <v>1269</v>
      </c>
      <c r="B1871" s="66" t="s">
        <v>1269</v>
      </c>
      <c r="C1871" s="67"/>
      <c r="D1871" s="68"/>
      <c r="E1871" s="69"/>
      <c r="F1871" s="70"/>
      <c r="G1871" s="67"/>
      <c r="H1871" s="71"/>
      <c r="I1871" s="72"/>
      <c r="J1871" s="72"/>
      <c r="K1871" s="36"/>
      <c r="L1871" s="79"/>
      <c r="M1871" s="79"/>
      <c r="N1871" s="74"/>
      <c r="O1871" s="81" t="s">
        <v>179</v>
      </c>
      <c r="P1871" s="83">
        <v>44458.114930555559</v>
      </c>
      <c r="Q1871" s="81" t="s">
        <v>2312</v>
      </c>
      <c r="R1871" s="81"/>
      <c r="S1871" s="81"/>
      <c r="T1871" s="81"/>
      <c r="U1871" s="81"/>
      <c r="V1871" s="84" t="str">
        <f>HYPERLINK("https://pbs.twimg.com/profile_images/378800000705328795/304bfd91ee90011498fd092cc79a423e_normal.jpeg")</f>
        <v>https://pbs.twimg.com/profile_images/378800000705328795/304bfd91ee90011498fd092cc79a423e_normal.jpeg</v>
      </c>
      <c r="W1871" s="83">
        <v>44458.114930555559</v>
      </c>
      <c r="X1871" s="89">
        <v>44458</v>
      </c>
      <c r="Y1871" s="86" t="s">
        <v>4073</v>
      </c>
      <c r="Z1871" s="84" t="str">
        <f>HYPERLINK("https://twitter.com/pos_indonesia/status/1439420356146581506")</f>
        <v>https://twitter.com/pos_indonesia/status/1439420356146581506</v>
      </c>
      <c r="AA1871" s="81"/>
      <c r="AB1871" s="81"/>
      <c r="AC1871" s="86" t="s">
        <v>5554</v>
      </c>
      <c r="AD1871" s="81"/>
      <c r="AE1871" s="81" t="b">
        <v>0</v>
      </c>
      <c r="AF1871" s="81">
        <v>0</v>
      </c>
      <c r="AG1871" s="86" t="s">
        <v>6240</v>
      </c>
      <c r="AH1871" s="81" t="b">
        <v>0</v>
      </c>
      <c r="AI1871" s="81" t="s">
        <v>6479</v>
      </c>
      <c r="AJ1871" s="81"/>
      <c r="AK1871" s="86" t="s">
        <v>6240</v>
      </c>
      <c r="AL1871" s="81" t="b">
        <v>0</v>
      </c>
      <c r="AM1871" s="81">
        <v>0</v>
      </c>
      <c r="AN1871" s="86" t="s">
        <v>6240</v>
      </c>
      <c r="AO1871" s="86" t="s">
        <v>6506</v>
      </c>
      <c r="AP1871" s="81" t="b">
        <v>0</v>
      </c>
      <c r="AQ1871" s="86" t="s">
        <v>5554</v>
      </c>
      <c r="AR1871" s="81" t="s">
        <v>179</v>
      </c>
      <c r="AS1871" s="81">
        <v>0</v>
      </c>
      <c r="AT1871" s="81">
        <v>0</v>
      </c>
      <c r="AU1871" s="81"/>
      <c r="AV1871" s="81"/>
      <c r="AW1871" s="81"/>
      <c r="AX1871" s="81"/>
      <c r="AY1871" s="81"/>
      <c r="AZ1871" s="81"/>
      <c r="BA1871" s="81"/>
      <c r="BB1871" s="81"/>
    </row>
    <row r="1872" spans="1:54" x14ac:dyDescent="0.35">
      <c r="A1872" s="66" t="s">
        <v>1269</v>
      </c>
      <c r="B1872" s="66" t="s">
        <v>1269</v>
      </c>
      <c r="C1872" s="67"/>
      <c r="D1872" s="68"/>
      <c r="E1872" s="69"/>
      <c r="F1872" s="70"/>
      <c r="G1872" s="67"/>
      <c r="H1872" s="71"/>
      <c r="I1872" s="72"/>
      <c r="J1872" s="72"/>
      <c r="K1872" s="36"/>
      <c r="L1872" s="79"/>
      <c r="M1872" s="79"/>
      <c r="N1872" s="74"/>
      <c r="O1872" s="81" t="s">
        <v>179</v>
      </c>
      <c r="P1872" s="83">
        <v>44458.135787037034</v>
      </c>
      <c r="Q1872" s="81" t="s">
        <v>2313</v>
      </c>
      <c r="R1872" s="81"/>
      <c r="S1872" s="81"/>
      <c r="T1872" s="81"/>
      <c r="U1872" s="81"/>
      <c r="V1872" s="84" t="str">
        <f>HYPERLINK("https://pbs.twimg.com/profile_images/378800000705328795/304bfd91ee90011498fd092cc79a423e_normal.jpeg")</f>
        <v>https://pbs.twimg.com/profile_images/378800000705328795/304bfd91ee90011498fd092cc79a423e_normal.jpeg</v>
      </c>
      <c r="W1872" s="83">
        <v>44458.135787037034</v>
      </c>
      <c r="X1872" s="89">
        <v>44458</v>
      </c>
      <c r="Y1872" s="86" t="s">
        <v>4074</v>
      </c>
      <c r="Z1872" s="84" t="str">
        <f>HYPERLINK("https://twitter.com/pos_indonesia/status/1439427914865553409")</f>
        <v>https://twitter.com/pos_indonesia/status/1439427914865553409</v>
      </c>
      <c r="AA1872" s="81"/>
      <c r="AB1872" s="81"/>
      <c r="AC1872" s="86" t="s">
        <v>5555</v>
      </c>
      <c r="AD1872" s="81"/>
      <c r="AE1872" s="81" t="b">
        <v>0</v>
      </c>
      <c r="AF1872" s="81">
        <v>0</v>
      </c>
      <c r="AG1872" s="86" t="s">
        <v>6240</v>
      </c>
      <c r="AH1872" s="81" t="b">
        <v>0</v>
      </c>
      <c r="AI1872" s="81" t="s">
        <v>6479</v>
      </c>
      <c r="AJ1872" s="81"/>
      <c r="AK1872" s="86" t="s">
        <v>6240</v>
      </c>
      <c r="AL1872" s="81" t="b">
        <v>0</v>
      </c>
      <c r="AM1872" s="81">
        <v>0</v>
      </c>
      <c r="AN1872" s="86" t="s">
        <v>6240</v>
      </c>
      <c r="AO1872" s="86" t="s">
        <v>6506</v>
      </c>
      <c r="AP1872" s="81" t="b">
        <v>0</v>
      </c>
      <c r="AQ1872" s="86" t="s">
        <v>5555</v>
      </c>
      <c r="AR1872" s="81" t="s">
        <v>179</v>
      </c>
      <c r="AS1872" s="81">
        <v>0</v>
      </c>
      <c r="AT1872" s="81">
        <v>0</v>
      </c>
      <c r="AU1872" s="81"/>
      <c r="AV1872" s="81"/>
      <c r="AW1872" s="81"/>
      <c r="AX1872" s="81"/>
      <c r="AY1872" s="81"/>
      <c r="AZ1872" s="81"/>
      <c r="BA1872" s="81"/>
      <c r="BB1872" s="81"/>
    </row>
    <row r="1873" spans="1:54" x14ac:dyDescent="0.35">
      <c r="A1873" s="66" t="s">
        <v>1269</v>
      </c>
      <c r="B1873" s="66" t="s">
        <v>1269</v>
      </c>
      <c r="C1873" s="67"/>
      <c r="D1873" s="68"/>
      <c r="E1873" s="69"/>
      <c r="F1873" s="70"/>
      <c r="G1873" s="67"/>
      <c r="H1873" s="71"/>
      <c r="I1873" s="72"/>
      <c r="J1873" s="72"/>
      <c r="K1873" s="36"/>
      <c r="L1873" s="79"/>
      <c r="M1873" s="79"/>
      <c r="N1873" s="74"/>
      <c r="O1873" s="81" t="s">
        <v>179</v>
      </c>
      <c r="P1873" s="83">
        <v>44458.156597222223</v>
      </c>
      <c r="Q1873" s="81" t="s">
        <v>2314</v>
      </c>
      <c r="R1873" s="81"/>
      <c r="S1873" s="81"/>
      <c r="T1873" s="81"/>
      <c r="U1873" s="81"/>
      <c r="V1873" s="84" t="str">
        <f>HYPERLINK("https://pbs.twimg.com/profile_images/378800000705328795/304bfd91ee90011498fd092cc79a423e_normal.jpeg")</f>
        <v>https://pbs.twimg.com/profile_images/378800000705328795/304bfd91ee90011498fd092cc79a423e_normal.jpeg</v>
      </c>
      <c r="W1873" s="83">
        <v>44458.156597222223</v>
      </c>
      <c r="X1873" s="89">
        <v>44458</v>
      </c>
      <c r="Y1873" s="86" t="s">
        <v>4075</v>
      </c>
      <c r="Z1873" s="84" t="str">
        <f>HYPERLINK("https://twitter.com/pos_indonesia/status/1439435453527048192")</f>
        <v>https://twitter.com/pos_indonesia/status/1439435453527048192</v>
      </c>
      <c r="AA1873" s="81"/>
      <c r="AB1873" s="81"/>
      <c r="AC1873" s="86" t="s">
        <v>5556</v>
      </c>
      <c r="AD1873" s="81"/>
      <c r="AE1873" s="81" t="b">
        <v>0</v>
      </c>
      <c r="AF1873" s="81">
        <v>0</v>
      </c>
      <c r="AG1873" s="86" t="s">
        <v>6240</v>
      </c>
      <c r="AH1873" s="81" t="b">
        <v>0</v>
      </c>
      <c r="AI1873" s="81" t="s">
        <v>6479</v>
      </c>
      <c r="AJ1873" s="81"/>
      <c r="AK1873" s="86" t="s">
        <v>6240</v>
      </c>
      <c r="AL1873" s="81" t="b">
        <v>0</v>
      </c>
      <c r="AM1873" s="81">
        <v>0</v>
      </c>
      <c r="AN1873" s="86" t="s">
        <v>6240</v>
      </c>
      <c r="AO1873" s="86" t="s">
        <v>6506</v>
      </c>
      <c r="AP1873" s="81" t="b">
        <v>0</v>
      </c>
      <c r="AQ1873" s="86" t="s">
        <v>5556</v>
      </c>
      <c r="AR1873" s="81" t="s">
        <v>179</v>
      </c>
      <c r="AS1873" s="81">
        <v>0</v>
      </c>
      <c r="AT1873" s="81">
        <v>0</v>
      </c>
      <c r="AU1873" s="81"/>
      <c r="AV1873" s="81"/>
      <c r="AW1873" s="81"/>
      <c r="AX1873" s="81"/>
      <c r="AY1873" s="81"/>
      <c r="AZ1873" s="81"/>
      <c r="BA1873" s="81"/>
      <c r="BB1873" s="81"/>
    </row>
    <row r="1874" spans="1:54" x14ac:dyDescent="0.35">
      <c r="A1874" s="66" t="s">
        <v>1269</v>
      </c>
      <c r="B1874" s="66" t="s">
        <v>1269</v>
      </c>
      <c r="C1874" s="67"/>
      <c r="D1874" s="68"/>
      <c r="E1874" s="69"/>
      <c r="F1874" s="70"/>
      <c r="G1874" s="67"/>
      <c r="H1874" s="71"/>
      <c r="I1874" s="72"/>
      <c r="J1874" s="72"/>
      <c r="K1874" s="36"/>
      <c r="L1874" s="79"/>
      <c r="M1874" s="79"/>
      <c r="N1874" s="74"/>
      <c r="O1874" s="81" t="s">
        <v>179</v>
      </c>
      <c r="P1874" s="83">
        <v>44458.177476851852</v>
      </c>
      <c r="Q1874" s="81" t="s">
        <v>2315</v>
      </c>
      <c r="R1874" s="81"/>
      <c r="S1874" s="81"/>
      <c r="T1874" s="81"/>
      <c r="U1874" s="81"/>
      <c r="V1874" s="84" t="str">
        <f>HYPERLINK("https://pbs.twimg.com/profile_images/378800000705328795/304bfd91ee90011498fd092cc79a423e_normal.jpeg")</f>
        <v>https://pbs.twimg.com/profile_images/378800000705328795/304bfd91ee90011498fd092cc79a423e_normal.jpeg</v>
      </c>
      <c r="W1874" s="83">
        <v>44458.177476851852</v>
      </c>
      <c r="X1874" s="89">
        <v>44458</v>
      </c>
      <c r="Y1874" s="86" t="s">
        <v>4076</v>
      </c>
      <c r="Z1874" s="84" t="str">
        <f>HYPERLINK("https://twitter.com/pos_indonesia/status/1439443019426516997")</f>
        <v>https://twitter.com/pos_indonesia/status/1439443019426516997</v>
      </c>
      <c r="AA1874" s="81"/>
      <c r="AB1874" s="81"/>
      <c r="AC1874" s="86" t="s">
        <v>5557</v>
      </c>
      <c r="AD1874" s="81"/>
      <c r="AE1874" s="81" t="b">
        <v>0</v>
      </c>
      <c r="AF1874" s="81">
        <v>0</v>
      </c>
      <c r="AG1874" s="86" t="s">
        <v>6240</v>
      </c>
      <c r="AH1874" s="81" t="b">
        <v>0</v>
      </c>
      <c r="AI1874" s="81" t="s">
        <v>6479</v>
      </c>
      <c r="AJ1874" s="81"/>
      <c r="AK1874" s="86" t="s">
        <v>6240</v>
      </c>
      <c r="AL1874" s="81" t="b">
        <v>0</v>
      </c>
      <c r="AM1874" s="81">
        <v>0</v>
      </c>
      <c r="AN1874" s="86" t="s">
        <v>6240</v>
      </c>
      <c r="AO1874" s="86" t="s">
        <v>6506</v>
      </c>
      <c r="AP1874" s="81" t="b">
        <v>0</v>
      </c>
      <c r="AQ1874" s="86" t="s">
        <v>5557</v>
      </c>
      <c r="AR1874" s="81" t="s">
        <v>179</v>
      </c>
      <c r="AS1874" s="81">
        <v>0</v>
      </c>
      <c r="AT1874" s="81">
        <v>0</v>
      </c>
      <c r="AU1874" s="81"/>
      <c r="AV1874" s="81"/>
      <c r="AW1874" s="81"/>
      <c r="AX1874" s="81"/>
      <c r="AY1874" s="81"/>
      <c r="AZ1874" s="81"/>
      <c r="BA1874" s="81"/>
      <c r="BB1874" s="81"/>
    </row>
    <row r="1875" spans="1:54" x14ac:dyDescent="0.35">
      <c r="A1875" s="66" t="s">
        <v>1269</v>
      </c>
      <c r="B1875" s="66" t="s">
        <v>1269</v>
      </c>
      <c r="C1875" s="67"/>
      <c r="D1875" s="68"/>
      <c r="E1875" s="69"/>
      <c r="F1875" s="70"/>
      <c r="G1875" s="67"/>
      <c r="H1875" s="71"/>
      <c r="I1875" s="72"/>
      <c r="J1875" s="72"/>
      <c r="K1875" s="36"/>
      <c r="L1875" s="79"/>
      <c r="M1875" s="79"/>
      <c r="N1875" s="74"/>
      <c r="O1875" s="81" t="s">
        <v>179</v>
      </c>
      <c r="P1875" s="83">
        <v>44458.198252314818</v>
      </c>
      <c r="Q1875" s="81" t="s">
        <v>2316</v>
      </c>
      <c r="R1875" s="81"/>
      <c r="S1875" s="81"/>
      <c r="T1875" s="81"/>
      <c r="U1875" s="81"/>
      <c r="V1875" s="84" t="str">
        <f>HYPERLINK("https://pbs.twimg.com/profile_images/378800000705328795/304bfd91ee90011498fd092cc79a423e_normal.jpeg")</f>
        <v>https://pbs.twimg.com/profile_images/378800000705328795/304bfd91ee90011498fd092cc79a423e_normal.jpeg</v>
      </c>
      <c r="W1875" s="83">
        <v>44458.198252314818</v>
      </c>
      <c r="X1875" s="89">
        <v>44458</v>
      </c>
      <c r="Y1875" s="86" t="s">
        <v>4077</v>
      </c>
      <c r="Z1875" s="84" t="str">
        <f>HYPERLINK("https://twitter.com/pos_indonesia/status/1439450551750574082")</f>
        <v>https://twitter.com/pos_indonesia/status/1439450551750574082</v>
      </c>
      <c r="AA1875" s="81"/>
      <c r="AB1875" s="81"/>
      <c r="AC1875" s="86" t="s">
        <v>5558</v>
      </c>
      <c r="AD1875" s="81"/>
      <c r="AE1875" s="81" t="b">
        <v>0</v>
      </c>
      <c r="AF1875" s="81">
        <v>0</v>
      </c>
      <c r="AG1875" s="86" t="s">
        <v>6240</v>
      </c>
      <c r="AH1875" s="81" t="b">
        <v>0</v>
      </c>
      <c r="AI1875" s="81" t="s">
        <v>6479</v>
      </c>
      <c r="AJ1875" s="81"/>
      <c r="AK1875" s="86" t="s">
        <v>6240</v>
      </c>
      <c r="AL1875" s="81" t="b">
        <v>0</v>
      </c>
      <c r="AM1875" s="81">
        <v>0</v>
      </c>
      <c r="AN1875" s="86" t="s">
        <v>6240</v>
      </c>
      <c r="AO1875" s="86" t="s">
        <v>6506</v>
      </c>
      <c r="AP1875" s="81" t="b">
        <v>0</v>
      </c>
      <c r="AQ1875" s="86" t="s">
        <v>5558</v>
      </c>
      <c r="AR1875" s="81" t="s">
        <v>179</v>
      </c>
      <c r="AS1875" s="81">
        <v>0</v>
      </c>
      <c r="AT1875" s="81">
        <v>0</v>
      </c>
      <c r="AU1875" s="81"/>
      <c r="AV1875" s="81"/>
      <c r="AW1875" s="81"/>
      <c r="AX1875" s="81"/>
      <c r="AY1875" s="81"/>
      <c r="AZ1875" s="81"/>
      <c r="BA1875" s="81"/>
      <c r="BB1875" s="81"/>
    </row>
    <row r="1876" spans="1:54" x14ac:dyDescent="0.35">
      <c r="A1876" s="66" t="s">
        <v>1269</v>
      </c>
      <c r="B1876" s="66" t="s">
        <v>1269</v>
      </c>
      <c r="C1876" s="67"/>
      <c r="D1876" s="68"/>
      <c r="E1876" s="69"/>
      <c r="F1876" s="70"/>
      <c r="G1876" s="67"/>
      <c r="H1876" s="71"/>
      <c r="I1876" s="72"/>
      <c r="J1876" s="72"/>
      <c r="K1876" s="36"/>
      <c r="L1876" s="79"/>
      <c r="M1876" s="79"/>
      <c r="N1876" s="74"/>
      <c r="O1876" s="81" t="s">
        <v>179</v>
      </c>
      <c r="P1876" s="83">
        <v>44458.219143518516</v>
      </c>
      <c r="Q1876" s="81" t="s">
        <v>2317</v>
      </c>
      <c r="R1876" s="84" t="str">
        <f>HYPERLINK("http://www.paketonlinestore.com")</f>
        <v>http://www.paketonlinestore.com</v>
      </c>
      <c r="S1876" s="81" t="s">
        <v>2654</v>
      </c>
      <c r="T1876" s="81"/>
      <c r="U1876" s="81"/>
      <c r="V1876" s="84" t="str">
        <f>HYPERLINK("https://pbs.twimg.com/profile_images/378800000705328795/304bfd91ee90011498fd092cc79a423e_normal.jpeg")</f>
        <v>https://pbs.twimg.com/profile_images/378800000705328795/304bfd91ee90011498fd092cc79a423e_normal.jpeg</v>
      </c>
      <c r="W1876" s="83">
        <v>44458.219143518516</v>
      </c>
      <c r="X1876" s="89">
        <v>44458</v>
      </c>
      <c r="Y1876" s="86" t="s">
        <v>4078</v>
      </c>
      <c r="Z1876" s="84" t="str">
        <f>HYPERLINK("https://twitter.com/pos_indonesia/status/1439458120783175684")</f>
        <v>https://twitter.com/pos_indonesia/status/1439458120783175684</v>
      </c>
      <c r="AA1876" s="81"/>
      <c r="AB1876" s="81"/>
      <c r="AC1876" s="86" t="s">
        <v>5559</v>
      </c>
      <c r="AD1876" s="81"/>
      <c r="AE1876" s="81" t="b">
        <v>0</v>
      </c>
      <c r="AF1876" s="81">
        <v>0</v>
      </c>
      <c r="AG1876" s="86" t="s">
        <v>6240</v>
      </c>
      <c r="AH1876" s="81" t="b">
        <v>0</v>
      </c>
      <c r="AI1876" s="81" t="s">
        <v>6478</v>
      </c>
      <c r="AJ1876" s="81"/>
      <c r="AK1876" s="86" t="s">
        <v>6240</v>
      </c>
      <c r="AL1876" s="81" t="b">
        <v>0</v>
      </c>
      <c r="AM1876" s="81">
        <v>0</v>
      </c>
      <c r="AN1876" s="86" t="s">
        <v>6240</v>
      </c>
      <c r="AO1876" s="86" t="s">
        <v>6506</v>
      </c>
      <c r="AP1876" s="81" t="b">
        <v>0</v>
      </c>
      <c r="AQ1876" s="86" t="s">
        <v>5559</v>
      </c>
      <c r="AR1876" s="81" t="s">
        <v>179</v>
      </c>
      <c r="AS1876" s="81">
        <v>0</v>
      </c>
      <c r="AT1876" s="81">
        <v>0</v>
      </c>
      <c r="AU1876" s="81"/>
      <c r="AV1876" s="81"/>
      <c r="AW1876" s="81"/>
      <c r="AX1876" s="81"/>
      <c r="AY1876" s="81"/>
      <c r="AZ1876" s="81"/>
      <c r="BA1876" s="81"/>
      <c r="BB1876" s="81"/>
    </row>
    <row r="1877" spans="1:54" x14ac:dyDescent="0.35">
      <c r="A1877" s="66" t="s">
        <v>1269</v>
      </c>
      <c r="B1877" s="66" t="s">
        <v>1269</v>
      </c>
      <c r="C1877" s="67"/>
      <c r="D1877" s="68"/>
      <c r="E1877" s="69"/>
      <c r="F1877" s="70"/>
      <c r="G1877" s="67"/>
      <c r="H1877" s="71"/>
      <c r="I1877" s="72"/>
      <c r="J1877" s="72"/>
      <c r="K1877" s="36"/>
      <c r="L1877" s="79"/>
      <c r="M1877" s="79"/>
      <c r="N1877" s="74"/>
      <c r="O1877" s="81" t="s">
        <v>179</v>
      </c>
      <c r="P1877" s="83">
        <v>44458.239918981482</v>
      </c>
      <c r="Q1877" s="81" t="s">
        <v>2318</v>
      </c>
      <c r="R1877" s="81"/>
      <c r="S1877" s="81"/>
      <c r="T1877" s="81"/>
      <c r="U1877" s="81"/>
      <c r="V1877" s="84" t="str">
        <f>HYPERLINK("https://pbs.twimg.com/profile_images/378800000705328795/304bfd91ee90011498fd092cc79a423e_normal.jpeg")</f>
        <v>https://pbs.twimg.com/profile_images/378800000705328795/304bfd91ee90011498fd092cc79a423e_normal.jpeg</v>
      </c>
      <c r="W1877" s="83">
        <v>44458.239918981482</v>
      </c>
      <c r="X1877" s="89">
        <v>44458</v>
      </c>
      <c r="Y1877" s="86" t="s">
        <v>4079</v>
      </c>
      <c r="Z1877" s="84" t="str">
        <f>HYPERLINK("https://twitter.com/pos_indonesia/status/1439465650318024705")</f>
        <v>https://twitter.com/pos_indonesia/status/1439465650318024705</v>
      </c>
      <c r="AA1877" s="81"/>
      <c r="AB1877" s="81"/>
      <c r="AC1877" s="86" t="s">
        <v>5560</v>
      </c>
      <c r="AD1877" s="81"/>
      <c r="AE1877" s="81" t="b">
        <v>0</v>
      </c>
      <c r="AF1877" s="81">
        <v>0</v>
      </c>
      <c r="AG1877" s="86" t="s">
        <v>6240</v>
      </c>
      <c r="AH1877" s="81" t="b">
        <v>0</v>
      </c>
      <c r="AI1877" s="81" t="s">
        <v>6479</v>
      </c>
      <c r="AJ1877" s="81"/>
      <c r="AK1877" s="86" t="s">
        <v>6240</v>
      </c>
      <c r="AL1877" s="81" t="b">
        <v>0</v>
      </c>
      <c r="AM1877" s="81">
        <v>0</v>
      </c>
      <c r="AN1877" s="86" t="s">
        <v>6240</v>
      </c>
      <c r="AO1877" s="86" t="s">
        <v>6506</v>
      </c>
      <c r="AP1877" s="81" t="b">
        <v>0</v>
      </c>
      <c r="AQ1877" s="86" t="s">
        <v>5560</v>
      </c>
      <c r="AR1877" s="81" t="s">
        <v>179</v>
      </c>
      <c r="AS1877" s="81">
        <v>0</v>
      </c>
      <c r="AT1877" s="81">
        <v>0</v>
      </c>
      <c r="AU1877" s="81"/>
      <c r="AV1877" s="81"/>
      <c r="AW1877" s="81"/>
      <c r="AX1877" s="81"/>
      <c r="AY1877" s="81"/>
      <c r="AZ1877" s="81"/>
      <c r="BA1877" s="81"/>
      <c r="BB1877" s="81"/>
    </row>
    <row r="1878" spans="1:54" x14ac:dyDescent="0.35">
      <c r="A1878" s="66" t="s">
        <v>1269</v>
      </c>
      <c r="B1878" s="66" t="s">
        <v>1269</v>
      </c>
      <c r="C1878" s="67"/>
      <c r="D1878" s="68"/>
      <c r="E1878" s="69"/>
      <c r="F1878" s="70"/>
      <c r="G1878" s="67"/>
      <c r="H1878" s="71"/>
      <c r="I1878" s="72"/>
      <c r="J1878" s="72"/>
      <c r="K1878" s="36"/>
      <c r="L1878" s="79"/>
      <c r="M1878" s="79"/>
      <c r="N1878" s="74"/>
      <c r="O1878" s="81" t="s">
        <v>179</v>
      </c>
      <c r="P1878" s="83">
        <v>44458.260798611111</v>
      </c>
      <c r="Q1878" s="81" t="s">
        <v>2319</v>
      </c>
      <c r="R1878" s="81"/>
      <c r="S1878" s="81"/>
      <c r="T1878" s="81"/>
      <c r="U1878" s="81"/>
      <c r="V1878" s="84" t="str">
        <f>HYPERLINK("https://pbs.twimg.com/profile_images/378800000705328795/304bfd91ee90011498fd092cc79a423e_normal.jpeg")</f>
        <v>https://pbs.twimg.com/profile_images/378800000705328795/304bfd91ee90011498fd092cc79a423e_normal.jpeg</v>
      </c>
      <c r="W1878" s="83">
        <v>44458.260798611111</v>
      </c>
      <c r="X1878" s="89">
        <v>44458</v>
      </c>
      <c r="Y1878" s="86" t="s">
        <v>4080</v>
      </c>
      <c r="Z1878" s="84" t="str">
        <f>HYPERLINK("https://twitter.com/pos_indonesia/status/1439473217861656576")</f>
        <v>https://twitter.com/pos_indonesia/status/1439473217861656576</v>
      </c>
      <c r="AA1878" s="81"/>
      <c r="AB1878" s="81"/>
      <c r="AC1878" s="86" t="s">
        <v>5561</v>
      </c>
      <c r="AD1878" s="81"/>
      <c r="AE1878" s="81" t="b">
        <v>0</v>
      </c>
      <c r="AF1878" s="81">
        <v>0</v>
      </c>
      <c r="AG1878" s="86" t="s">
        <v>6240</v>
      </c>
      <c r="AH1878" s="81" t="b">
        <v>0</v>
      </c>
      <c r="AI1878" s="81" t="s">
        <v>6479</v>
      </c>
      <c r="AJ1878" s="81"/>
      <c r="AK1878" s="86" t="s">
        <v>6240</v>
      </c>
      <c r="AL1878" s="81" t="b">
        <v>0</v>
      </c>
      <c r="AM1878" s="81">
        <v>0</v>
      </c>
      <c r="AN1878" s="86" t="s">
        <v>6240</v>
      </c>
      <c r="AO1878" s="86" t="s">
        <v>6506</v>
      </c>
      <c r="AP1878" s="81" t="b">
        <v>0</v>
      </c>
      <c r="AQ1878" s="86" t="s">
        <v>5561</v>
      </c>
      <c r="AR1878" s="81" t="s">
        <v>179</v>
      </c>
      <c r="AS1878" s="81">
        <v>0</v>
      </c>
      <c r="AT1878" s="81">
        <v>0</v>
      </c>
      <c r="AU1878" s="81"/>
      <c r="AV1878" s="81"/>
      <c r="AW1878" s="81"/>
      <c r="AX1878" s="81"/>
      <c r="AY1878" s="81"/>
      <c r="AZ1878" s="81"/>
      <c r="BA1878" s="81"/>
      <c r="BB1878" s="81"/>
    </row>
    <row r="1879" spans="1:54" x14ac:dyDescent="0.35">
      <c r="A1879" s="66" t="s">
        <v>1269</v>
      </c>
      <c r="B1879" s="66" t="s">
        <v>1269</v>
      </c>
      <c r="C1879" s="67"/>
      <c r="D1879" s="68"/>
      <c r="E1879" s="69"/>
      <c r="F1879" s="70"/>
      <c r="G1879" s="67"/>
      <c r="H1879" s="71"/>
      <c r="I1879" s="72"/>
      <c r="J1879" s="72"/>
      <c r="K1879" s="36"/>
      <c r="L1879" s="79"/>
      <c r="M1879" s="79"/>
      <c r="N1879" s="74"/>
      <c r="O1879" s="81" t="s">
        <v>179</v>
      </c>
      <c r="P1879" s="83">
        <v>44458.281585648147</v>
      </c>
      <c r="Q1879" s="81" t="s">
        <v>2320</v>
      </c>
      <c r="R1879" s="81"/>
      <c r="S1879" s="81"/>
      <c r="T1879" s="81"/>
      <c r="U1879" s="81"/>
      <c r="V1879" s="84" t="str">
        <f>HYPERLINK("https://pbs.twimg.com/profile_images/378800000705328795/304bfd91ee90011498fd092cc79a423e_normal.jpeg")</f>
        <v>https://pbs.twimg.com/profile_images/378800000705328795/304bfd91ee90011498fd092cc79a423e_normal.jpeg</v>
      </c>
      <c r="W1879" s="83">
        <v>44458.281585648147</v>
      </c>
      <c r="X1879" s="89">
        <v>44458</v>
      </c>
      <c r="Y1879" s="86" t="s">
        <v>4081</v>
      </c>
      <c r="Z1879" s="84" t="str">
        <f>HYPERLINK("https://twitter.com/pos_indonesia/status/1439480747484606469")</f>
        <v>https://twitter.com/pos_indonesia/status/1439480747484606469</v>
      </c>
      <c r="AA1879" s="81"/>
      <c r="AB1879" s="81"/>
      <c r="AC1879" s="86" t="s">
        <v>5562</v>
      </c>
      <c r="AD1879" s="81"/>
      <c r="AE1879" s="81" t="b">
        <v>0</v>
      </c>
      <c r="AF1879" s="81">
        <v>0</v>
      </c>
      <c r="AG1879" s="86" t="s">
        <v>6240</v>
      </c>
      <c r="AH1879" s="81" t="b">
        <v>0</v>
      </c>
      <c r="AI1879" s="81" t="s">
        <v>6479</v>
      </c>
      <c r="AJ1879" s="81"/>
      <c r="AK1879" s="86" t="s">
        <v>6240</v>
      </c>
      <c r="AL1879" s="81" t="b">
        <v>0</v>
      </c>
      <c r="AM1879" s="81">
        <v>0</v>
      </c>
      <c r="AN1879" s="86" t="s">
        <v>6240</v>
      </c>
      <c r="AO1879" s="86" t="s">
        <v>6506</v>
      </c>
      <c r="AP1879" s="81" t="b">
        <v>0</v>
      </c>
      <c r="AQ1879" s="86" t="s">
        <v>5562</v>
      </c>
      <c r="AR1879" s="81" t="s">
        <v>179</v>
      </c>
      <c r="AS1879" s="81">
        <v>0</v>
      </c>
      <c r="AT1879" s="81">
        <v>0</v>
      </c>
      <c r="AU1879" s="81"/>
      <c r="AV1879" s="81"/>
      <c r="AW1879" s="81"/>
      <c r="AX1879" s="81"/>
      <c r="AY1879" s="81"/>
      <c r="AZ1879" s="81"/>
      <c r="BA1879" s="81"/>
      <c r="BB1879" s="81"/>
    </row>
    <row r="1880" spans="1:54" x14ac:dyDescent="0.35">
      <c r="A1880" s="66" t="s">
        <v>1269</v>
      </c>
      <c r="B1880" s="66" t="s">
        <v>1269</v>
      </c>
      <c r="C1880" s="67"/>
      <c r="D1880" s="68"/>
      <c r="E1880" s="69"/>
      <c r="F1880" s="70"/>
      <c r="G1880" s="67"/>
      <c r="H1880" s="71"/>
      <c r="I1880" s="72"/>
      <c r="J1880" s="72"/>
      <c r="K1880" s="36"/>
      <c r="L1880" s="79"/>
      <c r="M1880" s="79"/>
      <c r="N1880" s="74"/>
      <c r="O1880" s="81" t="s">
        <v>179</v>
      </c>
      <c r="P1880" s="83">
        <v>44458.302465277775</v>
      </c>
      <c r="Q1880" s="81" t="s">
        <v>2321</v>
      </c>
      <c r="R1880" s="81"/>
      <c r="S1880" s="81"/>
      <c r="T1880" s="81"/>
      <c r="U1880" s="81"/>
      <c r="V1880" s="84" t="str">
        <f>HYPERLINK("https://pbs.twimg.com/profile_images/378800000705328795/304bfd91ee90011498fd092cc79a423e_normal.jpeg")</f>
        <v>https://pbs.twimg.com/profile_images/378800000705328795/304bfd91ee90011498fd092cc79a423e_normal.jpeg</v>
      </c>
      <c r="W1880" s="83">
        <v>44458.302465277775</v>
      </c>
      <c r="X1880" s="89">
        <v>44458</v>
      </c>
      <c r="Y1880" s="86" t="s">
        <v>4082</v>
      </c>
      <c r="Z1880" s="84" t="str">
        <f>HYPERLINK("https://twitter.com/pos_indonesia/status/1439488316605276162")</f>
        <v>https://twitter.com/pos_indonesia/status/1439488316605276162</v>
      </c>
      <c r="AA1880" s="81"/>
      <c r="AB1880" s="81"/>
      <c r="AC1880" s="86" t="s">
        <v>5563</v>
      </c>
      <c r="AD1880" s="81"/>
      <c r="AE1880" s="81" t="b">
        <v>0</v>
      </c>
      <c r="AF1880" s="81">
        <v>0</v>
      </c>
      <c r="AG1880" s="86" t="s">
        <v>6240</v>
      </c>
      <c r="AH1880" s="81" t="b">
        <v>0</v>
      </c>
      <c r="AI1880" s="81" t="s">
        <v>6479</v>
      </c>
      <c r="AJ1880" s="81"/>
      <c r="AK1880" s="86" t="s">
        <v>6240</v>
      </c>
      <c r="AL1880" s="81" t="b">
        <v>0</v>
      </c>
      <c r="AM1880" s="81">
        <v>0</v>
      </c>
      <c r="AN1880" s="86" t="s">
        <v>6240</v>
      </c>
      <c r="AO1880" s="86" t="s">
        <v>6506</v>
      </c>
      <c r="AP1880" s="81" t="b">
        <v>0</v>
      </c>
      <c r="AQ1880" s="86" t="s">
        <v>5563</v>
      </c>
      <c r="AR1880" s="81" t="s">
        <v>179</v>
      </c>
      <c r="AS1880" s="81">
        <v>0</v>
      </c>
      <c r="AT1880" s="81">
        <v>0</v>
      </c>
      <c r="AU1880" s="81"/>
      <c r="AV1880" s="81"/>
      <c r="AW1880" s="81"/>
      <c r="AX1880" s="81"/>
      <c r="AY1880" s="81"/>
      <c r="AZ1880" s="81"/>
      <c r="BA1880" s="81"/>
      <c r="BB1880" s="81"/>
    </row>
    <row r="1881" spans="1:54" x14ac:dyDescent="0.35">
      <c r="A1881" s="66" t="s">
        <v>1269</v>
      </c>
      <c r="B1881" s="66" t="s">
        <v>1269</v>
      </c>
      <c r="C1881" s="67"/>
      <c r="D1881" s="68"/>
      <c r="E1881" s="69"/>
      <c r="F1881" s="70"/>
      <c r="G1881" s="67"/>
      <c r="H1881" s="71"/>
      <c r="I1881" s="72"/>
      <c r="J1881" s="72"/>
      <c r="K1881" s="36"/>
      <c r="L1881" s="79"/>
      <c r="M1881" s="79"/>
      <c r="N1881" s="74"/>
      <c r="O1881" s="81" t="s">
        <v>179</v>
      </c>
      <c r="P1881" s="83">
        <v>44458.323252314818</v>
      </c>
      <c r="Q1881" s="81" t="s">
        <v>2322</v>
      </c>
      <c r="R1881" s="81"/>
      <c r="S1881" s="81"/>
      <c r="T1881" s="81"/>
      <c r="U1881" s="81"/>
      <c r="V1881" s="84" t="str">
        <f>HYPERLINK("https://pbs.twimg.com/profile_images/378800000705328795/304bfd91ee90011498fd092cc79a423e_normal.jpeg")</f>
        <v>https://pbs.twimg.com/profile_images/378800000705328795/304bfd91ee90011498fd092cc79a423e_normal.jpeg</v>
      </c>
      <c r="W1881" s="83">
        <v>44458.323252314818</v>
      </c>
      <c r="X1881" s="89">
        <v>44458</v>
      </c>
      <c r="Y1881" s="86" t="s">
        <v>4083</v>
      </c>
      <c r="Z1881" s="84" t="str">
        <f>HYPERLINK("https://twitter.com/pos_indonesia/status/1439495846517567490")</f>
        <v>https://twitter.com/pos_indonesia/status/1439495846517567490</v>
      </c>
      <c r="AA1881" s="81"/>
      <c r="AB1881" s="81"/>
      <c r="AC1881" s="86" t="s">
        <v>5564</v>
      </c>
      <c r="AD1881" s="81"/>
      <c r="AE1881" s="81" t="b">
        <v>0</v>
      </c>
      <c r="AF1881" s="81">
        <v>0</v>
      </c>
      <c r="AG1881" s="86" t="s">
        <v>6240</v>
      </c>
      <c r="AH1881" s="81" t="b">
        <v>0</v>
      </c>
      <c r="AI1881" s="81" t="s">
        <v>6479</v>
      </c>
      <c r="AJ1881" s="81"/>
      <c r="AK1881" s="86" t="s">
        <v>6240</v>
      </c>
      <c r="AL1881" s="81" t="b">
        <v>0</v>
      </c>
      <c r="AM1881" s="81">
        <v>0</v>
      </c>
      <c r="AN1881" s="86" t="s">
        <v>6240</v>
      </c>
      <c r="AO1881" s="86" t="s">
        <v>6506</v>
      </c>
      <c r="AP1881" s="81" t="b">
        <v>0</v>
      </c>
      <c r="AQ1881" s="86" t="s">
        <v>5564</v>
      </c>
      <c r="AR1881" s="81" t="s">
        <v>179</v>
      </c>
      <c r="AS1881" s="81">
        <v>0</v>
      </c>
      <c r="AT1881" s="81">
        <v>0</v>
      </c>
      <c r="AU1881" s="81"/>
      <c r="AV1881" s="81"/>
      <c r="AW1881" s="81"/>
      <c r="AX1881" s="81"/>
      <c r="AY1881" s="81"/>
      <c r="AZ1881" s="81"/>
      <c r="BA1881" s="81"/>
      <c r="BB1881" s="81"/>
    </row>
    <row r="1882" spans="1:54" x14ac:dyDescent="0.35">
      <c r="A1882" s="66" t="s">
        <v>1269</v>
      </c>
      <c r="B1882" s="66" t="s">
        <v>1269</v>
      </c>
      <c r="C1882" s="67"/>
      <c r="D1882" s="68"/>
      <c r="E1882" s="69"/>
      <c r="F1882" s="70"/>
      <c r="G1882" s="67"/>
      <c r="H1882" s="71"/>
      <c r="I1882" s="72"/>
      <c r="J1882" s="72"/>
      <c r="K1882" s="36"/>
      <c r="L1882" s="79"/>
      <c r="M1882" s="79"/>
      <c r="N1882" s="74"/>
      <c r="O1882" s="81" t="s">
        <v>179</v>
      </c>
      <c r="P1882" s="83">
        <v>44458.344155092593</v>
      </c>
      <c r="Q1882" s="81" t="s">
        <v>2323</v>
      </c>
      <c r="R1882" s="81"/>
      <c r="S1882" s="81"/>
      <c r="T1882" s="81"/>
      <c r="U1882" s="81"/>
      <c r="V1882" s="84" t="str">
        <f>HYPERLINK("https://pbs.twimg.com/profile_images/378800000705328795/304bfd91ee90011498fd092cc79a423e_normal.jpeg")</f>
        <v>https://pbs.twimg.com/profile_images/378800000705328795/304bfd91ee90011498fd092cc79a423e_normal.jpeg</v>
      </c>
      <c r="W1882" s="83">
        <v>44458.344155092593</v>
      </c>
      <c r="X1882" s="89">
        <v>44458</v>
      </c>
      <c r="Y1882" s="86" t="s">
        <v>4084</v>
      </c>
      <c r="Z1882" s="84" t="str">
        <f>HYPERLINK("https://twitter.com/pos_indonesia/status/1439503424144297984")</f>
        <v>https://twitter.com/pos_indonesia/status/1439503424144297984</v>
      </c>
      <c r="AA1882" s="81"/>
      <c r="AB1882" s="81"/>
      <c r="AC1882" s="86" t="s">
        <v>5565</v>
      </c>
      <c r="AD1882" s="81"/>
      <c r="AE1882" s="81" t="b">
        <v>0</v>
      </c>
      <c r="AF1882" s="81">
        <v>0</v>
      </c>
      <c r="AG1882" s="86" t="s">
        <v>6240</v>
      </c>
      <c r="AH1882" s="81" t="b">
        <v>0</v>
      </c>
      <c r="AI1882" s="81" t="s">
        <v>6479</v>
      </c>
      <c r="AJ1882" s="81"/>
      <c r="AK1882" s="86" t="s">
        <v>6240</v>
      </c>
      <c r="AL1882" s="81" t="b">
        <v>0</v>
      </c>
      <c r="AM1882" s="81">
        <v>0</v>
      </c>
      <c r="AN1882" s="86" t="s">
        <v>6240</v>
      </c>
      <c r="AO1882" s="86" t="s">
        <v>6506</v>
      </c>
      <c r="AP1882" s="81" t="b">
        <v>0</v>
      </c>
      <c r="AQ1882" s="86" t="s">
        <v>5565</v>
      </c>
      <c r="AR1882" s="81" t="s">
        <v>179</v>
      </c>
      <c r="AS1882" s="81">
        <v>0</v>
      </c>
      <c r="AT1882" s="81">
        <v>0</v>
      </c>
      <c r="AU1882" s="81"/>
      <c r="AV1882" s="81"/>
      <c r="AW1882" s="81"/>
      <c r="AX1882" s="81"/>
      <c r="AY1882" s="81"/>
      <c r="AZ1882" s="81"/>
      <c r="BA1882" s="81"/>
      <c r="BB1882" s="81"/>
    </row>
    <row r="1883" spans="1:54" x14ac:dyDescent="0.35">
      <c r="A1883" s="66" t="s">
        <v>1269</v>
      </c>
      <c r="B1883" s="66" t="s">
        <v>1269</v>
      </c>
      <c r="C1883" s="67"/>
      <c r="D1883" s="68"/>
      <c r="E1883" s="69"/>
      <c r="F1883" s="70"/>
      <c r="G1883" s="67"/>
      <c r="H1883" s="71"/>
      <c r="I1883" s="72"/>
      <c r="J1883" s="72"/>
      <c r="K1883" s="36"/>
      <c r="L1883" s="79"/>
      <c r="M1883" s="79"/>
      <c r="N1883" s="74"/>
      <c r="O1883" s="81" t="s">
        <v>179</v>
      </c>
      <c r="P1883" s="83">
        <v>44458.385798611111</v>
      </c>
      <c r="Q1883" s="81" t="s">
        <v>2324</v>
      </c>
      <c r="R1883" s="81"/>
      <c r="S1883" s="81"/>
      <c r="T1883" s="81"/>
      <c r="U1883" s="81"/>
      <c r="V1883" s="84" t="str">
        <f>HYPERLINK("https://pbs.twimg.com/profile_images/378800000705328795/304bfd91ee90011498fd092cc79a423e_normal.jpeg")</f>
        <v>https://pbs.twimg.com/profile_images/378800000705328795/304bfd91ee90011498fd092cc79a423e_normal.jpeg</v>
      </c>
      <c r="W1883" s="83">
        <v>44458.385798611111</v>
      </c>
      <c r="X1883" s="89">
        <v>44458</v>
      </c>
      <c r="Y1883" s="86" t="s">
        <v>4085</v>
      </c>
      <c r="Z1883" s="84" t="str">
        <f>HYPERLINK("https://twitter.com/pos_indonesia/status/1439518514868416513")</f>
        <v>https://twitter.com/pos_indonesia/status/1439518514868416513</v>
      </c>
      <c r="AA1883" s="81"/>
      <c r="AB1883" s="81"/>
      <c r="AC1883" s="86" t="s">
        <v>5566</v>
      </c>
      <c r="AD1883" s="81"/>
      <c r="AE1883" s="81" t="b">
        <v>0</v>
      </c>
      <c r="AF1883" s="81">
        <v>0</v>
      </c>
      <c r="AG1883" s="86" t="s">
        <v>6240</v>
      </c>
      <c r="AH1883" s="81" t="b">
        <v>0</v>
      </c>
      <c r="AI1883" s="81" t="s">
        <v>6479</v>
      </c>
      <c r="AJ1883" s="81"/>
      <c r="AK1883" s="86" t="s">
        <v>6240</v>
      </c>
      <c r="AL1883" s="81" t="b">
        <v>0</v>
      </c>
      <c r="AM1883" s="81">
        <v>0</v>
      </c>
      <c r="AN1883" s="86" t="s">
        <v>6240</v>
      </c>
      <c r="AO1883" s="86" t="s">
        <v>6506</v>
      </c>
      <c r="AP1883" s="81" t="b">
        <v>0</v>
      </c>
      <c r="AQ1883" s="86" t="s">
        <v>5566</v>
      </c>
      <c r="AR1883" s="81" t="s">
        <v>179</v>
      </c>
      <c r="AS1883" s="81">
        <v>0</v>
      </c>
      <c r="AT1883" s="81">
        <v>0</v>
      </c>
      <c r="AU1883" s="81"/>
      <c r="AV1883" s="81"/>
      <c r="AW1883" s="81"/>
      <c r="AX1883" s="81"/>
      <c r="AY1883" s="81"/>
      <c r="AZ1883" s="81"/>
      <c r="BA1883" s="81"/>
      <c r="BB1883" s="81"/>
    </row>
    <row r="1884" spans="1:54" x14ac:dyDescent="0.35">
      <c r="A1884" s="66" t="s">
        <v>1269</v>
      </c>
      <c r="B1884" s="66" t="s">
        <v>1269</v>
      </c>
      <c r="C1884" s="67"/>
      <c r="D1884" s="68"/>
      <c r="E1884" s="69"/>
      <c r="F1884" s="70"/>
      <c r="G1884" s="67"/>
      <c r="H1884" s="71"/>
      <c r="I1884" s="72"/>
      <c r="J1884" s="72"/>
      <c r="K1884" s="36"/>
      <c r="L1884" s="79"/>
      <c r="M1884" s="79"/>
      <c r="N1884" s="74"/>
      <c r="O1884" s="81" t="s">
        <v>179</v>
      </c>
      <c r="P1884" s="83">
        <v>44458.406585648147</v>
      </c>
      <c r="Q1884" s="81" t="s">
        <v>2325</v>
      </c>
      <c r="R1884" s="81"/>
      <c r="S1884" s="81"/>
      <c r="T1884" s="81"/>
      <c r="U1884" s="81"/>
      <c r="V1884" s="84" t="str">
        <f>HYPERLINK("https://pbs.twimg.com/profile_images/378800000705328795/304bfd91ee90011498fd092cc79a423e_normal.jpeg")</f>
        <v>https://pbs.twimg.com/profile_images/378800000705328795/304bfd91ee90011498fd092cc79a423e_normal.jpeg</v>
      </c>
      <c r="W1884" s="83">
        <v>44458.406585648147</v>
      </c>
      <c r="X1884" s="89">
        <v>44458</v>
      </c>
      <c r="Y1884" s="86" t="s">
        <v>4086</v>
      </c>
      <c r="Z1884" s="84" t="str">
        <f>HYPERLINK("https://twitter.com/pos_indonesia/status/1439526046823374851")</f>
        <v>https://twitter.com/pos_indonesia/status/1439526046823374851</v>
      </c>
      <c r="AA1884" s="81"/>
      <c r="AB1884" s="81"/>
      <c r="AC1884" s="86" t="s">
        <v>5567</v>
      </c>
      <c r="AD1884" s="81"/>
      <c r="AE1884" s="81" t="b">
        <v>0</v>
      </c>
      <c r="AF1884" s="81">
        <v>0</v>
      </c>
      <c r="AG1884" s="86" t="s">
        <v>6240</v>
      </c>
      <c r="AH1884" s="81" t="b">
        <v>0</v>
      </c>
      <c r="AI1884" s="81" t="s">
        <v>6479</v>
      </c>
      <c r="AJ1884" s="81"/>
      <c r="AK1884" s="86" t="s">
        <v>6240</v>
      </c>
      <c r="AL1884" s="81" t="b">
        <v>0</v>
      </c>
      <c r="AM1884" s="81">
        <v>0</v>
      </c>
      <c r="AN1884" s="86" t="s">
        <v>6240</v>
      </c>
      <c r="AO1884" s="86" t="s">
        <v>6506</v>
      </c>
      <c r="AP1884" s="81" t="b">
        <v>0</v>
      </c>
      <c r="AQ1884" s="86" t="s">
        <v>5567</v>
      </c>
      <c r="AR1884" s="81" t="s">
        <v>179</v>
      </c>
      <c r="AS1884" s="81">
        <v>0</v>
      </c>
      <c r="AT1884" s="81">
        <v>0</v>
      </c>
      <c r="AU1884" s="81"/>
      <c r="AV1884" s="81"/>
      <c r="AW1884" s="81"/>
      <c r="AX1884" s="81"/>
      <c r="AY1884" s="81"/>
      <c r="AZ1884" s="81"/>
      <c r="BA1884" s="81"/>
      <c r="BB1884" s="81"/>
    </row>
    <row r="1885" spans="1:54" x14ac:dyDescent="0.35">
      <c r="A1885" s="66" t="s">
        <v>1269</v>
      </c>
      <c r="B1885" s="66" t="s">
        <v>1269</v>
      </c>
      <c r="C1885" s="67"/>
      <c r="D1885" s="68"/>
      <c r="E1885" s="69"/>
      <c r="F1885" s="70"/>
      <c r="G1885" s="67"/>
      <c r="H1885" s="71"/>
      <c r="I1885" s="72"/>
      <c r="J1885" s="72"/>
      <c r="K1885" s="36"/>
      <c r="L1885" s="79"/>
      <c r="M1885" s="79"/>
      <c r="N1885" s="74"/>
      <c r="O1885" s="81" t="s">
        <v>179</v>
      </c>
      <c r="P1885" s="83">
        <v>44458.427465277775</v>
      </c>
      <c r="Q1885" s="81" t="s">
        <v>2326</v>
      </c>
      <c r="R1885" s="81"/>
      <c r="S1885" s="81"/>
      <c r="T1885" s="81"/>
      <c r="U1885" s="81"/>
      <c r="V1885" s="84" t="str">
        <f>HYPERLINK("https://pbs.twimg.com/profile_images/378800000705328795/304bfd91ee90011498fd092cc79a423e_normal.jpeg")</f>
        <v>https://pbs.twimg.com/profile_images/378800000705328795/304bfd91ee90011498fd092cc79a423e_normal.jpeg</v>
      </c>
      <c r="W1885" s="83">
        <v>44458.427465277775</v>
      </c>
      <c r="X1885" s="89">
        <v>44458</v>
      </c>
      <c r="Y1885" s="86" t="s">
        <v>4087</v>
      </c>
      <c r="Z1885" s="84" t="str">
        <f>HYPERLINK("https://twitter.com/pos_indonesia/status/1439533615235276801")</f>
        <v>https://twitter.com/pos_indonesia/status/1439533615235276801</v>
      </c>
      <c r="AA1885" s="81"/>
      <c r="AB1885" s="81"/>
      <c r="AC1885" s="86" t="s">
        <v>5568</v>
      </c>
      <c r="AD1885" s="81"/>
      <c r="AE1885" s="81" t="b">
        <v>0</v>
      </c>
      <c r="AF1885" s="81">
        <v>0</v>
      </c>
      <c r="AG1885" s="86" t="s">
        <v>6240</v>
      </c>
      <c r="AH1885" s="81" t="b">
        <v>0</v>
      </c>
      <c r="AI1885" s="81" t="s">
        <v>6479</v>
      </c>
      <c r="AJ1885" s="81"/>
      <c r="AK1885" s="86" t="s">
        <v>6240</v>
      </c>
      <c r="AL1885" s="81" t="b">
        <v>0</v>
      </c>
      <c r="AM1885" s="81">
        <v>0</v>
      </c>
      <c r="AN1885" s="86" t="s">
        <v>6240</v>
      </c>
      <c r="AO1885" s="86" t="s">
        <v>6506</v>
      </c>
      <c r="AP1885" s="81" t="b">
        <v>0</v>
      </c>
      <c r="AQ1885" s="86" t="s">
        <v>5568</v>
      </c>
      <c r="AR1885" s="81" t="s">
        <v>179</v>
      </c>
      <c r="AS1885" s="81">
        <v>0</v>
      </c>
      <c r="AT1885" s="81">
        <v>0</v>
      </c>
      <c r="AU1885" s="81"/>
      <c r="AV1885" s="81"/>
      <c r="AW1885" s="81"/>
      <c r="AX1885" s="81"/>
      <c r="AY1885" s="81"/>
      <c r="AZ1885" s="81"/>
      <c r="BA1885" s="81"/>
      <c r="BB1885" s="81"/>
    </row>
    <row r="1886" spans="1:54" x14ac:dyDescent="0.35">
      <c r="A1886" s="66" t="s">
        <v>1269</v>
      </c>
      <c r="B1886" s="66" t="s">
        <v>1269</v>
      </c>
      <c r="C1886" s="67"/>
      <c r="D1886" s="68"/>
      <c r="E1886" s="69"/>
      <c r="F1886" s="70"/>
      <c r="G1886" s="67"/>
      <c r="H1886" s="71"/>
      <c r="I1886" s="72"/>
      <c r="J1886" s="72"/>
      <c r="K1886" s="36"/>
      <c r="L1886" s="79"/>
      <c r="M1886" s="79"/>
      <c r="N1886" s="74"/>
      <c r="O1886" s="81" t="s">
        <v>179</v>
      </c>
      <c r="P1886" s="83">
        <v>44458.448252314818</v>
      </c>
      <c r="Q1886" s="81" t="s">
        <v>2327</v>
      </c>
      <c r="R1886" s="81"/>
      <c r="S1886" s="81"/>
      <c r="T1886" s="81"/>
      <c r="U1886" s="81"/>
      <c r="V1886" s="84" t="str">
        <f>HYPERLINK("https://pbs.twimg.com/profile_images/378800000705328795/304bfd91ee90011498fd092cc79a423e_normal.jpeg")</f>
        <v>https://pbs.twimg.com/profile_images/378800000705328795/304bfd91ee90011498fd092cc79a423e_normal.jpeg</v>
      </c>
      <c r="W1886" s="83">
        <v>44458.448252314818</v>
      </c>
      <c r="X1886" s="89">
        <v>44458</v>
      </c>
      <c r="Y1886" s="86" t="s">
        <v>4088</v>
      </c>
      <c r="Z1886" s="84" t="str">
        <f>HYPERLINK("https://twitter.com/pos_indonesia/status/1439541149056704516")</f>
        <v>https://twitter.com/pos_indonesia/status/1439541149056704516</v>
      </c>
      <c r="AA1886" s="81"/>
      <c r="AB1886" s="81"/>
      <c r="AC1886" s="86" t="s">
        <v>5569</v>
      </c>
      <c r="AD1886" s="81"/>
      <c r="AE1886" s="81" t="b">
        <v>0</v>
      </c>
      <c r="AF1886" s="81">
        <v>0</v>
      </c>
      <c r="AG1886" s="86" t="s">
        <v>6240</v>
      </c>
      <c r="AH1886" s="81" t="b">
        <v>0</v>
      </c>
      <c r="AI1886" s="81" t="s">
        <v>6479</v>
      </c>
      <c r="AJ1886" s="81"/>
      <c r="AK1886" s="86" t="s">
        <v>6240</v>
      </c>
      <c r="AL1886" s="81" t="b">
        <v>0</v>
      </c>
      <c r="AM1886" s="81">
        <v>0</v>
      </c>
      <c r="AN1886" s="86" t="s">
        <v>6240</v>
      </c>
      <c r="AO1886" s="86" t="s">
        <v>6506</v>
      </c>
      <c r="AP1886" s="81" t="b">
        <v>0</v>
      </c>
      <c r="AQ1886" s="86" t="s">
        <v>5569</v>
      </c>
      <c r="AR1886" s="81" t="s">
        <v>179</v>
      </c>
      <c r="AS1886" s="81">
        <v>0</v>
      </c>
      <c r="AT1886" s="81">
        <v>0</v>
      </c>
      <c r="AU1886" s="81"/>
      <c r="AV1886" s="81"/>
      <c r="AW1886" s="81"/>
      <c r="AX1886" s="81"/>
      <c r="AY1886" s="81"/>
      <c r="AZ1886" s="81"/>
      <c r="BA1886" s="81"/>
      <c r="BB1886" s="81"/>
    </row>
    <row r="1887" spans="1:54" x14ac:dyDescent="0.35">
      <c r="A1887" s="66" t="s">
        <v>1269</v>
      </c>
      <c r="B1887" s="66" t="s">
        <v>1269</v>
      </c>
      <c r="C1887" s="67"/>
      <c r="D1887" s="68"/>
      <c r="E1887" s="69"/>
      <c r="F1887" s="70"/>
      <c r="G1887" s="67"/>
      <c r="H1887" s="71"/>
      <c r="I1887" s="72"/>
      <c r="J1887" s="72"/>
      <c r="K1887" s="36"/>
      <c r="L1887" s="79"/>
      <c r="M1887" s="79"/>
      <c r="N1887" s="74"/>
      <c r="O1887" s="81" t="s">
        <v>179</v>
      </c>
      <c r="P1887" s="83">
        <v>44458.469155092593</v>
      </c>
      <c r="Q1887" s="81" t="s">
        <v>2328</v>
      </c>
      <c r="R1887" s="81"/>
      <c r="S1887" s="81"/>
      <c r="T1887" s="81"/>
      <c r="U1887" s="81"/>
      <c r="V1887" s="84" t="str">
        <f>HYPERLINK("https://pbs.twimg.com/profile_images/378800000705328795/304bfd91ee90011498fd092cc79a423e_normal.jpeg")</f>
        <v>https://pbs.twimg.com/profile_images/378800000705328795/304bfd91ee90011498fd092cc79a423e_normal.jpeg</v>
      </c>
      <c r="W1887" s="83">
        <v>44458.469155092593</v>
      </c>
      <c r="X1887" s="89">
        <v>44458</v>
      </c>
      <c r="Y1887" s="86" t="s">
        <v>4089</v>
      </c>
      <c r="Z1887" s="84" t="str">
        <f>HYPERLINK("https://twitter.com/pos_indonesia/status/1439548720815632390")</f>
        <v>https://twitter.com/pos_indonesia/status/1439548720815632390</v>
      </c>
      <c r="AA1887" s="81"/>
      <c r="AB1887" s="81"/>
      <c r="AC1887" s="86" t="s">
        <v>5570</v>
      </c>
      <c r="AD1887" s="81"/>
      <c r="AE1887" s="81" t="b">
        <v>0</v>
      </c>
      <c r="AF1887" s="81">
        <v>0</v>
      </c>
      <c r="AG1887" s="86" t="s">
        <v>6240</v>
      </c>
      <c r="AH1887" s="81" t="b">
        <v>0</v>
      </c>
      <c r="AI1887" s="81" t="s">
        <v>6479</v>
      </c>
      <c r="AJ1887" s="81"/>
      <c r="AK1887" s="86" t="s">
        <v>6240</v>
      </c>
      <c r="AL1887" s="81" t="b">
        <v>0</v>
      </c>
      <c r="AM1887" s="81">
        <v>0</v>
      </c>
      <c r="AN1887" s="86" t="s">
        <v>6240</v>
      </c>
      <c r="AO1887" s="86" t="s">
        <v>6506</v>
      </c>
      <c r="AP1887" s="81" t="b">
        <v>0</v>
      </c>
      <c r="AQ1887" s="86" t="s">
        <v>5570</v>
      </c>
      <c r="AR1887" s="81" t="s">
        <v>179</v>
      </c>
      <c r="AS1887" s="81">
        <v>0</v>
      </c>
      <c r="AT1887" s="81">
        <v>0</v>
      </c>
      <c r="AU1887" s="81"/>
      <c r="AV1887" s="81"/>
      <c r="AW1887" s="81"/>
      <c r="AX1887" s="81"/>
      <c r="AY1887" s="81"/>
      <c r="AZ1887" s="81"/>
      <c r="BA1887" s="81"/>
      <c r="BB1887" s="81"/>
    </row>
    <row r="1888" spans="1:54" x14ac:dyDescent="0.35">
      <c r="A1888" s="66" t="s">
        <v>1269</v>
      </c>
      <c r="B1888" s="66" t="s">
        <v>1269</v>
      </c>
      <c r="C1888" s="67"/>
      <c r="D1888" s="68"/>
      <c r="E1888" s="69"/>
      <c r="F1888" s="70"/>
      <c r="G1888" s="67"/>
      <c r="H1888" s="71"/>
      <c r="I1888" s="72"/>
      <c r="J1888" s="72"/>
      <c r="K1888" s="36"/>
      <c r="L1888" s="79"/>
      <c r="M1888" s="79"/>
      <c r="N1888" s="74"/>
      <c r="O1888" s="81" t="s">
        <v>179</v>
      </c>
      <c r="P1888" s="83">
        <v>44458.489918981482</v>
      </c>
      <c r="Q1888" s="81" t="s">
        <v>2329</v>
      </c>
      <c r="R1888" s="81"/>
      <c r="S1888" s="81"/>
      <c r="T1888" s="81"/>
      <c r="U1888" s="81"/>
      <c r="V1888" s="84" t="str">
        <f>HYPERLINK("https://pbs.twimg.com/profile_images/378800000705328795/304bfd91ee90011498fd092cc79a423e_normal.jpeg")</f>
        <v>https://pbs.twimg.com/profile_images/378800000705328795/304bfd91ee90011498fd092cc79a423e_normal.jpeg</v>
      </c>
      <c r="W1888" s="83">
        <v>44458.489918981482</v>
      </c>
      <c r="X1888" s="89">
        <v>44458</v>
      </c>
      <c r="Y1888" s="86" t="s">
        <v>4090</v>
      </c>
      <c r="Z1888" s="84" t="str">
        <f>HYPERLINK("https://twitter.com/pos_indonesia/status/1439556248114917385")</f>
        <v>https://twitter.com/pos_indonesia/status/1439556248114917385</v>
      </c>
      <c r="AA1888" s="81"/>
      <c r="AB1888" s="81"/>
      <c r="AC1888" s="86" t="s">
        <v>5571</v>
      </c>
      <c r="AD1888" s="81"/>
      <c r="AE1888" s="81" t="b">
        <v>0</v>
      </c>
      <c r="AF1888" s="81">
        <v>0</v>
      </c>
      <c r="AG1888" s="86" t="s">
        <v>6240</v>
      </c>
      <c r="AH1888" s="81" t="b">
        <v>0</v>
      </c>
      <c r="AI1888" s="81" t="s">
        <v>6479</v>
      </c>
      <c r="AJ1888" s="81"/>
      <c r="AK1888" s="86" t="s">
        <v>6240</v>
      </c>
      <c r="AL1888" s="81" t="b">
        <v>0</v>
      </c>
      <c r="AM1888" s="81">
        <v>0</v>
      </c>
      <c r="AN1888" s="86" t="s">
        <v>6240</v>
      </c>
      <c r="AO1888" s="86" t="s">
        <v>6506</v>
      </c>
      <c r="AP1888" s="81" t="b">
        <v>0</v>
      </c>
      <c r="AQ1888" s="86" t="s">
        <v>5571</v>
      </c>
      <c r="AR1888" s="81" t="s">
        <v>179</v>
      </c>
      <c r="AS1888" s="81">
        <v>0</v>
      </c>
      <c r="AT1888" s="81">
        <v>0</v>
      </c>
      <c r="AU1888" s="81"/>
      <c r="AV1888" s="81"/>
      <c r="AW1888" s="81"/>
      <c r="AX1888" s="81"/>
      <c r="AY1888" s="81"/>
      <c r="AZ1888" s="81"/>
      <c r="BA1888" s="81"/>
      <c r="BB1888" s="81"/>
    </row>
    <row r="1889" spans="1:54" x14ac:dyDescent="0.35">
      <c r="A1889" s="66" t="s">
        <v>1269</v>
      </c>
      <c r="B1889" s="66" t="s">
        <v>1269</v>
      </c>
      <c r="C1889" s="67"/>
      <c r="D1889" s="68"/>
      <c r="E1889" s="69"/>
      <c r="F1889" s="70"/>
      <c r="G1889" s="67"/>
      <c r="H1889" s="71"/>
      <c r="I1889" s="72"/>
      <c r="J1889" s="72"/>
      <c r="K1889" s="36"/>
      <c r="L1889" s="79"/>
      <c r="M1889" s="79"/>
      <c r="N1889" s="74"/>
      <c r="O1889" s="81" t="s">
        <v>179</v>
      </c>
      <c r="P1889" s="83">
        <v>44458.510798611111</v>
      </c>
      <c r="Q1889" s="81" t="s">
        <v>2330</v>
      </c>
      <c r="R1889" s="81"/>
      <c r="S1889" s="81"/>
      <c r="T1889" s="81"/>
      <c r="U1889" s="81"/>
      <c r="V1889" s="84" t="str">
        <f>HYPERLINK("https://pbs.twimg.com/profile_images/378800000705328795/304bfd91ee90011498fd092cc79a423e_normal.jpeg")</f>
        <v>https://pbs.twimg.com/profile_images/378800000705328795/304bfd91ee90011498fd092cc79a423e_normal.jpeg</v>
      </c>
      <c r="W1889" s="83">
        <v>44458.510798611111</v>
      </c>
      <c r="X1889" s="89">
        <v>44458</v>
      </c>
      <c r="Y1889" s="86" t="s">
        <v>4091</v>
      </c>
      <c r="Z1889" s="84" t="str">
        <f>HYPERLINK("https://twitter.com/pos_indonesia/status/1439563814815498240")</f>
        <v>https://twitter.com/pos_indonesia/status/1439563814815498240</v>
      </c>
      <c r="AA1889" s="81"/>
      <c r="AB1889" s="81"/>
      <c r="AC1889" s="86" t="s">
        <v>5572</v>
      </c>
      <c r="AD1889" s="81"/>
      <c r="AE1889" s="81" t="b">
        <v>0</v>
      </c>
      <c r="AF1889" s="81">
        <v>0</v>
      </c>
      <c r="AG1889" s="86" t="s">
        <v>6240</v>
      </c>
      <c r="AH1889" s="81" t="b">
        <v>0</v>
      </c>
      <c r="AI1889" s="81" t="s">
        <v>6479</v>
      </c>
      <c r="AJ1889" s="81"/>
      <c r="AK1889" s="86" t="s">
        <v>6240</v>
      </c>
      <c r="AL1889" s="81" t="b">
        <v>0</v>
      </c>
      <c r="AM1889" s="81">
        <v>0</v>
      </c>
      <c r="AN1889" s="86" t="s">
        <v>6240</v>
      </c>
      <c r="AO1889" s="86" t="s">
        <v>6506</v>
      </c>
      <c r="AP1889" s="81" t="b">
        <v>0</v>
      </c>
      <c r="AQ1889" s="86" t="s">
        <v>5572</v>
      </c>
      <c r="AR1889" s="81" t="s">
        <v>179</v>
      </c>
      <c r="AS1889" s="81">
        <v>0</v>
      </c>
      <c r="AT1889" s="81">
        <v>0</v>
      </c>
      <c r="AU1889" s="81"/>
      <c r="AV1889" s="81"/>
      <c r="AW1889" s="81"/>
      <c r="AX1889" s="81"/>
      <c r="AY1889" s="81"/>
      <c r="AZ1889" s="81"/>
      <c r="BA1889" s="81"/>
      <c r="BB1889" s="81"/>
    </row>
    <row r="1890" spans="1:54" x14ac:dyDescent="0.35">
      <c r="A1890" s="66" t="s">
        <v>1269</v>
      </c>
      <c r="B1890" s="66" t="s">
        <v>1269</v>
      </c>
      <c r="C1890" s="67"/>
      <c r="D1890" s="68"/>
      <c r="E1890" s="69"/>
      <c r="F1890" s="70"/>
      <c r="G1890" s="67"/>
      <c r="H1890" s="71"/>
      <c r="I1890" s="72"/>
      <c r="J1890" s="72"/>
      <c r="K1890" s="36"/>
      <c r="L1890" s="79"/>
      <c r="M1890" s="79"/>
      <c r="N1890" s="74"/>
      <c r="O1890" s="81" t="s">
        <v>179</v>
      </c>
      <c r="P1890" s="83">
        <v>44458.531585648147</v>
      </c>
      <c r="Q1890" s="81" t="s">
        <v>2331</v>
      </c>
      <c r="R1890" s="81"/>
      <c r="S1890" s="81"/>
      <c r="T1890" s="81"/>
      <c r="U1890" s="81"/>
      <c r="V1890" s="84" t="str">
        <f>HYPERLINK("https://pbs.twimg.com/profile_images/378800000705328795/304bfd91ee90011498fd092cc79a423e_normal.jpeg")</f>
        <v>https://pbs.twimg.com/profile_images/378800000705328795/304bfd91ee90011498fd092cc79a423e_normal.jpeg</v>
      </c>
      <c r="W1890" s="83">
        <v>44458.531585648147</v>
      </c>
      <c r="X1890" s="89">
        <v>44458</v>
      </c>
      <c r="Y1890" s="86" t="s">
        <v>4092</v>
      </c>
      <c r="Z1890" s="84" t="str">
        <f>HYPERLINK("https://twitter.com/pos_indonesia/status/1439571347890339841")</f>
        <v>https://twitter.com/pos_indonesia/status/1439571347890339841</v>
      </c>
      <c r="AA1890" s="81"/>
      <c r="AB1890" s="81"/>
      <c r="AC1890" s="86" t="s">
        <v>5573</v>
      </c>
      <c r="AD1890" s="81"/>
      <c r="AE1890" s="81" t="b">
        <v>0</v>
      </c>
      <c r="AF1890" s="81">
        <v>0</v>
      </c>
      <c r="AG1890" s="86" t="s">
        <v>6240</v>
      </c>
      <c r="AH1890" s="81" t="b">
        <v>0</v>
      </c>
      <c r="AI1890" s="81" t="s">
        <v>6479</v>
      </c>
      <c r="AJ1890" s="81"/>
      <c r="AK1890" s="86" t="s">
        <v>6240</v>
      </c>
      <c r="AL1890" s="81" t="b">
        <v>0</v>
      </c>
      <c r="AM1890" s="81">
        <v>0</v>
      </c>
      <c r="AN1890" s="86" t="s">
        <v>6240</v>
      </c>
      <c r="AO1890" s="86" t="s">
        <v>6506</v>
      </c>
      <c r="AP1890" s="81" t="b">
        <v>0</v>
      </c>
      <c r="AQ1890" s="86" t="s">
        <v>5573</v>
      </c>
      <c r="AR1890" s="81" t="s">
        <v>179</v>
      </c>
      <c r="AS1890" s="81">
        <v>0</v>
      </c>
      <c r="AT1890" s="81">
        <v>0</v>
      </c>
      <c r="AU1890" s="81"/>
      <c r="AV1890" s="81"/>
      <c r="AW1890" s="81"/>
      <c r="AX1890" s="81"/>
      <c r="AY1890" s="81"/>
      <c r="AZ1890" s="81"/>
      <c r="BA1890" s="81"/>
      <c r="BB1890" s="81"/>
    </row>
    <row r="1891" spans="1:54" x14ac:dyDescent="0.35">
      <c r="A1891" s="66" t="s">
        <v>1269</v>
      </c>
      <c r="B1891" s="66" t="s">
        <v>1269</v>
      </c>
      <c r="C1891" s="67"/>
      <c r="D1891" s="68"/>
      <c r="E1891" s="69"/>
      <c r="F1891" s="70"/>
      <c r="G1891" s="67"/>
      <c r="H1891" s="71"/>
      <c r="I1891" s="72"/>
      <c r="J1891" s="72"/>
      <c r="K1891" s="36"/>
      <c r="L1891" s="79"/>
      <c r="M1891" s="79"/>
      <c r="N1891" s="74"/>
      <c r="O1891" s="81" t="s">
        <v>179</v>
      </c>
      <c r="P1891" s="83">
        <v>44458.573263888888</v>
      </c>
      <c r="Q1891" s="81" t="s">
        <v>2332</v>
      </c>
      <c r="R1891" s="81"/>
      <c r="S1891" s="81"/>
      <c r="T1891" s="81"/>
      <c r="U1891" s="81"/>
      <c r="V1891" s="84" t="str">
        <f>HYPERLINK("https://pbs.twimg.com/profile_images/378800000705328795/304bfd91ee90011498fd092cc79a423e_normal.jpeg")</f>
        <v>https://pbs.twimg.com/profile_images/378800000705328795/304bfd91ee90011498fd092cc79a423e_normal.jpeg</v>
      </c>
      <c r="W1891" s="83">
        <v>44458.573263888888</v>
      </c>
      <c r="X1891" s="89">
        <v>44458</v>
      </c>
      <c r="Y1891" s="86" t="s">
        <v>4093</v>
      </c>
      <c r="Z1891" s="84" t="str">
        <f>HYPERLINK("https://twitter.com/pos_indonesia/status/1439586448844361731")</f>
        <v>https://twitter.com/pos_indonesia/status/1439586448844361731</v>
      </c>
      <c r="AA1891" s="81"/>
      <c r="AB1891" s="81"/>
      <c r="AC1891" s="86" t="s">
        <v>5574</v>
      </c>
      <c r="AD1891" s="81"/>
      <c r="AE1891" s="81" t="b">
        <v>0</v>
      </c>
      <c r="AF1891" s="81">
        <v>0</v>
      </c>
      <c r="AG1891" s="86" t="s">
        <v>6240</v>
      </c>
      <c r="AH1891" s="81" t="b">
        <v>0</v>
      </c>
      <c r="AI1891" s="81" t="s">
        <v>6479</v>
      </c>
      <c r="AJ1891" s="81"/>
      <c r="AK1891" s="86" t="s">
        <v>6240</v>
      </c>
      <c r="AL1891" s="81" t="b">
        <v>0</v>
      </c>
      <c r="AM1891" s="81">
        <v>0</v>
      </c>
      <c r="AN1891" s="86" t="s">
        <v>6240</v>
      </c>
      <c r="AO1891" s="86" t="s">
        <v>6506</v>
      </c>
      <c r="AP1891" s="81" t="b">
        <v>0</v>
      </c>
      <c r="AQ1891" s="86" t="s">
        <v>5574</v>
      </c>
      <c r="AR1891" s="81" t="s">
        <v>179</v>
      </c>
      <c r="AS1891" s="81">
        <v>0</v>
      </c>
      <c r="AT1891" s="81">
        <v>0</v>
      </c>
      <c r="AU1891" s="81"/>
      <c r="AV1891" s="81"/>
      <c r="AW1891" s="81"/>
      <c r="AX1891" s="81"/>
      <c r="AY1891" s="81"/>
      <c r="AZ1891" s="81"/>
      <c r="BA1891" s="81"/>
      <c r="BB1891" s="81"/>
    </row>
    <row r="1892" spans="1:54" x14ac:dyDescent="0.35">
      <c r="A1892" s="66" t="s">
        <v>1269</v>
      </c>
      <c r="B1892" s="66" t="s">
        <v>1269</v>
      </c>
      <c r="C1892" s="67"/>
      <c r="D1892" s="68"/>
      <c r="E1892" s="69"/>
      <c r="F1892" s="70"/>
      <c r="G1892" s="67"/>
      <c r="H1892" s="71"/>
      <c r="I1892" s="72"/>
      <c r="J1892" s="72"/>
      <c r="K1892" s="36"/>
      <c r="L1892" s="79"/>
      <c r="M1892" s="79"/>
      <c r="N1892" s="74"/>
      <c r="O1892" s="81" t="s">
        <v>179</v>
      </c>
      <c r="P1892" s="83">
        <v>44458.594155092593</v>
      </c>
      <c r="Q1892" s="81" t="s">
        <v>2333</v>
      </c>
      <c r="R1892" s="81"/>
      <c r="S1892" s="81"/>
      <c r="T1892" s="81"/>
      <c r="U1892" s="81"/>
      <c r="V1892" s="84" t="str">
        <f>HYPERLINK("https://pbs.twimg.com/profile_images/378800000705328795/304bfd91ee90011498fd092cc79a423e_normal.jpeg")</f>
        <v>https://pbs.twimg.com/profile_images/378800000705328795/304bfd91ee90011498fd092cc79a423e_normal.jpeg</v>
      </c>
      <c r="W1892" s="83">
        <v>44458.594155092593</v>
      </c>
      <c r="X1892" s="89">
        <v>44458</v>
      </c>
      <c r="Y1892" s="86" t="s">
        <v>4094</v>
      </c>
      <c r="Z1892" s="84" t="str">
        <f>HYPERLINK("https://twitter.com/pos_indonesia/status/1439594018942316544")</f>
        <v>https://twitter.com/pos_indonesia/status/1439594018942316544</v>
      </c>
      <c r="AA1892" s="81"/>
      <c r="AB1892" s="81"/>
      <c r="AC1892" s="86" t="s">
        <v>5575</v>
      </c>
      <c r="AD1892" s="81"/>
      <c r="AE1892" s="81" t="b">
        <v>0</v>
      </c>
      <c r="AF1892" s="81">
        <v>0</v>
      </c>
      <c r="AG1892" s="86" t="s">
        <v>6240</v>
      </c>
      <c r="AH1892" s="81" t="b">
        <v>0</v>
      </c>
      <c r="AI1892" s="81" t="s">
        <v>6479</v>
      </c>
      <c r="AJ1892" s="81"/>
      <c r="AK1892" s="86" t="s">
        <v>6240</v>
      </c>
      <c r="AL1892" s="81" t="b">
        <v>0</v>
      </c>
      <c r="AM1892" s="81">
        <v>0</v>
      </c>
      <c r="AN1892" s="86" t="s">
        <v>6240</v>
      </c>
      <c r="AO1892" s="86" t="s">
        <v>6506</v>
      </c>
      <c r="AP1892" s="81" t="b">
        <v>0</v>
      </c>
      <c r="AQ1892" s="86" t="s">
        <v>5575</v>
      </c>
      <c r="AR1892" s="81" t="s">
        <v>179</v>
      </c>
      <c r="AS1892" s="81">
        <v>0</v>
      </c>
      <c r="AT1892" s="81">
        <v>0</v>
      </c>
      <c r="AU1892" s="81"/>
      <c r="AV1892" s="81"/>
      <c r="AW1892" s="81"/>
      <c r="AX1892" s="81"/>
      <c r="AY1892" s="81"/>
      <c r="AZ1892" s="81"/>
      <c r="BA1892" s="81"/>
      <c r="BB1892" s="81"/>
    </row>
    <row r="1893" spans="1:54" x14ac:dyDescent="0.35">
      <c r="A1893" s="66" t="s">
        <v>1269</v>
      </c>
      <c r="B1893" s="66" t="s">
        <v>1269</v>
      </c>
      <c r="C1893" s="67"/>
      <c r="D1893" s="68"/>
      <c r="E1893" s="69"/>
      <c r="F1893" s="70"/>
      <c r="G1893" s="67"/>
      <c r="H1893" s="71"/>
      <c r="I1893" s="72"/>
      <c r="J1893" s="72"/>
      <c r="K1893" s="36"/>
      <c r="L1893" s="79"/>
      <c r="M1893" s="79"/>
      <c r="N1893" s="74"/>
      <c r="O1893" s="81" t="s">
        <v>179</v>
      </c>
      <c r="P1893" s="83">
        <v>44458.614930555559</v>
      </c>
      <c r="Q1893" s="81" t="s">
        <v>2334</v>
      </c>
      <c r="R1893" s="81"/>
      <c r="S1893" s="81"/>
      <c r="T1893" s="81"/>
      <c r="U1893" s="81"/>
      <c r="V1893" s="84" t="str">
        <f>HYPERLINK("https://pbs.twimg.com/profile_images/378800000705328795/304bfd91ee90011498fd092cc79a423e_normal.jpeg")</f>
        <v>https://pbs.twimg.com/profile_images/378800000705328795/304bfd91ee90011498fd092cc79a423e_normal.jpeg</v>
      </c>
      <c r="W1893" s="83">
        <v>44458.614930555559</v>
      </c>
      <c r="X1893" s="89">
        <v>44458</v>
      </c>
      <c r="Y1893" s="86" t="s">
        <v>4095</v>
      </c>
      <c r="Z1893" s="84" t="str">
        <f>HYPERLINK("https://twitter.com/pos_indonesia/status/1439601547504095234")</f>
        <v>https://twitter.com/pos_indonesia/status/1439601547504095234</v>
      </c>
      <c r="AA1893" s="81"/>
      <c r="AB1893" s="81"/>
      <c r="AC1893" s="86" t="s">
        <v>5576</v>
      </c>
      <c r="AD1893" s="81"/>
      <c r="AE1893" s="81" t="b">
        <v>0</v>
      </c>
      <c r="AF1893" s="81">
        <v>0</v>
      </c>
      <c r="AG1893" s="86" t="s">
        <v>6240</v>
      </c>
      <c r="AH1893" s="81" t="b">
        <v>0</v>
      </c>
      <c r="AI1893" s="81" t="s">
        <v>6479</v>
      </c>
      <c r="AJ1893" s="81"/>
      <c r="AK1893" s="86" t="s">
        <v>6240</v>
      </c>
      <c r="AL1893" s="81" t="b">
        <v>0</v>
      </c>
      <c r="AM1893" s="81">
        <v>0</v>
      </c>
      <c r="AN1893" s="86" t="s">
        <v>6240</v>
      </c>
      <c r="AO1893" s="86" t="s">
        <v>6506</v>
      </c>
      <c r="AP1893" s="81" t="b">
        <v>0</v>
      </c>
      <c r="AQ1893" s="86" t="s">
        <v>5576</v>
      </c>
      <c r="AR1893" s="81" t="s">
        <v>179</v>
      </c>
      <c r="AS1893" s="81">
        <v>0</v>
      </c>
      <c r="AT1893" s="81">
        <v>0</v>
      </c>
      <c r="AU1893" s="81"/>
      <c r="AV1893" s="81"/>
      <c r="AW1893" s="81"/>
      <c r="AX1893" s="81"/>
      <c r="AY1893" s="81"/>
      <c r="AZ1893" s="81"/>
      <c r="BA1893" s="81"/>
      <c r="BB1893" s="81"/>
    </row>
    <row r="1894" spans="1:54" x14ac:dyDescent="0.35">
      <c r="A1894" s="66" t="s">
        <v>1269</v>
      </c>
      <c r="B1894" s="66" t="s">
        <v>1269</v>
      </c>
      <c r="C1894" s="67"/>
      <c r="D1894" s="68"/>
      <c r="E1894" s="69"/>
      <c r="F1894" s="70"/>
      <c r="G1894" s="67"/>
      <c r="H1894" s="71"/>
      <c r="I1894" s="72"/>
      <c r="J1894" s="72"/>
      <c r="K1894" s="36"/>
      <c r="L1894" s="79"/>
      <c r="M1894" s="79"/>
      <c r="N1894" s="74"/>
      <c r="O1894" s="81" t="s">
        <v>179</v>
      </c>
      <c r="P1894" s="83">
        <v>44458.635763888888</v>
      </c>
      <c r="Q1894" s="81" t="s">
        <v>2335</v>
      </c>
      <c r="R1894" s="81"/>
      <c r="S1894" s="81"/>
      <c r="T1894" s="81"/>
      <c r="U1894" s="81"/>
      <c r="V1894" s="84" t="str">
        <f>HYPERLINK("https://pbs.twimg.com/profile_images/378800000705328795/304bfd91ee90011498fd092cc79a423e_normal.jpeg")</f>
        <v>https://pbs.twimg.com/profile_images/378800000705328795/304bfd91ee90011498fd092cc79a423e_normal.jpeg</v>
      </c>
      <c r="W1894" s="83">
        <v>44458.635763888888</v>
      </c>
      <c r="X1894" s="89">
        <v>44458</v>
      </c>
      <c r="Y1894" s="86" t="s">
        <v>4096</v>
      </c>
      <c r="Z1894" s="84" t="str">
        <f>HYPERLINK("https://twitter.com/pos_indonesia/status/1439609097377103873")</f>
        <v>https://twitter.com/pos_indonesia/status/1439609097377103873</v>
      </c>
      <c r="AA1894" s="81"/>
      <c r="AB1894" s="81"/>
      <c r="AC1894" s="86" t="s">
        <v>5577</v>
      </c>
      <c r="AD1894" s="81"/>
      <c r="AE1894" s="81" t="b">
        <v>0</v>
      </c>
      <c r="AF1894" s="81">
        <v>0</v>
      </c>
      <c r="AG1894" s="86" t="s">
        <v>6240</v>
      </c>
      <c r="AH1894" s="81" t="b">
        <v>0</v>
      </c>
      <c r="AI1894" s="81" t="s">
        <v>6479</v>
      </c>
      <c r="AJ1894" s="81"/>
      <c r="AK1894" s="86" t="s">
        <v>6240</v>
      </c>
      <c r="AL1894" s="81" t="b">
        <v>0</v>
      </c>
      <c r="AM1894" s="81">
        <v>0</v>
      </c>
      <c r="AN1894" s="86" t="s">
        <v>6240</v>
      </c>
      <c r="AO1894" s="86" t="s">
        <v>6506</v>
      </c>
      <c r="AP1894" s="81" t="b">
        <v>0</v>
      </c>
      <c r="AQ1894" s="86" t="s">
        <v>5577</v>
      </c>
      <c r="AR1894" s="81" t="s">
        <v>179</v>
      </c>
      <c r="AS1894" s="81">
        <v>0</v>
      </c>
      <c r="AT1894" s="81">
        <v>0</v>
      </c>
      <c r="AU1894" s="81"/>
      <c r="AV1894" s="81"/>
      <c r="AW1894" s="81"/>
      <c r="AX1894" s="81"/>
      <c r="AY1894" s="81"/>
      <c r="AZ1894" s="81"/>
      <c r="BA1894" s="81"/>
      <c r="BB1894" s="81"/>
    </row>
    <row r="1895" spans="1:54" x14ac:dyDescent="0.35">
      <c r="A1895" s="66" t="s">
        <v>1269</v>
      </c>
      <c r="B1895" s="66" t="s">
        <v>1269</v>
      </c>
      <c r="C1895" s="67"/>
      <c r="D1895" s="68"/>
      <c r="E1895" s="69"/>
      <c r="F1895" s="70"/>
      <c r="G1895" s="67"/>
      <c r="H1895" s="71"/>
      <c r="I1895" s="72"/>
      <c r="J1895" s="72"/>
      <c r="K1895" s="36"/>
      <c r="L1895" s="79"/>
      <c r="M1895" s="79"/>
      <c r="N1895" s="74"/>
      <c r="O1895" s="81" t="s">
        <v>179</v>
      </c>
      <c r="P1895" s="83">
        <v>44458.656574074077</v>
      </c>
      <c r="Q1895" s="81" t="s">
        <v>2313</v>
      </c>
      <c r="R1895" s="81"/>
      <c r="S1895" s="81"/>
      <c r="T1895" s="81"/>
      <c r="U1895" s="81"/>
      <c r="V1895" s="84" t="str">
        <f>HYPERLINK("https://pbs.twimg.com/profile_images/378800000705328795/304bfd91ee90011498fd092cc79a423e_normal.jpeg")</f>
        <v>https://pbs.twimg.com/profile_images/378800000705328795/304bfd91ee90011498fd092cc79a423e_normal.jpeg</v>
      </c>
      <c r="W1895" s="83">
        <v>44458.656574074077</v>
      </c>
      <c r="X1895" s="89">
        <v>44458</v>
      </c>
      <c r="Y1895" s="86" t="s">
        <v>4097</v>
      </c>
      <c r="Z1895" s="84" t="str">
        <f>HYPERLINK("https://twitter.com/pos_indonesia/status/1439616642439258113")</f>
        <v>https://twitter.com/pos_indonesia/status/1439616642439258113</v>
      </c>
      <c r="AA1895" s="81"/>
      <c r="AB1895" s="81"/>
      <c r="AC1895" s="86" t="s">
        <v>5578</v>
      </c>
      <c r="AD1895" s="81"/>
      <c r="AE1895" s="81" t="b">
        <v>0</v>
      </c>
      <c r="AF1895" s="81">
        <v>0</v>
      </c>
      <c r="AG1895" s="86" t="s">
        <v>6240</v>
      </c>
      <c r="AH1895" s="81" t="b">
        <v>0</v>
      </c>
      <c r="AI1895" s="81" t="s">
        <v>6479</v>
      </c>
      <c r="AJ1895" s="81"/>
      <c r="AK1895" s="86" t="s">
        <v>6240</v>
      </c>
      <c r="AL1895" s="81" t="b">
        <v>0</v>
      </c>
      <c r="AM1895" s="81">
        <v>0</v>
      </c>
      <c r="AN1895" s="86" t="s">
        <v>6240</v>
      </c>
      <c r="AO1895" s="86" t="s">
        <v>6506</v>
      </c>
      <c r="AP1895" s="81" t="b">
        <v>0</v>
      </c>
      <c r="AQ1895" s="86" t="s">
        <v>5578</v>
      </c>
      <c r="AR1895" s="81" t="s">
        <v>179</v>
      </c>
      <c r="AS1895" s="81">
        <v>0</v>
      </c>
      <c r="AT1895" s="81">
        <v>0</v>
      </c>
      <c r="AU1895" s="81"/>
      <c r="AV1895" s="81"/>
      <c r="AW1895" s="81"/>
      <c r="AX1895" s="81"/>
      <c r="AY1895" s="81"/>
      <c r="AZ1895" s="81"/>
      <c r="BA1895" s="81"/>
      <c r="BB1895" s="81"/>
    </row>
    <row r="1896" spans="1:54" x14ac:dyDescent="0.35">
      <c r="A1896" s="66" t="s">
        <v>1269</v>
      </c>
      <c r="B1896" s="66" t="s">
        <v>1269</v>
      </c>
      <c r="C1896" s="67"/>
      <c r="D1896" s="68"/>
      <c r="E1896" s="69"/>
      <c r="F1896" s="70"/>
      <c r="G1896" s="67"/>
      <c r="H1896" s="71"/>
      <c r="I1896" s="72"/>
      <c r="J1896" s="72"/>
      <c r="K1896" s="36"/>
      <c r="L1896" s="79"/>
      <c r="M1896" s="79"/>
      <c r="N1896" s="74"/>
      <c r="O1896" s="81" t="s">
        <v>179</v>
      </c>
      <c r="P1896" s="83">
        <v>44458.677453703705</v>
      </c>
      <c r="Q1896" s="81" t="s">
        <v>2336</v>
      </c>
      <c r="R1896" s="81"/>
      <c r="S1896" s="81"/>
      <c r="T1896" s="81"/>
      <c r="U1896" s="81"/>
      <c r="V1896" s="84" t="str">
        <f>HYPERLINK("https://pbs.twimg.com/profile_images/378800000705328795/304bfd91ee90011498fd092cc79a423e_normal.jpeg")</f>
        <v>https://pbs.twimg.com/profile_images/378800000705328795/304bfd91ee90011498fd092cc79a423e_normal.jpeg</v>
      </c>
      <c r="W1896" s="83">
        <v>44458.677453703705</v>
      </c>
      <c r="X1896" s="89">
        <v>44458</v>
      </c>
      <c r="Y1896" s="86" t="s">
        <v>4098</v>
      </c>
      <c r="Z1896" s="84" t="str">
        <f>HYPERLINK("https://twitter.com/pos_indonesia/status/1439624204823916546")</f>
        <v>https://twitter.com/pos_indonesia/status/1439624204823916546</v>
      </c>
      <c r="AA1896" s="81"/>
      <c r="AB1896" s="81"/>
      <c r="AC1896" s="86" t="s">
        <v>5579</v>
      </c>
      <c r="AD1896" s="81"/>
      <c r="AE1896" s="81" t="b">
        <v>0</v>
      </c>
      <c r="AF1896" s="81">
        <v>0</v>
      </c>
      <c r="AG1896" s="86" t="s">
        <v>6240</v>
      </c>
      <c r="AH1896" s="81" t="b">
        <v>0</v>
      </c>
      <c r="AI1896" s="81" t="s">
        <v>6479</v>
      </c>
      <c r="AJ1896" s="81"/>
      <c r="AK1896" s="86" t="s">
        <v>6240</v>
      </c>
      <c r="AL1896" s="81" t="b">
        <v>0</v>
      </c>
      <c r="AM1896" s="81">
        <v>0</v>
      </c>
      <c r="AN1896" s="86" t="s">
        <v>6240</v>
      </c>
      <c r="AO1896" s="86" t="s">
        <v>6506</v>
      </c>
      <c r="AP1896" s="81" t="b">
        <v>0</v>
      </c>
      <c r="AQ1896" s="86" t="s">
        <v>5579</v>
      </c>
      <c r="AR1896" s="81" t="s">
        <v>179</v>
      </c>
      <c r="AS1896" s="81">
        <v>0</v>
      </c>
      <c r="AT1896" s="81">
        <v>0</v>
      </c>
      <c r="AU1896" s="81"/>
      <c r="AV1896" s="81"/>
      <c r="AW1896" s="81"/>
      <c r="AX1896" s="81"/>
      <c r="AY1896" s="81"/>
      <c r="AZ1896" s="81"/>
      <c r="BA1896" s="81"/>
      <c r="BB1896" s="81"/>
    </row>
    <row r="1897" spans="1:54" x14ac:dyDescent="0.35">
      <c r="A1897" s="66" t="s">
        <v>1269</v>
      </c>
      <c r="B1897" s="66" t="s">
        <v>1269</v>
      </c>
      <c r="C1897" s="67"/>
      <c r="D1897" s="68"/>
      <c r="E1897" s="69"/>
      <c r="F1897" s="70"/>
      <c r="G1897" s="67"/>
      <c r="H1897" s="71"/>
      <c r="I1897" s="72"/>
      <c r="J1897" s="72"/>
      <c r="K1897" s="36"/>
      <c r="L1897" s="79"/>
      <c r="M1897" s="79"/>
      <c r="N1897" s="74"/>
      <c r="O1897" s="81" t="s">
        <v>179</v>
      </c>
      <c r="P1897" s="83">
        <v>44458.698240740741</v>
      </c>
      <c r="Q1897" s="81" t="s">
        <v>2337</v>
      </c>
      <c r="R1897" s="81"/>
      <c r="S1897" s="81"/>
      <c r="T1897" s="81"/>
      <c r="U1897" s="81"/>
      <c r="V1897" s="84" t="str">
        <f>HYPERLINK("https://pbs.twimg.com/profile_images/378800000705328795/304bfd91ee90011498fd092cc79a423e_normal.jpeg")</f>
        <v>https://pbs.twimg.com/profile_images/378800000705328795/304bfd91ee90011498fd092cc79a423e_normal.jpeg</v>
      </c>
      <c r="W1897" s="83">
        <v>44458.698240740741</v>
      </c>
      <c r="X1897" s="89">
        <v>44458</v>
      </c>
      <c r="Y1897" s="86" t="s">
        <v>4099</v>
      </c>
      <c r="Z1897" s="84" t="str">
        <f>HYPERLINK("https://twitter.com/pos_indonesia/status/1439631741627424769")</f>
        <v>https://twitter.com/pos_indonesia/status/1439631741627424769</v>
      </c>
      <c r="AA1897" s="81"/>
      <c r="AB1897" s="81"/>
      <c r="AC1897" s="86" t="s">
        <v>5580</v>
      </c>
      <c r="AD1897" s="81"/>
      <c r="AE1897" s="81" t="b">
        <v>0</v>
      </c>
      <c r="AF1897" s="81">
        <v>0</v>
      </c>
      <c r="AG1897" s="86" t="s">
        <v>6240</v>
      </c>
      <c r="AH1897" s="81" t="b">
        <v>0</v>
      </c>
      <c r="AI1897" s="81" t="s">
        <v>6479</v>
      </c>
      <c r="AJ1897" s="81"/>
      <c r="AK1897" s="86" t="s">
        <v>6240</v>
      </c>
      <c r="AL1897" s="81" t="b">
        <v>0</v>
      </c>
      <c r="AM1897" s="81">
        <v>0</v>
      </c>
      <c r="AN1897" s="86" t="s">
        <v>6240</v>
      </c>
      <c r="AO1897" s="86" t="s">
        <v>6506</v>
      </c>
      <c r="AP1897" s="81" t="b">
        <v>0</v>
      </c>
      <c r="AQ1897" s="86" t="s">
        <v>5580</v>
      </c>
      <c r="AR1897" s="81" t="s">
        <v>179</v>
      </c>
      <c r="AS1897" s="81">
        <v>0</v>
      </c>
      <c r="AT1897" s="81">
        <v>0</v>
      </c>
      <c r="AU1897" s="81"/>
      <c r="AV1897" s="81"/>
      <c r="AW1897" s="81"/>
      <c r="AX1897" s="81"/>
      <c r="AY1897" s="81"/>
      <c r="AZ1897" s="81"/>
      <c r="BA1897" s="81"/>
      <c r="BB1897" s="81"/>
    </row>
    <row r="1898" spans="1:54" x14ac:dyDescent="0.35">
      <c r="A1898" s="66" t="s">
        <v>1269</v>
      </c>
      <c r="B1898" s="66" t="s">
        <v>1269</v>
      </c>
      <c r="C1898" s="67"/>
      <c r="D1898" s="68"/>
      <c r="E1898" s="69"/>
      <c r="F1898" s="70"/>
      <c r="G1898" s="67"/>
      <c r="H1898" s="71"/>
      <c r="I1898" s="72"/>
      <c r="J1898" s="72"/>
      <c r="K1898" s="36"/>
      <c r="L1898" s="79"/>
      <c r="M1898" s="79"/>
      <c r="N1898" s="74"/>
      <c r="O1898" s="81" t="s">
        <v>179</v>
      </c>
      <c r="P1898" s="83">
        <v>44458.719097222223</v>
      </c>
      <c r="Q1898" s="81" t="s">
        <v>2338</v>
      </c>
      <c r="R1898" s="81"/>
      <c r="S1898" s="81"/>
      <c r="T1898" s="81"/>
      <c r="U1898" s="81"/>
      <c r="V1898" s="84" t="str">
        <f>HYPERLINK("https://pbs.twimg.com/profile_images/378800000705328795/304bfd91ee90011498fd092cc79a423e_normal.jpeg")</f>
        <v>https://pbs.twimg.com/profile_images/378800000705328795/304bfd91ee90011498fd092cc79a423e_normal.jpeg</v>
      </c>
      <c r="W1898" s="83">
        <v>44458.719097222223</v>
      </c>
      <c r="X1898" s="89">
        <v>44458</v>
      </c>
      <c r="Y1898" s="86" t="s">
        <v>4100</v>
      </c>
      <c r="Z1898" s="84" t="str">
        <f>HYPERLINK("https://twitter.com/pos_indonesia/status/1439639296760180737")</f>
        <v>https://twitter.com/pos_indonesia/status/1439639296760180737</v>
      </c>
      <c r="AA1898" s="81"/>
      <c r="AB1898" s="81"/>
      <c r="AC1898" s="86" t="s">
        <v>5581</v>
      </c>
      <c r="AD1898" s="81"/>
      <c r="AE1898" s="81" t="b">
        <v>0</v>
      </c>
      <c r="AF1898" s="81">
        <v>0</v>
      </c>
      <c r="AG1898" s="86" t="s">
        <v>6240</v>
      </c>
      <c r="AH1898" s="81" t="b">
        <v>0</v>
      </c>
      <c r="AI1898" s="81" t="s">
        <v>6479</v>
      </c>
      <c r="AJ1898" s="81"/>
      <c r="AK1898" s="86" t="s">
        <v>6240</v>
      </c>
      <c r="AL1898" s="81" t="b">
        <v>0</v>
      </c>
      <c r="AM1898" s="81">
        <v>0</v>
      </c>
      <c r="AN1898" s="86" t="s">
        <v>6240</v>
      </c>
      <c r="AO1898" s="86" t="s">
        <v>6506</v>
      </c>
      <c r="AP1898" s="81" t="b">
        <v>0</v>
      </c>
      <c r="AQ1898" s="86" t="s">
        <v>5581</v>
      </c>
      <c r="AR1898" s="81" t="s">
        <v>179</v>
      </c>
      <c r="AS1898" s="81">
        <v>0</v>
      </c>
      <c r="AT1898" s="81">
        <v>0</v>
      </c>
      <c r="AU1898" s="81"/>
      <c r="AV1898" s="81"/>
      <c r="AW1898" s="81"/>
      <c r="AX1898" s="81"/>
      <c r="AY1898" s="81"/>
      <c r="AZ1898" s="81"/>
      <c r="BA1898" s="81"/>
      <c r="BB1898" s="81"/>
    </row>
    <row r="1899" spans="1:54" x14ac:dyDescent="0.35">
      <c r="A1899" s="66" t="s">
        <v>1269</v>
      </c>
      <c r="B1899" s="66" t="s">
        <v>1269</v>
      </c>
      <c r="C1899" s="67"/>
      <c r="D1899" s="68"/>
      <c r="E1899" s="69"/>
      <c r="F1899" s="70"/>
      <c r="G1899" s="67"/>
      <c r="H1899" s="71"/>
      <c r="I1899" s="72"/>
      <c r="J1899" s="72"/>
      <c r="K1899" s="36"/>
      <c r="L1899" s="79"/>
      <c r="M1899" s="79"/>
      <c r="N1899" s="74"/>
      <c r="O1899" s="81" t="s">
        <v>179</v>
      </c>
      <c r="P1899" s="83">
        <v>44458.739930555559</v>
      </c>
      <c r="Q1899" s="81" t="s">
        <v>2339</v>
      </c>
      <c r="R1899" s="81"/>
      <c r="S1899" s="81"/>
      <c r="T1899" s="81"/>
      <c r="U1899" s="81"/>
      <c r="V1899" s="84" t="str">
        <f>HYPERLINK("https://pbs.twimg.com/profile_images/378800000705328795/304bfd91ee90011498fd092cc79a423e_normal.jpeg")</f>
        <v>https://pbs.twimg.com/profile_images/378800000705328795/304bfd91ee90011498fd092cc79a423e_normal.jpeg</v>
      </c>
      <c r="W1899" s="83">
        <v>44458.739930555559</v>
      </c>
      <c r="X1899" s="89">
        <v>44458</v>
      </c>
      <c r="Y1899" s="86" t="s">
        <v>4101</v>
      </c>
      <c r="Z1899" s="84" t="str">
        <f>HYPERLINK("https://twitter.com/pos_indonesia/status/1439646846469640196")</f>
        <v>https://twitter.com/pos_indonesia/status/1439646846469640196</v>
      </c>
      <c r="AA1899" s="81"/>
      <c r="AB1899" s="81"/>
      <c r="AC1899" s="86" t="s">
        <v>5582</v>
      </c>
      <c r="AD1899" s="81"/>
      <c r="AE1899" s="81" t="b">
        <v>0</v>
      </c>
      <c r="AF1899" s="81">
        <v>0</v>
      </c>
      <c r="AG1899" s="86" t="s">
        <v>6240</v>
      </c>
      <c r="AH1899" s="81" t="b">
        <v>0</v>
      </c>
      <c r="AI1899" s="81" t="s">
        <v>6479</v>
      </c>
      <c r="AJ1899" s="81"/>
      <c r="AK1899" s="86" t="s">
        <v>6240</v>
      </c>
      <c r="AL1899" s="81" t="b">
        <v>0</v>
      </c>
      <c r="AM1899" s="81">
        <v>0</v>
      </c>
      <c r="AN1899" s="86" t="s">
        <v>6240</v>
      </c>
      <c r="AO1899" s="86" t="s">
        <v>6506</v>
      </c>
      <c r="AP1899" s="81" t="b">
        <v>0</v>
      </c>
      <c r="AQ1899" s="86" t="s">
        <v>5582</v>
      </c>
      <c r="AR1899" s="81" t="s">
        <v>179</v>
      </c>
      <c r="AS1899" s="81">
        <v>0</v>
      </c>
      <c r="AT1899" s="81">
        <v>0</v>
      </c>
      <c r="AU1899" s="81"/>
      <c r="AV1899" s="81"/>
      <c r="AW1899" s="81"/>
      <c r="AX1899" s="81"/>
      <c r="AY1899" s="81"/>
      <c r="AZ1899" s="81"/>
      <c r="BA1899" s="81"/>
      <c r="BB1899" s="81"/>
    </row>
    <row r="1900" spans="1:54" x14ac:dyDescent="0.35">
      <c r="A1900" s="66" t="s">
        <v>1269</v>
      </c>
      <c r="B1900" s="66" t="s">
        <v>1269</v>
      </c>
      <c r="C1900" s="67"/>
      <c r="D1900" s="68"/>
      <c r="E1900" s="69"/>
      <c r="F1900" s="70"/>
      <c r="G1900" s="67"/>
      <c r="H1900" s="71"/>
      <c r="I1900" s="72"/>
      <c r="J1900" s="72"/>
      <c r="K1900" s="36"/>
      <c r="L1900" s="79"/>
      <c r="M1900" s="79"/>
      <c r="N1900" s="74"/>
      <c r="O1900" s="81" t="s">
        <v>179</v>
      </c>
      <c r="P1900" s="83">
        <v>44458.760775462964</v>
      </c>
      <c r="Q1900" s="81" t="s">
        <v>2340</v>
      </c>
      <c r="R1900" s="81"/>
      <c r="S1900" s="81"/>
      <c r="T1900" s="81"/>
      <c r="U1900" s="81"/>
      <c r="V1900" s="84" t="str">
        <f>HYPERLINK("https://pbs.twimg.com/profile_images/378800000705328795/304bfd91ee90011498fd092cc79a423e_normal.jpeg")</f>
        <v>https://pbs.twimg.com/profile_images/378800000705328795/304bfd91ee90011498fd092cc79a423e_normal.jpeg</v>
      </c>
      <c r="W1900" s="83">
        <v>44458.760775462964</v>
      </c>
      <c r="X1900" s="89">
        <v>44458</v>
      </c>
      <c r="Y1900" s="86" t="s">
        <v>4056</v>
      </c>
      <c r="Z1900" s="84" t="str">
        <f>HYPERLINK("https://twitter.com/pos_indonesia/status/1439654402701213696")</f>
        <v>https://twitter.com/pos_indonesia/status/1439654402701213696</v>
      </c>
      <c r="AA1900" s="81"/>
      <c r="AB1900" s="81"/>
      <c r="AC1900" s="86" t="s">
        <v>5583</v>
      </c>
      <c r="AD1900" s="81"/>
      <c r="AE1900" s="81" t="b">
        <v>0</v>
      </c>
      <c r="AF1900" s="81">
        <v>0</v>
      </c>
      <c r="AG1900" s="86" t="s">
        <v>6240</v>
      </c>
      <c r="AH1900" s="81" t="b">
        <v>0</v>
      </c>
      <c r="AI1900" s="81" t="s">
        <v>6479</v>
      </c>
      <c r="AJ1900" s="81"/>
      <c r="AK1900" s="86" t="s">
        <v>6240</v>
      </c>
      <c r="AL1900" s="81" t="b">
        <v>0</v>
      </c>
      <c r="AM1900" s="81">
        <v>0</v>
      </c>
      <c r="AN1900" s="86" t="s">
        <v>6240</v>
      </c>
      <c r="AO1900" s="86" t="s">
        <v>6506</v>
      </c>
      <c r="AP1900" s="81" t="b">
        <v>0</v>
      </c>
      <c r="AQ1900" s="86" t="s">
        <v>5583</v>
      </c>
      <c r="AR1900" s="81" t="s">
        <v>179</v>
      </c>
      <c r="AS1900" s="81">
        <v>0</v>
      </c>
      <c r="AT1900" s="81">
        <v>0</v>
      </c>
      <c r="AU1900" s="81"/>
      <c r="AV1900" s="81"/>
      <c r="AW1900" s="81"/>
      <c r="AX1900" s="81"/>
      <c r="AY1900" s="81"/>
      <c r="AZ1900" s="81"/>
      <c r="BA1900" s="81"/>
      <c r="BB1900" s="81"/>
    </row>
    <row r="1901" spans="1:54" x14ac:dyDescent="0.35">
      <c r="A1901" s="66" t="s">
        <v>1269</v>
      </c>
      <c r="B1901" s="66" t="s">
        <v>1269</v>
      </c>
      <c r="C1901" s="67"/>
      <c r="D1901" s="68"/>
      <c r="E1901" s="69"/>
      <c r="F1901" s="70"/>
      <c r="G1901" s="67"/>
      <c r="H1901" s="71"/>
      <c r="I1901" s="72"/>
      <c r="J1901" s="72"/>
      <c r="K1901" s="36"/>
      <c r="L1901" s="79"/>
      <c r="M1901" s="79"/>
      <c r="N1901" s="74"/>
      <c r="O1901" s="81" t="s">
        <v>179</v>
      </c>
      <c r="P1901" s="83">
        <v>44458.781585648147</v>
      </c>
      <c r="Q1901" s="81" t="s">
        <v>2341</v>
      </c>
      <c r="R1901" s="81"/>
      <c r="S1901" s="81"/>
      <c r="T1901" s="81"/>
      <c r="U1901" s="81"/>
      <c r="V1901" s="84" t="str">
        <f>HYPERLINK("https://pbs.twimg.com/profile_images/378800000705328795/304bfd91ee90011498fd092cc79a423e_normal.jpeg")</f>
        <v>https://pbs.twimg.com/profile_images/378800000705328795/304bfd91ee90011498fd092cc79a423e_normal.jpeg</v>
      </c>
      <c r="W1901" s="83">
        <v>44458.781585648147</v>
      </c>
      <c r="X1901" s="89">
        <v>44458</v>
      </c>
      <c r="Y1901" s="86" t="s">
        <v>4102</v>
      </c>
      <c r="Z1901" s="84" t="str">
        <f>HYPERLINK("https://twitter.com/pos_indonesia/status/1439661941950062594")</f>
        <v>https://twitter.com/pos_indonesia/status/1439661941950062594</v>
      </c>
      <c r="AA1901" s="81"/>
      <c r="AB1901" s="81"/>
      <c r="AC1901" s="86" t="s">
        <v>5584</v>
      </c>
      <c r="AD1901" s="81"/>
      <c r="AE1901" s="81" t="b">
        <v>0</v>
      </c>
      <c r="AF1901" s="81">
        <v>0</v>
      </c>
      <c r="AG1901" s="86" t="s">
        <v>6240</v>
      </c>
      <c r="AH1901" s="81" t="b">
        <v>0</v>
      </c>
      <c r="AI1901" s="81" t="s">
        <v>6479</v>
      </c>
      <c r="AJ1901" s="81"/>
      <c r="AK1901" s="86" t="s">
        <v>6240</v>
      </c>
      <c r="AL1901" s="81" t="b">
        <v>0</v>
      </c>
      <c r="AM1901" s="81">
        <v>0</v>
      </c>
      <c r="AN1901" s="86" t="s">
        <v>6240</v>
      </c>
      <c r="AO1901" s="86" t="s">
        <v>6506</v>
      </c>
      <c r="AP1901" s="81" t="b">
        <v>0</v>
      </c>
      <c r="AQ1901" s="86" t="s">
        <v>5584</v>
      </c>
      <c r="AR1901" s="81" t="s">
        <v>179</v>
      </c>
      <c r="AS1901" s="81">
        <v>0</v>
      </c>
      <c r="AT1901" s="81">
        <v>0</v>
      </c>
      <c r="AU1901" s="81"/>
      <c r="AV1901" s="81"/>
      <c r="AW1901" s="81"/>
      <c r="AX1901" s="81"/>
      <c r="AY1901" s="81"/>
      <c r="AZ1901" s="81"/>
      <c r="BA1901" s="81"/>
      <c r="BB1901" s="81"/>
    </row>
    <row r="1902" spans="1:54" x14ac:dyDescent="0.35">
      <c r="A1902" s="66" t="s">
        <v>1269</v>
      </c>
      <c r="B1902" s="66" t="s">
        <v>1269</v>
      </c>
      <c r="C1902" s="67"/>
      <c r="D1902" s="68"/>
      <c r="E1902" s="69"/>
      <c r="F1902" s="70"/>
      <c r="G1902" s="67"/>
      <c r="H1902" s="71"/>
      <c r="I1902" s="72"/>
      <c r="J1902" s="72"/>
      <c r="K1902" s="36"/>
      <c r="L1902" s="79"/>
      <c r="M1902" s="79"/>
      <c r="N1902" s="74"/>
      <c r="O1902" s="81" t="s">
        <v>179</v>
      </c>
      <c r="P1902" s="83">
        <v>44458.802430555559</v>
      </c>
      <c r="Q1902" s="81" t="s">
        <v>2342</v>
      </c>
      <c r="R1902" s="81"/>
      <c r="S1902" s="81"/>
      <c r="T1902" s="81"/>
      <c r="U1902" s="81"/>
      <c r="V1902" s="84" t="str">
        <f>HYPERLINK("https://pbs.twimg.com/profile_images/378800000705328795/304bfd91ee90011498fd092cc79a423e_normal.jpeg")</f>
        <v>https://pbs.twimg.com/profile_images/378800000705328795/304bfd91ee90011498fd092cc79a423e_normal.jpeg</v>
      </c>
      <c r="W1902" s="83">
        <v>44458.802430555559</v>
      </c>
      <c r="X1902" s="89">
        <v>44458</v>
      </c>
      <c r="Y1902" s="86" t="s">
        <v>4058</v>
      </c>
      <c r="Z1902" s="84" t="str">
        <f>HYPERLINK("https://twitter.com/pos_indonesia/status/1439669495241445376")</f>
        <v>https://twitter.com/pos_indonesia/status/1439669495241445376</v>
      </c>
      <c r="AA1902" s="81"/>
      <c r="AB1902" s="81"/>
      <c r="AC1902" s="86" t="s">
        <v>5585</v>
      </c>
      <c r="AD1902" s="81"/>
      <c r="AE1902" s="81" t="b">
        <v>0</v>
      </c>
      <c r="AF1902" s="81">
        <v>0</v>
      </c>
      <c r="AG1902" s="86" t="s">
        <v>6240</v>
      </c>
      <c r="AH1902" s="81" t="b">
        <v>0</v>
      </c>
      <c r="AI1902" s="81" t="s">
        <v>6479</v>
      </c>
      <c r="AJ1902" s="81"/>
      <c r="AK1902" s="86" t="s">
        <v>6240</v>
      </c>
      <c r="AL1902" s="81" t="b">
        <v>0</v>
      </c>
      <c r="AM1902" s="81">
        <v>0</v>
      </c>
      <c r="AN1902" s="86" t="s">
        <v>6240</v>
      </c>
      <c r="AO1902" s="86" t="s">
        <v>6506</v>
      </c>
      <c r="AP1902" s="81" t="b">
        <v>0</v>
      </c>
      <c r="AQ1902" s="86" t="s">
        <v>5585</v>
      </c>
      <c r="AR1902" s="81" t="s">
        <v>179</v>
      </c>
      <c r="AS1902" s="81">
        <v>0</v>
      </c>
      <c r="AT1902" s="81">
        <v>0</v>
      </c>
      <c r="AU1902" s="81"/>
      <c r="AV1902" s="81"/>
      <c r="AW1902" s="81"/>
      <c r="AX1902" s="81"/>
      <c r="AY1902" s="81"/>
      <c r="AZ1902" s="81"/>
      <c r="BA1902" s="81"/>
      <c r="BB1902" s="81"/>
    </row>
    <row r="1903" spans="1:54" x14ac:dyDescent="0.35">
      <c r="A1903" s="66" t="s">
        <v>1269</v>
      </c>
      <c r="B1903" s="66" t="s">
        <v>1269</v>
      </c>
      <c r="C1903" s="67"/>
      <c r="D1903" s="68"/>
      <c r="E1903" s="69"/>
      <c r="F1903" s="70"/>
      <c r="G1903" s="67"/>
      <c r="H1903" s="71"/>
      <c r="I1903" s="72"/>
      <c r="J1903" s="72"/>
      <c r="K1903" s="36"/>
      <c r="L1903" s="79"/>
      <c r="M1903" s="79"/>
      <c r="N1903" s="74"/>
      <c r="O1903" s="81" t="s">
        <v>179</v>
      </c>
      <c r="P1903" s="83">
        <v>44458.823240740741</v>
      </c>
      <c r="Q1903" s="81" t="s">
        <v>2343</v>
      </c>
      <c r="R1903" s="81"/>
      <c r="S1903" s="81"/>
      <c r="T1903" s="81"/>
      <c r="U1903" s="81"/>
      <c r="V1903" s="84" t="str">
        <f>HYPERLINK("https://pbs.twimg.com/profile_images/378800000705328795/304bfd91ee90011498fd092cc79a423e_normal.jpeg")</f>
        <v>https://pbs.twimg.com/profile_images/378800000705328795/304bfd91ee90011498fd092cc79a423e_normal.jpeg</v>
      </c>
      <c r="W1903" s="83">
        <v>44458.823240740741</v>
      </c>
      <c r="X1903" s="89">
        <v>44458</v>
      </c>
      <c r="Y1903" s="86" t="s">
        <v>4103</v>
      </c>
      <c r="Z1903" s="84" t="str">
        <f>HYPERLINK("https://twitter.com/pos_indonesia/status/1439677040270086147")</f>
        <v>https://twitter.com/pos_indonesia/status/1439677040270086147</v>
      </c>
      <c r="AA1903" s="81"/>
      <c r="AB1903" s="81"/>
      <c r="AC1903" s="86" t="s">
        <v>5586</v>
      </c>
      <c r="AD1903" s="81"/>
      <c r="AE1903" s="81" t="b">
        <v>0</v>
      </c>
      <c r="AF1903" s="81">
        <v>0</v>
      </c>
      <c r="AG1903" s="86" t="s">
        <v>6240</v>
      </c>
      <c r="AH1903" s="81" t="b">
        <v>0</v>
      </c>
      <c r="AI1903" s="81" t="s">
        <v>6479</v>
      </c>
      <c r="AJ1903" s="81"/>
      <c r="AK1903" s="86" t="s">
        <v>6240</v>
      </c>
      <c r="AL1903" s="81" t="b">
        <v>0</v>
      </c>
      <c r="AM1903" s="81">
        <v>0</v>
      </c>
      <c r="AN1903" s="86" t="s">
        <v>6240</v>
      </c>
      <c r="AO1903" s="86" t="s">
        <v>6506</v>
      </c>
      <c r="AP1903" s="81" t="b">
        <v>0</v>
      </c>
      <c r="AQ1903" s="86" t="s">
        <v>5586</v>
      </c>
      <c r="AR1903" s="81" t="s">
        <v>179</v>
      </c>
      <c r="AS1903" s="81">
        <v>0</v>
      </c>
      <c r="AT1903" s="81">
        <v>0</v>
      </c>
      <c r="AU1903" s="81"/>
      <c r="AV1903" s="81"/>
      <c r="AW1903" s="81"/>
      <c r="AX1903" s="81"/>
      <c r="AY1903" s="81"/>
      <c r="AZ1903" s="81"/>
      <c r="BA1903" s="81"/>
      <c r="BB1903" s="81"/>
    </row>
    <row r="1904" spans="1:54" x14ac:dyDescent="0.35">
      <c r="A1904" s="66" t="s">
        <v>1269</v>
      </c>
      <c r="B1904" s="66" t="s">
        <v>1269</v>
      </c>
      <c r="C1904" s="67"/>
      <c r="D1904" s="68"/>
      <c r="E1904" s="69"/>
      <c r="F1904" s="70"/>
      <c r="G1904" s="67"/>
      <c r="H1904" s="71"/>
      <c r="I1904" s="72"/>
      <c r="J1904" s="72"/>
      <c r="K1904" s="36"/>
      <c r="L1904" s="79"/>
      <c r="M1904" s="79"/>
      <c r="N1904" s="74"/>
      <c r="O1904" s="81" t="s">
        <v>179</v>
      </c>
      <c r="P1904" s="83">
        <v>44458.84412037037</v>
      </c>
      <c r="Q1904" s="81" t="s">
        <v>2344</v>
      </c>
      <c r="R1904" s="81"/>
      <c r="S1904" s="81"/>
      <c r="T1904" s="81"/>
      <c r="U1904" s="81"/>
      <c r="V1904" s="84" t="str">
        <f>HYPERLINK("https://pbs.twimg.com/profile_images/378800000705328795/304bfd91ee90011498fd092cc79a423e_normal.jpeg")</f>
        <v>https://pbs.twimg.com/profile_images/378800000705328795/304bfd91ee90011498fd092cc79a423e_normal.jpeg</v>
      </c>
      <c r="W1904" s="83">
        <v>44458.84412037037</v>
      </c>
      <c r="X1904" s="89">
        <v>44458</v>
      </c>
      <c r="Y1904" s="86" t="s">
        <v>4060</v>
      </c>
      <c r="Z1904" s="84" t="str">
        <f>HYPERLINK("https://twitter.com/pos_indonesia/status/1439684604286300160")</f>
        <v>https://twitter.com/pos_indonesia/status/1439684604286300160</v>
      </c>
      <c r="AA1904" s="81"/>
      <c r="AB1904" s="81"/>
      <c r="AC1904" s="86" t="s">
        <v>5587</v>
      </c>
      <c r="AD1904" s="81"/>
      <c r="AE1904" s="81" t="b">
        <v>0</v>
      </c>
      <c r="AF1904" s="81">
        <v>0</v>
      </c>
      <c r="AG1904" s="86" t="s">
        <v>6240</v>
      </c>
      <c r="AH1904" s="81" t="b">
        <v>0</v>
      </c>
      <c r="AI1904" s="81" t="s">
        <v>6479</v>
      </c>
      <c r="AJ1904" s="81"/>
      <c r="AK1904" s="86" t="s">
        <v>6240</v>
      </c>
      <c r="AL1904" s="81" t="b">
        <v>0</v>
      </c>
      <c r="AM1904" s="81">
        <v>0</v>
      </c>
      <c r="AN1904" s="86" t="s">
        <v>6240</v>
      </c>
      <c r="AO1904" s="86" t="s">
        <v>6506</v>
      </c>
      <c r="AP1904" s="81" t="b">
        <v>0</v>
      </c>
      <c r="AQ1904" s="86" t="s">
        <v>5587</v>
      </c>
      <c r="AR1904" s="81" t="s">
        <v>179</v>
      </c>
      <c r="AS1904" s="81">
        <v>0</v>
      </c>
      <c r="AT1904" s="81">
        <v>0</v>
      </c>
      <c r="AU1904" s="81"/>
      <c r="AV1904" s="81"/>
      <c r="AW1904" s="81"/>
      <c r="AX1904" s="81"/>
      <c r="AY1904" s="81"/>
      <c r="AZ1904" s="81"/>
      <c r="BA1904" s="81"/>
      <c r="BB1904" s="81"/>
    </row>
    <row r="1905" spans="1:54" x14ac:dyDescent="0.35">
      <c r="A1905" s="66" t="s">
        <v>1269</v>
      </c>
      <c r="B1905" s="66" t="s">
        <v>1269</v>
      </c>
      <c r="C1905" s="67"/>
      <c r="D1905" s="68"/>
      <c r="E1905" s="69"/>
      <c r="F1905" s="70"/>
      <c r="G1905" s="67"/>
      <c r="H1905" s="71"/>
      <c r="I1905" s="72"/>
      <c r="J1905" s="72"/>
      <c r="K1905" s="36"/>
      <c r="L1905" s="79"/>
      <c r="M1905" s="79"/>
      <c r="N1905" s="74"/>
      <c r="O1905" s="81" t="s">
        <v>179</v>
      </c>
      <c r="P1905" s="83">
        <v>44458.864918981482</v>
      </c>
      <c r="Q1905" s="81" t="s">
        <v>2345</v>
      </c>
      <c r="R1905" s="81"/>
      <c r="S1905" s="81"/>
      <c r="T1905" s="81"/>
      <c r="U1905" s="81"/>
      <c r="V1905" s="84" t="str">
        <f>HYPERLINK("https://pbs.twimg.com/profile_images/378800000705328795/304bfd91ee90011498fd092cc79a423e_normal.jpeg")</f>
        <v>https://pbs.twimg.com/profile_images/378800000705328795/304bfd91ee90011498fd092cc79a423e_normal.jpeg</v>
      </c>
      <c r="W1905" s="83">
        <v>44458.864918981482</v>
      </c>
      <c r="X1905" s="89">
        <v>44458</v>
      </c>
      <c r="Y1905" s="86" t="s">
        <v>4104</v>
      </c>
      <c r="Z1905" s="84" t="str">
        <f>HYPERLINK("https://twitter.com/pos_indonesia/status/1439692143509995520")</f>
        <v>https://twitter.com/pos_indonesia/status/1439692143509995520</v>
      </c>
      <c r="AA1905" s="81"/>
      <c r="AB1905" s="81"/>
      <c r="AC1905" s="86" t="s">
        <v>5588</v>
      </c>
      <c r="AD1905" s="81"/>
      <c r="AE1905" s="81" t="b">
        <v>0</v>
      </c>
      <c r="AF1905" s="81">
        <v>0</v>
      </c>
      <c r="AG1905" s="86" t="s">
        <v>6240</v>
      </c>
      <c r="AH1905" s="81" t="b">
        <v>0</v>
      </c>
      <c r="AI1905" s="81" t="s">
        <v>6479</v>
      </c>
      <c r="AJ1905" s="81"/>
      <c r="AK1905" s="86" t="s">
        <v>6240</v>
      </c>
      <c r="AL1905" s="81" t="b">
        <v>0</v>
      </c>
      <c r="AM1905" s="81">
        <v>0</v>
      </c>
      <c r="AN1905" s="86" t="s">
        <v>6240</v>
      </c>
      <c r="AO1905" s="86" t="s">
        <v>6506</v>
      </c>
      <c r="AP1905" s="81" t="b">
        <v>0</v>
      </c>
      <c r="AQ1905" s="86" t="s">
        <v>5588</v>
      </c>
      <c r="AR1905" s="81" t="s">
        <v>179</v>
      </c>
      <c r="AS1905" s="81">
        <v>0</v>
      </c>
      <c r="AT1905" s="81">
        <v>0</v>
      </c>
      <c r="AU1905" s="81"/>
      <c r="AV1905" s="81"/>
      <c r="AW1905" s="81"/>
      <c r="AX1905" s="81"/>
      <c r="AY1905" s="81"/>
      <c r="AZ1905" s="81"/>
      <c r="BA1905" s="81"/>
      <c r="BB1905" s="81"/>
    </row>
    <row r="1906" spans="1:54" x14ac:dyDescent="0.35">
      <c r="A1906" s="66" t="s">
        <v>1269</v>
      </c>
      <c r="B1906" s="66" t="s">
        <v>1269</v>
      </c>
      <c r="C1906" s="67"/>
      <c r="D1906" s="68"/>
      <c r="E1906" s="69"/>
      <c r="F1906" s="70"/>
      <c r="G1906" s="67"/>
      <c r="H1906" s="71"/>
      <c r="I1906" s="72"/>
      <c r="J1906" s="72"/>
      <c r="K1906" s="36"/>
      <c r="L1906" s="79"/>
      <c r="M1906" s="79"/>
      <c r="N1906" s="74"/>
      <c r="O1906" s="81" t="s">
        <v>179</v>
      </c>
      <c r="P1906" s="83">
        <v>44458.885752314818</v>
      </c>
      <c r="Q1906" s="81" t="s">
        <v>2346</v>
      </c>
      <c r="R1906" s="81"/>
      <c r="S1906" s="81"/>
      <c r="T1906" s="81"/>
      <c r="U1906" s="81"/>
      <c r="V1906" s="84" t="str">
        <f>HYPERLINK("https://pbs.twimg.com/profile_images/378800000705328795/304bfd91ee90011498fd092cc79a423e_normal.jpeg")</f>
        <v>https://pbs.twimg.com/profile_images/378800000705328795/304bfd91ee90011498fd092cc79a423e_normal.jpeg</v>
      </c>
      <c r="W1906" s="83">
        <v>44458.885752314818</v>
      </c>
      <c r="X1906" s="89">
        <v>44458</v>
      </c>
      <c r="Y1906" s="86" t="s">
        <v>4062</v>
      </c>
      <c r="Z1906" s="84" t="str">
        <f>HYPERLINK("https://twitter.com/pos_indonesia/status/1439699693596860418")</f>
        <v>https://twitter.com/pos_indonesia/status/1439699693596860418</v>
      </c>
      <c r="AA1906" s="81"/>
      <c r="AB1906" s="81"/>
      <c r="AC1906" s="86" t="s">
        <v>5589</v>
      </c>
      <c r="AD1906" s="81"/>
      <c r="AE1906" s="81" t="b">
        <v>0</v>
      </c>
      <c r="AF1906" s="81">
        <v>0</v>
      </c>
      <c r="AG1906" s="86" t="s">
        <v>6240</v>
      </c>
      <c r="AH1906" s="81" t="b">
        <v>0</v>
      </c>
      <c r="AI1906" s="81" t="s">
        <v>6479</v>
      </c>
      <c r="AJ1906" s="81"/>
      <c r="AK1906" s="86" t="s">
        <v>6240</v>
      </c>
      <c r="AL1906" s="81" t="b">
        <v>0</v>
      </c>
      <c r="AM1906" s="81">
        <v>0</v>
      </c>
      <c r="AN1906" s="86" t="s">
        <v>6240</v>
      </c>
      <c r="AO1906" s="86" t="s">
        <v>6506</v>
      </c>
      <c r="AP1906" s="81" t="b">
        <v>0</v>
      </c>
      <c r="AQ1906" s="86" t="s">
        <v>5589</v>
      </c>
      <c r="AR1906" s="81" t="s">
        <v>179</v>
      </c>
      <c r="AS1906" s="81">
        <v>0</v>
      </c>
      <c r="AT1906" s="81">
        <v>0</v>
      </c>
      <c r="AU1906" s="81"/>
      <c r="AV1906" s="81"/>
      <c r="AW1906" s="81"/>
      <c r="AX1906" s="81"/>
      <c r="AY1906" s="81"/>
      <c r="AZ1906" s="81"/>
      <c r="BA1906" s="81"/>
      <c r="BB1906" s="81"/>
    </row>
    <row r="1907" spans="1:54" x14ac:dyDescent="0.35">
      <c r="A1907" s="66" t="s">
        <v>1269</v>
      </c>
      <c r="B1907" s="66" t="s">
        <v>1269</v>
      </c>
      <c r="C1907" s="67"/>
      <c r="D1907" s="68"/>
      <c r="E1907" s="69"/>
      <c r="F1907" s="70"/>
      <c r="G1907" s="67"/>
      <c r="H1907" s="71"/>
      <c r="I1907" s="72"/>
      <c r="J1907" s="72"/>
      <c r="K1907" s="36"/>
      <c r="L1907" s="79"/>
      <c r="M1907" s="79"/>
      <c r="N1907" s="74"/>
      <c r="O1907" s="81" t="s">
        <v>179</v>
      </c>
      <c r="P1907" s="83">
        <v>44458.906574074077</v>
      </c>
      <c r="Q1907" s="81" t="s">
        <v>2347</v>
      </c>
      <c r="R1907" s="81"/>
      <c r="S1907" s="81"/>
      <c r="T1907" s="81"/>
      <c r="U1907" s="81"/>
      <c r="V1907" s="84" t="str">
        <f>HYPERLINK("https://pbs.twimg.com/profile_images/378800000705328795/304bfd91ee90011498fd092cc79a423e_normal.jpeg")</f>
        <v>https://pbs.twimg.com/profile_images/378800000705328795/304bfd91ee90011498fd092cc79a423e_normal.jpeg</v>
      </c>
      <c r="W1907" s="83">
        <v>44458.906574074077</v>
      </c>
      <c r="X1907" s="89">
        <v>44458</v>
      </c>
      <c r="Y1907" s="86" t="s">
        <v>4105</v>
      </c>
      <c r="Z1907" s="84" t="str">
        <f>HYPERLINK("https://twitter.com/pos_indonesia/status/1439707238017351681")</f>
        <v>https://twitter.com/pos_indonesia/status/1439707238017351681</v>
      </c>
      <c r="AA1907" s="81"/>
      <c r="AB1907" s="81"/>
      <c r="AC1907" s="86" t="s">
        <v>5590</v>
      </c>
      <c r="AD1907" s="81"/>
      <c r="AE1907" s="81" t="b">
        <v>0</v>
      </c>
      <c r="AF1907" s="81">
        <v>0</v>
      </c>
      <c r="AG1907" s="86" t="s">
        <v>6240</v>
      </c>
      <c r="AH1907" s="81" t="b">
        <v>0</v>
      </c>
      <c r="AI1907" s="81" t="s">
        <v>6479</v>
      </c>
      <c r="AJ1907" s="81"/>
      <c r="AK1907" s="86" t="s">
        <v>6240</v>
      </c>
      <c r="AL1907" s="81" t="b">
        <v>0</v>
      </c>
      <c r="AM1907" s="81">
        <v>0</v>
      </c>
      <c r="AN1907" s="86" t="s">
        <v>6240</v>
      </c>
      <c r="AO1907" s="86" t="s">
        <v>6506</v>
      </c>
      <c r="AP1907" s="81" t="b">
        <v>0</v>
      </c>
      <c r="AQ1907" s="86" t="s">
        <v>5590</v>
      </c>
      <c r="AR1907" s="81" t="s">
        <v>179</v>
      </c>
      <c r="AS1907" s="81">
        <v>0</v>
      </c>
      <c r="AT1907" s="81">
        <v>0</v>
      </c>
      <c r="AU1907" s="81"/>
      <c r="AV1907" s="81"/>
      <c r="AW1907" s="81"/>
      <c r="AX1907" s="81"/>
      <c r="AY1907" s="81"/>
      <c r="AZ1907" s="81"/>
      <c r="BA1907" s="81"/>
      <c r="BB1907" s="81"/>
    </row>
    <row r="1908" spans="1:54" x14ac:dyDescent="0.35">
      <c r="A1908" s="66" t="s">
        <v>1269</v>
      </c>
      <c r="B1908" s="66" t="s">
        <v>1269</v>
      </c>
      <c r="C1908" s="67"/>
      <c r="D1908" s="68"/>
      <c r="E1908" s="69"/>
      <c r="F1908" s="70"/>
      <c r="G1908" s="67"/>
      <c r="H1908" s="71"/>
      <c r="I1908" s="72"/>
      <c r="J1908" s="72"/>
      <c r="K1908" s="36"/>
      <c r="L1908" s="79"/>
      <c r="M1908" s="79"/>
      <c r="N1908" s="74"/>
      <c r="O1908" s="81" t="s">
        <v>179</v>
      </c>
      <c r="P1908" s="83">
        <v>44458.927442129629</v>
      </c>
      <c r="Q1908" s="81" t="s">
        <v>2348</v>
      </c>
      <c r="R1908" s="81"/>
      <c r="S1908" s="81"/>
      <c r="T1908" s="81"/>
      <c r="U1908" s="81"/>
      <c r="V1908" s="84" t="str">
        <f>HYPERLINK("https://pbs.twimg.com/profile_images/378800000705328795/304bfd91ee90011498fd092cc79a423e_normal.jpeg")</f>
        <v>https://pbs.twimg.com/profile_images/378800000705328795/304bfd91ee90011498fd092cc79a423e_normal.jpeg</v>
      </c>
      <c r="W1908" s="83">
        <v>44458.927442129629</v>
      </c>
      <c r="X1908" s="89">
        <v>44458</v>
      </c>
      <c r="Y1908" s="86" t="s">
        <v>4064</v>
      </c>
      <c r="Z1908" s="84" t="str">
        <f>HYPERLINK("https://twitter.com/pos_indonesia/status/1439714798032220161")</f>
        <v>https://twitter.com/pos_indonesia/status/1439714798032220161</v>
      </c>
      <c r="AA1908" s="81"/>
      <c r="AB1908" s="81"/>
      <c r="AC1908" s="86" t="s">
        <v>5591</v>
      </c>
      <c r="AD1908" s="81"/>
      <c r="AE1908" s="81" t="b">
        <v>0</v>
      </c>
      <c r="AF1908" s="81">
        <v>0</v>
      </c>
      <c r="AG1908" s="86" t="s">
        <v>6240</v>
      </c>
      <c r="AH1908" s="81" t="b">
        <v>0</v>
      </c>
      <c r="AI1908" s="81" t="s">
        <v>6479</v>
      </c>
      <c r="AJ1908" s="81"/>
      <c r="AK1908" s="86" t="s">
        <v>6240</v>
      </c>
      <c r="AL1908" s="81" t="b">
        <v>0</v>
      </c>
      <c r="AM1908" s="81">
        <v>0</v>
      </c>
      <c r="AN1908" s="86" t="s">
        <v>6240</v>
      </c>
      <c r="AO1908" s="86" t="s">
        <v>6506</v>
      </c>
      <c r="AP1908" s="81" t="b">
        <v>0</v>
      </c>
      <c r="AQ1908" s="86" t="s">
        <v>5591</v>
      </c>
      <c r="AR1908" s="81" t="s">
        <v>179</v>
      </c>
      <c r="AS1908" s="81">
        <v>0</v>
      </c>
      <c r="AT1908" s="81">
        <v>0</v>
      </c>
      <c r="AU1908" s="81"/>
      <c r="AV1908" s="81"/>
      <c r="AW1908" s="81"/>
      <c r="AX1908" s="81"/>
      <c r="AY1908" s="81"/>
      <c r="AZ1908" s="81"/>
      <c r="BA1908" s="81"/>
      <c r="BB1908" s="81"/>
    </row>
    <row r="1909" spans="1:54" x14ac:dyDescent="0.35">
      <c r="A1909" s="66" t="s">
        <v>1269</v>
      </c>
      <c r="B1909" s="66" t="s">
        <v>1269</v>
      </c>
      <c r="C1909" s="67"/>
      <c r="D1909" s="68"/>
      <c r="E1909" s="69"/>
      <c r="F1909" s="70"/>
      <c r="G1909" s="67"/>
      <c r="H1909" s="71"/>
      <c r="I1909" s="72"/>
      <c r="J1909" s="72"/>
      <c r="K1909" s="36"/>
      <c r="L1909" s="79"/>
      <c r="M1909" s="79"/>
      <c r="N1909" s="74"/>
      <c r="O1909" s="81" t="s">
        <v>179</v>
      </c>
      <c r="P1909" s="83">
        <v>44458.948240740741</v>
      </c>
      <c r="Q1909" s="81" t="s">
        <v>2349</v>
      </c>
      <c r="R1909" s="81"/>
      <c r="S1909" s="81"/>
      <c r="T1909" s="81"/>
      <c r="U1909" s="81"/>
      <c r="V1909" s="84" t="str">
        <f>HYPERLINK("https://pbs.twimg.com/profile_images/378800000705328795/304bfd91ee90011498fd092cc79a423e_normal.jpeg")</f>
        <v>https://pbs.twimg.com/profile_images/378800000705328795/304bfd91ee90011498fd092cc79a423e_normal.jpeg</v>
      </c>
      <c r="W1909" s="83">
        <v>44458.948240740741</v>
      </c>
      <c r="X1909" s="89">
        <v>44458</v>
      </c>
      <c r="Y1909" s="86" t="s">
        <v>4106</v>
      </c>
      <c r="Z1909" s="84" t="str">
        <f>HYPERLINK("https://twitter.com/pos_indonesia/status/1439722336844857344")</f>
        <v>https://twitter.com/pos_indonesia/status/1439722336844857344</v>
      </c>
      <c r="AA1909" s="81"/>
      <c r="AB1909" s="81"/>
      <c r="AC1909" s="86" t="s">
        <v>5592</v>
      </c>
      <c r="AD1909" s="81"/>
      <c r="AE1909" s="81" t="b">
        <v>0</v>
      </c>
      <c r="AF1909" s="81">
        <v>0</v>
      </c>
      <c r="AG1909" s="86" t="s">
        <v>6240</v>
      </c>
      <c r="AH1909" s="81" t="b">
        <v>0</v>
      </c>
      <c r="AI1909" s="81" t="s">
        <v>6479</v>
      </c>
      <c r="AJ1909" s="81"/>
      <c r="AK1909" s="86" t="s">
        <v>6240</v>
      </c>
      <c r="AL1909" s="81" t="b">
        <v>0</v>
      </c>
      <c r="AM1909" s="81">
        <v>0</v>
      </c>
      <c r="AN1909" s="86" t="s">
        <v>6240</v>
      </c>
      <c r="AO1909" s="86" t="s">
        <v>6506</v>
      </c>
      <c r="AP1909" s="81" t="b">
        <v>0</v>
      </c>
      <c r="AQ1909" s="86" t="s">
        <v>5592</v>
      </c>
      <c r="AR1909" s="81" t="s">
        <v>179</v>
      </c>
      <c r="AS1909" s="81">
        <v>0</v>
      </c>
      <c r="AT1909" s="81">
        <v>0</v>
      </c>
      <c r="AU1909" s="81"/>
      <c r="AV1909" s="81"/>
      <c r="AW1909" s="81"/>
      <c r="AX1909" s="81"/>
      <c r="AY1909" s="81"/>
      <c r="AZ1909" s="81"/>
      <c r="BA1909" s="81"/>
      <c r="BB1909" s="81"/>
    </row>
    <row r="1910" spans="1:54" x14ac:dyDescent="0.35">
      <c r="A1910" s="66" t="s">
        <v>1269</v>
      </c>
      <c r="B1910" s="66" t="s">
        <v>1269</v>
      </c>
      <c r="C1910" s="67"/>
      <c r="D1910" s="68"/>
      <c r="E1910" s="69"/>
      <c r="F1910" s="70"/>
      <c r="G1910" s="67"/>
      <c r="H1910" s="71"/>
      <c r="I1910" s="72"/>
      <c r="J1910" s="72"/>
      <c r="K1910" s="36"/>
      <c r="L1910" s="79"/>
      <c r="M1910" s="79"/>
      <c r="N1910" s="74"/>
      <c r="O1910" s="81" t="s">
        <v>179</v>
      </c>
      <c r="P1910" s="83">
        <v>44458.969131944446</v>
      </c>
      <c r="Q1910" s="81" t="s">
        <v>2350</v>
      </c>
      <c r="R1910" s="81"/>
      <c r="S1910" s="81"/>
      <c r="T1910" s="81"/>
      <c r="U1910" s="81"/>
      <c r="V1910" s="84" t="str">
        <f>HYPERLINK("https://pbs.twimg.com/profile_images/378800000705328795/304bfd91ee90011498fd092cc79a423e_normal.jpeg")</f>
        <v>https://pbs.twimg.com/profile_images/378800000705328795/304bfd91ee90011498fd092cc79a423e_normal.jpeg</v>
      </c>
      <c r="W1910" s="83">
        <v>44458.969131944446</v>
      </c>
      <c r="X1910" s="89">
        <v>44458</v>
      </c>
      <c r="Y1910" s="86" t="s">
        <v>4107</v>
      </c>
      <c r="Z1910" s="84" t="str">
        <f>HYPERLINK("https://twitter.com/pos_indonesia/status/1439729909165744129")</f>
        <v>https://twitter.com/pos_indonesia/status/1439729909165744129</v>
      </c>
      <c r="AA1910" s="81"/>
      <c r="AB1910" s="81"/>
      <c r="AC1910" s="86" t="s">
        <v>5593</v>
      </c>
      <c r="AD1910" s="81"/>
      <c r="AE1910" s="81" t="b">
        <v>0</v>
      </c>
      <c r="AF1910" s="81">
        <v>0</v>
      </c>
      <c r="AG1910" s="86" t="s">
        <v>6240</v>
      </c>
      <c r="AH1910" s="81" t="b">
        <v>0</v>
      </c>
      <c r="AI1910" s="81" t="s">
        <v>6479</v>
      </c>
      <c r="AJ1910" s="81"/>
      <c r="AK1910" s="86" t="s">
        <v>6240</v>
      </c>
      <c r="AL1910" s="81" t="b">
        <v>0</v>
      </c>
      <c r="AM1910" s="81">
        <v>0</v>
      </c>
      <c r="AN1910" s="86" t="s">
        <v>6240</v>
      </c>
      <c r="AO1910" s="86" t="s">
        <v>6506</v>
      </c>
      <c r="AP1910" s="81" t="b">
        <v>0</v>
      </c>
      <c r="AQ1910" s="86" t="s">
        <v>5593</v>
      </c>
      <c r="AR1910" s="81" t="s">
        <v>179</v>
      </c>
      <c r="AS1910" s="81">
        <v>0</v>
      </c>
      <c r="AT1910" s="81">
        <v>0</v>
      </c>
      <c r="AU1910" s="81"/>
      <c r="AV1910" s="81"/>
      <c r="AW1910" s="81"/>
      <c r="AX1910" s="81"/>
      <c r="AY1910" s="81"/>
      <c r="AZ1910" s="81"/>
      <c r="BA1910" s="81"/>
      <c r="BB1910" s="81"/>
    </row>
    <row r="1911" spans="1:54" x14ac:dyDescent="0.35">
      <c r="A1911" s="66" t="s">
        <v>1269</v>
      </c>
      <c r="B1911" s="66" t="s">
        <v>1269</v>
      </c>
      <c r="C1911" s="67"/>
      <c r="D1911" s="68"/>
      <c r="E1911" s="69"/>
      <c r="F1911" s="70"/>
      <c r="G1911" s="67"/>
      <c r="H1911" s="71"/>
      <c r="I1911" s="72"/>
      <c r="J1911" s="72"/>
      <c r="K1911" s="36"/>
      <c r="L1911" s="79"/>
      <c r="M1911" s="79"/>
      <c r="N1911" s="74"/>
      <c r="O1911" s="81" t="s">
        <v>179</v>
      </c>
      <c r="P1911" s="83">
        <v>44458.989918981482</v>
      </c>
      <c r="Q1911" s="81" t="s">
        <v>2351</v>
      </c>
      <c r="R1911" s="81"/>
      <c r="S1911" s="81"/>
      <c r="T1911" s="81"/>
      <c r="U1911" s="81"/>
      <c r="V1911" s="84" t="str">
        <f>HYPERLINK("https://pbs.twimg.com/profile_images/378800000705328795/304bfd91ee90011498fd092cc79a423e_normal.jpeg")</f>
        <v>https://pbs.twimg.com/profile_images/378800000705328795/304bfd91ee90011498fd092cc79a423e_normal.jpeg</v>
      </c>
      <c r="W1911" s="83">
        <v>44458.989918981482</v>
      </c>
      <c r="X1911" s="89">
        <v>44458</v>
      </c>
      <c r="Y1911" s="86" t="s">
        <v>4067</v>
      </c>
      <c r="Z1911" s="84" t="str">
        <f>HYPERLINK("https://twitter.com/pos_indonesia/status/1439737441665966081")</f>
        <v>https://twitter.com/pos_indonesia/status/1439737441665966081</v>
      </c>
      <c r="AA1911" s="81"/>
      <c r="AB1911" s="81"/>
      <c r="AC1911" s="86" t="s">
        <v>5594</v>
      </c>
      <c r="AD1911" s="81"/>
      <c r="AE1911" s="81" t="b">
        <v>0</v>
      </c>
      <c r="AF1911" s="81">
        <v>0</v>
      </c>
      <c r="AG1911" s="86" t="s">
        <v>6240</v>
      </c>
      <c r="AH1911" s="81" t="b">
        <v>0</v>
      </c>
      <c r="AI1911" s="81" t="s">
        <v>6479</v>
      </c>
      <c r="AJ1911" s="81"/>
      <c r="AK1911" s="86" t="s">
        <v>6240</v>
      </c>
      <c r="AL1911" s="81" t="b">
        <v>0</v>
      </c>
      <c r="AM1911" s="81">
        <v>0</v>
      </c>
      <c r="AN1911" s="86" t="s">
        <v>6240</v>
      </c>
      <c r="AO1911" s="86" t="s">
        <v>6506</v>
      </c>
      <c r="AP1911" s="81" t="b">
        <v>0</v>
      </c>
      <c r="AQ1911" s="86" t="s">
        <v>5594</v>
      </c>
      <c r="AR1911" s="81" t="s">
        <v>179</v>
      </c>
      <c r="AS1911" s="81">
        <v>0</v>
      </c>
      <c r="AT1911" s="81">
        <v>0</v>
      </c>
      <c r="AU1911" s="81"/>
      <c r="AV1911" s="81"/>
      <c r="AW1911" s="81"/>
      <c r="AX1911" s="81"/>
      <c r="AY1911" s="81"/>
      <c r="AZ1911" s="81"/>
      <c r="BA1911" s="81"/>
      <c r="BB1911" s="81"/>
    </row>
    <row r="1912" spans="1:54" x14ac:dyDescent="0.35">
      <c r="A1912" s="66" t="s">
        <v>1269</v>
      </c>
      <c r="B1912" s="66" t="s">
        <v>1269</v>
      </c>
      <c r="C1912" s="67"/>
      <c r="D1912" s="68"/>
      <c r="E1912" s="69"/>
      <c r="F1912" s="70"/>
      <c r="G1912" s="67"/>
      <c r="H1912" s="71"/>
      <c r="I1912" s="72"/>
      <c r="J1912" s="72"/>
      <c r="K1912" s="36"/>
      <c r="L1912" s="79"/>
      <c r="M1912" s="79"/>
      <c r="N1912" s="74"/>
      <c r="O1912" s="81" t="s">
        <v>179</v>
      </c>
      <c r="P1912" s="83">
        <v>44459.031585648147</v>
      </c>
      <c r="Q1912" s="81" t="s">
        <v>2352</v>
      </c>
      <c r="R1912" s="81"/>
      <c r="S1912" s="81"/>
      <c r="T1912" s="81"/>
      <c r="U1912" s="81"/>
      <c r="V1912" s="84" t="str">
        <f>HYPERLINK("https://pbs.twimg.com/profile_images/378800000705328795/304bfd91ee90011498fd092cc79a423e_normal.jpeg")</f>
        <v>https://pbs.twimg.com/profile_images/378800000705328795/304bfd91ee90011498fd092cc79a423e_normal.jpeg</v>
      </c>
      <c r="W1912" s="83">
        <v>44459.031585648147</v>
      </c>
      <c r="X1912" s="89">
        <v>44459</v>
      </c>
      <c r="Y1912" s="86" t="s">
        <v>4069</v>
      </c>
      <c r="Z1912" s="84" t="str">
        <f>HYPERLINK("https://twitter.com/pos_indonesia/status/1439752538174083072")</f>
        <v>https://twitter.com/pos_indonesia/status/1439752538174083072</v>
      </c>
      <c r="AA1912" s="81"/>
      <c r="AB1912" s="81"/>
      <c r="AC1912" s="86" t="s">
        <v>5595</v>
      </c>
      <c r="AD1912" s="81"/>
      <c r="AE1912" s="81" t="b">
        <v>0</v>
      </c>
      <c r="AF1912" s="81">
        <v>0</v>
      </c>
      <c r="AG1912" s="86" t="s">
        <v>6240</v>
      </c>
      <c r="AH1912" s="81" t="b">
        <v>0</v>
      </c>
      <c r="AI1912" s="81" t="s">
        <v>6479</v>
      </c>
      <c r="AJ1912" s="81"/>
      <c r="AK1912" s="86" t="s">
        <v>6240</v>
      </c>
      <c r="AL1912" s="81" t="b">
        <v>0</v>
      </c>
      <c r="AM1912" s="81">
        <v>0</v>
      </c>
      <c r="AN1912" s="86" t="s">
        <v>6240</v>
      </c>
      <c r="AO1912" s="86" t="s">
        <v>6506</v>
      </c>
      <c r="AP1912" s="81" t="b">
        <v>0</v>
      </c>
      <c r="AQ1912" s="86" t="s">
        <v>5595</v>
      </c>
      <c r="AR1912" s="81" t="s">
        <v>179</v>
      </c>
      <c r="AS1912" s="81">
        <v>0</v>
      </c>
      <c r="AT1912" s="81">
        <v>0</v>
      </c>
      <c r="AU1912" s="81"/>
      <c r="AV1912" s="81"/>
      <c r="AW1912" s="81"/>
      <c r="AX1912" s="81"/>
      <c r="AY1912" s="81"/>
      <c r="AZ1912" s="81"/>
      <c r="BA1912" s="81"/>
      <c r="BB1912" s="81"/>
    </row>
    <row r="1913" spans="1:54" x14ac:dyDescent="0.35">
      <c r="A1913" s="66" t="s">
        <v>1269</v>
      </c>
      <c r="B1913" s="66" t="s">
        <v>1269</v>
      </c>
      <c r="C1913" s="67"/>
      <c r="D1913" s="68"/>
      <c r="E1913" s="69"/>
      <c r="F1913" s="70"/>
      <c r="G1913" s="67"/>
      <c r="H1913" s="71"/>
      <c r="I1913" s="72"/>
      <c r="J1913" s="72"/>
      <c r="K1913" s="36"/>
      <c r="L1913" s="79"/>
      <c r="M1913" s="79"/>
      <c r="N1913" s="74"/>
      <c r="O1913" s="81" t="s">
        <v>179</v>
      </c>
      <c r="P1913" s="83">
        <v>44459.052465277775</v>
      </c>
      <c r="Q1913" s="81" t="s">
        <v>2353</v>
      </c>
      <c r="R1913" s="81"/>
      <c r="S1913" s="81"/>
      <c r="T1913" s="81"/>
      <c r="U1913" s="81"/>
      <c r="V1913" s="84" t="str">
        <f>HYPERLINK("https://pbs.twimg.com/profile_images/378800000705328795/304bfd91ee90011498fd092cc79a423e_normal.jpeg")</f>
        <v>https://pbs.twimg.com/profile_images/378800000705328795/304bfd91ee90011498fd092cc79a423e_normal.jpeg</v>
      </c>
      <c r="W1913" s="83">
        <v>44459.052465277775</v>
      </c>
      <c r="X1913" s="89">
        <v>44459</v>
      </c>
      <c r="Y1913" s="86" t="s">
        <v>4070</v>
      </c>
      <c r="Z1913" s="84" t="str">
        <f>HYPERLINK("https://twitter.com/pos_indonesia/status/1439760106955034628")</f>
        <v>https://twitter.com/pos_indonesia/status/1439760106955034628</v>
      </c>
      <c r="AA1913" s="81"/>
      <c r="AB1913" s="81"/>
      <c r="AC1913" s="86" t="s">
        <v>5596</v>
      </c>
      <c r="AD1913" s="81"/>
      <c r="AE1913" s="81" t="b">
        <v>0</v>
      </c>
      <c r="AF1913" s="81">
        <v>0</v>
      </c>
      <c r="AG1913" s="86" t="s">
        <v>6240</v>
      </c>
      <c r="AH1913" s="81" t="b">
        <v>0</v>
      </c>
      <c r="AI1913" s="81" t="s">
        <v>6479</v>
      </c>
      <c r="AJ1913" s="81"/>
      <c r="AK1913" s="86" t="s">
        <v>6240</v>
      </c>
      <c r="AL1913" s="81" t="b">
        <v>0</v>
      </c>
      <c r="AM1913" s="81">
        <v>0</v>
      </c>
      <c r="AN1913" s="86" t="s">
        <v>6240</v>
      </c>
      <c r="AO1913" s="86" t="s">
        <v>6506</v>
      </c>
      <c r="AP1913" s="81" t="b">
        <v>0</v>
      </c>
      <c r="AQ1913" s="86" t="s">
        <v>5596</v>
      </c>
      <c r="AR1913" s="81" t="s">
        <v>179</v>
      </c>
      <c r="AS1913" s="81">
        <v>0</v>
      </c>
      <c r="AT1913" s="81">
        <v>0</v>
      </c>
      <c r="AU1913" s="81"/>
      <c r="AV1913" s="81"/>
      <c r="AW1913" s="81"/>
      <c r="AX1913" s="81"/>
      <c r="AY1913" s="81"/>
      <c r="AZ1913" s="81"/>
      <c r="BA1913" s="81"/>
      <c r="BB1913" s="81"/>
    </row>
    <row r="1914" spans="1:54" x14ac:dyDescent="0.35">
      <c r="A1914" s="66" t="s">
        <v>1269</v>
      </c>
      <c r="B1914" s="66" t="s">
        <v>1269</v>
      </c>
      <c r="C1914" s="67"/>
      <c r="D1914" s="68"/>
      <c r="E1914" s="69"/>
      <c r="F1914" s="70"/>
      <c r="G1914" s="67"/>
      <c r="H1914" s="71"/>
      <c r="I1914" s="72"/>
      <c r="J1914" s="72"/>
      <c r="K1914" s="36"/>
      <c r="L1914" s="79"/>
      <c r="M1914" s="79"/>
      <c r="N1914" s="74"/>
      <c r="O1914" s="81" t="s">
        <v>179</v>
      </c>
      <c r="P1914" s="83">
        <v>44459.073252314818</v>
      </c>
      <c r="Q1914" s="81" t="s">
        <v>2354</v>
      </c>
      <c r="R1914" s="81"/>
      <c r="S1914" s="81"/>
      <c r="T1914" s="81"/>
      <c r="U1914" s="81"/>
      <c r="V1914" s="84" t="str">
        <f>HYPERLINK("https://pbs.twimg.com/profile_images/378800000705328795/304bfd91ee90011498fd092cc79a423e_normal.jpeg")</f>
        <v>https://pbs.twimg.com/profile_images/378800000705328795/304bfd91ee90011498fd092cc79a423e_normal.jpeg</v>
      </c>
      <c r="W1914" s="83">
        <v>44459.073252314818</v>
      </c>
      <c r="X1914" s="89">
        <v>44459</v>
      </c>
      <c r="Y1914" s="86" t="s">
        <v>4071</v>
      </c>
      <c r="Z1914" s="84" t="str">
        <f>HYPERLINK("https://twitter.com/pos_indonesia/status/1439767640340238338")</f>
        <v>https://twitter.com/pos_indonesia/status/1439767640340238338</v>
      </c>
      <c r="AA1914" s="81"/>
      <c r="AB1914" s="81"/>
      <c r="AC1914" s="86" t="s">
        <v>5597</v>
      </c>
      <c r="AD1914" s="81"/>
      <c r="AE1914" s="81" t="b">
        <v>0</v>
      </c>
      <c r="AF1914" s="81">
        <v>0</v>
      </c>
      <c r="AG1914" s="86" t="s">
        <v>6240</v>
      </c>
      <c r="AH1914" s="81" t="b">
        <v>0</v>
      </c>
      <c r="AI1914" s="81" t="s">
        <v>6479</v>
      </c>
      <c r="AJ1914" s="81"/>
      <c r="AK1914" s="86" t="s">
        <v>6240</v>
      </c>
      <c r="AL1914" s="81" t="b">
        <v>0</v>
      </c>
      <c r="AM1914" s="81">
        <v>0</v>
      </c>
      <c r="AN1914" s="86" t="s">
        <v>6240</v>
      </c>
      <c r="AO1914" s="86" t="s">
        <v>6506</v>
      </c>
      <c r="AP1914" s="81" t="b">
        <v>0</v>
      </c>
      <c r="AQ1914" s="86" t="s">
        <v>5597</v>
      </c>
      <c r="AR1914" s="81" t="s">
        <v>179</v>
      </c>
      <c r="AS1914" s="81">
        <v>0</v>
      </c>
      <c r="AT1914" s="81">
        <v>0</v>
      </c>
      <c r="AU1914" s="81"/>
      <c r="AV1914" s="81"/>
      <c r="AW1914" s="81"/>
      <c r="AX1914" s="81"/>
      <c r="AY1914" s="81"/>
      <c r="AZ1914" s="81"/>
      <c r="BA1914" s="81"/>
      <c r="BB1914" s="81"/>
    </row>
    <row r="1915" spans="1:54" x14ac:dyDescent="0.35">
      <c r="A1915" s="66" t="s">
        <v>1269</v>
      </c>
      <c r="B1915" s="66" t="s">
        <v>1269</v>
      </c>
      <c r="C1915" s="67"/>
      <c r="D1915" s="68"/>
      <c r="E1915" s="69"/>
      <c r="F1915" s="70"/>
      <c r="G1915" s="67"/>
      <c r="H1915" s="71"/>
      <c r="I1915" s="72"/>
      <c r="J1915" s="72"/>
      <c r="K1915" s="36"/>
      <c r="L1915" s="79"/>
      <c r="M1915" s="79"/>
      <c r="N1915" s="74"/>
      <c r="O1915" s="81" t="s">
        <v>179</v>
      </c>
      <c r="P1915" s="83">
        <v>44459.094143518516</v>
      </c>
      <c r="Q1915" s="81" t="s">
        <v>2355</v>
      </c>
      <c r="R1915" s="81"/>
      <c r="S1915" s="81"/>
      <c r="T1915" s="81"/>
      <c r="U1915" s="81"/>
      <c r="V1915" s="84" t="str">
        <f>HYPERLINK("https://pbs.twimg.com/profile_images/378800000705328795/304bfd91ee90011498fd092cc79a423e_normal.jpeg")</f>
        <v>https://pbs.twimg.com/profile_images/378800000705328795/304bfd91ee90011498fd092cc79a423e_normal.jpeg</v>
      </c>
      <c r="W1915" s="83">
        <v>44459.094143518516</v>
      </c>
      <c r="X1915" s="89">
        <v>44459</v>
      </c>
      <c r="Y1915" s="86" t="s">
        <v>4072</v>
      </c>
      <c r="Z1915" s="84" t="str">
        <f>HYPERLINK("https://twitter.com/pos_indonesia/status/1439775210962518022")</f>
        <v>https://twitter.com/pos_indonesia/status/1439775210962518022</v>
      </c>
      <c r="AA1915" s="81"/>
      <c r="AB1915" s="81"/>
      <c r="AC1915" s="86" t="s">
        <v>5598</v>
      </c>
      <c r="AD1915" s="81"/>
      <c r="AE1915" s="81" t="b">
        <v>0</v>
      </c>
      <c r="AF1915" s="81">
        <v>0</v>
      </c>
      <c r="AG1915" s="86" t="s">
        <v>6240</v>
      </c>
      <c r="AH1915" s="81" t="b">
        <v>0</v>
      </c>
      <c r="AI1915" s="81" t="s">
        <v>6479</v>
      </c>
      <c r="AJ1915" s="81"/>
      <c r="AK1915" s="86" t="s">
        <v>6240</v>
      </c>
      <c r="AL1915" s="81" t="b">
        <v>0</v>
      </c>
      <c r="AM1915" s="81">
        <v>0</v>
      </c>
      <c r="AN1915" s="86" t="s">
        <v>6240</v>
      </c>
      <c r="AO1915" s="86" t="s">
        <v>6506</v>
      </c>
      <c r="AP1915" s="81" t="b">
        <v>0</v>
      </c>
      <c r="AQ1915" s="86" t="s">
        <v>5598</v>
      </c>
      <c r="AR1915" s="81" t="s">
        <v>179</v>
      </c>
      <c r="AS1915" s="81">
        <v>0</v>
      </c>
      <c r="AT1915" s="81">
        <v>0</v>
      </c>
      <c r="AU1915" s="81"/>
      <c r="AV1915" s="81"/>
      <c r="AW1915" s="81"/>
      <c r="AX1915" s="81"/>
      <c r="AY1915" s="81"/>
      <c r="AZ1915" s="81"/>
      <c r="BA1915" s="81"/>
      <c r="BB1915" s="81"/>
    </row>
    <row r="1916" spans="1:54" x14ac:dyDescent="0.35">
      <c r="A1916" s="66" t="s">
        <v>1269</v>
      </c>
      <c r="B1916" s="66" t="s">
        <v>1269</v>
      </c>
      <c r="C1916" s="67"/>
      <c r="D1916" s="68"/>
      <c r="E1916" s="69"/>
      <c r="F1916" s="70"/>
      <c r="G1916" s="67"/>
      <c r="H1916" s="71"/>
      <c r="I1916" s="72"/>
      <c r="J1916" s="72"/>
      <c r="K1916" s="36"/>
      <c r="L1916" s="79"/>
      <c r="M1916" s="79"/>
      <c r="N1916" s="74"/>
      <c r="O1916" s="81" t="s">
        <v>179</v>
      </c>
      <c r="P1916" s="83">
        <v>44459.114942129629</v>
      </c>
      <c r="Q1916" s="81" t="s">
        <v>2356</v>
      </c>
      <c r="R1916" s="81"/>
      <c r="S1916" s="81"/>
      <c r="T1916" s="81"/>
      <c r="U1916" s="81"/>
      <c r="V1916" s="84" t="str">
        <f>HYPERLINK("https://pbs.twimg.com/profile_images/378800000705328795/304bfd91ee90011498fd092cc79a423e_normal.jpeg")</f>
        <v>https://pbs.twimg.com/profile_images/378800000705328795/304bfd91ee90011498fd092cc79a423e_normal.jpeg</v>
      </c>
      <c r="W1916" s="83">
        <v>44459.114942129629</v>
      </c>
      <c r="X1916" s="89">
        <v>44459</v>
      </c>
      <c r="Y1916" s="86" t="s">
        <v>4108</v>
      </c>
      <c r="Z1916" s="84" t="str">
        <f>HYPERLINK("https://twitter.com/pos_indonesia/status/1439782745291456512")</f>
        <v>https://twitter.com/pos_indonesia/status/1439782745291456512</v>
      </c>
      <c r="AA1916" s="81"/>
      <c r="AB1916" s="81"/>
      <c r="AC1916" s="86" t="s">
        <v>5599</v>
      </c>
      <c r="AD1916" s="81"/>
      <c r="AE1916" s="81" t="b">
        <v>0</v>
      </c>
      <c r="AF1916" s="81">
        <v>0</v>
      </c>
      <c r="AG1916" s="86" t="s">
        <v>6240</v>
      </c>
      <c r="AH1916" s="81" t="b">
        <v>0</v>
      </c>
      <c r="AI1916" s="81" t="s">
        <v>6479</v>
      </c>
      <c r="AJ1916" s="81"/>
      <c r="AK1916" s="86" t="s">
        <v>6240</v>
      </c>
      <c r="AL1916" s="81" t="b">
        <v>0</v>
      </c>
      <c r="AM1916" s="81">
        <v>0</v>
      </c>
      <c r="AN1916" s="86" t="s">
        <v>6240</v>
      </c>
      <c r="AO1916" s="86" t="s">
        <v>6506</v>
      </c>
      <c r="AP1916" s="81" t="b">
        <v>0</v>
      </c>
      <c r="AQ1916" s="86" t="s">
        <v>5599</v>
      </c>
      <c r="AR1916" s="81" t="s">
        <v>179</v>
      </c>
      <c r="AS1916" s="81">
        <v>0</v>
      </c>
      <c r="AT1916" s="81">
        <v>0</v>
      </c>
      <c r="AU1916" s="81"/>
      <c r="AV1916" s="81"/>
      <c r="AW1916" s="81"/>
      <c r="AX1916" s="81"/>
      <c r="AY1916" s="81"/>
      <c r="AZ1916" s="81"/>
      <c r="BA1916" s="81"/>
      <c r="BB1916" s="81"/>
    </row>
    <row r="1917" spans="1:54" x14ac:dyDescent="0.35">
      <c r="A1917" s="66" t="s">
        <v>1269</v>
      </c>
      <c r="B1917" s="66" t="s">
        <v>1269</v>
      </c>
      <c r="C1917" s="67"/>
      <c r="D1917" s="68"/>
      <c r="E1917" s="69"/>
      <c r="F1917" s="70"/>
      <c r="G1917" s="67"/>
      <c r="H1917" s="71"/>
      <c r="I1917" s="72"/>
      <c r="J1917" s="72"/>
      <c r="K1917" s="36"/>
      <c r="L1917" s="79"/>
      <c r="M1917" s="79"/>
      <c r="N1917" s="74"/>
      <c r="O1917" s="81" t="s">
        <v>179</v>
      </c>
      <c r="P1917" s="83">
        <v>44459.135798611111</v>
      </c>
      <c r="Q1917" s="81" t="s">
        <v>2357</v>
      </c>
      <c r="R1917" s="81"/>
      <c r="S1917" s="81"/>
      <c r="T1917" s="81"/>
      <c r="U1917" s="81"/>
      <c r="V1917" s="84" t="str">
        <f>HYPERLINK("https://pbs.twimg.com/profile_images/378800000705328795/304bfd91ee90011498fd092cc79a423e_normal.jpeg")</f>
        <v>https://pbs.twimg.com/profile_images/378800000705328795/304bfd91ee90011498fd092cc79a423e_normal.jpeg</v>
      </c>
      <c r="W1917" s="83">
        <v>44459.135798611111</v>
      </c>
      <c r="X1917" s="89">
        <v>44459</v>
      </c>
      <c r="Y1917" s="86" t="s">
        <v>4109</v>
      </c>
      <c r="Z1917" s="84" t="str">
        <f>HYPERLINK("https://twitter.com/pos_indonesia/status/1439790304983326724")</f>
        <v>https://twitter.com/pos_indonesia/status/1439790304983326724</v>
      </c>
      <c r="AA1917" s="81"/>
      <c r="AB1917" s="81"/>
      <c r="AC1917" s="86" t="s">
        <v>5600</v>
      </c>
      <c r="AD1917" s="81"/>
      <c r="AE1917" s="81" t="b">
        <v>0</v>
      </c>
      <c r="AF1917" s="81">
        <v>0</v>
      </c>
      <c r="AG1917" s="86" t="s">
        <v>6240</v>
      </c>
      <c r="AH1917" s="81" t="b">
        <v>0</v>
      </c>
      <c r="AI1917" s="81" t="s">
        <v>6479</v>
      </c>
      <c r="AJ1917" s="81"/>
      <c r="AK1917" s="86" t="s">
        <v>6240</v>
      </c>
      <c r="AL1917" s="81" t="b">
        <v>0</v>
      </c>
      <c r="AM1917" s="81">
        <v>0</v>
      </c>
      <c r="AN1917" s="86" t="s">
        <v>6240</v>
      </c>
      <c r="AO1917" s="86" t="s">
        <v>6506</v>
      </c>
      <c r="AP1917" s="81" t="b">
        <v>0</v>
      </c>
      <c r="AQ1917" s="86" t="s">
        <v>5600</v>
      </c>
      <c r="AR1917" s="81" t="s">
        <v>179</v>
      </c>
      <c r="AS1917" s="81">
        <v>0</v>
      </c>
      <c r="AT1917" s="81">
        <v>0</v>
      </c>
      <c r="AU1917" s="81"/>
      <c r="AV1917" s="81"/>
      <c r="AW1917" s="81"/>
      <c r="AX1917" s="81"/>
      <c r="AY1917" s="81"/>
      <c r="AZ1917" s="81"/>
      <c r="BA1917" s="81"/>
      <c r="BB1917" s="81"/>
    </row>
    <row r="1918" spans="1:54" x14ac:dyDescent="0.35">
      <c r="A1918" s="66" t="s">
        <v>1269</v>
      </c>
      <c r="B1918" s="66" t="s">
        <v>1269</v>
      </c>
      <c r="C1918" s="67"/>
      <c r="D1918" s="68"/>
      <c r="E1918" s="69"/>
      <c r="F1918" s="70"/>
      <c r="G1918" s="67"/>
      <c r="H1918" s="71"/>
      <c r="I1918" s="72"/>
      <c r="J1918" s="72"/>
      <c r="K1918" s="36"/>
      <c r="L1918" s="79"/>
      <c r="M1918" s="79"/>
      <c r="N1918" s="74"/>
      <c r="O1918" s="81" t="s">
        <v>179</v>
      </c>
      <c r="P1918" s="83">
        <v>44459.156585648147</v>
      </c>
      <c r="Q1918" s="81" t="s">
        <v>2358</v>
      </c>
      <c r="R1918" s="81"/>
      <c r="S1918" s="81"/>
      <c r="T1918" s="81"/>
      <c r="U1918" s="81"/>
      <c r="V1918" s="84" t="str">
        <f>HYPERLINK("https://pbs.twimg.com/profile_images/378800000705328795/304bfd91ee90011498fd092cc79a423e_normal.jpeg")</f>
        <v>https://pbs.twimg.com/profile_images/378800000705328795/304bfd91ee90011498fd092cc79a423e_normal.jpeg</v>
      </c>
      <c r="W1918" s="83">
        <v>44459.156585648147</v>
      </c>
      <c r="X1918" s="89">
        <v>44459</v>
      </c>
      <c r="Y1918" s="86" t="s">
        <v>4110</v>
      </c>
      <c r="Z1918" s="84" t="str">
        <f>HYPERLINK("https://twitter.com/pos_indonesia/status/1439797836892098572")</f>
        <v>https://twitter.com/pos_indonesia/status/1439797836892098572</v>
      </c>
      <c r="AA1918" s="81"/>
      <c r="AB1918" s="81"/>
      <c r="AC1918" s="86" t="s">
        <v>5601</v>
      </c>
      <c r="AD1918" s="81"/>
      <c r="AE1918" s="81" t="b">
        <v>0</v>
      </c>
      <c r="AF1918" s="81">
        <v>0</v>
      </c>
      <c r="AG1918" s="86" t="s">
        <v>6240</v>
      </c>
      <c r="AH1918" s="81" t="b">
        <v>0</v>
      </c>
      <c r="AI1918" s="81" t="s">
        <v>6479</v>
      </c>
      <c r="AJ1918" s="81"/>
      <c r="AK1918" s="86" t="s">
        <v>6240</v>
      </c>
      <c r="AL1918" s="81" t="b">
        <v>0</v>
      </c>
      <c r="AM1918" s="81">
        <v>0</v>
      </c>
      <c r="AN1918" s="86" t="s">
        <v>6240</v>
      </c>
      <c r="AO1918" s="86" t="s">
        <v>6506</v>
      </c>
      <c r="AP1918" s="81" t="b">
        <v>0</v>
      </c>
      <c r="AQ1918" s="86" t="s">
        <v>5601</v>
      </c>
      <c r="AR1918" s="81" t="s">
        <v>179</v>
      </c>
      <c r="AS1918" s="81">
        <v>0</v>
      </c>
      <c r="AT1918" s="81">
        <v>0</v>
      </c>
      <c r="AU1918" s="81"/>
      <c r="AV1918" s="81"/>
      <c r="AW1918" s="81"/>
      <c r="AX1918" s="81"/>
      <c r="AY1918" s="81"/>
      <c r="AZ1918" s="81"/>
      <c r="BA1918" s="81"/>
      <c r="BB1918" s="81"/>
    </row>
    <row r="1919" spans="1:54" x14ac:dyDescent="0.35">
      <c r="A1919" s="66" t="s">
        <v>1269</v>
      </c>
      <c r="B1919" s="66" t="s">
        <v>1269</v>
      </c>
      <c r="C1919" s="67"/>
      <c r="D1919" s="68"/>
      <c r="E1919" s="69"/>
      <c r="F1919" s="70"/>
      <c r="G1919" s="67"/>
      <c r="H1919" s="71"/>
      <c r="I1919" s="72"/>
      <c r="J1919" s="72"/>
      <c r="K1919" s="36"/>
      <c r="L1919" s="79"/>
      <c r="M1919" s="79"/>
      <c r="N1919" s="74"/>
      <c r="O1919" s="81" t="s">
        <v>179</v>
      </c>
      <c r="P1919" s="83">
        <v>44459.177476851852</v>
      </c>
      <c r="Q1919" s="81" t="s">
        <v>2359</v>
      </c>
      <c r="R1919" s="81"/>
      <c r="S1919" s="81"/>
      <c r="T1919" s="81"/>
      <c r="U1919" s="81"/>
      <c r="V1919" s="84" t="str">
        <f>HYPERLINK("https://pbs.twimg.com/profile_images/378800000705328795/304bfd91ee90011498fd092cc79a423e_normal.jpeg")</f>
        <v>https://pbs.twimg.com/profile_images/378800000705328795/304bfd91ee90011498fd092cc79a423e_normal.jpeg</v>
      </c>
      <c r="W1919" s="83">
        <v>44459.177476851852</v>
      </c>
      <c r="X1919" s="89">
        <v>44459</v>
      </c>
      <c r="Y1919" s="86" t="s">
        <v>4076</v>
      </c>
      <c r="Z1919" s="84" t="str">
        <f>HYPERLINK("https://twitter.com/pos_indonesia/status/1439805409489874944")</f>
        <v>https://twitter.com/pos_indonesia/status/1439805409489874944</v>
      </c>
      <c r="AA1919" s="81"/>
      <c r="AB1919" s="81"/>
      <c r="AC1919" s="86" t="s">
        <v>5602</v>
      </c>
      <c r="AD1919" s="81"/>
      <c r="AE1919" s="81" t="b">
        <v>0</v>
      </c>
      <c r="AF1919" s="81">
        <v>0</v>
      </c>
      <c r="AG1919" s="86" t="s">
        <v>6240</v>
      </c>
      <c r="AH1919" s="81" t="b">
        <v>0</v>
      </c>
      <c r="AI1919" s="81" t="s">
        <v>6479</v>
      </c>
      <c r="AJ1919" s="81"/>
      <c r="AK1919" s="86" t="s">
        <v>6240</v>
      </c>
      <c r="AL1919" s="81" t="b">
        <v>0</v>
      </c>
      <c r="AM1919" s="81">
        <v>0</v>
      </c>
      <c r="AN1919" s="86" t="s">
        <v>6240</v>
      </c>
      <c r="AO1919" s="86" t="s">
        <v>6506</v>
      </c>
      <c r="AP1919" s="81" t="b">
        <v>0</v>
      </c>
      <c r="AQ1919" s="86" t="s">
        <v>5602</v>
      </c>
      <c r="AR1919" s="81" t="s">
        <v>179</v>
      </c>
      <c r="AS1919" s="81">
        <v>0</v>
      </c>
      <c r="AT1919" s="81">
        <v>0</v>
      </c>
      <c r="AU1919" s="81"/>
      <c r="AV1919" s="81"/>
      <c r="AW1919" s="81"/>
      <c r="AX1919" s="81"/>
      <c r="AY1919" s="81"/>
      <c r="AZ1919" s="81"/>
      <c r="BA1919" s="81"/>
      <c r="BB1919" s="81"/>
    </row>
    <row r="1920" spans="1:54" x14ac:dyDescent="0.35">
      <c r="A1920" s="66" t="s">
        <v>1269</v>
      </c>
      <c r="B1920" s="66" t="s">
        <v>1269</v>
      </c>
      <c r="C1920" s="67"/>
      <c r="D1920" s="68"/>
      <c r="E1920" s="69"/>
      <c r="F1920" s="70"/>
      <c r="G1920" s="67"/>
      <c r="H1920" s="71"/>
      <c r="I1920" s="72"/>
      <c r="J1920" s="72"/>
      <c r="K1920" s="36"/>
      <c r="L1920" s="79"/>
      <c r="M1920" s="79"/>
      <c r="N1920" s="74"/>
      <c r="O1920" s="81" t="s">
        <v>179</v>
      </c>
      <c r="P1920" s="83">
        <v>44459.198252314818</v>
      </c>
      <c r="Q1920" s="81" t="s">
        <v>2360</v>
      </c>
      <c r="R1920" s="81"/>
      <c r="S1920" s="81"/>
      <c r="T1920" s="81"/>
      <c r="U1920" s="81"/>
      <c r="V1920" s="84" t="str">
        <f>HYPERLINK("https://pbs.twimg.com/profile_images/378800000705328795/304bfd91ee90011498fd092cc79a423e_normal.jpeg")</f>
        <v>https://pbs.twimg.com/profile_images/378800000705328795/304bfd91ee90011498fd092cc79a423e_normal.jpeg</v>
      </c>
      <c r="W1920" s="83">
        <v>44459.198252314818</v>
      </c>
      <c r="X1920" s="89">
        <v>44459</v>
      </c>
      <c r="Y1920" s="86" t="s">
        <v>4077</v>
      </c>
      <c r="Z1920" s="84" t="str">
        <f>HYPERLINK("https://twitter.com/pos_indonesia/status/1439812938915729409")</f>
        <v>https://twitter.com/pos_indonesia/status/1439812938915729409</v>
      </c>
      <c r="AA1920" s="81"/>
      <c r="AB1920" s="81"/>
      <c r="AC1920" s="86" t="s">
        <v>5603</v>
      </c>
      <c r="AD1920" s="81"/>
      <c r="AE1920" s="81" t="b">
        <v>0</v>
      </c>
      <c r="AF1920" s="81">
        <v>0</v>
      </c>
      <c r="AG1920" s="86" t="s">
        <v>6240</v>
      </c>
      <c r="AH1920" s="81" t="b">
        <v>0</v>
      </c>
      <c r="AI1920" s="81" t="s">
        <v>6479</v>
      </c>
      <c r="AJ1920" s="81"/>
      <c r="AK1920" s="86" t="s">
        <v>6240</v>
      </c>
      <c r="AL1920" s="81" t="b">
        <v>0</v>
      </c>
      <c r="AM1920" s="81">
        <v>0</v>
      </c>
      <c r="AN1920" s="86" t="s">
        <v>6240</v>
      </c>
      <c r="AO1920" s="86" t="s">
        <v>6506</v>
      </c>
      <c r="AP1920" s="81" t="b">
        <v>0</v>
      </c>
      <c r="AQ1920" s="86" t="s">
        <v>5603</v>
      </c>
      <c r="AR1920" s="81" t="s">
        <v>179</v>
      </c>
      <c r="AS1920" s="81">
        <v>0</v>
      </c>
      <c r="AT1920" s="81">
        <v>0</v>
      </c>
      <c r="AU1920" s="81"/>
      <c r="AV1920" s="81"/>
      <c r="AW1920" s="81"/>
      <c r="AX1920" s="81"/>
      <c r="AY1920" s="81"/>
      <c r="AZ1920" s="81"/>
      <c r="BA1920" s="81"/>
      <c r="BB1920" s="81"/>
    </row>
    <row r="1921" spans="1:54" x14ac:dyDescent="0.35">
      <c r="A1921" s="66" t="s">
        <v>1269</v>
      </c>
      <c r="B1921" s="66" t="s">
        <v>1269</v>
      </c>
      <c r="C1921" s="67"/>
      <c r="D1921" s="68"/>
      <c r="E1921" s="69"/>
      <c r="F1921" s="70"/>
      <c r="G1921" s="67"/>
      <c r="H1921" s="71"/>
      <c r="I1921" s="72"/>
      <c r="J1921" s="72"/>
      <c r="K1921" s="36"/>
      <c r="L1921" s="79"/>
      <c r="M1921" s="79"/>
      <c r="N1921" s="74"/>
      <c r="O1921" s="81" t="s">
        <v>179</v>
      </c>
      <c r="P1921" s="83">
        <v>44459.219131944446</v>
      </c>
      <c r="Q1921" s="81" t="s">
        <v>2361</v>
      </c>
      <c r="R1921" s="81"/>
      <c r="S1921" s="81"/>
      <c r="T1921" s="81"/>
      <c r="U1921" s="81"/>
      <c r="V1921" s="84" t="str">
        <f>HYPERLINK("https://pbs.twimg.com/profile_images/378800000705328795/304bfd91ee90011498fd092cc79a423e_normal.jpeg")</f>
        <v>https://pbs.twimg.com/profile_images/378800000705328795/304bfd91ee90011498fd092cc79a423e_normal.jpeg</v>
      </c>
      <c r="W1921" s="83">
        <v>44459.219131944446</v>
      </c>
      <c r="X1921" s="89">
        <v>44459</v>
      </c>
      <c r="Y1921" s="86" t="s">
        <v>4111</v>
      </c>
      <c r="Z1921" s="84" t="str">
        <f>HYPERLINK("https://twitter.com/pos_indonesia/status/1439820506375491590")</f>
        <v>https://twitter.com/pos_indonesia/status/1439820506375491590</v>
      </c>
      <c r="AA1921" s="81"/>
      <c r="AB1921" s="81"/>
      <c r="AC1921" s="86" t="s">
        <v>5604</v>
      </c>
      <c r="AD1921" s="81"/>
      <c r="AE1921" s="81" t="b">
        <v>0</v>
      </c>
      <c r="AF1921" s="81">
        <v>0</v>
      </c>
      <c r="AG1921" s="86" t="s">
        <v>6240</v>
      </c>
      <c r="AH1921" s="81" t="b">
        <v>0</v>
      </c>
      <c r="AI1921" s="81" t="s">
        <v>6479</v>
      </c>
      <c r="AJ1921" s="81"/>
      <c r="AK1921" s="86" t="s">
        <v>6240</v>
      </c>
      <c r="AL1921" s="81" t="b">
        <v>0</v>
      </c>
      <c r="AM1921" s="81">
        <v>0</v>
      </c>
      <c r="AN1921" s="86" t="s">
        <v>6240</v>
      </c>
      <c r="AO1921" s="86" t="s">
        <v>6506</v>
      </c>
      <c r="AP1921" s="81" t="b">
        <v>0</v>
      </c>
      <c r="AQ1921" s="86" t="s">
        <v>5604</v>
      </c>
      <c r="AR1921" s="81" t="s">
        <v>179</v>
      </c>
      <c r="AS1921" s="81">
        <v>0</v>
      </c>
      <c r="AT1921" s="81">
        <v>0</v>
      </c>
      <c r="AU1921" s="81"/>
      <c r="AV1921" s="81"/>
      <c r="AW1921" s="81"/>
      <c r="AX1921" s="81"/>
      <c r="AY1921" s="81"/>
      <c r="AZ1921" s="81"/>
      <c r="BA1921" s="81"/>
      <c r="BB1921" s="81"/>
    </row>
    <row r="1922" spans="1:54" x14ac:dyDescent="0.35">
      <c r="A1922" s="66" t="s">
        <v>1269</v>
      </c>
      <c r="B1922" s="66" t="s">
        <v>1269</v>
      </c>
      <c r="C1922" s="67"/>
      <c r="D1922" s="68"/>
      <c r="E1922" s="69"/>
      <c r="F1922" s="70"/>
      <c r="G1922" s="67"/>
      <c r="H1922" s="71"/>
      <c r="I1922" s="72"/>
      <c r="J1922" s="72"/>
      <c r="K1922" s="36"/>
      <c r="L1922" s="79"/>
      <c r="M1922" s="79"/>
      <c r="N1922" s="74"/>
      <c r="O1922" s="81" t="s">
        <v>179</v>
      </c>
      <c r="P1922" s="83">
        <v>44459.239918981482</v>
      </c>
      <c r="Q1922" s="81" t="s">
        <v>2362</v>
      </c>
      <c r="R1922" s="81"/>
      <c r="S1922" s="81"/>
      <c r="T1922" s="81"/>
      <c r="U1922" s="81"/>
      <c r="V1922" s="84" t="str">
        <f>HYPERLINK("https://pbs.twimg.com/profile_images/378800000705328795/304bfd91ee90011498fd092cc79a423e_normal.jpeg")</f>
        <v>https://pbs.twimg.com/profile_images/378800000705328795/304bfd91ee90011498fd092cc79a423e_normal.jpeg</v>
      </c>
      <c r="W1922" s="83">
        <v>44459.239918981482</v>
      </c>
      <c r="X1922" s="89">
        <v>44459</v>
      </c>
      <c r="Y1922" s="86" t="s">
        <v>4079</v>
      </c>
      <c r="Z1922" s="84" t="str">
        <f>HYPERLINK("https://twitter.com/pos_indonesia/status/1439828039236345859")</f>
        <v>https://twitter.com/pos_indonesia/status/1439828039236345859</v>
      </c>
      <c r="AA1922" s="81"/>
      <c r="AB1922" s="81"/>
      <c r="AC1922" s="86" t="s">
        <v>5605</v>
      </c>
      <c r="AD1922" s="81"/>
      <c r="AE1922" s="81" t="b">
        <v>0</v>
      </c>
      <c r="AF1922" s="81">
        <v>0</v>
      </c>
      <c r="AG1922" s="86" t="s">
        <v>6240</v>
      </c>
      <c r="AH1922" s="81" t="b">
        <v>0</v>
      </c>
      <c r="AI1922" s="81" t="s">
        <v>6479</v>
      </c>
      <c r="AJ1922" s="81"/>
      <c r="AK1922" s="86" t="s">
        <v>6240</v>
      </c>
      <c r="AL1922" s="81" t="b">
        <v>0</v>
      </c>
      <c r="AM1922" s="81">
        <v>0</v>
      </c>
      <c r="AN1922" s="86" t="s">
        <v>6240</v>
      </c>
      <c r="AO1922" s="86" t="s">
        <v>6506</v>
      </c>
      <c r="AP1922" s="81" t="b">
        <v>0</v>
      </c>
      <c r="AQ1922" s="86" t="s">
        <v>5605</v>
      </c>
      <c r="AR1922" s="81" t="s">
        <v>179</v>
      </c>
      <c r="AS1922" s="81">
        <v>0</v>
      </c>
      <c r="AT1922" s="81">
        <v>0</v>
      </c>
      <c r="AU1922" s="81"/>
      <c r="AV1922" s="81"/>
      <c r="AW1922" s="81"/>
      <c r="AX1922" s="81"/>
      <c r="AY1922" s="81"/>
      <c r="AZ1922" s="81"/>
      <c r="BA1922" s="81"/>
      <c r="BB1922" s="81"/>
    </row>
    <row r="1923" spans="1:54" x14ac:dyDescent="0.35">
      <c r="A1923" s="66" t="s">
        <v>1269</v>
      </c>
      <c r="B1923" s="66" t="s">
        <v>1269</v>
      </c>
      <c r="C1923" s="67"/>
      <c r="D1923" s="68"/>
      <c r="E1923" s="69"/>
      <c r="F1923" s="70"/>
      <c r="G1923" s="67"/>
      <c r="H1923" s="71"/>
      <c r="I1923" s="72"/>
      <c r="J1923" s="72"/>
      <c r="K1923" s="36"/>
      <c r="L1923" s="79"/>
      <c r="M1923" s="79"/>
      <c r="N1923" s="74"/>
      <c r="O1923" s="81" t="s">
        <v>179</v>
      </c>
      <c r="P1923" s="83">
        <v>44459.260798611111</v>
      </c>
      <c r="Q1923" s="81" t="s">
        <v>2363</v>
      </c>
      <c r="R1923" s="81"/>
      <c r="S1923" s="81"/>
      <c r="T1923" s="81"/>
      <c r="U1923" s="81"/>
      <c r="V1923" s="84" t="str">
        <f>HYPERLINK("https://pbs.twimg.com/profile_images/378800000705328795/304bfd91ee90011498fd092cc79a423e_normal.jpeg")</f>
        <v>https://pbs.twimg.com/profile_images/378800000705328795/304bfd91ee90011498fd092cc79a423e_normal.jpeg</v>
      </c>
      <c r="W1923" s="83">
        <v>44459.260798611111</v>
      </c>
      <c r="X1923" s="89">
        <v>44459</v>
      </c>
      <c r="Y1923" s="86" t="s">
        <v>4080</v>
      </c>
      <c r="Z1923" s="84" t="str">
        <f>HYPERLINK("https://twitter.com/pos_indonesia/status/1439835603760128004")</f>
        <v>https://twitter.com/pos_indonesia/status/1439835603760128004</v>
      </c>
      <c r="AA1923" s="81"/>
      <c r="AB1923" s="81"/>
      <c r="AC1923" s="86" t="s">
        <v>5606</v>
      </c>
      <c r="AD1923" s="81"/>
      <c r="AE1923" s="81" t="b">
        <v>0</v>
      </c>
      <c r="AF1923" s="81">
        <v>0</v>
      </c>
      <c r="AG1923" s="86" t="s">
        <v>6240</v>
      </c>
      <c r="AH1923" s="81" t="b">
        <v>0</v>
      </c>
      <c r="AI1923" s="81" t="s">
        <v>6479</v>
      </c>
      <c r="AJ1923" s="81"/>
      <c r="AK1923" s="86" t="s">
        <v>6240</v>
      </c>
      <c r="AL1923" s="81" t="b">
        <v>0</v>
      </c>
      <c r="AM1923" s="81">
        <v>0</v>
      </c>
      <c r="AN1923" s="86" t="s">
        <v>6240</v>
      </c>
      <c r="AO1923" s="86" t="s">
        <v>6506</v>
      </c>
      <c r="AP1923" s="81" t="b">
        <v>0</v>
      </c>
      <c r="AQ1923" s="86" t="s">
        <v>5606</v>
      </c>
      <c r="AR1923" s="81" t="s">
        <v>179</v>
      </c>
      <c r="AS1923" s="81">
        <v>0</v>
      </c>
      <c r="AT1923" s="81">
        <v>0</v>
      </c>
      <c r="AU1923" s="81"/>
      <c r="AV1923" s="81"/>
      <c r="AW1923" s="81"/>
      <c r="AX1923" s="81"/>
      <c r="AY1923" s="81"/>
      <c r="AZ1923" s="81"/>
      <c r="BA1923" s="81"/>
      <c r="BB1923" s="81"/>
    </row>
    <row r="1924" spans="1:54" x14ac:dyDescent="0.35">
      <c r="A1924" s="66" t="s">
        <v>1269</v>
      </c>
      <c r="B1924" s="66" t="s">
        <v>1269</v>
      </c>
      <c r="C1924" s="67"/>
      <c r="D1924" s="68"/>
      <c r="E1924" s="69"/>
      <c r="F1924" s="70"/>
      <c r="G1924" s="67"/>
      <c r="H1924" s="71"/>
      <c r="I1924" s="72"/>
      <c r="J1924" s="72"/>
      <c r="K1924" s="36"/>
      <c r="L1924" s="79"/>
      <c r="M1924" s="79"/>
      <c r="N1924" s="74"/>
      <c r="O1924" s="81" t="s">
        <v>179</v>
      </c>
      <c r="P1924" s="83">
        <v>44459.281585648147</v>
      </c>
      <c r="Q1924" s="81" t="s">
        <v>2364</v>
      </c>
      <c r="R1924" s="81"/>
      <c r="S1924" s="81"/>
      <c r="T1924" s="81"/>
      <c r="U1924" s="81"/>
      <c r="V1924" s="84" t="str">
        <f>HYPERLINK("https://pbs.twimg.com/profile_images/378800000705328795/304bfd91ee90011498fd092cc79a423e_normal.jpeg")</f>
        <v>https://pbs.twimg.com/profile_images/378800000705328795/304bfd91ee90011498fd092cc79a423e_normal.jpeg</v>
      </c>
      <c r="W1924" s="83">
        <v>44459.281585648147</v>
      </c>
      <c r="X1924" s="89">
        <v>44459</v>
      </c>
      <c r="Y1924" s="86" t="s">
        <v>4081</v>
      </c>
      <c r="Z1924" s="84" t="str">
        <f>HYPERLINK("https://twitter.com/pos_indonesia/status/1439843136407150598")</f>
        <v>https://twitter.com/pos_indonesia/status/1439843136407150598</v>
      </c>
      <c r="AA1924" s="81"/>
      <c r="AB1924" s="81"/>
      <c r="AC1924" s="86" t="s">
        <v>5607</v>
      </c>
      <c r="AD1924" s="81"/>
      <c r="AE1924" s="81" t="b">
        <v>0</v>
      </c>
      <c r="AF1924" s="81">
        <v>0</v>
      </c>
      <c r="AG1924" s="86" t="s">
        <v>6240</v>
      </c>
      <c r="AH1924" s="81" t="b">
        <v>0</v>
      </c>
      <c r="AI1924" s="81" t="s">
        <v>6479</v>
      </c>
      <c r="AJ1924" s="81"/>
      <c r="AK1924" s="86" t="s">
        <v>6240</v>
      </c>
      <c r="AL1924" s="81" t="b">
        <v>0</v>
      </c>
      <c r="AM1924" s="81">
        <v>0</v>
      </c>
      <c r="AN1924" s="86" t="s">
        <v>6240</v>
      </c>
      <c r="AO1924" s="86" t="s">
        <v>6506</v>
      </c>
      <c r="AP1924" s="81" t="b">
        <v>0</v>
      </c>
      <c r="AQ1924" s="86" t="s">
        <v>5607</v>
      </c>
      <c r="AR1924" s="81" t="s">
        <v>179</v>
      </c>
      <c r="AS1924" s="81">
        <v>0</v>
      </c>
      <c r="AT1924" s="81">
        <v>0</v>
      </c>
      <c r="AU1924" s="81"/>
      <c r="AV1924" s="81"/>
      <c r="AW1924" s="81"/>
      <c r="AX1924" s="81"/>
      <c r="AY1924" s="81"/>
      <c r="AZ1924" s="81"/>
      <c r="BA1924" s="81"/>
      <c r="BB1924" s="81"/>
    </row>
    <row r="1925" spans="1:54" x14ac:dyDescent="0.35">
      <c r="A1925" s="66" t="s">
        <v>1269</v>
      </c>
      <c r="B1925" s="66" t="s">
        <v>1269</v>
      </c>
      <c r="C1925" s="67"/>
      <c r="D1925" s="68"/>
      <c r="E1925" s="69"/>
      <c r="F1925" s="70"/>
      <c r="G1925" s="67"/>
      <c r="H1925" s="71"/>
      <c r="I1925" s="72"/>
      <c r="J1925" s="72"/>
      <c r="K1925" s="36"/>
      <c r="L1925" s="79"/>
      <c r="M1925" s="79"/>
      <c r="N1925" s="74"/>
      <c r="O1925" s="81" t="s">
        <v>179</v>
      </c>
      <c r="P1925" s="83">
        <v>44459.302453703705</v>
      </c>
      <c r="Q1925" s="81" t="s">
        <v>2365</v>
      </c>
      <c r="R1925" s="81"/>
      <c r="S1925" s="81"/>
      <c r="T1925" s="81"/>
      <c r="U1925" s="81"/>
      <c r="V1925" s="84" t="str">
        <f>HYPERLINK("https://pbs.twimg.com/profile_images/378800000705328795/304bfd91ee90011498fd092cc79a423e_normal.jpeg")</f>
        <v>https://pbs.twimg.com/profile_images/378800000705328795/304bfd91ee90011498fd092cc79a423e_normal.jpeg</v>
      </c>
      <c r="W1925" s="83">
        <v>44459.302453703705</v>
      </c>
      <c r="X1925" s="89">
        <v>44459</v>
      </c>
      <c r="Y1925" s="86" t="s">
        <v>3628</v>
      </c>
      <c r="Z1925" s="84" t="str">
        <f>HYPERLINK("https://twitter.com/pos_indonesia/status/1439850700628844550")</f>
        <v>https://twitter.com/pos_indonesia/status/1439850700628844550</v>
      </c>
      <c r="AA1925" s="81"/>
      <c r="AB1925" s="81"/>
      <c r="AC1925" s="86" t="s">
        <v>5608</v>
      </c>
      <c r="AD1925" s="81"/>
      <c r="AE1925" s="81" t="b">
        <v>0</v>
      </c>
      <c r="AF1925" s="81">
        <v>0</v>
      </c>
      <c r="AG1925" s="86" t="s">
        <v>6240</v>
      </c>
      <c r="AH1925" s="81" t="b">
        <v>0</v>
      </c>
      <c r="AI1925" s="81" t="s">
        <v>6479</v>
      </c>
      <c r="AJ1925" s="81"/>
      <c r="AK1925" s="86" t="s">
        <v>6240</v>
      </c>
      <c r="AL1925" s="81" t="b">
        <v>0</v>
      </c>
      <c r="AM1925" s="81">
        <v>0</v>
      </c>
      <c r="AN1925" s="86" t="s">
        <v>6240</v>
      </c>
      <c r="AO1925" s="86" t="s">
        <v>6506</v>
      </c>
      <c r="AP1925" s="81" t="b">
        <v>0</v>
      </c>
      <c r="AQ1925" s="86" t="s">
        <v>5608</v>
      </c>
      <c r="AR1925" s="81" t="s">
        <v>179</v>
      </c>
      <c r="AS1925" s="81">
        <v>0</v>
      </c>
      <c r="AT1925" s="81">
        <v>0</v>
      </c>
      <c r="AU1925" s="81"/>
      <c r="AV1925" s="81"/>
      <c r="AW1925" s="81"/>
      <c r="AX1925" s="81"/>
      <c r="AY1925" s="81"/>
      <c r="AZ1925" s="81"/>
      <c r="BA1925" s="81"/>
      <c r="BB1925" s="81"/>
    </row>
    <row r="1926" spans="1:54" x14ac:dyDescent="0.35">
      <c r="A1926" s="66" t="s">
        <v>1269</v>
      </c>
      <c r="B1926" s="66" t="s">
        <v>1269</v>
      </c>
      <c r="C1926" s="67"/>
      <c r="D1926" s="68"/>
      <c r="E1926" s="69"/>
      <c r="F1926" s="70"/>
      <c r="G1926" s="67"/>
      <c r="H1926" s="71"/>
      <c r="I1926" s="72"/>
      <c r="J1926" s="72"/>
      <c r="K1926" s="36"/>
      <c r="L1926" s="79"/>
      <c r="M1926" s="79"/>
      <c r="N1926" s="74"/>
      <c r="O1926" s="81" t="s">
        <v>179</v>
      </c>
      <c r="P1926" s="83">
        <v>44459.323263888888</v>
      </c>
      <c r="Q1926" s="81" t="s">
        <v>2321</v>
      </c>
      <c r="R1926" s="81"/>
      <c r="S1926" s="81"/>
      <c r="T1926" s="81"/>
      <c r="U1926" s="81"/>
      <c r="V1926" s="84" t="str">
        <f>HYPERLINK("https://pbs.twimg.com/profile_images/378800000705328795/304bfd91ee90011498fd092cc79a423e_normal.jpeg")</f>
        <v>https://pbs.twimg.com/profile_images/378800000705328795/304bfd91ee90011498fd092cc79a423e_normal.jpeg</v>
      </c>
      <c r="W1926" s="83">
        <v>44459.323263888888</v>
      </c>
      <c r="X1926" s="89">
        <v>44459</v>
      </c>
      <c r="Y1926" s="86" t="s">
        <v>4112</v>
      </c>
      <c r="Z1926" s="84" t="str">
        <f>HYPERLINK("https://twitter.com/pos_indonesia/status/1439858238632071168")</f>
        <v>https://twitter.com/pos_indonesia/status/1439858238632071168</v>
      </c>
      <c r="AA1926" s="81"/>
      <c r="AB1926" s="81"/>
      <c r="AC1926" s="86" t="s">
        <v>5609</v>
      </c>
      <c r="AD1926" s="81"/>
      <c r="AE1926" s="81" t="b">
        <v>0</v>
      </c>
      <c r="AF1926" s="81">
        <v>0</v>
      </c>
      <c r="AG1926" s="86" t="s">
        <v>6240</v>
      </c>
      <c r="AH1926" s="81" t="b">
        <v>0</v>
      </c>
      <c r="AI1926" s="81" t="s">
        <v>6479</v>
      </c>
      <c r="AJ1926" s="81"/>
      <c r="AK1926" s="86" t="s">
        <v>6240</v>
      </c>
      <c r="AL1926" s="81" t="b">
        <v>0</v>
      </c>
      <c r="AM1926" s="81">
        <v>0</v>
      </c>
      <c r="AN1926" s="86" t="s">
        <v>6240</v>
      </c>
      <c r="AO1926" s="86" t="s">
        <v>6506</v>
      </c>
      <c r="AP1926" s="81" t="b">
        <v>0</v>
      </c>
      <c r="AQ1926" s="86" t="s">
        <v>5609</v>
      </c>
      <c r="AR1926" s="81" t="s">
        <v>179</v>
      </c>
      <c r="AS1926" s="81">
        <v>0</v>
      </c>
      <c r="AT1926" s="81">
        <v>0</v>
      </c>
      <c r="AU1926" s="81"/>
      <c r="AV1926" s="81"/>
      <c r="AW1926" s="81"/>
      <c r="AX1926" s="81"/>
      <c r="AY1926" s="81"/>
      <c r="AZ1926" s="81"/>
      <c r="BA1926" s="81"/>
      <c r="BB1926" s="81"/>
    </row>
    <row r="1927" spans="1:54" x14ac:dyDescent="0.35">
      <c r="A1927" s="66" t="s">
        <v>1269</v>
      </c>
      <c r="B1927" s="66" t="s">
        <v>1269</v>
      </c>
      <c r="C1927" s="67"/>
      <c r="D1927" s="68"/>
      <c r="E1927" s="69"/>
      <c r="F1927" s="70"/>
      <c r="G1927" s="67"/>
      <c r="H1927" s="71"/>
      <c r="I1927" s="72"/>
      <c r="J1927" s="72"/>
      <c r="K1927" s="36"/>
      <c r="L1927" s="79"/>
      <c r="M1927" s="79"/>
      <c r="N1927" s="74"/>
      <c r="O1927" s="81" t="s">
        <v>179</v>
      </c>
      <c r="P1927" s="83">
        <v>44459.344155092593</v>
      </c>
      <c r="Q1927" s="81" t="s">
        <v>2366</v>
      </c>
      <c r="R1927" s="81"/>
      <c r="S1927" s="81"/>
      <c r="T1927" s="81"/>
      <c r="U1927" s="81"/>
      <c r="V1927" s="84" t="str">
        <f>HYPERLINK("https://pbs.twimg.com/profile_images/378800000705328795/304bfd91ee90011498fd092cc79a423e_normal.jpeg")</f>
        <v>https://pbs.twimg.com/profile_images/378800000705328795/304bfd91ee90011498fd092cc79a423e_normal.jpeg</v>
      </c>
      <c r="W1927" s="83">
        <v>44459.344155092593</v>
      </c>
      <c r="X1927" s="89">
        <v>44459</v>
      </c>
      <c r="Y1927" s="86" t="s">
        <v>4084</v>
      </c>
      <c r="Z1927" s="84" t="str">
        <f>HYPERLINK("https://twitter.com/pos_indonesia/status/1439865809786966020")</f>
        <v>https://twitter.com/pos_indonesia/status/1439865809786966020</v>
      </c>
      <c r="AA1927" s="81"/>
      <c r="AB1927" s="81"/>
      <c r="AC1927" s="86" t="s">
        <v>5610</v>
      </c>
      <c r="AD1927" s="81"/>
      <c r="AE1927" s="81" t="b">
        <v>0</v>
      </c>
      <c r="AF1927" s="81">
        <v>0</v>
      </c>
      <c r="AG1927" s="86" t="s">
        <v>6240</v>
      </c>
      <c r="AH1927" s="81" t="b">
        <v>0</v>
      </c>
      <c r="AI1927" s="81" t="s">
        <v>6479</v>
      </c>
      <c r="AJ1927" s="81"/>
      <c r="AK1927" s="86" t="s">
        <v>6240</v>
      </c>
      <c r="AL1927" s="81" t="b">
        <v>0</v>
      </c>
      <c r="AM1927" s="81">
        <v>0</v>
      </c>
      <c r="AN1927" s="86" t="s">
        <v>6240</v>
      </c>
      <c r="AO1927" s="86" t="s">
        <v>6506</v>
      </c>
      <c r="AP1927" s="81" t="b">
        <v>0</v>
      </c>
      <c r="AQ1927" s="86" t="s">
        <v>5610</v>
      </c>
      <c r="AR1927" s="81" t="s">
        <v>179</v>
      </c>
      <c r="AS1927" s="81">
        <v>0</v>
      </c>
      <c r="AT1927" s="81">
        <v>0</v>
      </c>
      <c r="AU1927" s="81"/>
      <c r="AV1927" s="81"/>
      <c r="AW1927" s="81"/>
      <c r="AX1927" s="81"/>
      <c r="AY1927" s="81"/>
      <c r="AZ1927" s="81"/>
      <c r="BA1927" s="81"/>
      <c r="BB1927" s="81"/>
    </row>
    <row r="1928" spans="1:54" x14ac:dyDescent="0.35">
      <c r="A1928" s="66" t="s">
        <v>1269</v>
      </c>
      <c r="B1928" s="66" t="s">
        <v>1269</v>
      </c>
      <c r="C1928" s="67"/>
      <c r="D1928" s="68"/>
      <c r="E1928" s="69"/>
      <c r="F1928" s="70"/>
      <c r="G1928" s="67"/>
      <c r="H1928" s="71"/>
      <c r="I1928" s="72"/>
      <c r="J1928" s="72"/>
      <c r="K1928" s="36"/>
      <c r="L1928" s="79"/>
      <c r="M1928" s="79"/>
      <c r="N1928" s="74"/>
      <c r="O1928" s="81" t="s">
        <v>179</v>
      </c>
      <c r="P1928" s="83">
        <v>44459.364930555559</v>
      </c>
      <c r="Q1928" s="81" t="s">
        <v>2367</v>
      </c>
      <c r="R1928" s="81"/>
      <c r="S1928" s="81"/>
      <c r="T1928" s="81"/>
      <c r="U1928" s="81"/>
      <c r="V1928" s="84" t="str">
        <f>HYPERLINK("https://pbs.twimg.com/profile_images/378800000705328795/304bfd91ee90011498fd092cc79a423e_normal.jpeg")</f>
        <v>https://pbs.twimg.com/profile_images/378800000705328795/304bfd91ee90011498fd092cc79a423e_normal.jpeg</v>
      </c>
      <c r="W1928" s="83">
        <v>44459.364930555559</v>
      </c>
      <c r="X1928" s="89">
        <v>44459</v>
      </c>
      <c r="Y1928" s="86" t="s">
        <v>4113</v>
      </c>
      <c r="Z1928" s="84" t="str">
        <f>HYPERLINK("https://twitter.com/pos_indonesia/status/1439873339976151042")</f>
        <v>https://twitter.com/pos_indonesia/status/1439873339976151042</v>
      </c>
      <c r="AA1928" s="81"/>
      <c r="AB1928" s="81"/>
      <c r="AC1928" s="86" t="s">
        <v>5611</v>
      </c>
      <c r="AD1928" s="81"/>
      <c r="AE1928" s="81" t="b">
        <v>0</v>
      </c>
      <c r="AF1928" s="81">
        <v>0</v>
      </c>
      <c r="AG1928" s="86" t="s">
        <v>6240</v>
      </c>
      <c r="AH1928" s="81" t="b">
        <v>0</v>
      </c>
      <c r="AI1928" s="81" t="s">
        <v>6479</v>
      </c>
      <c r="AJ1928" s="81"/>
      <c r="AK1928" s="86" t="s">
        <v>6240</v>
      </c>
      <c r="AL1928" s="81" t="b">
        <v>0</v>
      </c>
      <c r="AM1928" s="81">
        <v>0</v>
      </c>
      <c r="AN1928" s="86" t="s">
        <v>6240</v>
      </c>
      <c r="AO1928" s="86" t="s">
        <v>6506</v>
      </c>
      <c r="AP1928" s="81" t="b">
        <v>0</v>
      </c>
      <c r="AQ1928" s="86" t="s">
        <v>5611</v>
      </c>
      <c r="AR1928" s="81" t="s">
        <v>179</v>
      </c>
      <c r="AS1928" s="81">
        <v>0</v>
      </c>
      <c r="AT1928" s="81">
        <v>0</v>
      </c>
      <c r="AU1928" s="81"/>
      <c r="AV1928" s="81"/>
      <c r="AW1928" s="81"/>
      <c r="AX1928" s="81"/>
      <c r="AY1928" s="81"/>
      <c r="AZ1928" s="81"/>
      <c r="BA1928" s="81"/>
      <c r="BB1928" s="81"/>
    </row>
    <row r="1929" spans="1:54" x14ac:dyDescent="0.35">
      <c r="A1929" s="66" t="s">
        <v>1269</v>
      </c>
      <c r="B1929" s="66" t="s">
        <v>1269</v>
      </c>
      <c r="C1929" s="67"/>
      <c r="D1929" s="68"/>
      <c r="E1929" s="69"/>
      <c r="F1929" s="70"/>
      <c r="G1929" s="67"/>
      <c r="H1929" s="71"/>
      <c r="I1929" s="72"/>
      <c r="J1929" s="72"/>
      <c r="K1929" s="36"/>
      <c r="L1929" s="79"/>
      <c r="M1929" s="79"/>
      <c r="N1929" s="74"/>
      <c r="O1929" s="81" t="s">
        <v>179</v>
      </c>
      <c r="P1929" s="83">
        <v>44459.385798611111</v>
      </c>
      <c r="Q1929" s="81" t="s">
        <v>2368</v>
      </c>
      <c r="R1929" s="81"/>
      <c r="S1929" s="81"/>
      <c r="T1929" s="81"/>
      <c r="U1929" s="81"/>
      <c r="V1929" s="84" t="str">
        <f>HYPERLINK("https://pbs.twimg.com/profile_images/378800000705328795/304bfd91ee90011498fd092cc79a423e_normal.jpeg")</f>
        <v>https://pbs.twimg.com/profile_images/378800000705328795/304bfd91ee90011498fd092cc79a423e_normal.jpeg</v>
      </c>
      <c r="W1929" s="83">
        <v>44459.385798611111</v>
      </c>
      <c r="X1929" s="89">
        <v>44459</v>
      </c>
      <c r="Y1929" s="86" t="s">
        <v>4085</v>
      </c>
      <c r="Z1929" s="84" t="str">
        <f>HYPERLINK("https://twitter.com/pos_indonesia/status/1439880901178003458")</f>
        <v>https://twitter.com/pos_indonesia/status/1439880901178003458</v>
      </c>
      <c r="AA1929" s="81"/>
      <c r="AB1929" s="81"/>
      <c r="AC1929" s="86" t="s">
        <v>5612</v>
      </c>
      <c r="AD1929" s="81"/>
      <c r="AE1929" s="81" t="b">
        <v>0</v>
      </c>
      <c r="AF1929" s="81">
        <v>0</v>
      </c>
      <c r="AG1929" s="86" t="s">
        <v>6240</v>
      </c>
      <c r="AH1929" s="81" t="b">
        <v>0</v>
      </c>
      <c r="AI1929" s="81" t="s">
        <v>6479</v>
      </c>
      <c r="AJ1929" s="81"/>
      <c r="AK1929" s="86" t="s">
        <v>6240</v>
      </c>
      <c r="AL1929" s="81" t="b">
        <v>0</v>
      </c>
      <c r="AM1929" s="81">
        <v>0</v>
      </c>
      <c r="AN1929" s="86" t="s">
        <v>6240</v>
      </c>
      <c r="AO1929" s="86" t="s">
        <v>6506</v>
      </c>
      <c r="AP1929" s="81" t="b">
        <v>0</v>
      </c>
      <c r="AQ1929" s="86" t="s">
        <v>5612</v>
      </c>
      <c r="AR1929" s="81" t="s">
        <v>179</v>
      </c>
      <c r="AS1929" s="81">
        <v>0</v>
      </c>
      <c r="AT1929" s="81">
        <v>0</v>
      </c>
      <c r="AU1929" s="81"/>
      <c r="AV1929" s="81"/>
      <c r="AW1929" s="81"/>
      <c r="AX1929" s="81"/>
      <c r="AY1929" s="81"/>
      <c r="AZ1929" s="81"/>
      <c r="BA1929" s="81"/>
      <c r="BB1929" s="81"/>
    </row>
    <row r="1930" spans="1:54" x14ac:dyDescent="0.35">
      <c r="A1930" s="66" t="s">
        <v>1269</v>
      </c>
      <c r="B1930" s="66" t="s">
        <v>1269</v>
      </c>
      <c r="C1930" s="67"/>
      <c r="D1930" s="68"/>
      <c r="E1930" s="69"/>
      <c r="F1930" s="70"/>
      <c r="G1930" s="67"/>
      <c r="H1930" s="71"/>
      <c r="I1930" s="72"/>
      <c r="J1930" s="72"/>
      <c r="K1930" s="36"/>
      <c r="L1930" s="79"/>
      <c r="M1930" s="79"/>
      <c r="N1930" s="74"/>
      <c r="O1930" s="81" t="s">
        <v>179</v>
      </c>
      <c r="P1930" s="83">
        <v>44459.406585648147</v>
      </c>
      <c r="Q1930" s="81" t="s">
        <v>2369</v>
      </c>
      <c r="R1930" s="81"/>
      <c r="S1930" s="81"/>
      <c r="T1930" s="81"/>
      <c r="U1930" s="81"/>
      <c r="V1930" s="84" t="str">
        <f>HYPERLINK("https://pbs.twimg.com/profile_images/378800000705328795/304bfd91ee90011498fd092cc79a423e_normal.jpeg")</f>
        <v>https://pbs.twimg.com/profile_images/378800000705328795/304bfd91ee90011498fd092cc79a423e_normal.jpeg</v>
      </c>
      <c r="W1930" s="83">
        <v>44459.406585648147</v>
      </c>
      <c r="X1930" s="89">
        <v>44459</v>
      </c>
      <c r="Y1930" s="86" t="s">
        <v>4086</v>
      </c>
      <c r="Z1930" s="84" t="str">
        <f>HYPERLINK("https://twitter.com/pos_indonesia/status/1439888435607584782")</f>
        <v>https://twitter.com/pos_indonesia/status/1439888435607584782</v>
      </c>
      <c r="AA1930" s="81"/>
      <c r="AB1930" s="81"/>
      <c r="AC1930" s="86" t="s">
        <v>5613</v>
      </c>
      <c r="AD1930" s="81"/>
      <c r="AE1930" s="81" t="b">
        <v>0</v>
      </c>
      <c r="AF1930" s="81">
        <v>0</v>
      </c>
      <c r="AG1930" s="86" t="s">
        <v>6240</v>
      </c>
      <c r="AH1930" s="81" t="b">
        <v>0</v>
      </c>
      <c r="AI1930" s="81" t="s">
        <v>6479</v>
      </c>
      <c r="AJ1930" s="81"/>
      <c r="AK1930" s="86" t="s">
        <v>6240</v>
      </c>
      <c r="AL1930" s="81" t="b">
        <v>0</v>
      </c>
      <c r="AM1930" s="81">
        <v>0</v>
      </c>
      <c r="AN1930" s="86" t="s">
        <v>6240</v>
      </c>
      <c r="AO1930" s="86" t="s">
        <v>6506</v>
      </c>
      <c r="AP1930" s="81" t="b">
        <v>0</v>
      </c>
      <c r="AQ1930" s="86" t="s">
        <v>5613</v>
      </c>
      <c r="AR1930" s="81" t="s">
        <v>179</v>
      </c>
      <c r="AS1930" s="81">
        <v>0</v>
      </c>
      <c r="AT1930" s="81">
        <v>0</v>
      </c>
      <c r="AU1930" s="81"/>
      <c r="AV1930" s="81"/>
      <c r="AW1930" s="81"/>
      <c r="AX1930" s="81"/>
      <c r="AY1930" s="81"/>
      <c r="AZ1930" s="81"/>
      <c r="BA1930" s="81"/>
      <c r="BB1930" s="81"/>
    </row>
    <row r="1931" spans="1:54" x14ac:dyDescent="0.35">
      <c r="A1931" s="66" t="s">
        <v>1269</v>
      </c>
      <c r="B1931" s="66" t="s">
        <v>1269</v>
      </c>
      <c r="C1931" s="67"/>
      <c r="D1931" s="68"/>
      <c r="E1931" s="69"/>
      <c r="F1931" s="70"/>
      <c r="G1931" s="67"/>
      <c r="H1931" s="71"/>
      <c r="I1931" s="72"/>
      <c r="J1931" s="72"/>
      <c r="K1931" s="36"/>
      <c r="L1931" s="79"/>
      <c r="M1931" s="79"/>
      <c r="N1931" s="74"/>
      <c r="O1931" s="81" t="s">
        <v>179</v>
      </c>
      <c r="P1931" s="83">
        <v>44459.427476851852</v>
      </c>
      <c r="Q1931" s="81" t="s">
        <v>2370</v>
      </c>
      <c r="R1931" s="81"/>
      <c r="S1931" s="81"/>
      <c r="T1931" s="81"/>
      <c r="U1931" s="81"/>
      <c r="V1931" s="84" t="str">
        <f>HYPERLINK("https://pbs.twimg.com/profile_images/378800000705328795/304bfd91ee90011498fd092cc79a423e_normal.jpeg")</f>
        <v>https://pbs.twimg.com/profile_images/378800000705328795/304bfd91ee90011498fd092cc79a423e_normal.jpeg</v>
      </c>
      <c r="W1931" s="83">
        <v>44459.427476851852</v>
      </c>
      <c r="X1931" s="89">
        <v>44459</v>
      </c>
      <c r="Y1931" s="86" t="s">
        <v>4114</v>
      </c>
      <c r="Z1931" s="84" t="str">
        <f>HYPERLINK("https://twitter.com/pos_indonesia/status/1439896004220764164")</f>
        <v>https://twitter.com/pos_indonesia/status/1439896004220764164</v>
      </c>
      <c r="AA1931" s="81"/>
      <c r="AB1931" s="81"/>
      <c r="AC1931" s="86" t="s">
        <v>5614</v>
      </c>
      <c r="AD1931" s="81"/>
      <c r="AE1931" s="81" t="b">
        <v>0</v>
      </c>
      <c r="AF1931" s="81">
        <v>0</v>
      </c>
      <c r="AG1931" s="86" t="s">
        <v>6240</v>
      </c>
      <c r="AH1931" s="81" t="b">
        <v>0</v>
      </c>
      <c r="AI1931" s="81" t="s">
        <v>6479</v>
      </c>
      <c r="AJ1931" s="81"/>
      <c r="AK1931" s="86" t="s">
        <v>6240</v>
      </c>
      <c r="AL1931" s="81" t="b">
        <v>0</v>
      </c>
      <c r="AM1931" s="81">
        <v>0</v>
      </c>
      <c r="AN1931" s="86" t="s">
        <v>6240</v>
      </c>
      <c r="AO1931" s="86" t="s">
        <v>6506</v>
      </c>
      <c r="AP1931" s="81" t="b">
        <v>0</v>
      </c>
      <c r="AQ1931" s="86" t="s">
        <v>5614</v>
      </c>
      <c r="AR1931" s="81" t="s">
        <v>179</v>
      </c>
      <c r="AS1931" s="81">
        <v>0</v>
      </c>
      <c r="AT1931" s="81">
        <v>0</v>
      </c>
      <c r="AU1931" s="81"/>
      <c r="AV1931" s="81"/>
      <c r="AW1931" s="81"/>
      <c r="AX1931" s="81"/>
      <c r="AY1931" s="81"/>
      <c r="AZ1931" s="81"/>
      <c r="BA1931" s="81"/>
      <c r="BB1931" s="81"/>
    </row>
    <row r="1932" spans="1:54" x14ac:dyDescent="0.35">
      <c r="A1932" s="66" t="s">
        <v>1269</v>
      </c>
      <c r="B1932" s="66" t="s">
        <v>1269</v>
      </c>
      <c r="C1932" s="67"/>
      <c r="D1932" s="68"/>
      <c r="E1932" s="69"/>
      <c r="F1932" s="70"/>
      <c r="G1932" s="67"/>
      <c r="H1932" s="71"/>
      <c r="I1932" s="72"/>
      <c r="J1932" s="72"/>
      <c r="K1932" s="36"/>
      <c r="L1932" s="79"/>
      <c r="M1932" s="79"/>
      <c r="N1932" s="74"/>
      <c r="O1932" s="81" t="s">
        <v>179</v>
      </c>
      <c r="P1932" s="83">
        <v>44459.448252314818</v>
      </c>
      <c r="Q1932" s="81" t="s">
        <v>2371</v>
      </c>
      <c r="R1932" s="81"/>
      <c r="S1932" s="81"/>
      <c r="T1932" s="81"/>
      <c r="U1932" s="81"/>
      <c r="V1932" s="84" t="str">
        <f>HYPERLINK("https://pbs.twimg.com/profile_images/378800000705328795/304bfd91ee90011498fd092cc79a423e_normal.jpeg")</f>
        <v>https://pbs.twimg.com/profile_images/378800000705328795/304bfd91ee90011498fd092cc79a423e_normal.jpeg</v>
      </c>
      <c r="W1932" s="83">
        <v>44459.448252314818</v>
      </c>
      <c r="X1932" s="89">
        <v>44459</v>
      </c>
      <c r="Y1932" s="86" t="s">
        <v>4088</v>
      </c>
      <c r="Z1932" s="84" t="str">
        <f>HYPERLINK("https://twitter.com/pos_indonesia/status/1439903534028234752")</f>
        <v>https://twitter.com/pos_indonesia/status/1439903534028234752</v>
      </c>
      <c r="AA1932" s="81"/>
      <c r="AB1932" s="81"/>
      <c r="AC1932" s="86" t="s">
        <v>5615</v>
      </c>
      <c r="AD1932" s="81"/>
      <c r="AE1932" s="81" t="b">
        <v>0</v>
      </c>
      <c r="AF1932" s="81">
        <v>0</v>
      </c>
      <c r="AG1932" s="86" t="s">
        <v>6240</v>
      </c>
      <c r="AH1932" s="81" t="b">
        <v>0</v>
      </c>
      <c r="AI1932" s="81" t="s">
        <v>6479</v>
      </c>
      <c r="AJ1932" s="81"/>
      <c r="AK1932" s="86" t="s">
        <v>6240</v>
      </c>
      <c r="AL1932" s="81" t="b">
        <v>0</v>
      </c>
      <c r="AM1932" s="81">
        <v>0</v>
      </c>
      <c r="AN1932" s="86" t="s">
        <v>6240</v>
      </c>
      <c r="AO1932" s="86" t="s">
        <v>6506</v>
      </c>
      <c r="AP1932" s="81" t="b">
        <v>0</v>
      </c>
      <c r="AQ1932" s="86" t="s">
        <v>5615</v>
      </c>
      <c r="AR1932" s="81" t="s">
        <v>179</v>
      </c>
      <c r="AS1932" s="81">
        <v>0</v>
      </c>
      <c r="AT1932" s="81">
        <v>0</v>
      </c>
      <c r="AU1932" s="81"/>
      <c r="AV1932" s="81"/>
      <c r="AW1932" s="81"/>
      <c r="AX1932" s="81"/>
      <c r="AY1932" s="81"/>
      <c r="AZ1932" s="81"/>
      <c r="BA1932" s="81"/>
      <c r="BB1932" s="81"/>
    </row>
    <row r="1933" spans="1:54" x14ac:dyDescent="0.35">
      <c r="A1933" s="66" t="s">
        <v>1269</v>
      </c>
      <c r="B1933" s="66" t="s">
        <v>1269</v>
      </c>
      <c r="C1933" s="67"/>
      <c r="D1933" s="68"/>
      <c r="E1933" s="69"/>
      <c r="F1933" s="70"/>
      <c r="G1933" s="67"/>
      <c r="H1933" s="71"/>
      <c r="I1933" s="72"/>
      <c r="J1933" s="72"/>
      <c r="K1933" s="36"/>
      <c r="L1933" s="79"/>
      <c r="M1933" s="79"/>
      <c r="N1933" s="74"/>
      <c r="O1933" s="81" t="s">
        <v>179</v>
      </c>
      <c r="P1933" s="83">
        <v>44459.469143518516</v>
      </c>
      <c r="Q1933" s="81" t="s">
        <v>2372</v>
      </c>
      <c r="R1933" s="81"/>
      <c r="S1933" s="81"/>
      <c r="T1933" s="81"/>
      <c r="U1933" s="81"/>
      <c r="V1933" s="84" t="str">
        <f>HYPERLINK("https://pbs.twimg.com/profile_images/378800000705328795/304bfd91ee90011498fd092cc79a423e_normal.jpeg")</f>
        <v>https://pbs.twimg.com/profile_images/378800000705328795/304bfd91ee90011498fd092cc79a423e_normal.jpeg</v>
      </c>
      <c r="W1933" s="83">
        <v>44459.469143518516</v>
      </c>
      <c r="X1933" s="89">
        <v>44459</v>
      </c>
      <c r="Y1933" s="86" t="s">
        <v>4115</v>
      </c>
      <c r="Z1933" s="84" t="str">
        <f>HYPERLINK("https://twitter.com/pos_indonesia/status/1439911103941660675")</f>
        <v>https://twitter.com/pos_indonesia/status/1439911103941660675</v>
      </c>
      <c r="AA1933" s="81"/>
      <c r="AB1933" s="81"/>
      <c r="AC1933" s="86" t="s">
        <v>5616</v>
      </c>
      <c r="AD1933" s="81"/>
      <c r="AE1933" s="81" t="b">
        <v>0</v>
      </c>
      <c r="AF1933" s="81">
        <v>0</v>
      </c>
      <c r="AG1933" s="86" t="s">
        <v>6240</v>
      </c>
      <c r="AH1933" s="81" t="b">
        <v>0</v>
      </c>
      <c r="AI1933" s="81" t="s">
        <v>6479</v>
      </c>
      <c r="AJ1933" s="81"/>
      <c r="AK1933" s="86" t="s">
        <v>6240</v>
      </c>
      <c r="AL1933" s="81" t="b">
        <v>0</v>
      </c>
      <c r="AM1933" s="81">
        <v>0</v>
      </c>
      <c r="AN1933" s="86" t="s">
        <v>6240</v>
      </c>
      <c r="AO1933" s="86" t="s">
        <v>6506</v>
      </c>
      <c r="AP1933" s="81" t="b">
        <v>0</v>
      </c>
      <c r="AQ1933" s="86" t="s">
        <v>5616</v>
      </c>
      <c r="AR1933" s="81" t="s">
        <v>179</v>
      </c>
      <c r="AS1933" s="81">
        <v>0</v>
      </c>
      <c r="AT1933" s="81">
        <v>0</v>
      </c>
      <c r="AU1933" s="81"/>
      <c r="AV1933" s="81"/>
      <c r="AW1933" s="81"/>
      <c r="AX1933" s="81"/>
      <c r="AY1933" s="81"/>
      <c r="AZ1933" s="81"/>
      <c r="BA1933" s="81"/>
      <c r="BB1933" s="81"/>
    </row>
    <row r="1934" spans="1:54" x14ac:dyDescent="0.35">
      <c r="A1934" s="66" t="s">
        <v>1269</v>
      </c>
      <c r="B1934" s="66" t="s">
        <v>1269</v>
      </c>
      <c r="C1934" s="67"/>
      <c r="D1934" s="68"/>
      <c r="E1934" s="69"/>
      <c r="F1934" s="70"/>
      <c r="G1934" s="67"/>
      <c r="H1934" s="71"/>
      <c r="I1934" s="72"/>
      <c r="J1934" s="72"/>
      <c r="K1934" s="36"/>
      <c r="L1934" s="79"/>
      <c r="M1934" s="79"/>
      <c r="N1934" s="74"/>
      <c r="O1934" s="81" t="s">
        <v>179</v>
      </c>
      <c r="P1934" s="83">
        <v>44459.489930555559</v>
      </c>
      <c r="Q1934" s="81" t="s">
        <v>2373</v>
      </c>
      <c r="R1934" s="81"/>
      <c r="S1934" s="81"/>
      <c r="T1934" s="81"/>
      <c r="U1934" s="81"/>
      <c r="V1934" s="84" t="str">
        <f>HYPERLINK("https://pbs.twimg.com/profile_images/378800000705328795/304bfd91ee90011498fd092cc79a423e_normal.jpeg")</f>
        <v>https://pbs.twimg.com/profile_images/378800000705328795/304bfd91ee90011498fd092cc79a423e_normal.jpeg</v>
      </c>
      <c r="W1934" s="83">
        <v>44459.489930555559</v>
      </c>
      <c r="X1934" s="89">
        <v>44459</v>
      </c>
      <c r="Y1934" s="86" t="s">
        <v>4116</v>
      </c>
      <c r="Z1934" s="84" t="str">
        <f>HYPERLINK("https://twitter.com/pos_indonesia/status/1439918636676747266")</f>
        <v>https://twitter.com/pos_indonesia/status/1439918636676747266</v>
      </c>
      <c r="AA1934" s="81"/>
      <c r="AB1934" s="81"/>
      <c r="AC1934" s="86" t="s">
        <v>5617</v>
      </c>
      <c r="AD1934" s="81"/>
      <c r="AE1934" s="81" t="b">
        <v>0</v>
      </c>
      <c r="AF1934" s="81">
        <v>0</v>
      </c>
      <c r="AG1934" s="86" t="s">
        <v>6240</v>
      </c>
      <c r="AH1934" s="81" t="b">
        <v>0</v>
      </c>
      <c r="AI1934" s="81" t="s">
        <v>6479</v>
      </c>
      <c r="AJ1934" s="81"/>
      <c r="AK1934" s="86" t="s">
        <v>6240</v>
      </c>
      <c r="AL1934" s="81" t="b">
        <v>0</v>
      </c>
      <c r="AM1934" s="81">
        <v>0</v>
      </c>
      <c r="AN1934" s="86" t="s">
        <v>6240</v>
      </c>
      <c r="AO1934" s="86" t="s">
        <v>6506</v>
      </c>
      <c r="AP1934" s="81" t="b">
        <v>0</v>
      </c>
      <c r="AQ1934" s="86" t="s">
        <v>5617</v>
      </c>
      <c r="AR1934" s="81" t="s">
        <v>179</v>
      </c>
      <c r="AS1934" s="81">
        <v>0</v>
      </c>
      <c r="AT1934" s="81">
        <v>0</v>
      </c>
      <c r="AU1934" s="81"/>
      <c r="AV1934" s="81"/>
      <c r="AW1934" s="81"/>
      <c r="AX1934" s="81"/>
      <c r="AY1934" s="81"/>
      <c r="AZ1934" s="81"/>
      <c r="BA1934" s="81"/>
      <c r="BB1934" s="81"/>
    </row>
    <row r="1935" spans="1:54" x14ac:dyDescent="0.35">
      <c r="A1935" s="66" t="s">
        <v>1269</v>
      </c>
      <c r="B1935" s="66" t="s">
        <v>1269</v>
      </c>
      <c r="C1935" s="67"/>
      <c r="D1935" s="68"/>
      <c r="E1935" s="69"/>
      <c r="F1935" s="70"/>
      <c r="G1935" s="67"/>
      <c r="H1935" s="71"/>
      <c r="I1935" s="72"/>
      <c r="J1935" s="72"/>
      <c r="K1935" s="36"/>
      <c r="L1935" s="79"/>
      <c r="M1935" s="79"/>
      <c r="N1935" s="74"/>
      <c r="O1935" s="81" t="s">
        <v>179</v>
      </c>
      <c r="P1935" s="83">
        <v>44459.510810185187</v>
      </c>
      <c r="Q1935" s="81" t="s">
        <v>2324</v>
      </c>
      <c r="R1935" s="81"/>
      <c r="S1935" s="81"/>
      <c r="T1935" s="81"/>
      <c r="U1935" s="81"/>
      <c r="V1935" s="84" t="str">
        <f>HYPERLINK("https://pbs.twimg.com/profile_images/378800000705328795/304bfd91ee90011498fd092cc79a423e_normal.jpeg")</f>
        <v>https://pbs.twimg.com/profile_images/378800000705328795/304bfd91ee90011498fd092cc79a423e_normal.jpeg</v>
      </c>
      <c r="W1935" s="83">
        <v>44459.510810185187</v>
      </c>
      <c r="X1935" s="89">
        <v>44459</v>
      </c>
      <c r="Y1935" s="86" t="s">
        <v>4117</v>
      </c>
      <c r="Z1935" s="84" t="str">
        <f>HYPERLINK("https://twitter.com/pos_indonesia/status/1439926206493724675")</f>
        <v>https://twitter.com/pos_indonesia/status/1439926206493724675</v>
      </c>
      <c r="AA1935" s="81"/>
      <c r="AB1935" s="81"/>
      <c r="AC1935" s="86" t="s">
        <v>5618</v>
      </c>
      <c r="AD1935" s="81"/>
      <c r="AE1935" s="81" t="b">
        <v>0</v>
      </c>
      <c r="AF1935" s="81">
        <v>0</v>
      </c>
      <c r="AG1935" s="86" t="s">
        <v>6240</v>
      </c>
      <c r="AH1935" s="81" t="b">
        <v>0</v>
      </c>
      <c r="AI1935" s="81" t="s">
        <v>6479</v>
      </c>
      <c r="AJ1935" s="81"/>
      <c r="AK1935" s="86" t="s">
        <v>6240</v>
      </c>
      <c r="AL1935" s="81" t="b">
        <v>0</v>
      </c>
      <c r="AM1935" s="81">
        <v>0</v>
      </c>
      <c r="AN1935" s="86" t="s">
        <v>6240</v>
      </c>
      <c r="AO1935" s="86" t="s">
        <v>6506</v>
      </c>
      <c r="AP1935" s="81" t="b">
        <v>0</v>
      </c>
      <c r="AQ1935" s="86" t="s">
        <v>5618</v>
      </c>
      <c r="AR1935" s="81" t="s">
        <v>179</v>
      </c>
      <c r="AS1935" s="81">
        <v>0</v>
      </c>
      <c r="AT1935" s="81">
        <v>0</v>
      </c>
      <c r="AU1935" s="81"/>
      <c r="AV1935" s="81"/>
      <c r="AW1935" s="81"/>
      <c r="AX1935" s="81"/>
      <c r="AY1935" s="81"/>
      <c r="AZ1935" s="81"/>
      <c r="BA1935" s="81"/>
      <c r="BB1935" s="81"/>
    </row>
    <row r="1936" spans="1:54" x14ac:dyDescent="0.35">
      <c r="A1936" s="66" t="s">
        <v>1269</v>
      </c>
      <c r="B1936" s="66" t="s">
        <v>1269</v>
      </c>
      <c r="C1936" s="67"/>
      <c r="D1936" s="68"/>
      <c r="E1936" s="69"/>
      <c r="F1936" s="70"/>
      <c r="G1936" s="67"/>
      <c r="H1936" s="71"/>
      <c r="I1936" s="72"/>
      <c r="J1936" s="72"/>
      <c r="K1936" s="36"/>
      <c r="L1936" s="79"/>
      <c r="M1936" s="79"/>
      <c r="N1936" s="74"/>
      <c r="O1936" s="81" t="s">
        <v>179</v>
      </c>
      <c r="P1936" s="83">
        <v>44459.531585648147</v>
      </c>
      <c r="Q1936" s="81" t="s">
        <v>2374</v>
      </c>
      <c r="R1936" s="81"/>
      <c r="S1936" s="81"/>
      <c r="T1936" s="81"/>
      <c r="U1936" s="81"/>
      <c r="V1936" s="84" t="str">
        <f>HYPERLINK("https://pbs.twimg.com/profile_images/378800000705328795/304bfd91ee90011498fd092cc79a423e_normal.jpeg")</f>
        <v>https://pbs.twimg.com/profile_images/378800000705328795/304bfd91ee90011498fd092cc79a423e_normal.jpeg</v>
      </c>
      <c r="W1936" s="83">
        <v>44459.531585648147</v>
      </c>
      <c r="X1936" s="89">
        <v>44459</v>
      </c>
      <c r="Y1936" s="86" t="s">
        <v>4092</v>
      </c>
      <c r="Z1936" s="84" t="str">
        <f>HYPERLINK("https://twitter.com/pos_indonesia/status/1439933732870230019")</f>
        <v>https://twitter.com/pos_indonesia/status/1439933732870230019</v>
      </c>
      <c r="AA1936" s="81"/>
      <c r="AB1936" s="81"/>
      <c r="AC1936" s="86" t="s">
        <v>5619</v>
      </c>
      <c r="AD1936" s="81"/>
      <c r="AE1936" s="81" t="b">
        <v>0</v>
      </c>
      <c r="AF1936" s="81">
        <v>0</v>
      </c>
      <c r="AG1936" s="86" t="s">
        <v>6240</v>
      </c>
      <c r="AH1936" s="81" t="b">
        <v>0</v>
      </c>
      <c r="AI1936" s="81" t="s">
        <v>6479</v>
      </c>
      <c r="AJ1936" s="81"/>
      <c r="AK1936" s="86" t="s">
        <v>6240</v>
      </c>
      <c r="AL1936" s="81" t="b">
        <v>0</v>
      </c>
      <c r="AM1936" s="81">
        <v>0</v>
      </c>
      <c r="AN1936" s="86" t="s">
        <v>6240</v>
      </c>
      <c r="AO1936" s="86" t="s">
        <v>6506</v>
      </c>
      <c r="AP1936" s="81" t="b">
        <v>0</v>
      </c>
      <c r="AQ1936" s="86" t="s">
        <v>5619</v>
      </c>
      <c r="AR1936" s="81" t="s">
        <v>179</v>
      </c>
      <c r="AS1936" s="81">
        <v>0</v>
      </c>
      <c r="AT1936" s="81">
        <v>0</v>
      </c>
      <c r="AU1936" s="81"/>
      <c r="AV1936" s="81"/>
      <c r="AW1936" s="81"/>
      <c r="AX1936" s="81"/>
      <c r="AY1936" s="81"/>
      <c r="AZ1936" s="81"/>
      <c r="BA1936" s="81"/>
      <c r="BB1936" s="81"/>
    </row>
    <row r="1937" spans="1:54" x14ac:dyDescent="0.35">
      <c r="A1937" s="66" t="s">
        <v>1269</v>
      </c>
      <c r="B1937" s="66" t="s">
        <v>1269</v>
      </c>
      <c r="C1937" s="67"/>
      <c r="D1937" s="68"/>
      <c r="E1937" s="69"/>
      <c r="F1937" s="70"/>
      <c r="G1937" s="67"/>
      <c r="H1937" s="71"/>
      <c r="I1937" s="72"/>
      <c r="J1937" s="72"/>
      <c r="K1937" s="36"/>
      <c r="L1937" s="79"/>
      <c r="M1937" s="79"/>
      <c r="N1937" s="74"/>
      <c r="O1937" s="81" t="s">
        <v>179</v>
      </c>
      <c r="P1937" s="83">
        <v>44459.552453703705</v>
      </c>
      <c r="Q1937" s="81" t="s">
        <v>2375</v>
      </c>
      <c r="R1937" s="81"/>
      <c r="S1937" s="81"/>
      <c r="T1937" s="81"/>
      <c r="U1937" s="81"/>
      <c r="V1937" s="84" t="str">
        <f>HYPERLINK("https://pbs.twimg.com/profile_images/378800000705328795/304bfd91ee90011498fd092cc79a423e_normal.jpeg")</f>
        <v>https://pbs.twimg.com/profile_images/378800000705328795/304bfd91ee90011498fd092cc79a423e_normal.jpeg</v>
      </c>
      <c r="W1937" s="83">
        <v>44459.552453703705</v>
      </c>
      <c r="X1937" s="89">
        <v>44459</v>
      </c>
      <c r="Y1937" s="86" t="s">
        <v>4118</v>
      </c>
      <c r="Z1937" s="84" t="str">
        <f>HYPERLINK("https://twitter.com/pos_indonesia/status/1439941298312540165")</f>
        <v>https://twitter.com/pos_indonesia/status/1439941298312540165</v>
      </c>
      <c r="AA1937" s="81"/>
      <c r="AB1937" s="81"/>
      <c r="AC1937" s="86" t="s">
        <v>5620</v>
      </c>
      <c r="AD1937" s="81"/>
      <c r="AE1937" s="81" t="b">
        <v>0</v>
      </c>
      <c r="AF1937" s="81">
        <v>0</v>
      </c>
      <c r="AG1937" s="86" t="s">
        <v>6240</v>
      </c>
      <c r="AH1937" s="81" t="b">
        <v>0</v>
      </c>
      <c r="AI1937" s="81" t="s">
        <v>6479</v>
      </c>
      <c r="AJ1937" s="81"/>
      <c r="AK1937" s="86" t="s">
        <v>6240</v>
      </c>
      <c r="AL1937" s="81" t="b">
        <v>0</v>
      </c>
      <c r="AM1937" s="81">
        <v>0</v>
      </c>
      <c r="AN1937" s="86" t="s">
        <v>6240</v>
      </c>
      <c r="AO1937" s="86" t="s">
        <v>6506</v>
      </c>
      <c r="AP1937" s="81" t="b">
        <v>0</v>
      </c>
      <c r="AQ1937" s="86" t="s">
        <v>5620</v>
      </c>
      <c r="AR1937" s="81" t="s">
        <v>179</v>
      </c>
      <c r="AS1937" s="81">
        <v>0</v>
      </c>
      <c r="AT1937" s="81">
        <v>0</v>
      </c>
      <c r="AU1937" s="81"/>
      <c r="AV1937" s="81"/>
      <c r="AW1937" s="81"/>
      <c r="AX1937" s="81"/>
      <c r="AY1937" s="81"/>
      <c r="AZ1937" s="81"/>
      <c r="BA1937" s="81"/>
      <c r="BB1937" s="81"/>
    </row>
    <row r="1938" spans="1:54" x14ac:dyDescent="0.35">
      <c r="A1938" s="66" t="s">
        <v>1269</v>
      </c>
      <c r="B1938" s="66" t="s">
        <v>1269</v>
      </c>
      <c r="C1938" s="67"/>
      <c r="D1938" s="68"/>
      <c r="E1938" s="69"/>
      <c r="F1938" s="70"/>
      <c r="G1938" s="67"/>
      <c r="H1938" s="71"/>
      <c r="I1938" s="72"/>
      <c r="J1938" s="72"/>
      <c r="K1938" s="36"/>
      <c r="L1938" s="79"/>
      <c r="M1938" s="79"/>
      <c r="N1938" s="74"/>
      <c r="O1938" s="81" t="s">
        <v>179</v>
      </c>
      <c r="P1938" s="83">
        <v>44459.573252314818</v>
      </c>
      <c r="Q1938" s="81" t="s">
        <v>2376</v>
      </c>
      <c r="R1938" s="81"/>
      <c r="S1938" s="81"/>
      <c r="T1938" s="81"/>
      <c r="U1938" s="81"/>
      <c r="V1938" s="84" t="str">
        <f>HYPERLINK("https://pbs.twimg.com/profile_images/378800000705328795/304bfd91ee90011498fd092cc79a423e_normal.jpeg")</f>
        <v>https://pbs.twimg.com/profile_images/378800000705328795/304bfd91ee90011498fd092cc79a423e_normal.jpeg</v>
      </c>
      <c r="W1938" s="83">
        <v>44459.573252314818</v>
      </c>
      <c r="X1938" s="89">
        <v>44459</v>
      </c>
      <c r="Y1938" s="86" t="s">
        <v>4119</v>
      </c>
      <c r="Z1938" s="84" t="str">
        <f>HYPERLINK("https://twitter.com/pos_indonesia/status/1439948832381366277")</f>
        <v>https://twitter.com/pos_indonesia/status/1439948832381366277</v>
      </c>
      <c r="AA1938" s="81"/>
      <c r="AB1938" s="81"/>
      <c r="AC1938" s="86" t="s">
        <v>5621</v>
      </c>
      <c r="AD1938" s="81"/>
      <c r="AE1938" s="81" t="b">
        <v>0</v>
      </c>
      <c r="AF1938" s="81">
        <v>0</v>
      </c>
      <c r="AG1938" s="86" t="s">
        <v>6240</v>
      </c>
      <c r="AH1938" s="81" t="b">
        <v>0</v>
      </c>
      <c r="AI1938" s="81" t="s">
        <v>6479</v>
      </c>
      <c r="AJ1938" s="81"/>
      <c r="AK1938" s="86" t="s">
        <v>6240</v>
      </c>
      <c r="AL1938" s="81" t="b">
        <v>0</v>
      </c>
      <c r="AM1938" s="81">
        <v>0</v>
      </c>
      <c r="AN1938" s="86" t="s">
        <v>6240</v>
      </c>
      <c r="AO1938" s="86" t="s">
        <v>6506</v>
      </c>
      <c r="AP1938" s="81" t="b">
        <v>0</v>
      </c>
      <c r="AQ1938" s="86" t="s">
        <v>5621</v>
      </c>
      <c r="AR1938" s="81" t="s">
        <v>179</v>
      </c>
      <c r="AS1938" s="81">
        <v>0</v>
      </c>
      <c r="AT1938" s="81">
        <v>0</v>
      </c>
      <c r="AU1938" s="81"/>
      <c r="AV1938" s="81"/>
      <c r="AW1938" s="81"/>
      <c r="AX1938" s="81"/>
      <c r="AY1938" s="81"/>
      <c r="AZ1938" s="81"/>
      <c r="BA1938" s="81"/>
      <c r="BB1938" s="81"/>
    </row>
    <row r="1939" spans="1:54" x14ac:dyDescent="0.35">
      <c r="A1939" s="66" t="s">
        <v>1269</v>
      </c>
      <c r="B1939" s="66" t="s">
        <v>1269</v>
      </c>
      <c r="C1939" s="67"/>
      <c r="D1939" s="68"/>
      <c r="E1939" s="69"/>
      <c r="F1939" s="70"/>
      <c r="G1939" s="67"/>
      <c r="H1939" s="71"/>
      <c r="I1939" s="72"/>
      <c r="J1939" s="72"/>
      <c r="K1939" s="36"/>
      <c r="L1939" s="79"/>
      <c r="M1939" s="79"/>
      <c r="N1939" s="74"/>
      <c r="O1939" s="81" t="s">
        <v>179</v>
      </c>
      <c r="P1939" s="83">
        <v>44459.594155092593</v>
      </c>
      <c r="Q1939" s="81" t="s">
        <v>2377</v>
      </c>
      <c r="R1939" s="81"/>
      <c r="S1939" s="81"/>
      <c r="T1939" s="81"/>
      <c r="U1939" s="81"/>
      <c r="V1939" s="84" t="str">
        <f>HYPERLINK("https://pbs.twimg.com/profile_images/378800000705328795/304bfd91ee90011498fd092cc79a423e_normal.jpeg")</f>
        <v>https://pbs.twimg.com/profile_images/378800000705328795/304bfd91ee90011498fd092cc79a423e_normal.jpeg</v>
      </c>
      <c r="W1939" s="83">
        <v>44459.594155092593</v>
      </c>
      <c r="X1939" s="89">
        <v>44459</v>
      </c>
      <c r="Y1939" s="86" t="s">
        <v>4094</v>
      </c>
      <c r="Z1939" s="84" t="str">
        <f>HYPERLINK("https://twitter.com/pos_indonesia/status/1439956409127342084")</f>
        <v>https://twitter.com/pos_indonesia/status/1439956409127342084</v>
      </c>
      <c r="AA1939" s="81"/>
      <c r="AB1939" s="81"/>
      <c r="AC1939" s="86" t="s">
        <v>5622</v>
      </c>
      <c r="AD1939" s="81"/>
      <c r="AE1939" s="81" t="b">
        <v>0</v>
      </c>
      <c r="AF1939" s="81">
        <v>0</v>
      </c>
      <c r="AG1939" s="86" t="s">
        <v>6240</v>
      </c>
      <c r="AH1939" s="81" t="b">
        <v>0</v>
      </c>
      <c r="AI1939" s="81" t="s">
        <v>6479</v>
      </c>
      <c r="AJ1939" s="81"/>
      <c r="AK1939" s="86" t="s">
        <v>6240</v>
      </c>
      <c r="AL1939" s="81" t="b">
        <v>0</v>
      </c>
      <c r="AM1939" s="81">
        <v>0</v>
      </c>
      <c r="AN1939" s="86" t="s">
        <v>6240</v>
      </c>
      <c r="AO1939" s="86" t="s">
        <v>6506</v>
      </c>
      <c r="AP1939" s="81" t="b">
        <v>0</v>
      </c>
      <c r="AQ1939" s="86" t="s">
        <v>5622</v>
      </c>
      <c r="AR1939" s="81" t="s">
        <v>179</v>
      </c>
      <c r="AS1939" s="81">
        <v>0</v>
      </c>
      <c r="AT1939" s="81">
        <v>0</v>
      </c>
      <c r="AU1939" s="81"/>
      <c r="AV1939" s="81"/>
      <c r="AW1939" s="81"/>
      <c r="AX1939" s="81"/>
      <c r="AY1939" s="81"/>
      <c r="AZ1939" s="81"/>
      <c r="BA1939" s="81"/>
      <c r="BB1939" s="81"/>
    </row>
    <row r="1940" spans="1:54" x14ac:dyDescent="0.35">
      <c r="A1940" s="66" t="s">
        <v>1269</v>
      </c>
      <c r="B1940" s="66" t="s">
        <v>1269</v>
      </c>
      <c r="C1940" s="67"/>
      <c r="D1940" s="68"/>
      <c r="E1940" s="69"/>
      <c r="F1940" s="70"/>
      <c r="G1940" s="67"/>
      <c r="H1940" s="71"/>
      <c r="I1940" s="72"/>
      <c r="J1940" s="72"/>
      <c r="K1940" s="36"/>
      <c r="L1940" s="79"/>
      <c r="M1940" s="79"/>
      <c r="N1940" s="74"/>
      <c r="O1940" s="81" t="s">
        <v>179</v>
      </c>
      <c r="P1940" s="83">
        <v>44459.614942129629</v>
      </c>
      <c r="Q1940" s="81" t="s">
        <v>2378</v>
      </c>
      <c r="R1940" s="81"/>
      <c r="S1940" s="81"/>
      <c r="T1940" s="81"/>
      <c r="U1940" s="81"/>
      <c r="V1940" s="84" t="str">
        <f>HYPERLINK("https://pbs.twimg.com/profile_images/378800000705328795/304bfd91ee90011498fd092cc79a423e_normal.jpeg")</f>
        <v>https://pbs.twimg.com/profile_images/378800000705328795/304bfd91ee90011498fd092cc79a423e_normal.jpeg</v>
      </c>
      <c r="W1940" s="83">
        <v>44459.614942129629</v>
      </c>
      <c r="X1940" s="89">
        <v>44459</v>
      </c>
      <c r="Y1940" s="86" t="s">
        <v>4120</v>
      </c>
      <c r="Z1940" s="84" t="str">
        <f>HYPERLINK("https://twitter.com/pos_indonesia/status/1439963941405278209")</f>
        <v>https://twitter.com/pos_indonesia/status/1439963941405278209</v>
      </c>
      <c r="AA1940" s="81"/>
      <c r="AB1940" s="81"/>
      <c r="AC1940" s="86" t="s">
        <v>5623</v>
      </c>
      <c r="AD1940" s="81"/>
      <c r="AE1940" s="81" t="b">
        <v>0</v>
      </c>
      <c r="AF1940" s="81">
        <v>0</v>
      </c>
      <c r="AG1940" s="86" t="s">
        <v>6240</v>
      </c>
      <c r="AH1940" s="81" t="b">
        <v>0</v>
      </c>
      <c r="AI1940" s="81" t="s">
        <v>6479</v>
      </c>
      <c r="AJ1940" s="81"/>
      <c r="AK1940" s="86" t="s">
        <v>6240</v>
      </c>
      <c r="AL1940" s="81" t="b">
        <v>0</v>
      </c>
      <c r="AM1940" s="81">
        <v>0</v>
      </c>
      <c r="AN1940" s="86" t="s">
        <v>6240</v>
      </c>
      <c r="AO1940" s="86" t="s">
        <v>6506</v>
      </c>
      <c r="AP1940" s="81" t="b">
        <v>0</v>
      </c>
      <c r="AQ1940" s="86" t="s">
        <v>5623</v>
      </c>
      <c r="AR1940" s="81" t="s">
        <v>179</v>
      </c>
      <c r="AS1940" s="81">
        <v>0</v>
      </c>
      <c r="AT1940" s="81">
        <v>0</v>
      </c>
      <c r="AU1940" s="81"/>
      <c r="AV1940" s="81"/>
      <c r="AW1940" s="81"/>
      <c r="AX1940" s="81"/>
      <c r="AY1940" s="81"/>
      <c r="AZ1940" s="81"/>
      <c r="BA1940" s="81"/>
      <c r="BB1940" s="81"/>
    </row>
    <row r="1941" spans="1:54" x14ac:dyDescent="0.35">
      <c r="A1941" s="66" t="s">
        <v>1269</v>
      </c>
      <c r="B1941" s="66" t="s">
        <v>1269</v>
      </c>
      <c r="C1941" s="67"/>
      <c r="D1941" s="68"/>
      <c r="E1941" s="69"/>
      <c r="F1941" s="70"/>
      <c r="G1941" s="67"/>
      <c r="H1941" s="71"/>
      <c r="I1941" s="72"/>
      <c r="J1941" s="72"/>
      <c r="K1941" s="36"/>
      <c r="L1941" s="79"/>
      <c r="M1941" s="79"/>
      <c r="N1941" s="74"/>
      <c r="O1941" s="81" t="s">
        <v>179</v>
      </c>
      <c r="P1941" s="83">
        <v>44459.635752314818</v>
      </c>
      <c r="Q1941" s="81" t="s">
        <v>2379</v>
      </c>
      <c r="R1941" s="81"/>
      <c r="S1941" s="81"/>
      <c r="T1941" s="81"/>
      <c r="U1941" s="81"/>
      <c r="V1941" s="84" t="str">
        <f>HYPERLINK("https://pbs.twimg.com/profile_images/378800000705328795/304bfd91ee90011498fd092cc79a423e_normal.jpeg")</f>
        <v>https://pbs.twimg.com/profile_images/378800000705328795/304bfd91ee90011498fd092cc79a423e_normal.jpeg</v>
      </c>
      <c r="W1941" s="83">
        <v>44459.635752314818</v>
      </c>
      <c r="X1941" s="89">
        <v>44459</v>
      </c>
      <c r="Y1941" s="86" t="s">
        <v>4121</v>
      </c>
      <c r="Z1941" s="84" t="str">
        <f>HYPERLINK("https://twitter.com/pos_indonesia/status/1439971484466774018")</f>
        <v>https://twitter.com/pos_indonesia/status/1439971484466774018</v>
      </c>
      <c r="AA1941" s="81"/>
      <c r="AB1941" s="81"/>
      <c r="AC1941" s="86" t="s">
        <v>5624</v>
      </c>
      <c r="AD1941" s="81"/>
      <c r="AE1941" s="81" t="b">
        <v>0</v>
      </c>
      <c r="AF1941" s="81">
        <v>0</v>
      </c>
      <c r="AG1941" s="86" t="s">
        <v>6240</v>
      </c>
      <c r="AH1941" s="81" t="b">
        <v>0</v>
      </c>
      <c r="AI1941" s="81" t="s">
        <v>6479</v>
      </c>
      <c r="AJ1941" s="81"/>
      <c r="AK1941" s="86" t="s">
        <v>6240</v>
      </c>
      <c r="AL1941" s="81" t="b">
        <v>0</v>
      </c>
      <c r="AM1941" s="81">
        <v>0</v>
      </c>
      <c r="AN1941" s="86" t="s">
        <v>6240</v>
      </c>
      <c r="AO1941" s="86" t="s">
        <v>6506</v>
      </c>
      <c r="AP1941" s="81" t="b">
        <v>0</v>
      </c>
      <c r="AQ1941" s="86" t="s">
        <v>5624</v>
      </c>
      <c r="AR1941" s="81" t="s">
        <v>179</v>
      </c>
      <c r="AS1941" s="81">
        <v>0</v>
      </c>
      <c r="AT1941" s="81">
        <v>0</v>
      </c>
      <c r="AU1941" s="81"/>
      <c r="AV1941" s="81"/>
      <c r="AW1941" s="81"/>
      <c r="AX1941" s="81"/>
      <c r="AY1941" s="81"/>
      <c r="AZ1941" s="81"/>
      <c r="BA1941" s="81"/>
      <c r="BB1941" s="81"/>
    </row>
    <row r="1942" spans="1:54" x14ac:dyDescent="0.35">
      <c r="A1942" s="66" t="s">
        <v>1269</v>
      </c>
      <c r="B1942" s="66" t="s">
        <v>1269</v>
      </c>
      <c r="C1942" s="67"/>
      <c r="D1942" s="68"/>
      <c r="E1942" s="69"/>
      <c r="F1942" s="70"/>
      <c r="G1942" s="67"/>
      <c r="H1942" s="71"/>
      <c r="I1942" s="72"/>
      <c r="J1942" s="72"/>
      <c r="K1942" s="36"/>
      <c r="L1942" s="79"/>
      <c r="M1942" s="79"/>
      <c r="N1942" s="74"/>
      <c r="O1942" s="81" t="s">
        <v>179</v>
      </c>
      <c r="P1942" s="83">
        <v>44459.656585648147</v>
      </c>
      <c r="Q1942" s="81" t="s">
        <v>2380</v>
      </c>
      <c r="R1942" s="81"/>
      <c r="S1942" s="81"/>
      <c r="T1942" s="81"/>
      <c r="U1942" s="81"/>
      <c r="V1942" s="84" t="str">
        <f>HYPERLINK("https://pbs.twimg.com/profile_images/378800000705328795/304bfd91ee90011498fd092cc79a423e_normal.jpeg")</f>
        <v>https://pbs.twimg.com/profile_images/378800000705328795/304bfd91ee90011498fd092cc79a423e_normal.jpeg</v>
      </c>
      <c r="W1942" s="83">
        <v>44459.656585648147</v>
      </c>
      <c r="X1942" s="89">
        <v>44459</v>
      </c>
      <c r="Y1942" s="86" t="s">
        <v>4122</v>
      </c>
      <c r="Z1942" s="84" t="str">
        <f>HYPERLINK("https://twitter.com/pos_indonesia/status/1439979032339103744")</f>
        <v>https://twitter.com/pos_indonesia/status/1439979032339103744</v>
      </c>
      <c r="AA1942" s="81"/>
      <c r="AB1942" s="81"/>
      <c r="AC1942" s="86" t="s">
        <v>5625</v>
      </c>
      <c r="AD1942" s="81"/>
      <c r="AE1942" s="81" t="b">
        <v>0</v>
      </c>
      <c r="AF1942" s="81">
        <v>0</v>
      </c>
      <c r="AG1942" s="86" t="s">
        <v>6240</v>
      </c>
      <c r="AH1942" s="81" t="b">
        <v>0</v>
      </c>
      <c r="AI1942" s="81" t="s">
        <v>6479</v>
      </c>
      <c r="AJ1942" s="81"/>
      <c r="AK1942" s="86" t="s">
        <v>6240</v>
      </c>
      <c r="AL1942" s="81" t="b">
        <v>0</v>
      </c>
      <c r="AM1942" s="81">
        <v>0</v>
      </c>
      <c r="AN1942" s="86" t="s">
        <v>6240</v>
      </c>
      <c r="AO1942" s="86" t="s">
        <v>6506</v>
      </c>
      <c r="AP1942" s="81" t="b">
        <v>0</v>
      </c>
      <c r="AQ1942" s="86" t="s">
        <v>5625</v>
      </c>
      <c r="AR1942" s="81" t="s">
        <v>179</v>
      </c>
      <c r="AS1942" s="81">
        <v>0</v>
      </c>
      <c r="AT1942" s="81">
        <v>0</v>
      </c>
      <c r="AU1942" s="81"/>
      <c r="AV1942" s="81"/>
      <c r="AW1942" s="81"/>
      <c r="AX1942" s="81"/>
      <c r="AY1942" s="81"/>
      <c r="AZ1942" s="81"/>
      <c r="BA1942" s="81"/>
      <c r="BB1942" s="81"/>
    </row>
    <row r="1943" spans="1:54" x14ac:dyDescent="0.35">
      <c r="A1943" s="66" t="s">
        <v>1269</v>
      </c>
      <c r="B1943" s="66" t="s">
        <v>1269</v>
      </c>
      <c r="C1943" s="67"/>
      <c r="D1943" s="68"/>
      <c r="E1943" s="69"/>
      <c r="F1943" s="70"/>
      <c r="G1943" s="67"/>
      <c r="H1943" s="71"/>
      <c r="I1943" s="72"/>
      <c r="J1943" s="72"/>
      <c r="K1943" s="36"/>
      <c r="L1943" s="79"/>
      <c r="M1943" s="79"/>
      <c r="N1943" s="74"/>
      <c r="O1943" s="81" t="s">
        <v>179</v>
      </c>
      <c r="P1943" s="83">
        <v>44459.677442129629</v>
      </c>
      <c r="Q1943" s="81" t="s">
        <v>2381</v>
      </c>
      <c r="R1943" s="81"/>
      <c r="S1943" s="81"/>
      <c r="T1943" s="81"/>
      <c r="U1943" s="81"/>
      <c r="V1943" s="84" t="str">
        <f>HYPERLINK("https://pbs.twimg.com/profile_images/378800000705328795/304bfd91ee90011498fd092cc79a423e_normal.jpeg")</f>
        <v>https://pbs.twimg.com/profile_images/378800000705328795/304bfd91ee90011498fd092cc79a423e_normal.jpeg</v>
      </c>
      <c r="W1943" s="83">
        <v>44459.677442129629</v>
      </c>
      <c r="X1943" s="89">
        <v>44459</v>
      </c>
      <c r="Y1943" s="86" t="s">
        <v>4123</v>
      </c>
      <c r="Z1943" s="84" t="str">
        <f>HYPERLINK("https://twitter.com/pos_indonesia/status/1439986589493391361")</f>
        <v>https://twitter.com/pos_indonesia/status/1439986589493391361</v>
      </c>
      <c r="AA1943" s="81"/>
      <c r="AB1943" s="81"/>
      <c r="AC1943" s="86" t="s">
        <v>5626</v>
      </c>
      <c r="AD1943" s="81"/>
      <c r="AE1943" s="81" t="b">
        <v>0</v>
      </c>
      <c r="AF1943" s="81">
        <v>0</v>
      </c>
      <c r="AG1943" s="86" t="s">
        <v>6240</v>
      </c>
      <c r="AH1943" s="81" t="b">
        <v>0</v>
      </c>
      <c r="AI1943" s="81" t="s">
        <v>6479</v>
      </c>
      <c r="AJ1943" s="81"/>
      <c r="AK1943" s="86" t="s">
        <v>6240</v>
      </c>
      <c r="AL1943" s="81" t="b">
        <v>0</v>
      </c>
      <c r="AM1943" s="81">
        <v>0</v>
      </c>
      <c r="AN1943" s="86" t="s">
        <v>6240</v>
      </c>
      <c r="AO1943" s="86" t="s">
        <v>6506</v>
      </c>
      <c r="AP1943" s="81" t="b">
        <v>0</v>
      </c>
      <c r="AQ1943" s="86" t="s">
        <v>5626</v>
      </c>
      <c r="AR1943" s="81" t="s">
        <v>179</v>
      </c>
      <c r="AS1943" s="81">
        <v>0</v>
      </c>
      <c r="AT1943" s="81">
        <v>0</v>
      </c>
      <c r="AU1943" s="81"/>
      <c r="AV1943" s="81"/>
      <c r="AW1943" s="81"/>
      <c r="AX1943" s="81"/>
      <c r="AY1943" s="81"/>
      <c r="AZ1943" s="81"/>
      <c r="BA1943" s="81"/>
      <c r="BB1943" s="81"/>
    </row>
    <row r="1944" spans="1:54" x14ac:dyDescent="0.35">
      <c r="A1944" s="66" t="s">
        <v>1269</v>
      </c>
      <c r="B1944" s="66" t="s">
        <v>1269</v>
      </c>
      <c r="C1944" s="67"/>
      <c r="D1944" s="68"/>
      <c r="E1944" s="69"/>
      <c r="F1944" s="70"/>
      <c r="G1944" s="67"/>
      <c r="H1944" s="71"/>
      <c r="I1944" s="72"/>
      <c r="J1944" s="72"/>
      <c r="K1944" s="36"/>
      <c r="L1944" s="79"/>
      <c r="M1944" s="79"/>
      <c r="N1944" s="74"/>
      <c r="O1944" s="81" t="s">
        <v>179</v>
      </c>
      <c r="P1944" s="83">
        <v>44459.698252314818</v>
      </c>
      <c r="Q1944" s="81" t="s">
        <v>2382</v>
      </c>
      <c r="R1944" s="81"/>
      <c r="S1944" s="81"/>
      <c r="T1944" s="81"/>
      <c r="U1944" s="81"/>
      <c r="V1944" s="84" t="str">
        <f>HYPERLINK("https://pbs.twimg.com/profile_images/378800000705328795/304bfd91ee90011498fd092cc79a423e_normal.jpeg")</f>
        <v>https://pbs.twimg.com/profile_images/378800000705328795/304bfd91ee90011498fd092cc79a423e_normal.jpeg</v>
      </c>
      <c r="W1944" s="83">
        <v>44459.698252314818</v>
      </c>
      <c r="X1944" s="89">
        <v>44459</v>
      </c>
      <c r="Y1944" s="86" t="s">
        <v>4124</v>
      </c>
      <c r="Z1944" s="84" t="str">
        <f>HYPERLINK("https://twitter.com/pos_indonesia/status/1439994132139708420")</f>
        <v>https://twitter.com/pos_indonesia/status/1439994132139708420</v>
      </c>
      <c r="AA1944" s="81"/>
      <c r="AB1944" s="81"/>
      <c r="AC1944" s="86" t="s">
        <v>5627</v>
      </c>
      <c r="AD1944" s="81"/>
      <c r="AE1944" s="81" t="b">
        <v>0</v>
      </c>
      <c r="AF1944" s="81">
        <v>0</v>
      </c>
      <c r="AG1944" s="86" t="s">
        <v>6240</v>
      </c>
      <c r="AH1944" s="81" t="b">
        <v>0</v>
      </c>
      <c r="AI1944" s="81" t="s">
        <v>6479</v>
      </c>
      <c r="AJ1944" s="81"/>
      <c r="AK1944" s="86" t="s">
        <v>6240</v>
      </c>
      <c r="AL1944" s="81" t="b">
        <v>0</v>
      </c>
      <c r="AM1944" s="81">
        <v>0</v>
      </c>
      <c r="AN1944" s="86" t="s">
        <v>6240</v>
      </c>
      <c r="AO1944" s="86" t="s">
        <v>6506</v>
      </c>
      <c r="AP1944" s="81" t="b">
        <v>0</v>
      </c>
      <c r="AQ1944" s="86" t="s">
        <v>5627</v>
      </c>
      <c r="AR1944" s="81" t="s">
        <v>179</v>
      </c>
      <c r="AS1944" s="81">
        <v>0</v>
      </c>
      <c r="AT1944" s="81">
        <v>0</v>
      </c>
      <c r="AU1944" s="81"/>
      <c r="AV1944" s="81"/>
      <c r="AW1944" s="81"/>
      <c r="AX1944" s="81"/>
      <c r="AY1944" s="81"/>
      <c r="AZ1944" s="81"/>
      <c r="BA1944" s="81"/>
      <c r="BB1944" s="81"/>
    </row>
    <row r="1945" spans="1:54" x14ac:dyDescent="0.35">
      <c r="A1945" s="66" t="s">
        <v>1269</v>
      </c>
      <c r="B1945" s="66" t="s">
        <v>1269</v>
      </c>
      <c r="C1945" s="67"/>
      <c r="D1945" s="68"/>
      <c r="E1945" s="69"/>
      <c r="F1945" s="70"/>
      <c r="G1945" s="67"/>
      <c r="H1945" s="71"/>
      <c r="I1945" s="72"/>
      <c r="J1945" s="72"/>
      <c r="K1945" s="36"/>
      <c r="L1945" s="79"/>
      <c r="M1945" s="79"/>
      <c r="N1945" s="74"/>
      <c r="O1945" s="81" t="s">
        <v>179</v>
      </c>
      <c r="P1945" s="83">
        <v>44459.719085648147</v>
      </c>
      <c r="Q1945" s="81" t="s">
        <v>2383</v>
      </c>
      <c r="R1945" s="81"/>
      <c r="S1945" s="81"/>
      <c r="T1945" s="81"/>
      <c r="U1945" s="81"/>
      <c r="V1945" s="84" t="str">
        <f>HYPERLINK("https://pbs.twimg.com/profile_images/378800000705328795/304bfd91ee90011498fd092cc79a423e_normal.jpeg")</f>
        <v>https://pbs.twimg.com/profile_images/378800000705328795/304bfd91ee90011498fd092cc79a423e_normal.jpeg</v>
      </c>
      <c r="W1945" s="83">
        <v>44459.719085648147</v>
      </c>
      <c r="X1945" s="89">
        <v>44459</v>
      </c>
      <c r="Y1945" s="86" t="s">
        <v>4125</v>
      </c>
      <c r="Z1945" s="84" t="str">
        <f>HYPERLINK("https://twitter.com/pos_indonesia/status/1440001683338104833")</f>
        <v>https://twitter.com/pos_indonesia/status/1440001683338104833</v>
      </c>
      <c r="AA1945" s="81"/>
      <c r="AB1945" s="81"/>
      <c r="AC1945" s="86" t="s">
        <v>5628</v>
      </c>
      <c r="AD1945" s="81"/>
      <c r="AE1945" s="81" t="b">
        <v>0</v>
      </c>
      <c r="AF1945" s="81">
        <v>0</v>
      </c>
      <c r="AG1945" s="86" t="s">
        <v>6240</v>
      </c>
      <c r="AH1945" s="81" t="b">
        <v>0</v>
      </c>
      <c r="AI1945" s="81" t="s">
        <v>6479</v>
      </c>
      <c r="AJ1945" s="81"/>
      <c r="AK1945" s="86" t="s">
        <v>6240</v>
      </c>
      <c r="AL1945" s="81" t="b">
        <v>0</v>
      </c>
      <c r="AM1945" s="81">
        <v>0</v>
      </c>
      <c r="AN1945" s="86" t="s">
        <v>6240</v>
      </c>
      <c r="AO1945" s="86" t="s">
        <v>6506</v>
      </c>
      <c r="AP1945" s="81" t="b">
        <v>0</v>
      </c>
      <c r="AQ1945" s="86" t="s">
        <v>5628</v>
      </c>
      <c r="AR1945" s="81" t="s">
        <v>179</v>
      </c>
      <c r="AS1945" s="81">
        <v>0</v>
      </c>
      <c r="AT1945" s="81">
        <v>0</v>
      </c>
      <c r="AU1945" s="81"/>
      <c r="AV1945" s="81"/>
      <c r="AW1945" s="81"/>
      <c r="AX1945" s="81"/>
      <c r="AY1945" s="81"/>
      <c r="AZ1945" s="81"/>
      <c r="BA1945" s="81"/>
      <c r="BB1945" s="81"/>
    </row>
    <row r="1946" spans="1:54" x14ac:dyDescent="0.35">
      <c r="A1946" s="66" t="s">
        <v>1269</v>
      </c>
      <c r="B1946" s="66" t="s">
        <v>1269</v>
      </c>
      <c r="C1946" s="67"/>
      <c r="D1946" s="68"/>
      <c r="E1946" s="69"/>
      <c r="F1946" s="70"/>
      <c r="G1946" s="67"/>
      <c r="H1946" s="71"/>
      <c r="I1946" s="72"/>
      <c r="J1946" s="72"/>
      <c r="K1946" s="36"/>
      <c r="L1946" s="79"/>
      <c r="M1946" s="79"/>
      <c r="N1946" s="74"/>
      <c r="O1946" s="81" t="s">
        <v>179</v>
      </c>
      <c r="P1946" s="83">
        <v>44459.739918981482</v>
      </c>
      <c r="Q1946" s="81" t="s">
        <v>2313</v>
      </c>
      <c r="R1946" s="81"/>
      <c r="S1946" s="81"/>
      <c r="T1946" s="81"/>
      <c r="U1946" s="81"/>
      <c r="V1946" s="84" t="str">
        <f>HYPERLINK("https://pbs.twimg.com/profile_images/378800000705328795/304bfd91ee90011498fd092cc79a423e_normal.jpeg")</f>
        <v>https://pbs.twimg.com/profile_images/378800000705328795/304bfd91ee90011498fd092cc79a423e_normal.jpeg</v>
      </c>
      <c r="W1946" s="83">
        <v>44459.739918981482</v>
      </c>
      <c r="X1946" s="89">
        <v>44459</v>
      </c>
      <c r="Y1946" s="86" t="s">
        <v>4126</v>
      </c>
      <c r="Z1946" s="84" t="str">
        <f>HYPERLINK("https://twitter.com/pos_indonesia/status/1440009231428513797")</f>
        <v>https://twitter.com/pos_indonesia/status/1440009231428513797</v>
      </c>
      <c r="AA1946" s="81"/>
      <c r="AB1946" s="81"/>
      <c r="AC1946" s="86" t="s">
        <v>5629</v>
      </c>
      <c r="AD1946" s="81"/>
      <c r="AE1946" s="81" t="b">
        <v>0</v>
      </c>
      <c r="AF1946" s="81">
        <v>0</v>
      </c>
      <c r="AG1946" s="86" t="s">
        <v>6240</v>
      </c>
      <c r="AH1946" s="81" t="b">
        <v>0</v>
      </c>
      <c r="AI1946" s="81" t="s">
        <v>6479</v>
      </c>
      <c r="AJ1946" s="81"/>
      <c r="AK1946" s="86" t="s">
        <v>6240</v>
      </c>
      <c r="AL1946" s="81" t="b">
        <v>0</v>
      </c>
      <c r="AM1946" s="81">
        <v>0</v>
      </c>
      <c r="AN1946" s="86" t="s">
        <v>6240</v>
      </c>
      <c r="AO1946" s="86" t="s">
        <v>6506</v>
      </c>
      <c r="AP1946" s="81" t="b">
        <v>0</v>
      </c>
      <c r="AQ1946" s="86" t="s">
        <v>5629</v>
      </c>
      <c r="AR1946" s="81" t="s">
        <v>179</v>
      </c>
      <c r="AS1946" s="81">
        <v>0</v>
      </c>
      <c r="AT1946" s="81">
        <v>0</v>
      </c>
      <c r="AU1946" s="81"/>
      <c r="AV1946" s="81"/>
      <c r="AW1946" s="81"/>
      <c r="AX1946" s="81"/>
      <c r="AY1946" s="81"/>
      <c r="AZ1946" s="81"/>
      <c r="BA1946" s="81"/>
      <c r="BB1946" s="81"/>
    </row>
    <row r="1947" spans="1:54" x14ac:dyDescent="0.35">
      <c r="A1947" s="66" t="s">
        <v>1269</v>
      </c>
      <c r="B1947" s="66" t="s">
        <v>1269</v>
      </c>
      <c r="C1947" s="67"/>
      <c r="D1947" s="68"/>
      <c r="E1947" s="69"/>
      <c r="F1947" s="70"/>
      <c r="G1947" s="67"/>
      <c r="H1947" s="71"/>
      <c r="I1947" s="72"/>
      <c r="J1947" s="72"/>
      <c r="K1947" s="36"/>
      <c r="L1947" s="79"/>
      <c r="M1947" s="79"/>
      <c r="N1947" s="74"/>
      <c r="O1947" s="81" t="s">
        <v>179</v>
      </c>
      <c r="P1947" s="83">
        <v>44459.760775462964</v>
      </c>
      <c r="Q1947" s="81" t="s">
        <v>2384</v>
      </c>
      <c r="R1947" s="81"/>
      <c r="S1947" s="81"/>
      <c r="T1947" s="81"/>
      <c r="U1947" s="81"/>
      <c r="V1947" s="84" t="str">
        <f>HYPERLINK("https://pbs.twimg.com/profile_images/378800000705328795/304bfd91ee90011498fd092cc79a423e_normal.jpeg")</f>
        <v>https://pbs.twimg.com/profile_images/378800000705328795/304bfd91ee90011498fd092cc79a423e_normal.jpeg</v>
      </c>
      <c r="W1947" s="83">
        <v>44459.760775462964</v>
      </c>
      <c r="X1947" s="89">
        <v>44459</v>
      </c>
      <c r="Y1947" s="86" t="s">
        <v>4056</v>
      </c>
      <c r="Z1947" s="84" t="str">
        <f>HYPERLINK("https://twitter.com/pos_indonesia/status/1440016787819491328")</f>
        <v>https://twitter.com/pos_indonesia/status/1440016787819491328</v>
      </c>
      <c r="AA1947" s="81"/>
      <c r="AB1947" s="81"/>
      <c r="AC1947" s="86" t="s">
        <v>5630</v>
      </c>
      <c r="AD1947" s="81"/>
      <c r="AE1947" s="81" t="b">
        <v>0</v>
      </c>
      <c r="AF1947" s="81">
        <v>0</v>
      </c>
      <c r="AG1947" s="86" t="s">
        <v>6240</v>
      </c>
      <c r="AH1947" s="81" t="b">
        <v>0</v>
      </c>
      <c r="AI1947" s="81" t="s">
        <v>6479</v>
      </c>
      <c r="AJ1947" s="81"/>
      <c r="AK1947" s="86" t="s">
        <v>6240</v>
      </c>
      <c r="AL1947" s="81" t="b">
        <v>0</v>
      </c>
      <c r="AM1947" s="81">
        <v>0</v>
      </c>
      <c r="AN1947" s="86" t="s">
        <v>6240</v>
      </c>
      <c r="AO1947" s="86" t="s">
        <v>6506</v>
      </c>
      <c r="AP1947" s="81" t="b">
        <v>0</v>
      </c>
      <c r="AQ1947" s="86" t="s">
        <v>5630</v>
      </c>
      <c r="AR1947" s="81" t="s">
        <v>179</v>
      </c>
      <c r="AS1947" s="81">
        <v>0</v>
      </c>
      <c r="AT1947" s="81">
        <v>0</v>
      </c>
      <c r="AU1947" s="81"/>
      <c r="AV1947" s="81"/>
      <c r="AW1947" s="81"/>
      <c r="AX1947" s="81"/>
      <c r="AY1947" s="81"/>
      <c r="AZ1947" s="81"/>
      <c r="BA1947" s="81"/>
      <c r="BB1947" s="81"/>
    </row>
    <row r="1948" spans="1:54" x14ac:dyDescent="0.35">
      <c r="A1948" s="66" t="s">
        <v>1269</v>
      </c>
      <c r="B1948" s="66" t="s">
        <v>1269</v>
      </c>
      <c r="C1948" s="67"/>
      <c r="D1948" s="68"/>
      <c r="E1948" s="69"/>
      <c r="F1948" s="70"/>
      <c r="G1948" s="67"/>
      <c r="H1948" s="71"/>
      <c r="I1948" s="72"/>
      <c r="J1948" s="72"/>
      <c r="K1948" s="36"/>
      <c r="L1948" s="79"/>
      <c r="M1948" s="79"/>
      <c r="N1948" s="74"/>
      <c r="O1948" s="81" t="s">
        <v>179</v>
      </c>
      <c r="P1948" s="83">
        <v>44459.781574074077</v>
      </c>
      <c r="Q1948" s="81" t="s">
        <v>2385</v>
      </c>
      <c r="R1948" s="81"/>
      <c r="S1948" s="81"/>
      <c r="T1948" s="81"/>
      <c r="U1948" s="81"/>
      <c r="V1948" s="84" t="str">
        <f>HYPERLINK("https://pbs.twimg.com/profile_images/378800000705328795/304bfd91ee90011498fd092cc79a423e_normal.jpeg")</f>
        <v>https://pbs.twimg.com/profile_images/378800000705328795/304bfd91ee90011498fd092cc79a423e_normal.jpeg</v>
      </c>
      <c r="W1948" s="83">
        <v>44459.781574074077</v>
      </c>
      <c r="X1948" s="89">
        <v>44459</v>
      </c>
      <c r="Y1948" s="86" t="s">
        <v>4057</v>
      </c>
      <c r="Z1948" s="84" t="str">
        <f>HYPERLINK("https://twitter.com/pos_indonesia/status/1440024326732849159")</f>
        <v>https://twitter.com/pos_indonesia/status/1440024326732849159</v>
      </c>
      <c r="AA1948" s="81"/>
      <c r="AB1948" s="81"/>
      <c r="AC1948" s="86" t="s">
        <v>5631</v>
      </c>
      <c r="AD1948" s="81"/>
      <c r="AE1948" s="81" t="b">
        <v>0</v>
      </c>
      <c r="AF1948" s="81">
        <v>0</v>
      </c>
      <c r="AG1948" s="86" t="s">
        <v>6240</v>
      </c>
      <c r="AH1948" s="81" t="b">
        <v>0</v>
      </c>
      <c r="AI1948" s="81" t="s">
        <v>6479</v>
      </c>
      <c r="AJ1948" s="81"/>
      <c r="AK1948" s="86" t="s">
        <v>6240</v>
      </c>
      <c r="AL1948" s="81" t="b">
        <v>0</v>
      </c>
      <c r="AM1948" s="81">
        <v>0</v>
      </c>
      <c r="AN1948" s="86" t="s">
        <v>6240</v>
      </c>
      <c r="AO1948" s="86" t="s">
        <v>6506</v>
      </c>
      <c r="AP1948" s="81" t="b">
        <v>0</v>
      </c>
      <c r="AQ1948" s="86" t="s">
        <v>5631</v>
      </c>
      <c r="AR1948" s="81" t="s">
        <v>179</v>
      </c>
      <c r="AS1948" s="81">
        <v>0</v>
      </c>
      <c r="AT1948" s="81">
        <v>0</v>
      </c>
      <c r="AU1948" s="81"/>
      <c r="AV1948" s="81"/>
      <c r="AW1948" s="81"/>
      <c r="AX1948" s="81"/>
      <c r="AY1948" s="81"/>
      <c r="AZ1948" s="81"/>
      <c r="BA1948" s="81"/>
      <c r="BB1948" s="81"/>
    </row>
    <row r="1949" spans="1:54" x14ac:dyDescent="0.35">
      <c r="A1949" s="66" t="s">
        <v>1269</v>
      </c>
      <c r="B1949" s="66" t="s">
        <v>1269</v>
      </c>
      <c r="C1949" s="67"/>
      <c r="D1949" s="68"/>
      <c r="E1949" s="69"/>
      <c r="F1949" s="70"/>
      <c r="G1949" s="67"/>
      <c r="H1949" s="71"/>
      <c r="I1949" s="72"/>
      <c r="J1949" s="72"/>
      <c r="K1949" s="36"/>
      <c r="L1949" s="79"/>
      <c r="M1949" s="79"/>
      <c r="N1949" s="74"/>
      <c r="O1949" s="81" t="s">
        <v>179</v>
      </c>
      <c r="P1949" s="83">
        <v>44459.802430555559</v>
      </c>
      <c r="Q1949" s="81" t="s">
        <v>2386</v>
      </c>
      <c r="R1949" s="81"/>
      <c r="S1949" s="81"/>
      <c r="T1949" s="81"/>
      <c r="U1949" s="81"/>
      <c r="V1949" s="84" t="str">
        <f>HYPERLINK("https://pbs.twimg.com/profile_images/378800000705328795/304bfd91ee90011498fd092cc79a423e_normal.jpeg")</f>
        <v>https://pbs.twimg.com/profile_images/378800000705328795/304bfd91ee90011498fd092cc79a423e_normal.jpeg</v>
      </c>
      <c r="W1949" s="83">
        <v>44459.802430555559</v>
      </c>
      <c r="X1949" s="89">
        <v>44459</v>
      </c>
      <c r="Y1949" s="86" t="s">
        <v>4058</v>
      </c>
      <c r="Z1949" s="84" t="str">
        <f>HYPERLINK("https://twitter.com/pos_indonesia/status/1440031883463577608")</f>
        <v>https://twitter.com/pos_indonesia/status/1440031883463577608</v>
      </c>
      <c r="AA1949" s="81"/>
      <c r="AB1949" s="81"/>
      <c r="AC1949" s="86" t="s">
        <v>5632</v>
      </c>
      <c r="AD1949" s="81"/>
      <c r="AE1949" s="81" t="b">
        <v>0</v>
      </c>
      <c r="AF1949" s="81">
        <v>0</v>
      </c>
      <c r="AG1949" s="86" t="s">
        <v>6240</v>
      </c>
      <c r="AH1949" s="81" t="b">
        <v>0</v>
      </c>
      <c r="AI1949" s="81" t="s">
        <v>6479</v>
      </c>
      <c r="AJ1949" s="81"/>
      <c r="AK1949" s="86" t="s">
        <v>6240</v>
      </c>
      <c r="AL1949" s="81" t="b">
        <v>0</v>
      </c>
      <c r="AM1949" s="81">
        <v>0</v>
      </c>
      <c r="AN1949" s="86" t="s">
        <v>6240</v>
      </c>
      <c r="AO1949" s="86" t="s">
        <v>6506</v>
      </c>
      <c r="AP1949" s="81" t="b">
        <v>0</v>
      </c>
      <c r="AQ1949" s="86" t="s">
        <v>5632</v>
      </c>
      <c r="AR1949" s="81" t="s">
        <v>179</v>
      </c>
      <c r="AS1949" s="81">
        <v>0</v>
      </c>
      <c r="AT1949" s="81">
        <v>0</v>
      </c>
      <c r="AU1949" s="81"/>
      <c r="AV1949" s="81"/>
      <c r="AW1949" s="81"/>
      <c r="AX1949" s="81"/>
      <c r="AY1949" s="81"/>
      <c r="AZ1949" s="81"/>
      <c r="BA1949" s="81"/>
      <c r="BB1949" s="81"/>
    </row>
    <row r="1950" spans="1:54" x14ac:dyDescent="0.35">
      <c r="A1950" s="66" t="s">
        <v>1269</v>
      </c>
      <c r="B1950" s="66" t="s">
        <v>1269</v>
      </c>
      <c r="C1950" s="67"/>
      <c r="D1950" s="68"/>
      <c r="E1950" s="69"/>
      <c r="F1950" s="70"/>
      <c r="G1950" s="67"/>
      <c r="H1950" s="71"/>
      <c r="I1950" s="72"/>
      <c r="J1950" s="72"/>
      <c r="K1950" s="36"/>
      <c r="L1950" s="79"/>
      <c r="M1950" s="79"/>
      <c r="N1950" s="74"/>
      <c r="O1950" s="81" t="s">
        <v>179</v>
      </c>
      <c r="P1950" s="83">
        <v>44459.84412037037</v>
      </c>
      <c r="Q1950" s="81" t="s">
        <v>2341</v>
      </c>
      <c r="R1950" s="81"/>
      <c r="S1950" s="81"/>
      <c r="T1950" s="81"/>
      <c r="U1950" s="81"/>
      <c r="V1950" s="84" t="str">
        <f>HYPERLINK("https://pbs.twimg.com/profile_images/378800000705328795/304bfd91ee90011498fd092cc79a423e_normal.jpeg")</f>
        <v>https://pbs.twimg.com/profile_images/378800000705328795/304bfd91ee90011498fd092cc79a423e_normal.jpeg</v>
      </c>
      <c r="W1950" s="83">
        <v>44459.84412037037</v>
      </c>
      <c r="X1950" s="89">
        <v>44459</v>
      </c>
      <c r="Y1950" s="86" t="s">
        <v>4060</v>
      </c>
      <c r="Z1950" s="84" t="str">
        <f>HYPERLINK("https://twitter.com/pos_indonesia/status/1440046992680316932")</f>
        <v>https://twitter.com/pos_indonesia/status/1440046992680316932</v>
      </c>
      <c r="AA1950" s="81"/>
      <c r="AB1950" s="81"/>
      <c r="AC1950" s="86" t="s">
        <v>5633</v>
      </c>
      <c r="AD1950" s="81"/>
      <c r="AE1950" s="81" t="b">
        <v>0</v>
      </c>
      <c r="AF1950" s="81">
        <v>0</v>
      </c>
      <c r="AG1950" s="86" t="s">
        <v>6240</v>
      </c>
      <c r="AH1950" s="81" t="b">
        <v>0</v>
      </c>
      <c r="AI1950" s="81" t="s">
        <v>6479</v>
      </c>
      <c r="AJ1950" s="81"/>
      <c r="AK1950" s="86" t="s">
        <v>6240</v>
      </c>
      <c r="AL1950" s="81" t="b">
        <v>0</v>
      </c>
      <c r="AM1950" s="81">
        <v>0</v>
      </c>
      <c r="AN1950" s="86" t="s">
        <v>6240</v>
      </c>
      <c r="AO1950" s="86" t="s">
        <v>6506</v>
      </c>
      <c r="AP1950" s="81" t="b">
        <v>0</v>
      </c>
      <c r="AQ1950" s="86" t="s">
        <v>5633</v>
      </c>
      <c r="AR1950" s="81" t="s">
        <v>179</v>
      </c>
      <c r="AS1950" s="81">
        <v>0</v>
      </c>
      <c r="AT1950" s="81">
        <v>0</v>
      </c>
      <c r="AU1950" s="81"/>
      <c r="AV1950" s="81"/>
      <c r="AW1950" s="81"/>
      <c r="AX1950" s="81"/>
      <c r="AY1950" s="81"/>
      <c r="AZ1950" s="81"/>
      <c r="BA1950" s="81"/>
      <c r="BB1950" s="81"/>
    </row>
    <row r="1951" spans="1:54" x14ac:dyDescent="0.35">
      <c r="A1951" s="66" t="s">
        <v>1269</v>
      </c>
      <c r="B1951" s="66" t="s">
        <v>1269</v>
      </c>
      <c r="C1951" s="67"/>
      <c r="D1951" s="68"/>
      <c r="E1951" s="69"/>
      <c r="F1951" s="70"/>
      <c r="G1951" s="67"/>
      <c r="H1951" s="71"/>
      <c r="I1951" s="72"/>
      <c r="J1951" s="72"/>
      <c r="K1951" s="36"/>
      <c r="L1951" s="79"/>
      <c r="M1951" s="79"/>
      <c r="N1951" s="74"/>
      <c r="O1951" s="81" t="s">
        <v>179</v>
      </c>
      <c r="P1951" s="83">
        <v>44459.864953703705</v>
      </c>
      <c r="Q1951" s="81" t="s">
        <v>2387</v>
      </c>
      <c r="R1951" s="81"/>
      <c r="S1951" s="81"/>
      <c r="T1951" s="81"/>
      <c r="U1951" s="81"/>
      <c r="V1951" s="84" t="str">
        <f>HYPERLINK("https://pbs.twimg.com/profile_images/378800000705328795/304bfd91ee90011498fd092cc79a423e_normal.jpeg")</f>
        <v>https://pbs.twimg.com/profile_images/378800000705328795/304bfd91ee90011498fd092cc79a423e_normal.jpeg</v>
      </c>
      <c r="W1951" s="83">
        <v>44459.864953703705</v>
      </c>
      <c r="X1951" s="89">
        <v>44459</v>
      </c>
      <c r="Y1951" s="86" t="s">
        <v>4127</v>
      </c>
      <c r="Z1951" s="84" t="str">
        <f>HYPERLINK("https://twitter.com/pos_indonesia/status/1440054543413170184")</f>
        <v>https://twitter.com/pos_indonesia/status/1440054543413170184</v>
      </c>
      <c r="AA1951" s="81"/>
      <c r="AB1951" s="81"/>
      <c r="AC1951" s="86" t="s">
        <v>5634</v>
      </c>
      <c r="AD1951" s="81"/>
      <c r="AE1951" s="81" t="b">
        <v>0</v>
      </c>
      <c r="AF1951" s="81">
        <v>0</v>
      </c>
      <c r="AG1951" s="86" t="s">
        <v>6240</v>
      </c>
      <c r="AH1951" s="81" t="b">
        <v>0</v>
      </c>
      <c r="AI1951" s="81" t="s">
        <v>6479</v>
      </c>
      <c r="AJ1951" s="81"/>
      <c r="AK1951" s="86" t="s">
        <v>6240</v>
      </c>
      <c r="AL1951" s="81" t="b">
        <v>0</v>
      </c>
      <c r="AM1951" s="81">
        <v>0</v>
      </c>
      <c r="AN1951" s="86" t="s">
        <v>6240</v>
      </c>
      <c r="AO1951" s="86" t="s">
        <v>6506</v>
      </c>
      <c r="AP1951" s="81" t="b">
        <v>0</v>
      </c>
      <c r="AQ1951" s="86" t="s">
        <v>5634</v>
      </c>
      <c r="AR1951" s="81" t="s">
        <v>179</v>
      </c>
      <c r="AS1951" s="81">
        <v>0</v>
      </c>
      <c r="AT1951" s="81">
        <v>0</v>
      </c>
      <c r="AU1951" s="81"/>
      <c r="AV1951" s="81"/>
      <c r="AW1951" s="81"/>
      <c r="AX1951" s="81"/>
      <c r="AY1951" s="81"/>
      <c r="AZ1951" s="81"/>
      <c r="BA1951" s="81"/>
      <c r="BB1951" s="81"/>
    </row>
    <row r="1952" spans="1:54" x14ac:dyDescent="0.35">
      <c r="A1952" s="66" t="s">
        <v>1269</v>
      </c>
      <c r="B1952" s="66" t="s">
        <v>1269</v>
      </c>
      <c r="C1952" s="67"/>
      <c r="D1952" s="68"/>
      <c r="E1952" s="69"/>
      <c r="F1952" s="70"/>
      <c r="G1952" s="67"/>
      <c r="H1952" s="71"/>
      <c r="I1952" s="72"/>
      <c r="J1952" s="72"/>
      <c r="K1952" s="36"/>
      <c r="L1952" s="79"/>
      <c r="M1952" s="79"/>
      <c r="N1952" s="74"/>
      <c r="O1952" s="81" t="s">
        <v>179</v>
      </c>
      <c r="P1952" s="83">
        <v>44459.885763888888</v>
      </c>
      <c r="Q1952" s="81" t="s">
        <v>2388</v>
      </c>
      <c r="R1952" s="81"/>
      <c r="S1952" s="81"/>
      <c r="T1952" s="81"/>
      <c r="U1952" s="81"/>
      <c r="V1952" s="84" t="str">
        <f>HYPERLINK("https://pbs.twimg.com/profile_images/378800000705328795/304bfd91ee90011498fd092cc79a423e_normal.jpeg")</f>
        <v>https://pbs.twimg.com/profile_images/378800000705328795/304bfd91ee90011498fd092cc79a423e_normal.jpeg</v>
      </c>
      <c r="W1952" s="83">
        <v>44459.885763888888</v>
      </c>
      <c r="X1952" s="89">
        <v>44459</v>
      </c>
      <c r="Y1952" s="86" t="s">
        <v>4128</v>
      </c>
      <c r="Z1952" s="84" t="str">
        <f>HYPERLINK("https://twitter.com/pos_indonesia/status/1440062085375807505")</f>
        <v>https://twitter.com/pos_indonesia/status/1440062085375807505</v>
      </c>
      <c r="AA1952" s="81"/>
      <c r="AB1952" s="81"/>
      <c r="AC1952" s="86" t="s">
        <v>5635</v>
      </c>
      <c r="AD1952" s="81"/>
      <c r="AE1952" s="81" t="b">
        <v>0</v>
      </c>
      <c r="AF1952" s="81">
        <v>0</v>
      </c>
      <c r="AG1952" s="86" t="s">
        <v>6240</v>
      </c>
      <c r="AH1952" s="81" t="b">
        <v>0</v>
      </c>
      <c r="AI1952" s="81" t="s">
        <v>6479</v>
      </c>
      <c r="AJ1952" s="81"/>
      <c r="AK1952" s="86" t="s">
        <v>6240</v>
      </c>
      <c r="AL1952" s="81" t="b">
        <v>0</v>
      </c>
      <c r="AM1952" s="81">
        <v>0</v>
      </c>
      <c r="AN1952" s="86" t="s">
        <v>6240</v>
      </c>
      <c r="AO1952" s="86" t="s">
        <v>6506</v>
      </c>
      <c r="AP1952" s="81" t="b">
        <v>0</v>
      </c>
      <c r="AQ1952" s="86" t="s">
        <v>5635</v>
      </c>
      <c r="AR1952" s="81" t="s">
        <v>179</v>
      </c>
      <c r="AS1952" s="81">
        <v>0</v>
      </c>
      <c r="AT1952" s="81">
        <v>0</v>
      </c>
      <c r="AU1952" s="81"/>
      <c r="AV1952" s="81"/>
      <c r="AW1952" s="81"/>
      <c r="AX1952" s="81"/>
      <c r="AY1952" s="81"/>
      <c r="AZ1952" s="81"/>
      <c r="BA1952" s="81"/>
      <c r="BB1952" s="81"/>
    </row>
    <row r="1953" spans="1:54" x14ac:dyDescent="0.35">
      <c r="A1953" s="66" t="s">
        <v>1269</v>
      </c>
      <c r="B1953" s="66" t="s">
        <v>1269</v>
      </c>
      <c r="C1953" s="67"/>
      <c r="D1953" s="68"/>
      <c r="E1953" s="69"/>
      <c r="F1953" s="70"/>
      <c r="G1953" s="67"/>
      <c r="H1953" s="71"/>
      <c r="I1953" s="72"/>
      <c r="J1953" s="72"/>
      <c r="K1953" s="36"/>
      <c r="L1953" s="79"/>
      <c r="M1953" s="79"/>
      <c r="N1953" s="74"/>
      <c r="O1953" s="81" t="s">
        <v>179</v>
      </c>
      <c r="P1953" s="83">
        <v>44459.906585648147</v>
      </c>
      <c r="Q1953" s="81" t="s">
        <v>2389</v>
      </c>
      <c r="R1953" s="81"/>
      <c r="S1953" s="81"/>
      <c r="T1953" s="81"/>
      <c r="U1953" s="81"/>
      <c r="V1953" s="84" t="str">
        <f>HYPERLINK("https://pbs.twimg.com/profile_images/378800000705328795/304bfd91ee90011498fd092cc79a423e_normal.jpeg")</f>
        <v>https://pbs.twimg.com/profile_images/378800000705328795/304bfd91ee90011498fd092cc79a423e_normal.jpeg</v>
      </c>
      <c r="W1953" s="83">
        <v>44459.906585648147</v>
      </c>
      <c r="X1953" s="89">
        <v>44459</v>
      </c>
      <c r="Y1953" s="86" t="s">
        <v>4063</v>
      </c>
      <c r="Z1953" s="84" t="str">
        <f>HYPERLINK("https://twitter.com/pos_indonesia/status/1440069630903472131")</f>
        <v>https://twitter.com/pos_indonesia/status/1440069630903472131</v>
      </c>
      <c r="AA1953" s="81"/>
      <c r="AB1953" s="81"/>
      <c r="AC1953" s="86" t="s">
        <v>5636</v>
      </c>
      <c r="AD1953" s="81"/>
      <c r="AE1953" s="81" t="b">
        <v>0</v>
      </c>
      <c r="AF1953" s="81">
        <v>0</v>
      </c>
      <c r="AG1953" s="86" t="s">
        <v>6240</v>
      </c>
      <c r="AH1953" s="81" t="b">
        <v>0</v>
      </c>
      <c r="AI1953" s="81" t="s">
        <v>6479</v>
      </c>
      <c r="AJ1953" s="81"/>
      <c r="AK1953" s="86" t="s">
        <v>6240</v>
      </c>
      <c r="AL1953" s="81" t="b">
        <v>0</v>
      </c>
      <c r="AM1953" s="81">
        <v>0</v>
      </c>
      <c r="AN1953" s="86" t="s">
        <v>6240</v>
      </c>
      <c r="AO1953" s="86" t="s">
        <v>6506</v>
      </c>
      <c r="AP1953" s="81" t="b">
        <v>0</v>
      </c>
      <c r="AQ1953" s="86" t="s">
        <v>5636</v>
      </c>
      <c r="AR1953" s="81" t="s">
        <v>179</v>
      </c>
      <c r="AS1953" s="81">
        <v>0</v>
      </c>
      <c r="AT1953" s="81">
        <v>0</v>
      </c>
      <c r="AU1953" s="81"/>
      <c r="AV1953" s="81"/>
      <c r="AW1953" s="81"/>
      <c r="AX1953" s="81"/>
      <c r="AY1953" s="81"/>
      <c r="AZ1953" s="81"/>
      <c r="BA1953" s="81"/>
      <c r="BB1953" s="81"/>
    </row>
    <row r="1954" spans="1:54" x14ac:dyDescent="0.35">
      <c r="A1954" s="66" t="s">
        <v>1269</v>
      </c>
      <c r="B1954" s="66" t="s">
        <v>1269</v>
      </c>
      <c r="C1954" s="67"/>
      <c r="D1954" s="68"/>
      <c r="E1954" s="69"/>
      <c r="F1954" s="70"/>
      <c r="G1954" s="67"/>
      <c r="H1954" s="71"/>
      <c r="I1954" s="72"/>
      <c r="J1954" s="72"/>
      <c r="K1954" s="36"/>
      <c r="L1954" s="79"/>
      <c r="M1954" s="79"/>
      <c r="N1954" s="74"/>
      <c r="O1954" s="81" t="s">
        <v>179</v>
      </c>
      <c r="P1954" s="83">
        <v>44459.927442129629</v>
      </c>
      <c r="Q1954" s="81" t="s">
        <v>2390</v>
      </c>
      <c r="R1954" s="81"/>
      <c r="S1954" s="81"/>
      <c r="T1954" s="81"/>
      <c r="U1954" s="81"/>
      <c r="V1954" s="84" t="str">
        <f>HYPERLINK("https://pbs.twimg.com/profile_images/378800000705328795/304bfd91ee90011498fd092cc79a423e_normal.jpeg")</f>
        <v>https://pbs.twimg.com/profile_images/378800000705328795/304bfd91ee90011498fd092cc79a423e_normal.jpeg</v>
      </c>
      <c r="W1954" s="83">
        <v>44459.927442129629</v>
      </c>
      <c r="X1954" s="89">
        <v>44459</v>
      </c>
      <c r="Y1954" s="86" t="s">
        <v>4064</v>
      </c>
      <c r="Z1954" s="84" t="str">
        <f>HYPERLINK("https://twitter.com/pos_indonesia/status/1440077188737343495")</f>
        <v>https://twitter.com/pos_indonesia/status/1440077188737343495</v>
      </c>
      <c r="AA1954" s="81"/>
      <c r="AB1954" s="81"/>
      <c r="AC1954" s="86" t="s">
        <v>5637</v>
      </c>
      <c r="AD1954" s="81"/>
      <c r="AE1954" s="81" t="b">
        <v>0</v>
      </c>
      <c r="AF1954" s="81">
        <v>0</v>
      </c>
      <c r="AG1954" s="86" t="s">
        <v>6240</v>
      </c>
      <c r="AH1954" s="81" t="b">
        <v>0</v>
      </c>
      <c r="AI1954" s="81" t="s">
        <v>6479</v>
      </c>
      <c r="AJ1954" s="81"/>
      <c r="AK1954" s="86" t="s">
        <v>6240</v>
      </c>
      <c r="AL1954" s="81" t="b">
        <v>0</v>
      </c>
      <c r="AM1954" s="81">
        <v>0</v>
      </c>
      <c r="AN1954" s="86" t="s">
        <v>6240</v>
      </c>
      <c r="AO1954" s="86" t="s">
        <v>6506</v>
      </c>
      <c r="AP1954" s="81" t="b">
        <v>0</v>
      </c>
      <c r="AQ1954" s="86" t="s">
        <v>5637</v>
      </c>
      <c r="AR1954" s="81" t="s">
        <v>179</v>
      </c>
      <c r="AS1954" s="81">
        <v>0</v>
      </c>
      <c r="AT1954" s="81">
        <v>0</v>
      </c>
      <c r="AU1954" s="81"/>
      <c r="AV1954" s="81"/>
      <c r="AW1954" s="81"/>
      <c r="AX1954" s="81"/>
      <c r="AY1954" s="81"/>
      <c r="AZ1954" s="81"/>
      <c r="BA1954" s="81"/>
      <c r="BB1954" s="81"/>
    </row>
    <row r="1955" spans="1:54" x14ac:dyDescent="0.35">
      <c r="A1955" s="66" t="s">
        <v>1269</v>
      </c>
      <c r="B1955" s="66" t="s">
        <v>1269</v>
      </c>
      <c r="C1955" s="67"/>
      <c r="D1955" s="68"/>
      <c r="E1955" s="69"/>
      <c r="F1955" s="70"/>
      <c r="G1955" s="67"/>
      <c r="H1955" s="71"/>
      <c r="I1955" s="72"/>
      <c r="J1955" s="72"/>
      <c r="K1955" s="36"/>
      <c r="L1955" s="79"/>
      <c r="M1955" s="79"/>
      <c r="N1955" s="74"/>
      <c r="O1955" s="81" t="s">
        <v>179</v>
      </c>
      <c r="P1955" s="83">
        <v>44459.948263888888</v>
      </c>
      <c r="Q1955" s="81" t="s">
        <v>2391</v>
      </c>
      <c r="R1955" s="81"/>
      <c r="S1955" s="81"/>
      <c r="T1955" s="81"/>
      <c r="U1955" s="81"/>
      <c r="V1955" s="84" t="str">
        <f>HYPERLINK("https://pbs.twimg.com/profile_images/378800000705328795/304bfd91ee90011498fd092cc79a423e_normal.jpeg")</f>
        <v>https://pbs.twimg.com/profile_images/378800000705328795/304bfd91ee90011498fd092cc79a423e_normal.jpeg</v>
      </c>
      <c r="W1955" s="83">
        <v>44459.948263888888</v>
      </c>
      <c r="X1955" s="89">
        <v>44459</v>
      </c>
      <c r="Y1955" s="86" t="s">
        <v>4129</v>
      </c>
      <c r="Z1955" s="84" t="str">
        <f>HYPERLINK("https://twitter.com/pos_indonesia/status/1440084734348906496")</f>
        <v>https://twitter.com/pos_indonesia/status/1440084734348906496</v>
      </c>
      <c r="AA1955" s="81"/>
      <c r="AB1955" s="81"/>
      <c r="AC1955" s="86" t="s">
        <v>5638</v>
      </c>
      <c r="AD1955" s="81"/>
      <c r="AE1955" s="81" t="b">
        <v>0</v>
      </c>
      <c r="AF1955" s="81">
        <v>0</v>
      </c>
      <c r="AG1955" s="86" t="s">
        <v>6240</v>
      </c>
      <c r="AH1955" s="81" t="b">
        <v>0</v>
      </c>
      <c r="AI1955" s="81" t="s">
        <v>6479</v>
      </c>
      <c r="AJ1955" s="81"/>
      <c r="AK1955" s="86" t="s">
        <v>6240</v>
      </c>
      <c r="AL1955" s="81" t="b">
        <v>0</v>
      </c>
      <c r="AM1955" s="81">
        <v>0</v>
      </c>
      <c r="AN1955" s="86" t="s">
        <v>6240</v>
      </c>
      <c r="AO1955" s="86" t="s">
        <v>6506</v>
      </c>
      <c r="AP1955" s="81" t="b">
        <v>0</v>
      </c>
      <c r="AQ1955" s="86" t="s">
        <v>5638</v>
      </c>
      <c r="AR1955" s="81" t="s">
        <v>179</v>
      </c>
      <c r="AS1955" s="81">
        <v>0</v>
      </c>
      <c r="AT1955" s="81">
        <v>0</v>
      </c>
      <c r="AU1955" s="81"/>
      <c r="AV1955" s="81"/>
      <c r="AW1955" s="81"/>
      <c r="AX1955" s="81"/>
      <c r="AY1955" s="81"/>
      <c r="AZ1955" s="81"/>
      <c r="BA1955" s="81"/>
      <c r="BB1955" s="81"/>
    </row>
    <row r="1956" spans="1:54" x14ac:dyDescent="0.35">
      <c r="A1956" s="66" t="s">
        <v>1269</v>
      </c>
      <c r="B1956" s="66" t="s">
        <v>1269</v>
      </c>
      <c r="C1956" s="67"/>
      <c r="D1956" s="68"/>
      <c r="E1956" s="69"/>
      <c r="F1956" s="70"/>
      <c r="G1956" s="67"/>
      <c r="H1956" s="71"/>
      <c r="I1956" s="72"/>
      <c r="J1956" s="72"/>
      <c r="K1956" s="36"/>
      <c r="L1956" s="79"/>
      <c r="M1956" s="79"/>
      <c r="N1956" s="74"/>
      <c r="O1956" s="81" t="s">
        <v>179</v>
      </c>
      <c r="P1956" s="83">
        <v>44459.969155092593</v>
      </c>
      <c r="Q1956" s="81" t="s">
        <v>2392</v>
      </c>
      <c r="R1956" s="81"/>
      <c r="S1956" s="81"/>
      <c r="T1956" s="81"/>
      <c r="U1956" s="81"/>
      <c r="V1956" s="84" t="str">
        <f>HYPERLINK("https://pbs.twimg.com/profile_images/378800000705328795/304bfd91ee90011498fd092cc79a423e_normal.jpeg")</f>
        <v>https://pbs.twimg.com/profile_images/378800000705328795/304bfd91ee90011498fd092cc79a423e_normal.jpeg</v>
      </c>
      <c r="W1956" s="83">
        <v>44459.969155092593</v>
      </c>
      <c r="X1956" s="89">
        <v>44459</v>
      </c>
      <c r="Y1956" s="86" t="s">
        <v>4130</v>
      </c>
      <c r="Z1956" s="84" t="str">
        <f>HYPERLINK("https://twitter.com/pos_indonesia/status/1440092303905812484")</f>
        <v>https://twitter.com/pos_indonesia/status/1440092303905812484</v>
      </c>
      <c r="AA1956" s="81"/>
      <c r="AB1956" s="81"/>
      <c r="AC1956" s="86" t="s">
        <v>5639</v>
      </c>
      <c r="AD1956" s="81"/>
      <c r="AE1956" s="81" t="b">
        <v>0</v>
      </c>
      <c r="AF1956" s="81">
        <v>0</v>
      </c>
      <c r="AG1956" s="86" t="s">
        <v>6240</v>
      </c>
      <c r="AH1956" s="81" t="b">
        <v>0</v>
      </c>
      <c r="AI1956" s="81" t="s">
        <v>6479</v>
      </c>
      <c r="AJ1956" s="81"/>
      <c r="AK1956" s="86" t="s">
        <v>6240</v>
      </c>
      <c r="AL1956" s="81" t="b">
        <v>0</v>
      </c>
      <c r="AM1956" s="81">
        <v>0</v>
      </c>
      <c r="AN1956" s="86" t="s">
        <v>6240</v>
      </c>
      <c r="AO1956" s="86" t="s">
        <v>6506</v>
      </c>
      <c r="AP1956" s="81" t="b">
        <v>0</v>
      </c>
      <c r="AQ1956" s="86" t="s">
        <v>5639</v>
      </c>
      <c r="AR1956" s="81" t="s">
        <v>179</v>
      </c>
      <c r="AS1956" s="81">
        <v>0</v>
      </c>
      <c r="AT1956" s="81">
        <v>0</v>
      </c>
      <c r="AU1956" s="81"/>
      <c r="AV1956" s="81"/>
      <c r="AW1956" s="81"/>
      <c r="AX1956" s="81"/>
      <c r="AY1956" s="81"/>
      <c r="AZ1956" s="81"/>
      <c r="BA1956" s="81"/>
      <c r="BB1956" s="81"/>
    </row>
    <row r="1957" spans="1:54" x14ac:dyDescent="0.35">
      <c r="A1957" s="66" t="s">
        <v>1269</v>
      </c>
      <c r="B1957" s="66" t="s">
        <v>1269</v>
      </c>
      <c r="C1957" s="67"/>
      <c r="D1957" s="68"/>
      <c r="E1957" s="69"/>
      <c r="F1957" s="70"/>
      <c r="G1957" s="67"/>
      <c r="H1957" s="71"/>
      <c r="I1957" s="72"/>
      <c r="J1957" s="72"/>
      <c r="K1957" s="36"/>
      <c r="L1957" s="79"/>
      <c r="M1957" s="79"/>
      <c r="N1957" s="74"/>
      <c r="O1957" s="81" t="s">
        <v>179</v>
      </c>
      <c r="P1957" s="83">
        <v>44459.989918981482</v>
      </c>
      <c r="Q1957" s="81" t="s">
        <v>2340</v>
      </c>
      <c r="R1957" s="81"/>
      <c r="S1957" s="81"/>
      <c r="T1957" s="81"/>
      <c r="U1957" s="81"/>
      <c r="V1957" s="84" t="str">
        <f>HYPERLINK("https://pbs.twimg.com/profile_images/378800000705328795/304bfd91ee90011498fd092cc79a423e_normal.jpeg")</f>
        <v>https://pbs.twimg.com/profile_images/378800000705328795/304bfd91ee90011498fd092cc79a423e_normal.jpeg</v>
      </c>
      <c r="W1957" s="83">
        <v>44459.989918981482</v>
      </c>
      <c r="X1957" s="89">
        <v>44459</v>
      </c>
      <c r="Y1957" s="86" t="s">
        <v>4067</v>
      </c>
      <c r="Z1957" s="84" t="str">
        <f>HYPERLINK("https://twitter.com/pos_indonesia/status/1440099829321908229")</f>
        <v>https://twitter.com/pos_indonesia/status/1440099829321908229</v>
      </c>
      <c r="AA1957" s="81"/>
      <c r="AB1957" s="81"/>
      <c r="AC1957" s="86" t="s">
        <v>5640</v>
      </c>
      <c r="AD1957" s="81"/>
      <c r="AE1957" s="81" t="b">
        <v>0</v>
      </c>
      <c r="AF1957" s="81">
        <v>0</v>
      </c>
      <c r="AG1957" s="86" t="s">
        <v>6240</v>
      </c>
      <c r="AH1957" s="81" t="b">
        <v>0</v>
      </c>
      <c r="AI1957" s="81" t="s">
        <v>6479</v>
      </c>
      <c r="AJ1957" s="81"/>
      <c r="AK1957" s="86" t="s">
        <v>6240</v>
      </c>
      <c r="AL1957" s="81" t="b">
        <v>0</v>
      </c>
      <c r="AM1957" s="81">
        <v>0</v>
      </c>
      <c r="AN1957" s="86" t="s">
        <v>6240</v>
      </c>
      <c r="AO1957" s="86" t="s">
        <v>6506</v>
      </c>
      <c r="AP1957" s="81" t="b">
        <v>0</v>
      </c>
      <c r="AQ1957" s="86" t="s">
        <v>5640</v>
      </c>
      <c r="AR1957" s="81" t="s">
        <v>179</v>
      </c>
      <c r="AS1957" s="81">
        <v>0</v>
      </c>
      <c r="AT1957" s="81">
        <v>0</v>
      </c>
      <c r="AU1957" s="81"/>
      <c r="AV1957" s="81"/>
      <c r="AW1957" s="81"/>
      <c r="AX1957" s="81"/>
      <c r="AY1957" s="81"/>
      <c r="AZ1957" s="81"/>
      <c r="BA1957" s="81"/>
      <c r="BB1957" s="81"/>
    </row>
    <row r="1958" spans="1:54" x14ac:dyDescent="0.35">
      <c r="A1958" s="66" t="s">
        <v>1269</v>
      </c>
      <c r="B1958" s="66" t="s">
        <v>1269</v>
      </c>
      <c r="C1958" s="67"/>
      <c r="D1958" s="68"/>
      <c r="E1958" s="69"/>
      <c r="F1958" s="70"/>
      <c r="G1958" s="67"/>
      <c r="H1958" s="71"/>
      <c r="I1958" s="72"/>
      <c r="J1958" s="72"/>
      <c r="K1958" s="36"/>
      <c r="L1958" s="79"/>
      <c r="M1958" s="79"/>
      <c r="N1958" s="74"/>
      <c r="O1958" s="81" t="s">
        <v>179</v>
      </c>
      <c r="P1958" s="83">
        <v>44460.010798611111</v>
      </c>
      <c r="Q1958" s="81" t="s">
        <v>2393</v>
      </c>
      <c r="R1958" s="81"/>
      <c r="S1958" s="81"/>
      <c r="T1958" s="81"/>
      <c r="U1958" s="81"/>
      <c r="V1958" s="84" t="str">
        <f>HYPERLINK("https://pbs.twimg.com/profile_images/378800000705328795/304bfd91ee90011498fd092cc79a423e_normal.jpeg")</f>
        <v>https://pbs.twimg.com/profile_images/378800000705328795/304bfd91ee90011498fd092cc79a423e_normal.jpeg</v>
      </c>
      <c r="W1958" s="83">
        <v>44460.010798611111</v>
      </c>
      <c r="X1958" s="89">
        <v>44460</v>
      </c>
      <c r="Y1958" s="86" t="s">
        <v>4131</v>
      </c>
      <c r="Z1958" s="84" t="str">
        <f>HYPERLINK("https://twitter.com/pos_indonesia/status/1440107395913449477")</f>
        <v>https://twitter.com/pos_indonesia/status/1440107395913449477</v>
      </c>
      <c r="AA1958" s="81"/>
      <c r="AB1958" s="81"/>
      <c r="AC1958" s="86" t="s">
        <v>5641</v>
      </c>
      <c r="AD1958" s="81"/>
      <c r="AE1958" s="81" t="b">
        <v>0</v>
      </c>
      <c r="AF1958" s="81">
        <v>0</v>
      </c>
      <c r="AG1958" s="86" t="s">
        <v>6240</v>
      </c>
      <c r="AH1958" s="81" t="b">
        <v>0</v>
      </c>
      <c r="AI1958" s="81" t="s">
        <v>6479</v>
      </c>
      <c r="AJ1958" s="81"/>
      <c r="AK1958" s="86" t="s">
        <v>6240</v>
      </c>
      <c r="AL1958" s="81" t="b">
        <v>0</v>
      </c>
      <c r="AM1958" s="81">
        <v>0</v>
      </c>
      <c r="AN1958" s="86" t="s">
        <v>6240</v>
      </c>
      <c r="AO1958" s="86" t="s">
        <v>6506</v>
      </c>
      <c r="AP1958" s="81" t="b">
        <v>0</v>
      </c>
      <c r="AQ1958" s="86" t="s">
        <v>5641</v>
      </c>
      <c r="AR1958" s="81" t="s">
        <v>179</v>
      </c>
      <c r="AS1958" s="81">
        <v>0</v>
      </c>
      <c r="AT1958" s="81">
        <v>0</v>
      </c>
      <c r="AU1958" s="81"/>
      <c r="AV1958" s="81"/>
      <c r="AW1958" s="81"/>
      <c r="AX1958" s="81"/>
      <c r="AY1958" s="81"/>
      <c r="AZ1958" s="81"/>
      <c r="BA1958" s="81"/>
      <c r="BB1958" s="81"/>
    </row>
    <row r="1959" spans="1:54" x14ac:dyDescent="0.35">
      <c r="A1959" s="66" t="s">
        <v>1269</v>
      </c>
      <c r="B1959" s="66" t="s">
        <v>1269</v>
      </c>
      <c r="C1959" s="67"/>
      <c r="D1959" s="68"/>
      <c r="E1959" s="69"/>
      <c r="F1959" s="70"/>
      <c r="G1959" s="67"/>
      <c r="H1959" s="71"/>
      <c r="I1959" s="72"/>
      <c r="J1959" s="72"/>
      <c r="K1959" s="36"/>
      <c r="L1959" s="79"/>
      <c r="M1959" s="79"/>
      <c r="N1959" s="74"/>
      <c r="O1959" s="81" t="s">
        <v>179</v>
      </c>
      <c r="P1959" s="83">
        <v>44460.031597222223</v>
      </c>
      <c r="Q1959" s="81" t="s">
        <v>2394</v>
      </c>
      <c r="R1959" s="81"/>
      <c r="S1959" s="81"/>
      <c r="T1959" s="81"/>
      <c r="U1959" s="81"/>
      <c r="V1959" s="84" t="str">
        <f>HYPERLINK("https://pbs.twimg.com/profile_images/378800000705328795/304bfd91ee90011498fd092cc79a423e_normal.jpeg")</f>
        <v>https://pbs.twimg.com/profile_images/378800000705328795/304bfd91ee90011498fd092cc79a423e_normal.jpeg</v>
      </c>
      <c r="W1959" s="83">
        <v>44460.031597222223</v>
      </c>
      <c r="X1959" s="89">
        <v>44460</v>
      </c>
      <c r="Y1959" s="86" t="s">
        <v>4132</v>
      </c>
      <c r="Z1959" s="84" t="str">
        <f>HYPERLINK("https://twitter.com/pos_indonesia/status/1440114930129072132")</f>
        <v>https://twitter.com/pos_indonesia/status/1440114930129072132</v>
      </c>
      <c r="AA1959" s="81"/>
      <c r="AB1959" s="81"/>
      <c r="AC1959" s="86" t="s">
        <v>5642</v>
      </c>
      <c r="AD1959" s="81"/>
      <c r="AE1959" s="81" t="b">
        <v>0</v>
      </c>
      <c r="AF1959" s="81">
        <v>0</v>
      </c>
      <c r="AG1959" s="86" t="s">
        <v>6240</v>
      </c>
      <c r="AH1959" s="81" t="b">
        <v>0</v>
      </c>
      <c r="AI1959" s="81" t="s">
        <v>6479</v>
      </c>
      <c r="AJ1959" s="81"/>
      <c r="AK1959" s="86" t="s">
        <v>6240</v>
      </c>
      <c r="AL1959" s="81" t="b">
        <v>0</v>
      </c>
      <c r="AM1959" s="81">
        <v>0</v>
      </c>
      <c r="AN1959" s="86" t="s">
        <v>6240</v>
      </c>
      <c r="AO1959" s="86" t="s">
        <v>6506</v>
      </c>
      <c r="AP1959" s="81" t="b">
        <v>0</v>
      </c>
      <c r="AQ1959" s="86" t="s">
        <v>5642</v>
      </c>
      <c r="AR1959" s="81" t="s">
        <v>179</v>
      </c>
      <c r="AS1959" s="81">
        <v>0</v>
      </c>
      <c r="AT1959" s="81">
        <v>0</v>
      </c>
      <c r="AU1959" s="81"/>
      <c r="AV1959" s="81"/>
      <c r="AW1959" s="81"/>
      <c r="AX1959" s="81"/>
      <c r="AY1959" s="81"/>
      <c r="AZ1959" s="81"/>
      <c r="BA1959" s="81"/>
      <c r="BB1959" s="81"/>
    </row>
    <row r="1960" spans="1:54" x14ac:dyDescent="0.35">
      <c r="A1960" s="66" t="s">
        <v>1269</v>
      </c>
      <c r="B1960" s="66" t="s">
        <v>1269</v>
      </c>
      <c r="C1960" s="67"/>
      <c r="D1960" s="68"/>
      <c r="E1960" s="69"/>
      <c r="F1960" s="70"/>
      <c r="G1960" s="67"/>
      <c r="H1960" s="71"/>
      <c r="I1960" s="72"/>
      <c r="J1960" s="72"/>
      <c r="K1960" s="36"/>
      <c r="L1960" s="79"/>
      <c r="M1960" s="79"/>
      <c r="N1960" s="74"/>
      <c r="O1960" s="81" t="s">
        <v>179</v>
      </c>
      <c r="P1960" s="83">
        <v>44460.052465277775</v>
      </c>
      <c r="Q1960" s="81" t="s">
        <v>2395</v>
      </c>
      <c r="R1960" s="81"/>
      <c r="S1960" s="81"/>
      <c r="T1960" s="81"/>
      <c r="U1960" s="81"/>
      <c r="V1960" s="84" t="str">
        <f>HYPERLINK("https://pbs.twimg.com/profile_images/378800000705328795/304bfd91ee90011498fd092cc79a423e_normal.jpeg")</f>
        <v>https://pbs.twimg.com/profile_images/378800000705328795/304bfd91ee90011498fd092cc79a423e_normal.jpeg</v>
      </c>
      <c r="W1960" s="83">
        <v>44460.052465277775</v>
      </c>
      <c r="X1960" s="89">
        <v>44460</v>
      </c>
      <c r="Y1960" s="86" t="s">
        <v>4070</v>
      </c>
      <c r="Z1960" s="84" t="str">
        <f>HYPERLINK("https://twitter.com/pos_indonesia/status/1440122494627631104")</f>
        <v>https://twitter.com/pos_indonesia/status/1440122494627631104</v>
      </c>
      <c r="AA1960" s="81"/>
      <c r="AB1960" s="81"/>
      <c r="AC1960" s="86" t="s">
        <v>5643</v>
      </c>
      <c r="AD1960" s="81"/>
      <c r="AE1960" s="81" t="b">
        <v>0</v>
      </c>
      <c r="AF1960" s="81">
        <v>0</v>
      </c>
      <c r="AG1960" s="86" t="s">
        <v>6240</v>
      </c>
      <c r="AH1960" s="81" t="b">
        <v>0</v>
      </c>
      <c r="AI1960" s="81" t="s">
        <v>6479</v>
      </c>
      <c r="AJ1960" s="81"/>
      <c r="AK1960" s="86" t="s">
        <v>6240</v>
      </c>
      <c r="AL1960" s="81" t="b">
        <v>0</v>
      </c>
      <c r="AM1960" s="81">
        <v>0</v>
      </c>
      <c r="AN1960" s="86" t="s">
        <v>6240</v>
      </c>
      <c r="AO1960" s="86" t="s">
        <v>6506</v>
      </c>
      <c r="AP1960" s="81" t="b">
        <v>0</v>
      </c>
      <c r="AQ1960" s="86" t="s">
        <v>5643</v>
      </c>
      <c r="AR1960" s="81" t="s">
        <v>179</v>
      </c>
      <c r="AS1960" s="81">
        <v>0</v>
      </c>
      <c r="AT1960" s="81">
        <v>0</v>
      </c>
      <c r="AU1960" s="81"/>
      <c r="AV1960" s="81"/>
      <c r="AW1960" s="81"/>
      <c r="AX1960" s="81"/>
      <c r="AY1960" s="81"/>
      <c r="AZ1960" s="81"/>
      <c r="BA1960" s="81"/>
      <c r="BB1960" s="81"/>
    </row>
    <row r="1961" spans="1:54" x14ac:dyDescent="0.35">
      <c r="A1961" s="66" t="s">
        <v>1269</v>
      </c>
      <c r="B1961" s="66" t="s">
        <v>1269</v>
      </c>
      <c r="C1961" s="67"/>
      <c r="D1961" s="68"/>
      <c r="E1961" s="69"/>
      <c r="F1961" s="70"/>
      <c r="G1961" s="67"/>
      <c r="H1961" s="71"/>
      <c r="I1961" s="72"/>
      <c r="J1961" s="72"/>
      <c r="K1961" s="36"/>
      <c r="L1961" s="79"/>
      <c r="M1961" s="79"/>
      <c r="N1961" s="74"/>
      <c r="O1961" s="81" t="s">
        <v>179</v>
      </c>
      <c r="P1961" s="83">
        <v>44460.073252314818</v>
      </c>
      <c r="Q1961" s="81" t="s">
        <v>2301</v>
      </c>
      <c r="R1961" s="81"/>
      <c r="S1961" s="81"/>
      <c r="T1961" s="81"/>
      <c r="U1961" s="81"/>
      <c r="V1961" s="84" t="str">
        <f>HYPERLINK("https://pbs.twimg.com/profile_images/378800000705328795/304bfd91ee90011498fd092cc79a423e_normal.jpeg")</f>
        <v>https://pbs.twimg.com/profile_images/378800000705328795/304bfd91ee90011498fd092cc79a423e_normal.jpeg</v>
      </c>
      <c r="W1961" s="83">
        <v>44460.073252314818</v>
      </c>
      <c r="X1961" s="89">
        <v>44460</v>
      </c>
      <c r="Y1961" s="86" t="s">
        <v>4071</v>
      </c>
      <c r="Z1961" s="84" t="str">
        <f>HYPERLINK("https://twitter.com/pos_indonesia/status/1440130026578464770")</f>
        <v>https://twitter.com/pos_indonesia/status/1440130026578464770</v>
      </c>
      <c r="AA1961" s="81"/>
      <c r="AB1961" s="81"/>
      <c r="AC1961" s="86" t="s">
        <v>5644</v>
      </c>
      <c r="AD1961" s="81"/>
      <c r="AE1961" s="81" t="b">
        <v>0</v>
      </c>
      <c r="AF1961" s="81">
        <v>0</v>
      </c>
      <c r="AG1961" s="86" t="s">
        <v>6240</v>
      </c>
      <c r="AH1961" s="81" t="b">
        <v>0</v>
      </c>
      <c r="AI1961" s="81" t="s">
        <v>6479</v>
      </c>
      <c r="AJ1961" s="81"/>
      <c r="AK1961" s="86" t="s">
        <v>6240</v>
      </c>
      <c r="AL1961" s="81" t="b">
        <v>0</v>
      </c>
      <c r="AM1961" s="81">
        <v>0</v>
      </c>
      <c r="AN1961" s="86" t="s">
        <v>6240</v>
      </c>
      <c r="AO1961" s="86" t="s">
        <v>6506</v>
      </c>
      <c r="AP1961" s="81" t="b">
        <v>0</v>
      </c>
      <c r="AQ1961" s="86" t="s">
        <v>5644</v>
      </c>
      <c r="AR1961" s="81" t="s">
        <v>179</v>
      </c>
      <c r="AS1961" s="81">
        <v>0</v>
      </c>
      <c r="AT1961" s="81">
        <v>0</v>
      </c>
      <c r="AU1961" s="81"/>
      <c r="AV1961" s="81"/>
      <c r="AW1961" s="81"/>
      <c r="AX1961" s="81"/>
      <c r="AY1961" s="81"/>
      <c r="AZ1961" s="81"/>
      <c r="BA1961" s="81"/>
      <c r="BB1961" s="81"/>
    </row>
    <row r="1962" spans="1:54" x14ac:dyDescent="0.35">
      <c r="A1962" s="66" t="s">
        <v>1269</v>
      </c>
      <c r="B1962" s="66" t="s">
        <v>1269</v>
      </c>
      <c r="C1962" s="67"/>
      <c r="D1962" s="68"/>
      <c r="E1962" s="69"/>
      <c r="F1962" s="70"/>
      <c r="G1962" s="67"/>
      <c r="H1962" s="71"/>
      <c r="I1962" s="72"/>
      <c r="J1962" s="72"/>
      <c r="K1962" s="36"/>
      <c r="L1962" s="79"/>
      <c r="M1962" s="79"/>
      <c r="N1962" s="74"/>
      <c r="O1962" s="81" t="s">
        <v>179</v>
      </c>
      <c r="P1962" s="83">
        <v>44460.094155092593</v>
      </c>
      <c r="Q1962" s="81" t="s">
        <v>2396</v>
      </c>
      <c r="R1962" s="81"/>
      <c r="S1962" s="81"/>
      <c r="T1962" s="81"/>
      <c r="U1962" s="81"/>
      <c r="V1962" s="84" t="str">
        <f>HYPERLINK("https://pbs.twimg.com/profile_images/378800000705328795/304bfd91ee90011498fd092cc79a423e_normal.jpeg")</f>
        <v>https://pbs.twimg.com/profile_images/378800000705328795/304bfd91ee90011498fd092cc79a423e_normal.jpeg</v>
      </c>
      <c r="W1962" s="83">
        <v>44460.094155092593</v>
      </c>
      <c r="X1962" s="89">
        <v>44460</v>
      </c>
      <c r="Y1962" s="86" t="s">
        <v>4133</v>
      </c>
      <c r="Z1962" s="84" t="str">
        <f>HYPERLINK("https://twitter.com/pos_indonesia/status/1440137603064352772")</f>
        <v>https://twitter.com/pos_indonesia/status/1440137603064352772</v>
      </c>
      <c r="AA1962" s="81"/>
      <c r="AB1962" s="81"/>
      <c r="AC1962" s="86" t="s">
        <v>5645</v>
      </c>
      <c r="AD1962" s="81"/>
      <c r="AE1962" s="81" t="b">
        <v>0</v>
      </c>
      <c r="AF1962" s="81">
        <v>0</v>
      </c>
      <c r="AG1962" s="86" t="s">
        <v>6240</v>
      </c>
      <c r="AH1962" s="81" t="b">
        <v>0</v>
      </c>
      <c r="AI1962" s="81" t="s">
        <v>6479</v>
      </c>
      <c r="AJ1962" s="81"/>
      <c r="AK1962" s="86" t="s">
        <v>6240</v>
      </c>
      <c r="AL1962" s="81" t="b">
        <v>0</v>
      </c>
      <c r="AM1962" s="81">
        <v>0</v>
      </c>
      <c r="AN1962" s="86" t="s">
        <v>6240</v>
      </c>
      <c r="AO1962" s="86" t="s">
        <v>6506</v>
      </c>
      <c r="AP1962" s="81" t="b">
        <v>0</v>
      </c>
      <c r="AQ1962" s="86" t="s">
        <v>5645</v>
      </c>
      <c r="AR1962" s="81" t="s">
        <v>179</v>
      </c>
      <c r="AS1962" s="81">
        <v>0</v>
      </c>
      <c r="AT1962" s="81">
        <v>0</v>
      </c>
      <c r="AU1962" s="81"/>
      <c r="AV1962" s="81"/>
      <c r="AW1962" s="81"/>
      <c r="AX1962" s="81"/>
      <c r="AY1962" s="81"/>
      <c r="AZ1962" s="81"/>
      <c r="BA1962" s="81"/>
      <c r="BB1962" s="81"/>
    </row>
    <row r="1963" spans="1:54" x14ac:dyDescent="0.35">
      <c r="A1963" s="66" t="s">
        <v>1269</v>
      </c>
      <c r="B1963" s="66" t="s">
        <v>1269</v>
      </c>
      <c r="C1963" s="67"/>
      <c r="D1963" s="68"/>
      <c r="E1963" s="69"/>
      <c r="F1963" s="70"/>
      <c r="G1963" s="67"/>
      <c r="H1963" s="71"/>
      <c r="I1963" s="72"/>
      <c r="J1963" s="72"/>
      <c r="K1963" s="36"/>
      <c r="L1963" s="79"/>
      <c r="M1963" s="79"/>
      <c r="N1963" s="74"/>
      <c r="O1963" s="81" t="s">
        <v>179</v>
      </c>
      <c r="P1963" s="83">
        <v>44460.114930555559</v>
      </c>
      <c r="Q1963" s="81" t="s">
        <v>2312</v>
      </c>
      <c r="R1963" s="81"/>
      <c r="S1963" s="81"/>
      <c r="T1963" s="81"/>
      <c r="U1963" s="81"/>
      <c r="V1963" s="84" t="str">
        <f>HYPERLINK("https://pbs.twimg.com/profile_images/378800000705328795/304bfd91ee90011498fd092cc79a423e_normal.jpeg")</f>
        <v>https://pbs.twimg.com/profile_images/378800000705328795/304bfd91ee90011498fd092cc79a423e_normal.jpeg</v>
      </c>
      <c r="W1963" s="83">
        <v>44460.114930555559</v>
      </c>
      <c r="X1963" s="89">
        <v>44460</v>
      </c>
      <c r="Y1963" s="86" t="s">
        <v>4073</v>
      </c>
      <c r="Z1963" s="84" t="str">
        <f>HYPERLINK("https://twitter.com/pos_indonesia/status/1440145130304901129")</f>
        <v>https://twitter.com/pos_indonesia/status/1440145130304901129</v>
      </c>
      <c r="AA1963" s="81"/>
      <c r="AB1963" s="81"/>
      <c r="AC1963" s="86" t="s">
        <v>5646</v>
      </c>
      <c r="AD1963" s="81"/>
      <c r="AE1963" s="81" t="b">
        <v>0</v>
      </c>
      <c r="AF1963" s="81">
        <v>0</v>
      </c>
      <c r="AG1963" s="86" t="s">
        <v>6240</v>
      </c>
      <c r="AH1963" s="81" t="b">
        <v>0</v>
      </c>
      <c r="AI1963" s="81" t="s">
        <v>6479</v>
      </c>
      <c r="AJ1963" s="81"/>
      <c r="AK1963" s="86" t="s">
        <v>6240</v>
      </c>
      <c r="AL1963" s="81" t="b">
        <v>0</v>
      </c>
      <c r="AM1963" s="81">
        <v>0</v>
      </c>
      <c r="AN1963" s="86" t="s">
        <v>6240</v>
      </c>
      <c r="AO1963" s="86" t="s">
        <v>6506</v>
      </c>
      <c r="AP1963" s="81" t="b">
        <v>0</v>
      </c>
      <c r="AQ1963" s="86" t="s">
        <v>5646</v>
      </c>
      <c r="AR1963" s="81" t="s">
        <v>179</v>
      </c>
      <c r="AS1963" s="81">
        <v>0</v>
      </c>
      <c r="AT1963" s="81">
        <v>0</v>
      </c>
      <c r="AU1963" s="81"/>
      <c r="AV1963" s="81"/>
      <c r="AW1963" s="81"/>
      <c r="AX1963" s="81"/>
      <c r="AY1963" s="81"/>
      <c r="AZ1963" s="81"/>
      <c r="BA1963" s="81"/>
      <c r="BB1963" s="81"/>
    </row>
    <row r="1964" spans="1:54" x14ac:dyDescent="0.35">
      <c r="A1964" s="66" t="s">
        <v>1269</v>
      </c>
      <c r="B1964" s="66" t="s">
        <v>1269</v>
      </c>
      <c r="C1964" s="67"/>
      <c r="D1964" s="68"/>
      <c r="E1964" s="69"/>
      <c r="F1964" s="70"/>
      <c r="G1964" s="67"/>
      <c r="H1964" s="71"/>
      <c r="I1964" s="72"/>
      <c r="J1964" s="72"/>
      <c r="K1964" s="36"/>
      <c r="L1964" s="79"/>
      <c r="M1964" s="79"/>
      <c r="N1964" s="74"/>
      <c r="O1964" s="81" t="s">
        <v>179</v>
      </c>
      <c r="P1964" s="83">
        <v>44460.135798611111</v>
      </c>
      <c r="Q1964" s="81" t="s">
        <v>2397</v>
      </c>
      <c r="R1964" s="81"/>
      <c r="S1964" s="81"/>
      <c r="T1964" s="81"/>
      <c r="U1964" s="81"/>
      <c r="V1964" s="84" t="str">
        <f>HYPERLINK("https://pbs.twimg.com/profile_images/378800000705328795/304bfd91ee90011498fd092cc79a423e_normal.jpeg")</f>
        <v>https://pbs.twimg.com/profile_images/378800000705328795/304bfd91ee90011498fd092cc79a423e_normal.jpeg</v>
      </c>
      <c r="W1964" s="83">
        <v>44460.135798611111</v>
      </c>
      <c r="X1964" s="89">
        <v>44460</v>
      </c>
      <c r="Y1964" s="86" t="s">
        <v>4109</v>
      </c>
      <c r="Z1964" s="84" t="str">
        <f>HYPERLINK("https://twitter.com/pos_indonesia/status/1440152693134135304")</f>
        <v>https://twitter.com/pos_indonesia/status/1440152693134135304</v>
      </c>
      <c r="AA1964" s="81"/>
      <c r="AB1964" s="81"/>
      <c r="AC1964" s="86" t="s">
        <v>5647</v>
      </c>
      <c r="AD1964" s="81"/>
      <c r="AE1964" s="81" t="b">
        <v>0</v>
      </c>
      <c r="AF1964" s="81">
        <v>0</v>
      </c>
      <c r="AG1964" s="86" t="s">
        <v>6240</v>
      </c>
      <c r="AH1964" s="81" t="b">
        <v>0</v>
      </c>
      <c r="AI1964" s="81" t="s">
        <v>6479</v>
      </c>
      <c r="AJ1964" s="81"/>
      <c r="AK1964" s="86" t="s">
        <v>6240</v>
      </c>
      <c r="AL1964" s="81" t="b">
        <v>0</v>
      </c>
      <c r="AM1964" s="81">
        <v>0</v>
      </c>
      <c r="AN1964" s="86" t="s">
        <v>6240</v>
      </c>
      <c r="AO1964" s="86" t="s">
        <v>6506</v>
      </c>
      <c r="AP1964" s="81" t="b">
        <v>0</v>
      </c>
      <c r="AQ1964" s="86" t="s">
        <v>5647</v>
      </c>
      <c r="AR1964" s="81" t="s">
        <v>179</v>
      </c>
      <c r="AS1964" s="81">
        <v>0</v>
      </c>
      <c r="AT1964" s="81">
        <v>0</v>
      </c>
      <c r="AU1964" s="81"/>
      <c r="AV1964" s="81"/>
      <c r="AW1964" s="81"/>
      <c r="AX1964" s="81"/>
      <c r="AY1964" s="81"/>
      <c r="AZ1964" s="81"/>
      <c r="BA1964" s="81"/>
      <c r="BB1964" s="81"/>
    </row>
    <row r="1965" spans="1:54" x14ac:dyDescent="0.35">
      <c r="A1965" s="66" t="s">
        <v>1269</v>
      </c>
      <c r="B1965" s="66" t="s">
        <v>1269</v>
      </c>
      <c r="C1965" s="67"/>
      <c r="D1965" s="68"/>
      <c r="E1965" s="69"/>
      <c r="F1965" s="70"/>
      <c r="G1965" s="67"/>
      <c r="H1965" s="71"/>
      <c r="I1965" s="72"/>
      <c r="J1965" s="72"/>
      <c r="K1965" s="36"/>
      <c r="L1965" s="79"/>
      <c r="M1965" s="79"/>
      <c r="N1965" s="74"/>
      <c r="O1965" s="81" t="s">
        <v>179</v>
      </c>
      <c r="P1965" s="83">
        <v>44460.156585648147</v>
      </c>
      <c r="Q1965" s="81" t="s">
        <v>2398</v>
      </c>
      <c r="R1965" s="81"/>
      <c r="S1965" s="81"/>
      <c r="T1965" s="81"/>
      <c r="U1965" s="81"/>
      <c r="V1965" s="84" t="str">
        <f>HYPERLINK("https://pbs.twimg.com/profile_images/378800000705328795/304bfd91ee90011498fd092cc79a423e_normal.jpeg")</f>
        <v>https://pbs.twimg.com/profile_images/378800000705328795/304bfd91ee90011498fd092cc79a423e_normal.jpeg</v>
      </c>
      <c r="W1965" s="83">
        <v>44460.156585648147</v>
      </c>
      <c r="X1965" s="89">
        <v>44460</v>
      </c>
      <c r="Y1965" s="86" t="s">
        <v>4110</v>
      </c>
      <c r="Z1965" s="84" t="str">
        <f>HYPERLINK("https://twitter.com/pos_indonesia/status/1440160225558872069")</f>
        <v>https://twitter.com/pos_indonesia/status/1440160225558872069</v>
      </c>
      <c r="AA1965" s="81"/>
      <c r="AB1965" s="81"/>
      <c r="AC1965" s="86" t="s">
        <v>5648</v>
      </c>
      <c r="AD1965" s="81"/>
      <c r="AE1965" s="81" t="b">
        <v>0</v>
      </c>
      <c r="AF1965" s="81">
        <v>0</v>
      </c>
      <c r="AG1965" s="86" t="s">
        <v>6240</v>
      </c>
      <c r="AH1965" s="81" t="b">
        <v>0</v>
      </c>
      <c r="AI1965" s="81" t="s">
        <v>6479</v>
      </c>
      <c r="AJ1965" s="81"/>
      <c r="AK1965" s="86" t="s">
        <v>6240</v>
      </c>
      <c r="AL1965" s="81" t="b">
        <v>0</v>
      </c>
      <c r="AM1965" s="81">
        <v>0</v>
      </c>
      <c r="AN1965" s="86" t="s">
        <v>6240</v>
      </c>
      <c r="AO1965" s="86" t="s">
        <v>6506</v>
      </c>
      <c r="AP1965" s="81" t="b">
        <v>0</v>
      </c>
      <c r="AQ1965" s="86" t="s">
        <v>5648</v>
      </c>
      <c r="AR1965" s="81" t="s">
        <v>179</v>
      </c>
      <c r="AS1965" s="81">
        <v>0</v>
      </c>
      <c r="AT1965" s="81">
        <v>0</v>
      </c>
      <c r="AU1965" s="81"/>
      <c r="AV1965" s="81"/>
      <c r="AW1965" s="81"/>
      <c r="AX1965" s="81"/>
      <c r="AY1965" s="81"/>
      <c r="AZ1965" s="81"/>
      <c r="BA1965" s="81"/>
      <c r="BB1965" s="81"/>
    </row>
    <row r="1966" spans="1:54" x14ac:dyDescent="0.35">
      <c r="A1966" s="66" t="s">
        <v>1269</v>
      </c>
      <c r="B1966" s="66" t="s">
        <v>1269</v>
      </c>
      <c r="C1966" s="67"/>
      <c r="D1966" s="68"/>
      <c r="E1966" s="69"/>
      <c r="F1966" s="70"/>
      <c r="G1966" s="67"/>
      <c r="H1966" s="71"/>
      <c r="I1966" s="72"/>
      <c r="J1966" s="72"/>
      <c r="K1966" s="36"/>
      <c r="L1966" s="79"/>
      <c r="M1966" s="79"/>
      <c r="N1966" s="74"/>
      <c r="O1966" s="81" t="s">
        <v>179</v>
      </c>
      <c r="P1966" s="83">
        <v>44460.177476851852</v>
      </c>
      <c r="Q1966" s="81" t="s">
        <v>2399</v>
      </c>
      <c r="R1966" s="81"/>
      <c r="S1966" s="81"/>
      <c r="T1966" s="81"/>
      <c r="U1966" s="81"/>
      <c r="V1966" s="84" t="str">
        <f>HYPERLINK("https://pbs.twimg.com/profile_images/378800000705328795/304bfd91ee90011498fd092cc79a423e_normal.jpeg")</f>
        <v>https://pbs.twimg.com/profile_images/378800000705328795/304bfd91ee90011498fd092cc79a423e_normal.jpeg</v>
      </c>
      <c r="W1966" s="83">
        <v>44460.177476851852</v>
      </c>
      <c r="X1966" s="89">
        <v>44460</v>
      </c>
      <c r="Y1966" s="86" t="s">
        <v>4076</v>
      </c>
      <c r="Z1966" s="84" t="str">
        <f>HYPERLINK("https://twitter.com/pos_indonesia/status/1440167798404120582")</f>
        <v>https://twitter.com/pos_indonesia/status/1440167798404120582</v>
      </c>
      <c r="AA1966" s="81"/>
      <c r="AB1966" s="81"/>
      <c r="AC1966" s="86" t="s">
        <v>5649</v>
      </c>
      <c r="AD1966" s="81"/>
      <c r="AE1966" s="81" t="b">
        <v>0</v>
      </c>
      <c r="AF1966" s="81">
        <v>0</v>
      </c>
      <c r="AG1966" s="86" t="s">
        <v>6240</v>
      </c>
      <c r="AH1966" s="81" t="b">
        <v>0</v>
      </c>
      <c r="AI1966" s="81" t="s">
        <v>6479</v>
      </c>
      <c r="AJ1966" s="81"/>
      <c r="AK1966" s="86" t="s">
        <v>6240</v>
      </c>
      <c r="AL1966" s="81" t="b">
        <v>0</v>
      </c>
      <c r="AM1966" s="81">
        <v>0</v>
      </c>
      <c r="AN1966" s="86" t="s">
        <v>6240</v>
      </c>
      <c r="AO1966" s="86" t="s">
        <v>6506</v>
      </c>
      <c r="AP1966" s="81" t="b">
        <v>0</v>
      </c>
      <c r="AQ1966" s="86" t="s">
        <v>5649</v>
      </c>
      <c r="AR1966" s="81" t="s">
        <v>179</v>
      </c>
      <c r="AS1966" s="81">
        <v>0</v>
      </c>
      <c r="AT1966" s="81">
        <v>0</v>
      </c>
      <c r="AU1966" s="81"/>
      <c r="AV1966" s="81"/>
      <c r="AW1966" s="81"/>
      <c r="AX1966" s="81"/>
      <c r="AY1966" s="81"/>
      <c r="AZ1966" s="81"/>
      <c r="BA1966" s="81"/>
      <c r="BB1966" s="81"/>
    </row>
    <row r="1967" spans="1:54" x14ac:dyDescent="0.35">
      <c r="A1967" s="66" t="s">
        <v>1269</v>
      </c>
      <c r="B1967" s="66" t="s">
        <v>1269</v>
      </c>
      <c r="C1967" s="67"/>
      <c r="D1967" s="68"/>
      <c r="E1967" s="69"/>
      <c r="F1967" s="70"/>
      <c r="G1967" s="67"/>
      <c r="H1967" s="71"/>
      <c r="I1967" s="72"/>
      <c r="J1967" s="72"/>
      <c r="K1967" s="36"/>
      <c r="L1967" s="79"/>
      <c r="M1967" s="79"/>
      <c r="N1967" s="74"/>
      <c r="O1967" s="81" t="s">
        <v>179</v>
      </c>
      <c r="P1967" s="83">
        <v>44460.198252314818</v>
      </c>
      <c r="Q1967" s="81" t="s">
        <v>2354</v>
      </c>
      <c r="R1967" s="81"/>
      <c r="S1967" s="81"/>
      <c r="T1967" s="81"/>
      <c r="U1967" s="81"/>
      <c r="V1967" s="84" t="str">
        <f>HYPERLINK("https://pbs.twimg.com/profile_images/378800000705328795/304bfd91ee90011498fd092cc79a423e_normal.jpeg")</f>
        <v>https://pbs.twimg.com/profile_images/378800000705328795/304bfd91ee90011498fd092cc79a423e_normal.jpeg</v>
      </c>
      <c r="W1967" s="83">
        <v>44460.198252314818</v>
      </c>
      <c r="X1967" s="89">
        <v>44460</v>
      </c>
      <c r="Y1967" s="86" t="s">
        <v>4077</v>
      </c>
      <c r="Z1967" s="84" t="str">
        <f>HYPERLINK("https://twitter.com/pos_indonesia/status/1440175327217549312")</f>
        <v>https://twitter.com/pos_indonesia/status/1440175327217549312</v>
      </c>
      <c r="AA1967" s="81"/>
      <c r="AB1967" s="81"/>
      <c r="AC1967" s="86" t="s">
        <v>5650</v>
      </c>
      <c r="AD1967" s="81"/>
      <c r="AE1967" s="81" t="b">
        <v>0</v>
      </c>
      <c r="AF1967" s="81">
        <v>0</v>
      </c>
      <c r="AG1967" s="86" t="s">
        <v>6240</v>
      </c>
      <c r="AH1967" s="81" t="b">
        <v>0</v>
      </c>
      <c r="AI1967" s="81" t="s">
        <v>6479</v>
      </c>
      <c r="AJ1967" s="81"/>
      <c r="AK1967" s="86" t="s">
        <v>6240</v>
      </c>
      <c r="AL1967" s="81" t="b">
        <v>0</v>
      </c>
      <c r="AM1967" s="81">
        <v>0</v>
      </c>
      <c r="AN1967" s="86" t="s">
        <v>6240</v>
      </c>
      <c r="AO1967" s="86" t="s">
        <v>6506</v>
      </c>
      <c r="AP1967" s="81" t="b">
        <v>0</v>
      </c>
      <c r="AQ1967" s="86" t="s">
        <v>5650</v>
      </c>
      <c r="AR1967" s="81" t="s">
        <v>179</v>
      </c>
      <c r="AS1967" s="81">
        <v>0</v>
      </c>
      <c r="AT1967" s="81">
        <v>0</v>
      </c>
      <c r="AU1967" s="81"/>
      <c r="AV1967" s="81"/>
      <c r="AW1967" s="81"/>
      <c r="AX1967" s="81"/>
      <c r="AY1967" s="81"/>
      <c r="AZ1967" s="81"/>
      <c r="BA1967" s="81"/>
      <c r="BB1967" s="81"/>
    </row>
    <row r="1968" spans="1:54" x14ac:dyDescent="0.35">
      <c r="A1968" s="66" t="s">
        <v>1269</v>
      </c>
      <c r="B1968" s="66" t="s">
        <v>1269</v>
      </c>
      <c r="C1968" s="67"/>
      <c r="D1968" s="68"/>
      <c r="E1968" s="69"/>
      <c r="F1968" s="70"/>
      <c r="G1968" s="67"/>
      <c r="H1968" s="71"/>
      <c r="I1968" s="72"/>
      <c r="J1968" s="72"/>
      <c r="K1968" s="36"/>
      <c r="L1968" s="79"/>
      <c r="M1968" s="79"/>
      <c r="N1968" s="74"/>
      <c r="O1968" s="81" t="s">
        <v>179</v>
      </c>
      <c r="P1968" s="83">
        <v>44460.219143518516</v>
      </c>
      <c r="Q1968" s="81" t="s">
        <v>2400</v>
      </c>
      <c r="R1968" s="81"/>
      <c r="S1968" s="81"/>
      <c r="T1968" s="81"/>
      <c r="U1968" s="81"/>
      <c r="V1968" s="84" t="str">
        <f>HYPERLINK("https://pbs.twimg.com/profile_images/378800000705328795/304bfd91ee90011498fd092cc79a423e_normal.jpeg")</f>
        <v>https://pbs.twimg.com/profile_images/378800000705328795/304bfd91ee90011498fd092cc79a423e_normal.jpeg</v>
      </c>
      <c r="W1968" s="83">
        <v>44460.219143518516</v>
      </c>
      <c r="X1968" s="89">
        <v>44460</v>
      </c>
      <c r="Y1968" s="86" t="s">
        <v>4078</v>
      </c>
      <c r="Z1968" s="84" t="str">
        <f>HYPERLINK("https://twitter.com/pos_indonesia/status/1440182896577241091")</f>
        <v>https://twitter.com/pos_indonesia/status/1440182896577241091</v>
      </c>
      <c r="AA1968" s="81"/>
      <c r="AB1968" s="81"/>
      <c r="AC1968" s="86" t="s">
        <v>5651</v>
      </c>
      <c r="AD1968" s="81"/>
      <c r="AE1968" s="81" t="b">
        <v>0</v>
      </c>
      <c r="AF1968" s="81">
        <v>0</v>
      </c>
      <c r="AG1968" s="86" t="s">
        <v>6240</v>
      </c>
      <c r="AH1968" s="81" t="b">
        <v>0</v>
      </c>
      <c r="AI1968" s="81" t="s">
        <v>6479</v>
      </c>
      <c r="AJ1968" s="81"/>
      <c r="AK1968" s="86" t="s">
        <v>6240</v>
      </c>
      <c r="AL1968" s="81" t="b">
        <v>0</v>
      </c>
      <c r="AM1968" s="81">
        <v>0</v>
      </c>
      <c r="AN1968" s="86" t="s">
        <v>6240</v>
      </c>
      <c r="AO1968" s="86" t="s">
        <v>6506</v>
      </c>
      <c r="AP1968" s="81" t="b">
        <v>0</v>
      </c>
      <c r="AQ1968" s="86" t="s">
        <v>5651</v>
      </c>
      <c r="AR1968" s="81" t="s">
        <v>179</v>
      </c>
      <c r="AS1968" s="81">
        <v>0</v>
      </c>
      <c r="AT1968" s="81">
        <v>0</v>
      </c>
      <c r="AU1968" s="81"/>
      <c r="AV1968" s="81"/>
      <c r="AW1968" s="81"/>
      <c r="AX1968" s="81"/>
      <c r="AY1968" s="81"/>
      <c r="AZ1968" s="81"/>
      <c r="BA1968" s="81"/>
      <c r="BB1968" s="81"/>
    </row>
    <row r="1969" spans="1:54" x14ac:dyDescent="0.35">
      <c r="A1969" s="66" t="s">
        <v>1269</v>
      </c>
      <c r="B1969" s="66" t="s">
        <v>1269</v>
      </c>
      <c r="C1969" s="67"/>
      <c r="D1969" s="68"/>
      <c r="E1969" s="69"/>
      <c r="F1969" s="70"/>
      <c r="G1969" s="67"/>
      <c r="H1969" s="71"/>
      <c r="I1969" s="72"/>
      <c r="J1969" s="72"/>
      <c r="K1969" s="36"/>
      <c r="L1969" s="79"/>
      <c r="M1969" s="79"/>
      <c r="N1969" s="74"/>
      <c r="O1969" s="81" t="s">
        <v>179</v>
      </c>
      <c r="P1969" s="83">
        <v>44460.239930555559</v>
      </c>
      <c r="Q1969" s="81" t="s">
        <v>2401</v>
      </c>
      <c r="R1969" s="81"/>
      <c r="S1969" s="81"/>
      <c r="T1969" s="81"/>
      <c r="U1969" s="81"/>
      <c r="V1969" s="84" t="str">
        <f>HYPERLINK("https://pbs.twimg.com/profile_images/378800000705328795/304bfd91ee90011498fd092cc79a423e_normal.jpeg")</f>
        <v>https://pbs.twimg.com/profile_images/378800000705328795/304bfd91ee90011498fd092cc79a423e_normal.jpeg</v>
      </c>
      <c r="W1969" s="83">
        <v>44460.239930555559</v>
      </c>
      <c r="X1969" s="89">
        <v>44460</v>
      </c>
      <c r="Y1969" s="86" t="s">
        <v>4134</v>
      </c>
      <c r="Z1969" s="84" t="str">
        <f>HYPERLINK("https://twitter.com/pos_indonesia/status/1440190431090778118")</f>
        <v>https://twitter.com/pos_indonesia/status/1440190431090778118</v>
      </c>
      <c r="AA1969" s="81"/>
      <c r="AB1969" s="81"/>
      <c r="AC1969" s="86" t="s">
        <v>5652</v>
      </c>
      <c r="AD1969" s="81"/>
      <c r="AE1969" s="81" t="b">
        <v>0</v>
      </c>
      <c r="AF1969" s="81">
        <v>0</v>
      </c>
      <c r="AG1969" s="86" t="s">
        <v>6240</v>
      </c>
      <c r="AH1969" s="81" t="b">
        <v>0</v>
      </c>
      <c r="AI1969" s="81" t="s">
        <v>6479</v>
      </c>
      <c r="AJ1969" s="81"/>
      <c r="AK1969" s="86" t="s">
        <v>6240</v>
      </c>
      <c r="AL1969" s="81" t="b">
        <v>0</v>
      </c>
      <c r="AM1969" s="81">
        <v>0</v>
      </c>
      <c r="AN1969" s="86" t="s">
        <v>6240</v>
      </c>
      <c r="AO1969" s="86" t="s">
        <v>6506</v>
      </c>
      <c r="AP1969" s="81" t="b">
        <v>0</v>
      </c>
      <c r="AQ1969" s="86" t="s">
        <v>5652</v>
      </c>
      <c r="AR1969" s="81" t="s">
        <v>179</v>
      </c>
      <c r="AS1969" s="81">
        <v>0</v>
      </c>
      <c r="AT1969" s="81">
        <v>0</v>
      </c>
      <c r="AU1969" s="81"/>
      <c r="AV1969" s="81"/>
      <c r="AW1969" s="81"/>
      <c r="AX1969" s="81"/>
      <c r="AY1969" s="81"/>
      <c r="AZ1969" s="81"/>
      <c r="BA1969" s="81"/>
      <c r="BB1969" s="81"/>
    </row>
    <row r="1970" spans="1:54" x14ac:dyDescent="0.35">
      <c r="A1970" s="66" t="s">
        <v>1269</v>
      </c>
      <c r="B1970" s="66" t="s">
        <v>1269</v>
      </c>
      <c r="C1970" s="67"/>
      <c r="D1970" s="68"/>
      <c r="E1970" s="69"/>
      <c r="F1970" s="70"/>
      <c r="G1970" s="67"/>
      <c r="H1970" s="71"/>
      <c r="I1970" s="72"/>
      <c r="J1970" s="72"/>
      <c r="K1970" s="36"/>
      <c r="L1970" s="79"/>
      <c r="M1970" s="79"/>
      <c r="N1970" s="74"/>
      <c r="O1970" s="81" t="s">
        <v>179</v>
      </c>
      <c r="P1970" s="83">
        <v>44460.260810185187</v>
      </c>
      <c r="Q1970" s="81" t="s">
        <v>2375</v>
      </c>
      <c r="R1970" s="81"/>
      <c r="S1970" s="81"/>
      <c r="T1970" s="81"/>
      <c r="U1970" s="81"/>
      <c r="V1970" s="84" t="str">
        <f>HYPERLINK("https://pbs.twimg.com/profile_images/378800000705328795/304bfd91ee90011498fd092cc79a423e_normal.jpeg")</f>
        <v>https://pbs.twimg.com/profile_images/378800000705328795/304bfd91ee90011498fd092cc79a423e_normal.jpeg</v>
      </c>
      <c r="W1970" s="83">
        <v>44460.260810185187</v>
      </c>
      <c r="X1970" s="89">
        <v>44460</v>
      </c>
      <c r="Y1970" s="86" t="s">
        <v>4135</v>
      </c>
      <c r="Z1970" s="84" t="str">
        <f>HYPERLINK("https://twitter.com/pos_indonesia/status/1440197995304087556")</f>
        <v>https://twitter.com/pos_indonesia/status/1440197995304087556</v>
      </c>
      <c r="AA1970" s="81"/>
      <c r="AB1970" s="81"/>
      <c r="AC1970" s="86" t="s">
        <v>5653</v>
      </c>
      <c r="AD1970" s="81"/>
      <c r="AE1970" s="81" t="b">
        <v>0</v>
      </c>
      <c r="AF1970" s="81">
        <v>0</v>
      </c>
      <c r="AG1970" s="86" t="s">
        <v>6240</v>
      </c>
      <c r="AH1970" s="81" t="b">
        <v>0</v>
      </c>
      <c r="AI1970" s="81" t="s">
        <v>6479</v>
      </c>
      <c r="AJ1970" s="81"/>
      <c r="AK1970" s="86" t="s">
        <v>6240</v>
      </c>
      <c r="AL1970" s="81" t="b">
        <v>0</v>
      </c>
      <c r="AM1970" s="81">
        <v>0</v>
      </c>
      <c r="AN1970" s="86" t="s">
        <v>6240</v>
      </c>
      <c r="AO1970" s="86" t="s">
        <v>6506</v>
      </c>
      <c r="AP1970" s="81" t="b">
        <v>0</v>
      </c>
      <c r="AQ1970" s="86" t="s">
        <v>5653</v>
      </c>
      <c r="AR1970" s="81" t="s">
        <v>179</v>
      </c>
      <c r="AS1970" s="81">
        <v>0</v>
      </c>
      <c r="AT1970" s="81">
        <v>0</v>
      </c>
      <c r="AU1970" s="81"/>
      <c r="AV1970" s="81"/>
      <c r="AW1970" s="81"/>
      <c r="AX1970" s="81"/>
      <c r="AY1970" s="81"/>
      <c r="AZ1970" s="81"/>
      <c r="BA1970" s="81"/>
      <c r="BB1970" s="81"/>
    </row>
    <row r="1971" spans="1:54" x14ac:dyDescent="0.35">
      <c r="A1971" s="66" t="s">
        <v>1269</v>
      </c>
      <c r="B1971" s="66" t="s">
        <v>1269</v>
      </c>
      <c r="C1971" s="67"/>
      <c r="D1971" s="68"/>
      <c r="E1971" s="69"/>
      <c r="F1971" s="70"/>
      <c r="G1971" s="67"/>
      <c r="H1971" s="71"/>
      <c r="I1971" s="72"/>
      <c r="J1971" s="72"/>
      <c r="K1971" s="36"/>
      <c r="L1971" s="79"/>
      <c r="M1971" s="79"/>
      <c r="N1971" s="74"/>
      <c r="O1971" s="81" t="s">
        <v>179</v>
      </c>
      <c r="P1971" s="83">
        <v>44460.281597222223</v>
      </c>
      <c r="Q1971" s="81" t="s">
        <v>2402</v>
      </c>
      <c r="R1971" s="81"/>
      <c r="S1971" s="81"/>
      <c r="T1971" s="81"/>
      <c r="U1971" s="81"/>
      <c r="V1971" s="84" t="str">
        <f>HYPERLINK("https://pbs.twimg.com/profile_images/378800000705328795/304bfd91ee90011498fd092cc79a423e_normal.jpeg")</f>
        <v>https://pbs.twimg.com/profile_images/378800000705328795/304bfd91ee90011498fd092cc79a423e_normal.jpeg</v>
      </c>
      <c r="W1971" s="83">
        <v>44460.281597222223</v>
      </c>
      <c r="X1971" s="89">
        <v>44460</v>
      </c>
      <c r="Y1971" s="86" t="s">
        <v>4136</v>
      </c>
      <c r="Z1971" s="84" t="str">
        <f>HYPERLINK("https://twitter.com/pos_indonesia/status/1440205527703642131")</f>
        <v>https://twitter.com/pos_indonesia/status/1440205527703642131</v>
      </c>
      <c r="AA1971" s="81"/>
      <c r="AB1971" s="81"/>
      <c r="AC1971" s="86" t="s">
        <v>5654</v>
      </c>
      <c r="AD1971" s="81"/>
      <c r="AE1971" s="81" t="b">
        <v>0</v>
      </c>
      <c r="AF1971" s="81">
        <v>0</v>
      </c>
      <c r="AG1971" s="86" t="s">
        <v>6240</v>
      </c>
      <c r="AH1971" s="81" t="b">
        <v>0</v>
      </c>
      <c r="AI1971" s="81" t="s">
        <v>6479</v>
      </c>
      <c r="AJ1971" s="81"/>
      <c r="AK1971" s="86" t="s">
        <v>6240</v>
      </c>
      <c r="AL1971" s="81" t="b">
        <v>0</v>
      </c>
      <c r="AM1971" s="81">
        <v>0</v>
      </c>
      <c r="AN1971" s="86" t="s">
        <v>6240</v>
      </c>
      <c r="AO1971" s="86" t="s">
        <v>6506</v>
      </c>
      <c r="AP1971" s="81" t="b">
        <v>0</v>
      </c>
      <c r="AQ1971" s="86" t="s">
        <v>5654</v>
      </c>
      <c r="AR1971" s="81" t="s">
        <v>179</v>
      </c>
      <c r="AS1971" s="81">
        <v>0</v>
      </c>
      <c r="AT1971" s="81">
        <v>0</v>
      </c>
      <c r="AU1971" s="81"/>
      <c r="AV1971" s="81"/>
      <c r="AW1971" s="81"/>
      <c r="AX1971" s="81"/>
      <c r="AY1971" s="81"/>
      <c r="AZ1971" s="81"/>
      <c r="BA1971" s="81"/>
      <c r="BB1971" s="81"/>
    </row>
    <row r="1972" spans="1:54" x14ac:dyDescent="0.35">
      <c r="A1972" s="66" t="s">
        <v>1269</v>
      </c>
      <c r="B1972" s="66" t="s">
        <v>1269</v>
      </c>
      <c r="C1972" s="67"/>
      <c r="D1972" s="68"/>
      <c r="E1972" s="69"/>
      <c r="F1972" s="70"/>
      <c r="G1972" s="67"/>
      <c r="H1972" s="71"/>
      <c r="I1972" s="72"/>
      <c r="J1972" s="72"/>
      <c r="K1972" s="36"/>
      <c r="L1972" s="79"/>
      <c r="M1972" s="79"/>
      <c r="N1972" s="74"/>
      <c r="O1972" s="81" t="s">
        <v>179</v>
      </c>
      <c r="P1972" s="83">
        <v>44460.302476851852</v>
      </c>
      <c r="Q1972" s="81" t="s">
        <v>2403</v>
      </c>
      <c r="R1972" s="81"/>
      <c r="S1972" s="81"/>
      <c r="T1972" s="81"/>
      <c r="U1972" s="81"/>
      <c r="V1972" s="84" t="str">
        <f>HYPERLINK("https://pbs.twimg.com/profile_images/378800000705328795/304bfd91ee90011498fd092cc79a423e_normal.jpeg")</f>
        <v>https://pbs.twimg.com/profile_images/378800000705328795/304bfd91ee90011498fd092cc79a423e_normal.jpeg</v>
      </c>
      <c r="W1972" s="83">
        <v>44460.302476851852</v>
      </c>
      <c r="X1972" s="89">
        <v>44460</v>
      </c>
      <c r="Y1972" s="86" t="s">
        <v>4137</v>
      </c>
      <c r="Z1972" s="84" t="str">
        <f>HYPERLINK("https://twitter.com/pos_indonesia/status/1440213093766680582")</f>
        <v>https://twitter.com/pos_indonesia/status/1440213093766680582</v>
      </c>
      <c r="AA1972" s="81"/>
      <c r="AB1972" s="81"/>
      <c r="AC1972" s="86" t="s">
        <v>5655</v>
      </c>
      <c r="AD1972" s="81"/>
      <c r="AE1972" s="81" t="b">
        <v>0</v>
      </c>
      <c r="AF1972" s="81">
        <v>0</v>
      </c>
      <c r="AG1972" s="86" t="s">
        <v>6240</v>
      </c>
      <c r="AH1972" s="81" t="b">
        <v>0</v>
      </c>
      <c r="AI1972" s="81" t="s">
        <v>6479</v>
      </c>
      <c r="AJ1972" s="81"/>
      <c r="AK1972" s="86" t="s">
        <v>6240</v>
      </c>
      <c r="AL1972" s="81" t="b">
        <v>0</v>
      </c>
      <c r="AM1972" s="81">
        <v>0</v>
      </c>
      <c r="AN1972" s="86" t="s">
        <v>6240</v>
      </c>
      <c r="AO1972" s="86" t="s">
        <v>6506</v>
      </c>
      <c r="AP1972" s="81" t="b">
        <v>0</v>
      </c>
      <c r="AQ1972" s="86" t="s">
        <v>5655</v>
      </c>
      <c r="AR1972" s="81" t="s">
        <v>179</v>
      </c>
      <c r="AS1972" s="81">
        <v>0</v>
      </c>
      <c r="AT1972" s="81">
        <v>0</v>
      </c>
      <c r="AU1972" s="81"/>
      <c r="AV1972" s="81"/>
      <c r="AW1972" s="81"/>
      <c r="AX1972" s="81"/>
      <c r="AY1972" s="81"/>
      <c r="AZ1972" s="81"/>
      <c r="BA1972" s="81"/>
      <c r="BB1972" s="81"/>
    </row>
    <row r="1973" spans="1:54" x14ac:dyDescent="0.35">
      <c r="A1973" s="66" t="s">
        <v>1269</v>
      </c>
      <c r="B1973" s="66" t="s">
        <v>1269</v>
      </c>
      <c r="C1973" s="67"/>
      <c r="D1973" s="68"/>
      <c r="E1973" s="69"/>
      <c r="F1973" s="70"/>
      <c r="G1973" s="67"/>
      <c r="H1973" s="71"/>
      <c r="I1973" s="72"/>
      <c r="J1973" s="72"/>
      <c r="K1973" s="36"/>
      <c r="L1973" s="79"/>
      <c r="M1973" s="79"/>
      <c r="N1973" s="74"/>
      <c r="O1973" s="81" t="s">
        <v>179</v>
      </c>
      <c r="P1973" s="83">
        <v>44460.323252314818</v>
      </c>
      <c r="Q1973" s="81" t="s">
        <v>2404</v>
      </c>
      <c r="R1973" s="81"/>
      <c r="S1973" s="81"/>
      <c r="T1973" s="81"/>
      <c r="U1973" s="81"/>
      <c r="V1973" s="84" t="str">
        <f>HYPERLINK("https://pbs.twimg.com/profile_images/378800000705328795/304bfd91ee90011498fd092cc79a423e_normal.jpeg")</f>
        <v>https://pbs.twimg.com/profile_images/378800000705328795/304bfd91ee90011498fd092cc79a423e_normal.jpeg</v>
      </c>
      <c r="W1973" s="83">
        <v>44460.323252314818</v>
      </c>
      <c r="X1973" s="89">
        <v>44460</v>
      </c>
      <c r="Y1973" s="86" t="s">
        <v>4083</v>
      </c>
      <c r="Z1973" s="84" t="str">
        <f>HYPERLINK("https://twitter.com/pos_indonesia/status/1440220624484397058")</f>
        <v>https://twitter.com/pos_indonesia/status/1440220624484397058</v>
      </c>
      <c r="AA1973" s="81"/>
      <c r="AB1973" s="81"/>
      <c r="AC1973" s="86" t="s">
        <v>5656</v>
      </c>
      <c r="AD1973" s="81"/>
      <c r="AE1973" s="81" t="b">
        <v>0</v>
      </c>
      <c r="AF1973" s="81">
        <v>0</v>
      </c>
      <c r="AG1973" s="86" t="s">
        <v>6240</v>
      </c>
      <c r="AH1973" s="81" t="b">
        <v>0</v>
      </c>
      <c r="AI1973" s="81" t="s">
        <v>6479</v>
      </c>
      <c r="AJ1973" s="81"/>
      <c r="AK1973" s="86" t="s">
        <v>6240</v>
      </c>
      <c r="AL1973" s="81" t="b">
        <v>0</v>
      </c>
      <c r="AM1973" s="81">
        <v>0</v>
      </c>
      <c r="AN1973" s="86" t="s">
        <v>6240</v>
      </c>
      <c r="AO1973" s="86" t="s">
        <v>6506</v>
      </c>
      <c r="AP1973" s="81" t="b">
        <v>0</v>
      </c>
      <c r="AQ1973" s="86" t="s">
        <v>5656</v>
      </c>
      <c r="AR1973" s="81" t="s">
        <v>179</v>
      </c>
      <c r="AS1973" s="81">
        <v>0</v>
      </c>
      <c r="AT1973" s="81">
        <v>0</v>
      </c>
      <c r="AU1973" s="81"/>
      <c r="AV1973" s="81"/>
      <c r="AW1973" s="81"/>
      <c r="AX1973" s="81"/>
      <c r="AY1973" s="81"/>
      <c r="AZ1973" s="81"/>
      <c r="BA1973" s="81"/>
      <c r="BB1973" s="81"/>
    </row>
    <row r="1974" spans="1:54" x14ac:dyDescent="0.35">
      <c r="A1974" s="66" t="s">
        <v>1269</v>
      </c>
      <c r="B1974" s="66" t="s">
        <v>1269</v>
      </c>
      <c r="C1974" s="67"/>
      <c r="D1974" s="68"/>
      <c r="E1974" s="69"/>
      <c r="F1974" s="70"/>
      <c r="G1974" s="67"/>
      <c r="H1974" s="71"/>
      <c r="I1974" s="72"/>
      <c r="J1974" s="72"/>
      <c r="K1974" s="36"/>
      <c r="L1974" s="79"/>
      <c r="M1974" s="79"/>
      <c r="N1974" s="74"/>
      <c r="O1974" s="81" t="s">
        <v>179</v>
      </c>
      <c r="P1974" s="83">
        <v>44460.344166666669</v>
      </c>
      <c r="Q1974" s="81" t="s">
        <v>2405</v>
      </c>
      <c r="R1974" s="81"/>
      <c r="S1974" s="81"/>
      <c r="T1974" s="81"/>
      <c r="U1974" s="81"/>
      <c r="V1974" s="84" t="str">
        <f>HYPERLINK("https://pbs.twimg.com/profile_images/378800000705328795/304bfd91ee90011498fd092cc79a423e_normal.jpeg")</f>
        <v>https://pbs.twimg.com/profile_images/378800000705328795/304bfd91ee90011498fd092cc79a423e_normal.jpeg</v>
      </c>
      <c r="W1974" s="83">
        <v>44460.344166666669</v>
      </c>
      <c r="X1974" s="89">
        <v>44460</v>
      </c>
      <c r="Y1974" s="86" t="s">
        <v>4138</v>
      </c>
      <c r="Z1974" s="84" t="str">
        <f>HYPERLINK("https://twitter.com/pos_indonesia/status/1440228202085978114")</f>
        <v>https://twitter.com/pos_indonesia/status/1440228202085978114</v>
      </c>
      <c r="AA1974" s="81"/>
      <c r="AB1974" s="81"/>
      <c r="AC1974" s="86" t="s">
        <v>5657</v>
      </c>
      <c r="AD1974" s="81"/>
      <c r="AE1974" s="81" t="b">
        <v>0</v>
      </c>
      <c r="AF1974" s="81">
        <v>0</v>
      </c>
      <c r="AG1974" s="86" t="s">
        <v>6240</v>
      </c>
      <c r="AH1974" s="81" t="b">
        <v>0</v>
      </c>
      <c r="AI1974" s="81" t="s">
        <v>6479</v>
      </c>
      <c r="AJ1974" s="81"/>
      <c r="AK1974" s="86" t="s">
        <v>6240</v>
      </c>
      <c r="AL1974" s="81" t="b">
        <v>0</v>
      </c>
      <c r="AM1974" s="81">
        <v>0</v>
      </c>
      <c r="AN1974" s="86" t="s">
        <v>6240</v>
      </c>
      <c r="AO1974" s="86" t="s">
        <v>6506</v>
      </c>
      <c r="AP1974" s="81" t="b">
        <v>0</v>
      </c>
      <c r="AQ1974" s="86" t="s">
        <v>5657</v>
      </c>
      <c r="AR1974" s="81" t="s">
        <v>179</v>
      </c>
      <c r="AS1974" s="81">
        <v>0</v>
      </c>
      <c r="AT1974" s="81">
        <v>0</v>
      </c>
      <c r="AU1974" s="81"/>
      <c r="AV1974" s="81"/>
      <c r="AW1974" s="81"/>
      <c r="AX1974" s="81"/>
      <c r="AY1974" s="81"/>
      <c r="AZ1974" s="81"/>
      <c r="BA1974" s="81"/>
      <c r="BB1974" s="81"/>
    </row>
    <row r="1975" spans="1:54" x14ac:dyDescent="0.35">
      <c r="A1975" s="66" t="s">
        <v>1269</v>
      </c>
      <c r="B1975" s="66" t="s">
        <v>1269</v>
      </c>
      <c r="C1975" s="67"/>
      <c r="D1975" s="68"/>
      <c r="E1975" s="69"/>
      <c r="F1975" s="70"/>
      <c r="G1975" s="67"/>
      <c r="H1975" s="71"/>
      <c r="I1975" s="72"/>
      <c r="J1975" s="72"/>
      <c r="K1975" s="36"/>
      <c r="L1975" s="79"/>
      <c r="M1975" s="79"/>
      <c r="N1975" s="74"/>
      <c r="O1975" s="81" t="s">
        <v>179</v>
      </c>
      <c r="P1975" s="83">
        <v>44460.364930555559</v>
      </c>
      <c r="Q1975" s="81" t="s">
        <v>2406</v>
      </c>
      <c r="R1975" s="81"/>
      <c r="S1975" s="81"/>
      <c r="T1975" s="81"/>
      <c r="U1975" s="81"/>
      <c r="V1975" s="84" t="str">
        <f>HYPERLINK("https://pbs.twimg.com/profile_images/378800000705328795/304bfd91ee90011498fd092cc79a423e_normal.jpeg")</f>
        <v>https://pbs.twimg.com/profile_images/378800000705328795/304bfd91ee90011498fd092cc79a423e_normal.jpeg</v>
      </c>
      <c r="W1975" s="83">
        <v>44460.364930555559</v>
      </c>
      <c r="X1975" s="89">
        <v>44460</v>
      </c>
      <c r="Y1975" s="86" t="s">
        <v>4113</v>
      </c>
      <c r="Z1975" s="84" t="str">
        <f>HYPERLINK("https://twitter.com/pos_indonesia/status/1440235729141915654")</f>
        <v>https://twitter.com/pos_indonesia/status/1440235729141915654</v>
      </c>
      <c r="AA1975" s="81"/>
      <c r="AB1975" s="81"/>
      <c r="AC1975" s="86" t="s">
        <v>5658</v>
      </c>
      <c r="AD1975" s="81"/>
      <c r="AE1975" s="81" t="b">
        <v>0</v>
      </c>
      <c r="AF1975" s="81">
        <v>0</v>
      </c>
      <c r="AG1975" s="86" t="s">
        <v>6240</v>
      </c>
      <c r="AH1975" s="81" t="b">
        <v>0</v>
      </c>
      <c r="AI1975" s="81" t="s">
        <v>6479</v>
      </c>
      <c r="AJ1975" s="81"/>
      <c r="AK1975" s="86" t="s">
        <v>6240</v>
      </c>
      <c r="AL1975" s="81" t="b">
        <v>0</v>
      </c>
      <c r="AM1975" s="81">
        <v>0</v>
      </c>
      <c r="AN1975" s="86" t="s">
        <v>6240</v>
      </c>
      <c r="AO1975" s="86" t="s">
        <v>6506</v>
      </c>
      <c r="AP1975" s="81" t="b">
        <v>0</v>
      </c>
      <c r="AQ1975" s="86" t="s">
        <v>5658</v>
      </c>
      <c r="AR1975" s="81" t="s">
        <v>179</v>
      </c>
      <c r="AS1975" s="81">
        <v>0</v>
      </c>
      <c r="AT1975" s="81">
        <v>0</v>
      </c>
      <c r="AU1975" s="81"/>
      <c r="AV1975" s="81"/>
      <c r="AW1975" s="81"/>
      <c r="AX1975" s="81"/>
      <c r="AY1975" s="81"/>
      <c r="AZ1975" s="81"/>
      <c r="BA1975" s="81"/>
      <c r="BB1975" s="81"/>
    </row>
    <row r="1976" spans="1:54" x14ac:dyDescent="0.35">
      <c r="A1976" s="66" t="s">
        <v>1269</v>
      </c>
      <c r="B1976" s="66" t="s">
        <v>1269</v>
      </c>
      <c r="C1976" s="67"/>
      <c r="D1976" s="68"/>
      <c r="E1976" s="69"/>
      <c r="F1976" s="70"/>
      <c r="G1976" s="67"/>
      <c r="H1976" s="71"/>
      <c r="I1976" s="72"/>
      <c r="J1976" s="72"/>
      <c r="K1976" s="36"/>
      <c r="L1976" s="79"/>
      <c r="M1976" s="79"/>
      <c r="N1976" s="74"/>
      <c r="O1976" s="81" t="s">
        <v>179</v>
      </c>
      <c r="P1976" s="83">
        <v>44460.385798611111</v>
      </c>
      <c r="Q1976" s="81" t="s">
        <v>2407</v>
      </c>
      <c r="R1976" s="81"/>
      <c r="S1976" s="81"/>
      <c r="T1976" s="81"/>
      <c r="U1976" s="81"/>
      <c r="V1976" s="84" t="str">
        <f>HYPERLINK("https://pbs.twimg.com/profile_images/378800000705328795/304bfd91ee90011498fd092cc79a423e_normal.jpeg")</f>
        <v>https://pbs.twimg.com/profile_images/378800000705328795/304bfd91ee90011498fd092cc79a423e_normal.jpeg</v>
      </c>
      <c r="W1976" s="83">
        <v>44460.385798611111</v>
      </c>
      <c r="X1976" s="89">
        <v>44460</v>
      </c>
      <c r="Y1976" s="86" t="s">
        <v>4085</v>
      </c>
      <c r="Z1976" s="84" t="str">
        <f>HYPERLINK("https://twitter.com/pos_indonesia/status/1440243291027488769")</f>
        <v>https://twitter.com/pos_indonesia/status/1440243291027488769</v>
      </c>
      <c r="AA1976" s="81"/>
      <c r="AB1976" s="81"/>
      <c r="AC1976" s="86" t="s">
        <v>5659</v>
      </c>
      <c r="AD1976" s="81"/>
      <c r="AE1976" s="81" t="b">
        <v>0</v>
      </c>
      <c r="AF1976" s="81">
        <v>0</v>
      </c>
      <c r="AG1976" s="86" t="s">
        <v>6240</v>
      </c>
      <c r="AH1976" s="81" t="b">
        <v>0</v>
      </c>
      <c r="AI1976" s="81" t="s">
        <v>6479</v>
      </c>
      <c r="AJ1976" s="81"/>
      <c r="AK1976" s="86" t="s">
        <v>6240</v>
      </c>
      <c r="AL1976" s="81" t="b">
        <v>0</v>
      </c>
      <c r="AM1976" s="81">
        <v>0</v>
      </c>
      <c r="AN1976" s="86" t="s">
        <v>6240</v>
      </c>
      <c r="AO1976" s="86" t="s">
        <v>6506</v>
      </c>
      <c r="AP1976" s="81" t="b">
        <v>0</v>
      </c>
      <c r="AQ1976" s="86" t="s">
        <v>5659</v>
      </c>
      <c r="AR1976" s="81" t="s">
        <v>179</v>
      </c>
      <c r="AS1976" s="81">
        <v>0</v>
      </c>
      <c r="AT1976" s="81">
        <v>0</v>
      </c>
      <c r="AU1976" s="81"/>
      <c r="AV1976" s="81"/>
      <c r="AW1976" s="81"/>
      <c r="AX1976" s="81"/>
      <c r="AY1976" s="81"/>
      <c r="AZ1976" s="81"/>
      <c r="BA1976" s="81"/>
      <c r="BB1976" s="81"/>
    </row>
    <row r="1977" spans="1:54" x14ac:dyDescent="0.35">
      <c r="A1977" s="66" t="s">
        <v>1269</v>
      </c>
      <c r="B1977" s="66" t="s">
        <v>1269</v>
      </c>
      <c r="C1977" s="67"/>
      <c r="D1977" s="68"/>
      <c r="E1977" s="69"/>
      <c r="F1977" s="70"/>
      <c r="G1977" s="67"/>
      <c r="H1977" s="71"/>
      <c r="I1977" s="72"/>
      <c r="J1977" s="72"/>
      <c r="K1977" s="36"/>
      <c r="L1977" s="79"/>
      <c r="M1977" s="79"/>
      <c r="N1977" s="74"/>
      <c r="O1977" s="81" t="s">
        <v>179</v>
      </c>
      <c r="P1977" s="83">
        <v>44460.406585648147</v>
      </c>
      <c r="Q1977" s="81" t="s">
        <v>2408</v>
      </c>
      <c r="R1977" s="81"/>
      <c r="S1977" s="81"/>
      <c r="T1977" s="81"/>
      <c r="U1977" s="81"/>
      <c r="V1977" s="84" t="str">
        <f>HYPERLINK("https://pbs.twimg.com/profile_images/378800000705328795/304bfd91ee90011498fd092cc79a423e_normal.jpeg")</f>
        <v>https://pbs.twimg.com/profile_images/378800000705328795/304bfd91ee90011498fd092cc79a423e_normal.jpeg</v>
      </c>
      <c r="W1977" s="83">
        <v>44460.406585648147</v>
      </c>
      <c r="X1977" s="89">
        <v>44460</v>
      </c>
      <c r="Y1977" s="86" t="s">
        <v>4086</v>
      </c>
      <c r="Z1977" s="84" t="str">
        <f>HYPERLINK("https://twitter.com/pos_indonesia/status/1440250824534290436")</f>
        <v>https://twitter.com/pos_indonesia/status/1440250824534290436</v>
      </c>
      <c r="AA1977" s="81"/>
      <c r="AB1977" s="81"/>
      <c r="AC1977" s="86" t="s">
        <v>5660</v>
      </c>
      <c r="AD1977" s="81"/>
      <c r="AE1977" s="81" t="b">
        <v>0</v>
      </c>
      <c r="AF1977" s="81">
        <v>0</v>
      </c>
      <c r="AG1977" s="86" t="s">
        <v>6240</v>
      </c>
      <c r="AH1977" s="81" t="b">
        <v>0</v>
      </c>
      <c r="AI1977" s="81" t="s">
        <v>6479</v>
      </c>
      <c r="AJ1977" s="81"/>
      <c r="AK1977" s="86" t="s">
        <v>6240</v>
      </c>
      <c r="AL1977" s="81" t="b">
        <v>0</v>
      </c>
      <c r="AM1977" s="81">
        <v>0</v>
      </c>
      <c r="AN1977" s="86" t="s">
        <v>6240</v>
      </c>
      <c r="AO1977" s="86" t="s">
        <v>6506</v>
      </c>
      <c r="AP1977" s="81" t="b">
        <v>0</v>
      </c>
      <c r="AQ1977" s="86" t="s">
        <v>5660</v>
      </c>
      <c r="AR1977" s="81" t="s">
        <v>179</v>
      </c>
      <c r="AS1977" s="81">
        <v>0</v>
      </c>
      <c r="AT1977" s="81">
        <v>0</v>
      </c>
      <c r="AU1977" s="81"/>
      <c r="AV1977" s="81"/>
      <c r="AW1977" s="81"/>
      <c r="AX1977" s="81"/>
      <c r="AY1977" s="81"/>
      <c r="AZ1977" s="81"/>
      <c r="BA1977" s="81"/>
      <c r="BB1977" s="81"/>
    </row>
    <row r="1978" spans="1:54" x14ac:dyDescent="0.35">
      <c r="A1978" s="66" t="s">
        <v>1269</v>
      </c>
      <c r="B1978" s="66" t="s">
        <v>1269</v>
      </c>
      <c r="C1978" s="67"/>
      <c r="D1978" s="68"/>
      <c r="E1978" s="69"/>
      <c r="F1978" s="70"/>
      <c r="G1978" s="67"/>
      <c r="H1978" s="71"/>
      <c r="I1978" s="72"/>
      <c r="J1978" s="72"/>
      <c r="K1978" s="36"/>
      <c r="L1978" s="79"/>
      <c r="M1978" s="79"/>
      <c r="N1978" s="74"/>
      <c r="O1978" s="81" t="s">
        <v>179</v>
      </c>
      <c r="P1978" s="83">
        <v>44460.427476851852</v>
      </c>
      <c r="Q1978" s="81" t="s">
        <v>2409</v>
      </c>
      <c r="R1978" s="81"/>
      <c r="S1978" s="81"/>
      <c r="T1978" s="81"/>
      <c r="U1978" s="81"/>
      <c r="V1978" s="84" t="str">
        <f>HYPERLINK("https://pbs.twimg.com/profile_images/378800000705328795/304bfd91ee90011498fd092cc79a423e_normal.jpeg")</f>
        <v>https://pbs.twimg.com/profile_images/378800000705328795/304bfd91ee90011498fd092cc79a423e_normal.jpeg</v>
      </c>
      <c r="W1978" s="83">
        <v>44460.427476851852</v>
      </c>
      <c r="X1978" s="89">
        <v>44460</v>
      </c>
      <c r="Y1978" s="86" t="s">
        <v>4114</v>
      </c>
      <c r="Z1978" s="84" t="str">
        <f>HYPERLINK("https://twitter.com/pos_indonesia/status/1440258393722146817")</f>
        <v>https://twitter.com/pos_indonesia/status/1440258393722146817</v>
      </c>
      <c r="AA1978" s="81"/>
      <c r="AB1978" s="81"/>
      <c r="AC1978" s="86" t="s">
        <v>5661</v>
      </c>
      <c r="AD1978" s="81"/>
      <c r="AE1978" s="81" t="b">
        <v>0</v>
      </c>
      <c r="AF1978" s="81">
        <v>0</v>
      </c>
      <c r="AG1978" s="86" t="s">
        <v>6240</v>
      </c>
      <c r="AH1978" s="81" t="b">
        <v>0</v>
      </c>
      <c r="AI1978" s="81" t="s">
        <v>6479</v>
      </c>
      <c r="AJ1978" s="81"/>
      <c r="AK1978" s="86" t="s">
        <v>6240</v>
      </c>
      <c r="AL1978" s="81" t="b">
        <v>0</v>
      </c>
      <c r="AM1978" s="81">
        <v>0</v>
      </c>
      <c r="AN1978" s="86" t="s">
        <v>6240</v>
      </c>
      <c r="AO1978" s="86" t="s">
        <v>6506</v>
      </c>
      <c r="AP1978" s="81" t="b">
        <v>0</v>
      </c>
      <c r="AQ1978" s="86" t="s">
        <v>5661</v>
      </c>
      <c r="AR1978" s="81" t="s">
        <v>179</v>
      </c>
      <c r="AS1978" s="81">
        <v>0</v>
      </c>
      <c r="AT1978" s="81">
        <v>0</v>
      </c>
      <c r="AU1978" s="81"/>
      <c r="AV1978" s="81"/>
      <c r="AW1978" s="81"/>
      <c r="AX1978" s="81"/>
      <c r="AY1978" s="81"/>
      <c r="AZ1978" s="81"/>
      <c r="BA1978" s="81"/>
      <c r="BB1978" s="81"/>
    </row>
    <row r="1979" spans="1:54" x14ac:dyDescent="0.35">
      <c r="A1979" s="66" t="s">
        <v>1269</v>
      </c>
      <c r="B1979" s="66" t="s">
        <v>1269</v>
      </c>
      <c r="C1979" s="67"/>
      <c r="D1979" s="68"/>
      <c r="E1979" s="69"/>
      <c r="F1979" s="70"/>
      <c r="G1979" s="67"/>
      <c r="H1979" s="71"/>
      <c r="I1979" s="72"/>
      <c r="J1979" s="72"/>
      <c r="K1979" s="36"/>
      <c r="L1979" s="79"/>
      <c r="M1979" s="79"/>
      <c r="N1979" s="74"/>
      <c r="O1979" s="81" t="s">
        <v>179</v>
      </c>
      <c r="P1979" s="83">
        <v>44460.448263888888</v>
      </c>
      <c r="Q1979" s="81" t="s">
        <v>2410</v>
      </c>
      <c r="R1979" s="81"/>
      <c r="S1979" s="81"/>
      <c r="T1979" s="81"/>
      <c r="U1979" s="81"/>
      <c r="V1979" s="84" t="str">
        <f>HYPERLINK("https://pbs.twimg.com/profile_images/378800000705328795/304bfd91ee90011498fd092cc79a423e_normal.jpeg")</f>
        <v>https://pbs.twimg.com/profile_images/378800000705328795/304bfd91ee90011498fd092cc79a423e_normal.jpeg</v>
      </c>
      <c r="W1979" s="83">
        <v>44460.448263888888</v>
      </c>
      <c r="X1979" s="89">
        <v>44460</v>
      </c>
      <c r="Y1979" s="86" t="s">
        <v>4139</v>
      </c>
      <c r="Z1979" s="84" t="str">
        <f>HYPERLINK("https://twitter.com/pos_indonesia/status/1440265925865865232")</f>
        <v>https://twitter.com/pos_indonesia/status/1440265925865865232</v>
      </c>
      <c r="AA1979" s="81"/>
      <c r="AB1979" s="81"/>
      <c r="AC1979" s="86" t="s">
        <v>5662</v>
      </c>
      <c r="AD1979" s="81"/>
      <c r="AE1979" s="81" t="b">
        <v>0</v>
      </c>
      <c r="AF1979" s="81">
        <v>0</v>
      </c>
      <c r="AG1979" s="86" t="s">
        <v>6240</v>
      </c>
      <c r="AH1979" s="81" t="b">
        <v>0</v>
      </c>
      <c r="AI1979" s="81" t="s">
        <v>6479</v>
      </c>
      <c r="AJ1979" s="81"/>
      <c r="AK1979" s="86" t="s">
        <v>6240</v>
      </c>
      <c r="AL1979" s="81" t="b">
        <v>0</v>
      </c>
      <c r="AM1979" s="81">
        <v>0</v>
      </c>
      <c r="AN1979" s="86" t="s">
        <v>6240</v>
      </c>
      <c r="AO1979" s="86" t="s">
        <v>6506</v>
      </c>
      <c r="AP1979" s="81" t="b">
        <v>0</v>
      </c>
      <c r="AQ1979" s="86" t="s">
        <v>5662</v>
      </c>
      <c r="AR1979" s="81" t="s">
        <v>179</v>
      </c>
      <c r="AS1979" s="81">
        <v>0</v>
      </c>
      <c r="AT1979" s="81">
        <v>0</v>
      </c>
      <c r="AU1979" s="81"/>
      <c r="AV1979" s="81"/>
      <c r="AW1979" s="81"/>
      <c r="AX1979" s="81"/>
      <c r="AY1979" s="81"/>
      <c r="AZ1979" s="81"/>
      <c r="BA1979" s="81"/>
      <c r="BB1979" s="81"/>
    </row>
    <row r="1980" spans="1:54" x14ac:dyDescent="0.35">
      <c r="A1980" s="66" t="s">
        <v>1269</v>
      </c>
      <c r="B1980" s="66" t="s">
        <v>1269</v>
      </c>
      <c r="C1980" s="67"/>
      <c r="D1980" s="68"/>
      <c r="E1980" s="69"/>
      <c r="F1980" s="70"/>
      <c r="G1980" s="67"/>
      <c r="H1980" s="71"/>
      <c r="I1980" s="72"/>
      <c r="J1980" s="72"/>
      <c r="K1980" s="36"/>
      <c r="L1980" s="79"/>
      <c r="M1980" s="79"/>
      <c r="N1980" s="74"/>
      <c r="O1980" s="81" t="s">
        <v>179</v>
      </c>
      <c r="P1980" s="83">
        <v>44460.469155092593</v>
      </c>
      <c r="Q1980" s="81" t="s">
        <v>2411</v>
      </c>
      <c r="R1980" s="81"/>
      <c r="S1980" s="81"/>
      <c r="T1980" s="81"/>
      <c r="U1980" s="81"/>
      <c r="V1980" s="84" t="str">
        <f>HYPERLINK("https://pbs.twimg.com/profile_images/378800000705328795/304bfd91ee90011498fd092cc79a423e_normal.jpeg")</f>
        <v>https://pbs.twimg.com/profile_images/378800000705328795/304bfd91ee90011498fd092cc79a423e_normal.jpeg</v>
      </c>
      <c r="W1980" s="83">
        <v>44460.469155092593</v>
      </c>
      <c r="X1980" s="89">
        <v>44460</v>
      </c>
      <c r="Y1980" s="86" t="s">
        <v>4089</v>
      </c>
      <c r="Z1980" s="84" t="str">
        <f>HYPERLINK("https://twitter.com/pos_indonesia/status/1440273499147304965")</f>
        <v>https://twitter.com/pos_indonesia/status/1440273499147304965</v>
      </c>
      <c r="AA1980" s="81"/>
      <c r="AB1980" s="81"/>
      <c r="AC1980" s="86" t="s">
        <v>5663</v>
      </c>
      <c r="AD1980" s="81"/>
      <c r="AE1980" s="81" t="b">
        <v>0</v>
      </c>
      <c r="AF1980" s="81">
        <v>0</v>
      </c>
      <c r="AG1980" s="86" t="s">
        <v>6240</v>
      </c>
      <c r="AH1980" s="81" t="b">
        <v>0</v>
      </c>
      <c r="AI1980" s="81" t="s">
        <v>6479</v>
      </c>
      <c r="AJ1980" s="81"/>
      <c r="AK1980" s="86" t="s">
        <v>6240</v>
      </c>
      <c r="AL1980" s="81" t="b">
        <v>0</v>
      </c>
      <c r="AM1980" s="81">
        <v>0</v>
      </c>
      <c r="AN1980" s="86" t="s">
        <v>6240</v>
      </c>
      <c r="AO1980" s="86" t="s">
        <v>6506</v>
      </c>
      <c r="AP1980" s="81" t="b">
        <v>0</v>
      </c>
      <c r="AQ1980" s="86" t="s">
        <v>5663</v>
      </c>
      <c r="AR1980" s="81" t="s">
        <v>179</v>
      </c>
      <c r="AS1980" s="81">
        <v>0</v>
      </c>
      <c r="AT1980" s="81">
        <v>0</v>
      </c>
      <c r="AU1980" s="81"/>
      <c r="AV1980" s="81"/>
      <c r="AW1980" s="81"/>
      <c r="AX1980" s="81"/>
      <c r="AY1980" s="81"/>
      <c r="AZ1980" s="81"/>
      <c r="BA1980" s="81"/>
      <c r="BB1980" s="81"/>
    </row>
    <row r="1981" spans="1:54" x14ac:dyDescent="0.35">
      <c r="A1981" s="66" t="s">
        <v>1269</v>
      </c>
      <c r="B1981" s="66" t="s">
        <v>1269</v>
      </c>
      <c r="C1981" s="67"/>
      <c r="D1981" s="68"/>
      <c r="E1981" s="69"/>
      <c r="F1981" s="70"/>
      <c r="G1981" s="67"/>
      <c r="H1981" s="71"/>
      <c r="I1981" s="72"/>
      <c r="J1981" s="72"/>
      <c r="K1981" s="36"/>
      <c r="L1981" s="79"/>
      <c r="M1981" s="79"/>
      <c r="N1981" s="74"/>
      <c r="O1981" s="81" t="s">
        <v>179</v>
      </c>
      <c r="P1981" s="83">
        <v>44460.489930555559</v>
      </c>
      <c r="Q1981" s="81" t="s">
        <v>2412</v>
      </c>
      <c r="R1981" s="81"/>
      <c r="S1981" s="81"/>
      <c r="T1981" s="81"/>
      <c r="U1981" s="81"/>
      <c r="V1981" s="84" t="str">
        <f>HYPERLINK("https://pbs.twimg.com/profile_images/378800000705328795/304bfd91ee90011498fd092cc79a423e_normal.jpeg")</f>
        <v>https://pbs.twimg.com/profile_images/378800000705328795/304bfd91ee90011498fd092cc79a423e_normal.jpeg</v>
      </c>
      <c r="W1981" s="83">
        <v>44460.489930555559</v>
      </c>
      <c r="X1981" s="89">
        <v>44460</v>
      </c>
      <c r="Y1981" s="86" t="s">
        <v>4116</v>
      </c>
      <c r="Z1981" s="84" t="str">
        <f>HYPERLINK("https://twitter.com/pos_indonesia/status/1440281025607716866")</f>
        <v>https://twitter.com/pos_indonesia/status/1440281025607716866</v>
      </c>
      <c r="AA1981" s="81"/>
      <c r="AB1981" s="81"/>
      <c r="AC1981" s="86" t="s">
        <v>5664</v>
      </c>
      <c r="AD1981" s="81"/>
      <c r="AE1981" s="81" t="b">
        <v>0</v>
      </c>
      <c r="AF1981" s="81">
        <v>0</v>
      </c>
      <c r="AG1981" s="86" t="s">
        <v>6240</v>
      </c>
      <c r="AH1981" s="81" t="b">
        <v>0</v>
      </c>
      <c r="AI1981" s="81" t="s">
        <v>6479</v>
      </c>
      <c r="AJ1981" s="81"/>
      <c r="AK1981" s="86" t="s">
        <v>6240</v>
      </c>
      <c r="AL1981" s="81" t="b">
        <v>0</v>
      </c>
      <c r="AM1981" s="81">
        <v>0</v>
      </c>
      <c r="AN1981" s="86" t="s">
        <v>6240</v>
      </c>
      <c r="AO1981" s="86" t="s">
        <v>6506</v>
      </c>
      <c r="AP1981" s="81" t="b">
        <v>0</v>
      </c>
      <c r="AQ1981" s="86" t="s">
        <v>5664</v>
      </c>
      <c r="AR1981" s="81" t="s">
        <v>179</v>
      </c>
      <c r="AS1981" s="81">
        <v>0</v>
      </c>
      <c r="AT1981" s="81">
        <v>0</v>
      </c>
      <c r="AU1981" s="81"/>
      <c r="AV1981" s="81"/>
      <c r="AW1981" s="81"/>
      <c r="AX1981" s="81"/>
      <c r="AY1981" s="81"/>
      <c r="AZ1981" s="81"/>
      <c r="BA1981" s="81"/>
      <c r="BB1981" s="81"/>
    </row>
    <row r="1982" spans="1:54" x14ac:dyDescent="0.35">
      <c r="A1982" s="66" t="s">
        <v>1269</v>
      </c>
      <c r="B1982" s="66" t="s">
        <v>1269</v>
      </c>
      <c r="C1982" s="67"/>
      <c r="D1982" s="68"/>
      <c r="E1982" s="69"/>
      <c r="F1982" s="70"/>
      <c r="G1982" s="67"/>
      <c r="H1982" s="71"/>
      <c r="I1982" s="72"/>
      <c r="J1982" s="72"/>
      <c r="K1982" s="36"/>
      <c r="L1982" s="79"/>
      <c r="M1982" s="79"/>
      <c r="N1982" s="74"/>
      <c r="O1982" s="81" t="s">
        <v>179</v>
      </c>
      <c r="P1982" s="83">
        <v>44460.510810185187</v>
      </c>
      <c r="Q1982" s="81" t="s">
        <v>2341</v>
      </c>
      <c r="R1982" s="81"/>
      <c r="S1982" s="81"/>
      <c r="T1982" s="81"/>
      <c r="U1982" s="81"/>
      <c r="V1982" s="84" t="str">
        <f>HYPERLINK("https://pbs.twimg.com/profile_images/378800000705328795/304bfd91ee90011498fd092cc79a423e_normal.jpeg")</f>
        <v>https://pbs.twimg.com/profile_images/378800000705328795/304bfd91ee90011498fd092cc79a423e_normal.jpeg</v>
      </c>
      <c r="W1982" s="83">
        <v>44460.510810185187</v>
      </c>
      <c r="X1982" s="89">
        <v>44460</v>
      </c>
      <c r="Y1982" s="86" t="s">
        <v>4117</v>
      </c>
      <c r="Z1982" s="84" t="str">
        <f>HYPERLINK("https://twitter.com/pos_indonesia/status/1440288594803904521")</f>
        <v>https://twitter.com/pos_indonesia/status/1440288594803904521</v>
      </c>
      <c r="AA1982" s="81"/>
      <c r="AB1982" s="81"/>
      <c r="AC1982" s="86" t="s">
        <v>5665</v>
      </c>
      <c r="AD1982" s="81"/>
      <c r="AE1982" s="81" t="b">
        <v>0</v>
      </c>
      <c r="AF1982" s="81">
        <v>0</v>
      </c>
      <c r="AG1982" s="86" t="s">
        <v>6240</v>
      </c>
      <c r="AH1982" s="81" t="b">
        <v>0</v>
      </c>
      <c r="AI1982" s="81" t="s">
        <v>6479</v>
      </c>
      <c r="AJ1982" s="81"/>
      <c r="AK1982" s="86" t="s">
        <v>6240</v>
      </c>
      <c r="AL1982" s="81" t="b">
        <v>0</v>
      </c>
      <c r="AM1982" s="81">
        <v>0</v>
      </c>
      <c r="AN1982" s="86" t="s">
        <v>6240</v>
      </c>
      <c r="AO1982" s="86" t="s">
        <v>6506</v>
      </c>
      <c r="AP1982" s="81" t="b">
        <v>0</v>
      </c>
      <c r="AQ1982" s="86" t="s">
        <v>5665</v>
      </c>
      <c r="AR1982" s="81" t="s">
        <v>179</v>
      </c>
      <c r="AS1982" s="81">
        <v>0</v>
      </c>
      <c r="AT1982" s="81">
        <v>0</v>
      </c>
      <c r="AU1982" s="81"/>
      <c r="AV1982" s="81"/>
      <c r="AW1982" s="81"/>
      <c r="AX1982" s="81"/>
      <c r="AY1982" s="81"/>
      <c r="AZ1982" s="81"/>
      <c r="BA1982" s="81"/>
      <c r="BB1982" s="81"/>
    </row>
    <row r="1983" spans="1:54" x14ac:dyDescent="0.35">
      <c r="A1983" s="66" t="s">
        <v>1269</v>
      </c>
      <c r="B1983" s="66" t="s">
        <v>1269</v>
      </c>
      <c r="C1983" s="67"/>
      <c r="D1983" s="68"/>
      <c r="E1983" s="69"/>
      <c r="F1983" s="70"/>
      <c r="G1983" s="67"/>
      <c r="H1983" s="71"/>
      <c r="I1983" s="72"/>
      <c r="J1983" s="72"/>
      <c r="K1983" s="36"/>
      <c r="L1983" s="79"/>
      <c r="M1983" s="79"/>
      <c r="N1983" s="74"/>
      <c r="O1983" s="81" t="s">
        <v>179</v>
      </c>
      <c r="P1983" s="83">
        <v>44460.531585648147</v>
      </c>
      <c r="Q1983" s="81" t="s">
        <v>2413</v>
      </c>
      <c r="R1983" s="81"/>
      <c r="S1983" s="81"/>
      <c r="T1983" s="81"/>
      <c r="U1983" s="81"/>
      <c r="V1983" s="84" t="str">
        <f>HYPERLINK("https://pbs.twimg.com/profile_images/378800000705328795/304bfd91ee90011498fd092cc79a423e_normal.jpeg")</f>
        <v>https://pbs.twimg.com/profile_images/378800000705328795/304bfd91ee90011498fd092cc79a423e_normal.jpeg</v>
      </c>
      <c r="W1983" s="83">
        <v>44460.531585648147</v>
      </c>
      <c r="X1983" s="89">
        <v>44460</v>
      </c>
      <c r="Y1983" s="86" t="s">
        <v>4092</v>
      </c>
      <c r="Z1983" s="84" t="str">
        <f>HYPERLINK("https://twitter.com/pos_indonesia/status/1440296123323670531")</f>
        <v>https://twitter.com/pos_indonesia/status/1440296123323670531</v>
      </c>
      <c r="AA1983" s="81"/>
      <c r="AB1983" s="81"/>
      <c r="AC1983" s="86" t="s">
        <v>5666</v>
      </c>
      <c r="AD1983" s="81"/>
      <c r="AE1983" s="81" t="b">
        <v>0</v>
      </c>
      <c r="AF1983" s="81">
        <v>0</v>
      </c>
      <c r="AG1983" s="86" t="s">
        <v>6240</v>
      </c>
      <c r="AH1983" s="81" t="b">
        <v>0</v>
      </c>
      <c r="AI1983" s="81" t="s">
        <v>6479</v>
      </c>
      <c r="AJ1983" s="81"/>
      <c r="AK1983" s="86" t="s">
        <v>6240</v>
      </c>
      <c r="AL1983" s="81" t="b">
        <v>0</v>
      </c>
      <c r="AM1983" s="81">
        <v>0</v>
      </c>
      <c r="AN1983" s="86" t="s">
        <v>6240</v>
      </c>
      <c r="AO1983" s="86" t="s">
        <v>6506</v>
      </c>
      <c r="AP1983" s="81" t="b">
        <v>0</v>
      </c>
      <c r="AQ1983" s="86" t="s">
        <v>5666</v>
      </c>
      <c r="AR1983" s="81" t="s">
        <v>179</v>
      </c>
      <c r="AS1983" s="81">
        <v>0</v>
      </c>
      <c r="AT1983" s="81">
        <v>0</v>
      </c>
      <c r="AU1983" s="81"/>
      <c r="AV1983" s="81"/>
      <c r="AW1983" s="81"/>
      <c r="AX1983" s="81"/>
      <c r="AY1983" s="81"/>
      <c r="AZ1983" s="81"/>
      <c r="BA1983" s="81"/>
      <c r="BB1983" s="81"/>
    </row>
    <row r="1984" spans="1:54" x14ac:dyDescent="0.35">
      <c r="A1984" s="66" t="s">
        <v>1269</v>
      </c>
      <c r="B1984" s="66" t="s">
        <v>1269</v>
      </c>
      <c r="C1984" s="67"/>
      <c r="D1984" s="68"/>
      <c r="E1984" s="69"/>
      <c r="F1984" s="70"/>
      <c r="G1984" s="67"/>
      <c r="H1984" s="71"/>
      <c r="I1984" s="72"/>
      <c r="J1984" s="72"/>
      <c r="K1984" s="36"/>
      <c r="L1984" s="79"/>
      <c r="M1984" s="79"/>
      <c r="N1984" s="74"/>
      <c r="O1984" s="81" t="s">
        <v>179</v>
      </c>
      <c r="P1984" s="83">
        <v>44460.552465277775</v>
      </c>
      <c r="Q1984" s="81" t="s">
        <v>2414</v>
      </c>
      <c r="R1984" s="81"/>
      <c r="S1984" s="81"/>
      <c r="T1984" s="81"/>
      <c r="U1984" s="81"/>
      <c r="V1984" s="84" t="str">
        <f>HYPERLINK("https://pbs.twimg.com/profile_images/378800000705328795/304bfd91ee90011498fd092cc79a423e_normal.jpeg")</f>
        <v>https://pbs.twimg.com/profile_images/378800000705328795/304bfd91ee90011498fd092cc79a423e_normal.jpeg</v>
      </c>
      <c r="W1984" s="83">
        <v>44460.552465277775</v>
      </c>
      <c r="X1984" s="89">
        <v>44460</v>
      </c>
      <c r="Y1984" s="86" t="s">
        <v>4140</v>
      </c>
      <c r="Z1984" s="84" t="str">
        <f>HYPERLINK("https://twitter.com/pos_indonesia/status/1440303688707285003")</f>
        <v>https://twitter.com/pos_indonesia/status/1440303688707285003</v>
      </c>
      <c r="AA1984" s="81"/>
      <c r="AB1984" s="81"/>
      <c r="AC1984" s="86" t="s">
        <v>5667</v>
      </c>
      <c r="AD1984" s="81"/>
      <c r="AE1984" s="81" t="b">
        <v>0</v>
      </c>
      <c r="AF1984" s="81">
        <v>0</v>
      </c>
      <c r="AG1984" s="86" t="s">
        <v>6240</v>
      </c>
      <c r="AH1984" s="81" t="b">
        <v>0</v>
      </c>
      <c r="AI1984" s="81" t="s">
        <v>6479</v>
      </c>
      <c r="AJ1984" s="81"/>
      <c r="AK1984" s="86" t="s">
        <v>6240</v>
      </c>
      <c r="AL1984" s="81" t="b">
        <v>0</v>
      </c>
      <c r="AM1984" s="81">
        <v>0</v>
      </c>
      <c r="AN1984" s="86" t="s">
        <v>6240</v>
      </c>
      <c r="AO1984" s="86" t="s">
        <v>6506</v>
      </c>
      <c r="AP1984" s="81" t="b">
        <v>0</v>
      </c>
      <c r="AQ1984" s="86" t="s">
        <v>5667</v>
      </c>
      <c r="AR1984" s="81" t="s">
        <v>179</v>
      </c>
      <c r="AS1984" s="81">
        <v>0</v>
      </c>
      <c r="AT1984" s="81">
        <v>0</v>
      </c>
      <c r="AU1984" s="81"/>
      <c r="AV1984" s="81"/>
      <c r="AW1984" s="81"/>
      <c r="AX1984" s="81"/>
      <c r="AY1984" s="81"/>
      <c r="AZ1984" s="81"/>
      <c r="BA1984" s="81"/>
      <c r="BB1984" s="81"/>
    </row>
    <row r="1985" spans="1:54" x14ac:dyDescent="0.35">
      <c r="A1985" s="66" t="s">
        <v>1269</v>
      </c>
      <c r="B1985" s="66" t="s">
        <v>1269</v>
      </c>
      <c r="C1985" s="67"/>
      <c r="D1985" s="68"/>
      <c r="E1985" s="69"/>
      <c r="F1985" s="70"/>
      <c r="G1985" s="67"/>
      <c r="H1985" s="71"/>
      <c r="I1985" s="72"/>
      <c r="J1985" s="72"/>
      <c r="K1985" s="36"/>
      <c r="L1985" s="79"/>
      <c r="M1985" s="79"/>
      <c r="N1985" s="74"/>
      <c r="O1985" s="81" t="s">
        <v>179</v>
      </c>
      <c r="P1985" s="83">
        <v>44460.614930555559</v>
      </c>
      <c r="Q1985" s="81" t="s">
        <v>2415</v>
      </c>
      <c r="R1985" s="81"/>
      <c r="S1985" s="81"/>
      <c r="T1985" s="81"/>
      <c r="U1985" s="81"/>
      <c r="V1985" s="84" t="str">
        <f>HYPERLINK("https://pbs.twimg.com/profile_images/378800000705328795/304bfd91ee90011498fd092cc79a423e_normal.jpeg")</f>
        <v>https://pbs.twimg.com/profile_images/378800000705328795/304bfd91ee90011498fd092cc79a423e_normal.jpeg</v>
      </c>
      <c r="W1985" s="83">
        <v>44460.614930555559</v>
      </c>
      <c r="X1985" s="89">
        <v>44460</v>
      </c>
      <c r="Y1985" s="86" t="s">
        <v>4095</v>
      </c>
      <c r="Z1985" s="84" t="str">
        <f>HYPERLINK("https://twitter.com/pos_indonesia/status/1440326326427082754")</f>
        <v>https://twitter.com/pos_indonesia/status/1440326326427082754</v>
      </c>
      <c r="AA1985" s="81"/>
      <c r="AB1985" s="81"/>
      <c r="AC1985" s="86" t="s">
        <v>5668</v>
      </c>
      <c r="AD1985" s="81"/>
      <c r="AE1985" s="81" t="b">
        <v>0</v>
      </c>
      <c r="AF1985" s="81">
        <v>0</v>
      </c>
      <c r="AG1985" s="86" t="s">
        <v>6240</v>
      </c>
      <c r="AH1985" s="81" t="b">
        <v>0</v>
      </c>
      <c r="AI1985" s="81" t="s">
        <v>6479</v>
      </c>
      <c r="AJ1985" s="81"/>
      <c r="AK1985" s="86" t="s">
        <v>6240</v>
      </c>
      <c r="AL1985" s="81" t="b">
        <v>0</v>
      </c>
      <c r="AM1985" s="81">
        <v>0</v>
      </c>
      <c r="AN1985" s="86" t="s">
        <v>6240</v>
      </c>
      <c r="AO1985" s="86" t="s">
        <v>6506</v>
      </c>
      <c r="AP1985" s="81" t="b">
        <v>0</v>
      </c>
      <c r="AQ1985" s="86" t="s">
        <v>5668</v>
      </c>
      <c r="AR1985" s="81" t="s">
        <v>179</v>
      </c>
      <c r="AS1985" s="81">
        <v>0</v>
      </c>
      <c r="AT1985" s="81">
        <v>0</v>
      </c>
      <c r="AU1985" s="81"/>
      <c r="AV1985" s="81"/>
      <c r="AW1985" s="81"/>
      <c r="AX1985" s="81"/>
      <c r="AY1985" s="81"/>
      <c r="AZ1985" s="81"/>
      <c r="BA1985" s="81"/>
      <c r="BB1985" s="81"/>
    </row>
    <row r="1986" spans="1:54" x14ac:dyDescent="0.35">
      <c r="A1986" s="66" t="s">
        <v>1269</v>
      </c>
      <c r="B1986" s="66" t="s">
        <v>1269</v>
      </c>
      <c r="C1986" s="67"/>
      <c r="D1986" s="68"/>
      <c r="E1986" s="69"/>
      <c r="F1986" s="70"/>
      <c r="G1986" s="67"/>
      <c r="H1986" s="71"/>
      <c r="I1986" s="72"/>
      <c r="J1986" s="72"/>
      <c r="K1986" s="36"/>
      <c r="L1986" s="79"/>
      <c r="M1986" s="79"/>
      <c r="N1986" s="74"/>
      <c r="O1986" s="81" t="s">
        <v>179</v>
      </c>
      <c r="P1986" s="83">
        <v>44460.635763888888</v>
      </c>
      <c r="Q1986" s="81" t="s">
        <v>2416</v>
      </c>
      <c r="R1986" s="81"/>
      <c r="S1986" s="81"/>
      <c r="T1986" s="81"/>
      <c r="U1986" s="81"/>
      <c r="V1986" s="84" t="str">
        <f>HYPERLINK("https://pbs.twimg.com/profile_images/378800000705328795/304bfd91ee90011498fd092cc79a423e_normal.jpeg")</f>
        <v>https://pbs.twimg.com/profile_images/378800000705328795/304bfd91ee90011498fd092cc79a423e_normal.jpeg</v>
      </c>
      <c r="W1986" s="83">
        <v>44460.635763888888</v>
      </c>
      <c r="X1986" s="89">
        <v>44460</v>
      </c>
      <c r="Y1986" s="86" t="s">
        <v>4096</v>
      </c>
      <c r="Z1986" s="84" t="str">
        <f>HYPERLINK("https://twitter.com/pos_indonesia/status/1440333876149116937")</f>
        <v>https://twitter.com/pos_indonesia/status/1440333876149116937</v>
      </c>
      <c r="AA1986" s="81"/>
      <c r="AB1986" s="81"/>
      <c r="AC1986" s="86" t="s">
        <v>5669</v>
      </c>
      <c r="AD1986" s="81"/>
      <c r="AE1986" s="81" t="b">
        <v>0</v>
      </c>
      <c r="AF1986" s="81">
        <v>0</v>
      </c>
      <c r="AG1986" s="86" t="s">
        <v>6240</v>
      </c>
      <c r="AH1986" s="81" t="b">
        <v>0</v>
      </c>
      <c r="AI1986" s="81" t="s">
        <v>6479</v>
      </c>
      <c r="AJ1986" s="81"/>
      <c r="AK1986" s="86" t="s">
        <v>6240</v>
      </c>
      <c r="AL1986" s="81" t="b">
        <v>0</v>
      </c>
      <c r="AM1986" s="81">
        <v>0</v>
      </c>
      <c r="AN1986" s="86" t="s">
        <v>6240</v>
      </c>
      <c r="AO1986" s="86" t="s">
        <v>6506</v>
      </c>
      <c r="AP1986" s="81" t="b">
        <v>0</v>
      </c>
      <c r="AQ1986" s="86" t="s">
        <v>5669</v>
      </c>
      <c r="AR1986" s="81" t="s">
        <v>179</v>
      </c>
      <c r="AS1986" s="81">
        <v>0</v>
      </c>
      <c r="AT1986" s="81">
        <v>0</v>
      </c>
      <c r="AU1986" s="81"/>
      <c r="AV1986" s="81"/>
      <c r="AW1986" s="81"/>
      <c r="AX1986" s="81"/>
      <c r="AY1986" s="81"/>
      <c r="AZ1986" s="81"/>
      <c r="BA1986" s="81"/>
      <c r="BB1986" s="81"/>
    </row>
    <row r="1987" spans="1:54" x14ac:dyDescent="0.35">
      <c r="A1987" s="66" t="s">
        <v>1269</v>
      </c>
      <c r="B1987" s="66" t="s">
        <v>1269</v>
      </c>
      <c r="C1987" s="67"/>
      <c r="D1987" s="68"/>
      <c r="E1987" s="69"/>
      <c r="F1987" s="70"/>
      <c r="G1987" s="67"/>
      <c r="H1987" s="71"/>
      <c r="I1987" s="72"/>
      <c r="J1987" s="72"/>
      <c r="K1987" s="36"/>
      <c r="L1987" s="79"/>
      <c r="M1987" s="79"/>
      <c r="N1987" s="74"/>
      <c r="O1987" s="81" t="s">
        <v>179</v>
      </c>
      <c r="P1987" s="83">
        <v>44460.656585648147</v>
      </c>
      <c r="Q1987" s="81" t="s">
        <v>2417</v>
      </c>
      <c r="R1987" s="81"/>
      <c r="S1987" s="81"/>
      <c r="T1987" s="81"/>
      <c r="U1987" s="81"/>
      <c r="V1987" s="84" t="str">
        <f>HYPERLINK("https://pbs.twimg.com/profile_images/378800000705328795/304bfd91ee90011498fd092cc79a423e_normal.jpeg")</f>
        <v>https://pbs.twimg.com/profile_images/378800000705328795/304bfd91ee90011498fd092cc79a423e_normal.jpeg</v>
      </c>
      <c r="W1987" s="83">
        <v>44460.656585648147</v>
      </c>
      <c r="X1987" s="89">
        <v>44460</v>
      </c>
      <c r="Y1987" s="86" t="s">
        <v>4122</v>
      </c>
      <c r="Z1987" s="84" t="str">
        <f>HYPERLINK("https://twitter.com/pos_indonesia/status/1440341419554529289")</f>
        <v>https://twitter.com/pos_indonesia/status/1440341419554529289</v>
      </c>
      <c r="AA1987" s="81"/>
      <c r="AB1987" s="81"/>
      <c r="AC1987" s="86" t="s">
        <v>5670</v>
      </c>
      <c r="AD1987" s="81"/>
      <c r="AE1987" s="81" t="b">
        <v>0</v>
      </c>
      <c r="AF1987" s="81">
        <v>0</v>
      </c>
      <c r="AG1987" s="86" t="s">
        <v>6240</v>
      </c>
      <c r="AH1987" s="81" t="b">
        <v>0</v>
      </c>
      <c r="AI1987" s="81" t="s">
        <v>6479</v>
      </c>
      <c r="AJ1987" s="81"/>
      <c r="AK1987" s="86" t="s">
        <v>6240</v>
      </c>
      <c r="AL1987" s="81" t="b">
        <v>0</v>
      </c>
      <c r="AM1987" s="81">
        <v>0</v>
      </c>
      <c r="AN1987" s="86" t="s">
        <v>6240</v>
      </c>
      <c r="AO1987" s="86" t="s">
        <v>6506</v>
      </c>
      <c r="AP1987" s="81" t="b">
        <v>0</v>
      </c>
      <c r="AQ1987" s="86" t="s">
        <v>5670</v>
      </c>
      <c r="AR1987" s="81" t="s">
        <v>179</v>
      </c>
      <c r="AS1987" s="81">
        <v>0</v>
      </c>
      <c r="AT1987" s="81">
        <v>0</v>
      </c>
      <c r="AU1987" s="81"/>
      <c r="AV1987" s="81"/>
      <c r="AW1987" s="81"/>
      <c r="AX1987" s="81"/>
      <c r="AY1987" s="81"/>
      <c r="AZ1987" s="81"/>
      <c r="BA1987" s="81"/>
      <c r="BB1987" s="81"/>
    </row>
    <row r="1988" spans="1:54" x14ac:dyDescent="0.35">
      <c r="A1988" s="66" t="s">
        <v>1269</v>
      </c>
      <c r="B1988" s="66" t="s">
        <v>1269</v>
      </c>
      <c r="C1988" s="67"/>
      <c r="D1988" s="68"/>
      <c r="E1988" s="69"/>
      <c r="F1988" s="70"/>
      <c r="G1988" s="67"/>
      <c r="H1988" s="71"/>
      <c r="I1988" s="72"/>
      <c r="J1988" s="72"/>
      <c r="K1988" s="36"/>
      <c r="L1988" s="79"/>
      <c r="M1988" s="79"/>
      <c r="N1988" s="74"/>
      <c r="O1988" s="81" t="s">
        <v>179</v>
      </c>
      <c r="P1988" s="83">
        <v>44460.677442129629</v>
      </c>
      <c r="Q1988" s="81" t="s">
        <v>2311</v>
      </c>
      <c r="R1988" s="81"/>
      <c r="S1988" s="81"/>
      <c r="T1988" s="81"/>
      <c r="U1988" s="81"/>
      <c r="V1988" s="84" t="str">
        <f>HYPERLINK("https://pbs.twimg.com/profile_images/378800000705328795/304bfd91ee90011498fd092cc79a423e_normal.jpeg")</f>
        <v>https://pbs.twimg.com/profile_images/378800000705328795/304bfd91ee90011498fd092cc79a423e_normal.jpeg</v>
      </c>
      <c r="W1988" s="83">
        <v>44460.677442129629</v>
      </c>
      <c r="X1988" s="89">
        <v>44460</v>
      </c>
      <c r="Y1988" s="86" t="s">
        <v>4123</v>
      </c>
      <c r="Z1988" s="84" t="str">
        <f>HYPERLINK("https://twitter.com/pos_indonesia/status/1440348978403446796")</f>
        <v>https://twitter.com/pos_indonesia/status/1440348978403446796</v>
      </c>
      <c r="AA1988" s="81"/>
      <c r="AB1988" s="81"/>
      <c r="AC1988" s="86" t="s">
        <v>5671</v>
      </c>
      <c r="AD1988" s="81"/>
      <c r="AE1988" s="81" t="b">
        <v>0</v>
      </c>
      <c r="AF1988" s="81">
        <v>0</v>
      </c>
      <c r="AG1988" s="86" t="s">
        <v>6240</v>
      </c>
      <c r="AH1988" s="81" t="b">
        <v>0</v>
      </c>
      <c r="AI1988" s="81" t="s">
        <v>6479</v>
      </c>
      <c r="AJ1988" s="81"/>
      <c r="AK1988" s="86" t="s">
        <v>6240</v>
      </c>
      <c r="AL1988" s="81" t="b">
        <v>0</v>
      </c>
      <c r="AM1988" s="81">
        <v>0</v>
      </c>
      <c r="AN1988" s="86" t="s">
        <v>6240</v>
      </c>
      <c r="AO1988" s="86" t="s">
        <v>6506</v>
      </c>
      <c r="AP1988" s="81" t="b">
        <v>0</v>
      </c>
      <c r="AQ1988" s="86" t="s">
        <v>5671</v>
      </c>
      <c r="AR1988" s="81" t="s">
        <v>179</v>
      </c>
      <c r="AS1988" s="81">
        <v>0</v>
      </c>
      <c r="AT1988" s="81">
        <v>0</v>
      </c>
      <c r="AU1988" s="81"/>
      <c r="AV1988" s="81"/>
      <c r="AW1988" s="81"/>
      <c r="AX1988" s="81"/>
      <c r="AY1988" s="81"/>
      <c r="AZ1988" s="81"/>
      <c r="BA1988" s="81"/>
      <c r="BB1988" s="81"/>
    </row>
    <row r="1989" spans="1:54" x14ac:dyDescent="0.35">
      <c r="A1989" s="66" t="s">
        <v>1269</v>
      </c>
      <c r="B1989" s="66" t="s">
        <v>1269</v>
      </c>
      <c r="C1989" s="67"/>
      <c r="D1989" s="68"/>
      <c r="E1989" s="69"/>
      <c r="F1989" s="70"/>
      <c r="G1989" s="67"/>
      <c r="H1989" s="71"/>
      <c r="I1989" s="72"/>
      <c r="J1989" s="72"/>
      <c r="K1989" s="36"/>
      <c r="L1989" s="79"/>
      <c r="M1989" s="79"/>
      <c r="N1989" s="74"/>
      <c r="O1989" s="81" t="s">
        <v>179</v>
      </c>
      <c r="P1989" s="83">
        <v>44460.698252314818</v>
      </c>
      <c r="Q1989" s="81" t="s">
        <v>2399</v>
      </c>
      <c r="R1989" s="81"/>
      <c r="S1989" s="81"/>
      <c r="T1989" s="81"/>
      <c r="U1989" s="81"/>
      <c r="V1989" s="84" t="str">
        <f>HYPERLINK("https://pbs.twimg.com/profile_images/378800000705328795/304bfd91ee90011498fd092cc79a423e_normal.jpeg")</f>
        <v>https://pbs.twimg.com/profile_images/378800000705328795/304bfd91ee90011498fd092cc79a423e_normal.jpeg</v>
      </c>
      <c r="W1989" s="83">
        <v>44460.698252314818</v>
      </c>
      <c r="X1989" s="89">
        <v>44460</v>
      </c>
      <c r="Y1989" s="86" t="s">
        <v>4124</v>
      </c>
      <c r="Z1989" s="84" t="str">
        <f>HYPERLINK("https://twitter.com/pos_indonesia/status/1440356520881901575")</f>
        <v>https://twitter.com/pos_indonesia/status/1440356520881901575</v>
      </c>
      <c r="AA1989" s="81"/>
      <c r="AB1989" s="81"/>
      <c r="AC1989" s="86" t="s">
        <v>5672</v>
      </c>
      <c r="AD1989" s="81"/>
      <c r="AE1989" s="81" t="b">
        <v>0</v>
      </c>
      <c r="AF1989" s="81">
        <v>0</v>
      </c>
      <c r="AG1989" s="86" t="s">
        <v>6240</v>
      </c>
      <c r="AH1989" s="81" t="b">
        <v>0</v>
      </c>
      <c r="AI1989" s="81" t="s">
        <v>6479</v>
      </c>
      <c r="AJ1989" s="81"/>
      <c r="AK1989" s="86" t="s">
        <v>6240</v>
      </c>
      <c r="AL1989" s="81" t="b">
        <v>0</v>
      </c>
      <c r="AM1989" s="81">
        <v>0</v>
      </c>
      <c r="AN1989" s="86" t="s">
        <v>6240</v>
      </c>
      <c r="AO1989" s="86" t="s">
        <v>6506</v>
      </c>
      <c r="AP1989" s="81" t="b">
        <v>0</v>
      </c>
      <c r="AQ1989" s="86" t="s">
        <v>5672</v>
      </c>
      <c r="AR1989" s="81" t="s">
        <v>179</v>
      </c>
      <c r="AS1989" s="81">
        <v>0</v>
      </c>
      <c r="AT1989" s="81">
        <v>0</v>
      </c>
      <c r="AU1989" s="81"/>
      <c r="AV1989" s="81"/>
      <c r="AW1989" s="81"/>
      <c r="AX1989" s="81"/>
      <c r="AY1989" s="81"/>
      <c r="AZ1989" s="81"/>
      <c r="BA1989" s="81"/>
      <c r="BB1989" s="81"/>
    </row>
    <row r="1990" spans="1:54" x14ac:dyDescent="0.35">
      <c r="A1990" s="66" t="s">
        <v>1269</v>
      </c>
      <c r="B1990" s="66" t="s">
        <v>1269</v>
      </c>
      <c r="C1990" s="67"/>
      <c r="D1990" s="68"/>
      <c r="E1990" s="69"/>
      <c r="F1990" s="70"/>
      <c r="G1990" s="67"/>
      <c r="H1990" s="71"/>
      <c r="I1990" s="72"/>
      <c r="J1990" s="72"/>
      <c r="K1990" s="36"/>
      <c r="L1990" s="79"/>
      <c r="M1990" s="79"/>
      <c r="N1990" s="74"/>
      <c r="O1990" s="81" t="s">
        <v>179</v>
      </c>
      <c r="P1990" s="83">
        <v>44460.719108796293</v>
      </c>
      <c r="Q1990" s="81" t="s">
        <v>2418</v>
      </c>
      <c r="R1990" s="81"/>
      <c r="S1990" s="81"/>
      <c r="T1990" s="81"/>
      <c r="U1990" s="81"/>
      <c r="V1990" s="84" t="str">
        <f>HYPERLINK("https://pbs.twimg.com/profile_images/378800000705328795/304bfd91ee90011498fd092cc79a423e_normal.jpeg")</f>
        <v>https://pbs.twimg.com/profile_images/378800000705328795/304bfd91ee90011498fd092cc79a423e_normal.jpeg</v>
      </c>
      <c r="W1990" s="83">
        <v>44460.719108796293</v>
      </c>
      <c r="X1990" s="89">
        <v>44460</v>
      </c>
      <c r="Y1990" s="86" t="s">
        <v>4141</v>
      </c>
      <c r="Z1990" s="84" t="str">
        <f>HYPERLINK("https://twitter.com/pos_indonesia/status/1440364077281275907")</f>
        <v>https://twitter.com/pos_indonesia/status/1440364077281275907</v>
      </c>
      <c r="AA1990" s="81"/>
      <c r="AB1990" s="81"/>
      <c r="AC1990" s="86" t="s">
        <v>5673</v>
      </c>
      <c r="AD1990" s="81"/>
      <c r="AE1990" s="81" t="b">
        <v>0</v>
      </c>
      <c r="AF1990" s="81">
        <v>0</v>
      </c>
      <c r="AG1990" s="86" t="s">
        <v>6240</v>
      </c>
      <c r="AH1990" s="81" t="b">
        <v>0</v>
      </c>
      <c r="AI1990" s="81" t="s">
        <v>6479</v>
      </c>
      <c r="AJ1990" s="81"/>
      <c r="AK1990" s="86" t="s">
        <v>6240</v>
      </c>
      <c r="AL1990" s="81" t="b">
        <v>0</v>
      </c>
      <c r="AM1990" s="81">
        <v>0</v>
      </c>
      <c r="AN1990" s="86" t="s">
        <v>6240</v>
      </c>
      <c r="AO1990" s="86" t="s">
        <v>6506</v>
      </c>
      <c r="AP1990" s="81" t="b">
        <v>0</v>
      </c>
      <c r="AQ1990" s="86" t="s">
        <v>5673</v>
      </c>
      <c r="AR1990" s="81" t="s">
        <v>179</v>
      </c>
      <c r="AS1990" s="81">
        <v>0</v>
      </c>
      <c r="AT1990" s="81">
        <v>0</v>
      </c>
      <c r="AU1990" s="81"/>
      <c r="AV1990" s="81"/>
      <c r="AW1990" s="81"/>
      <c r="AX1990" s="81"/>
      <c r="AY1990" s="81"/>
      <c r="AZ1990" s="81"/>
      <c r="BA1990" s="81"/>
      <c r="BB1990" s="81"/>
    </row>
    <row r="1991" spans="1:54" x14ac:dyDescent="0.35">
      <c r="A1991" s="66" t="s">
        <v>1269</v>
      </c>
      <c r="B1991" s="66" t="s">
        <v>1269</v>
      </c>
      <c r="C1991" s="67"/>
      <c r="D1991" s="68"/>
      <c r="E1991" s="69"/>
      <c r="F1991" s="70"/>
      <c r="G1991" s="67"/>
      <c r="H1991" s="71"/>
      <c r="I1991" s="72"/>
      <c r="J1991" s="72"/>
      <c r="K1991" s="36"/>
      <c r="L1991" s="79"/>
      <c r="M1991" s="79"/>
      <c r="N1991" s="74"/>
      <c r="O1991" s="81" t="s">
        <v>179</v>
      </c>
      <c r="P1991" s="83">
        <v>44460.739918981482</v>
      </c>
      <c r="Q1991" s="81" t="s">
        <v>2419</v>
      </c>
      <c r="R1991" s="81"/>
      <c r="S1991" s="81"/>
      <c r="T1991" s="81"/>
      <c r="U1991" s="81"/>
      <c r="V1991" s="84" t="str">
        <f>HYPERLINK("https://pbs.twimg.com/profile_images/378800000705328795/304bfd91ee90011498fd092cc79a423e_normal.jpeg")</f>
        <v>https://pbs.twimg.com/profile_images/378800000705328795/304bfd91ee90011498fd092cc79a423e_normal.jpeg</v>
      </c>
      <c r="W1991" s="83">
        <v>44460.739918981482</v>
      </c>
      <c r="X1991" s="89">
        <v>44460</v>
      </c>
      <c r="Y1991" s="86" t="s">
        <v>4126</v>
      </c>
      <c r="Z1991" s="84" t="str">
        <f>HYPERLINK("https://twitter.com/pos_indonesia/status/1440371619457748993")</f>
        <v>https://twitter.com/pos_indonesia/status/1440371619457748993</v>
      </c>
      <c r="AA1991" s="81"/>
      <c r="AB1991" s="81"/>
      <c r="AC1991" s="86" t="s">
        <v>5674</v>
      </c>
      <c r="AD1991" s="81"/>
      <c r="AE1991" s="81" t="b">
        <v>0</v>
      </c>
      <c r="AF1991" s="81">
        <v>0</v>
      </c>
      <c r="AG1991" s="86" t="s">
        <v>6240</v>
      </c>
      <c r="AH1991" s="81" t="b">
        <v>0</v>
      </c>
      <c r="AI1991" s="81" t="s">
        <v>6479</v>
      </c>
      <c r="AJ1991" s="81"/>
      <c r="AK1991" s="86" t="s">
        <v>6240</v>
      </c>
      <c r="AL1991" s="81" t="b">
        <v>0</v>
      </c>
      <c r="AM1991" s="81">
        <v>0</v>
      </c>
      <c r="AN1991" s="86" t="s">
        <v>6240</v>
      </c>
      <c r="AO1991" s="86" t="s">
        <v>6506</v>
      </c>
      <c r="AP1991" s="81" t="b">
        <v>0</v>
      </c>
      <c r="AQ1991" s="86" t="s">
        <v>5674</v>
      </c>
      <c r="AR1991" s="81" t="s">
        <v>179</v>
      </c>
      <c r="AS1991" s="81">
        <v>0</v>
      </c>
      <c r="AT1991" s="81">
        <v>0</v>
      </c>
      <c r="AU1991" s="81"/>
      <c r="AV1991" s="81"/>
      <c r="AW1991" s="81"/>
      <c r="AX1991" s="81"/>
      <c r="AY1991" s="81"/>
      <c r="AZ1991" s="81"/>
      <c r="BA1991" s="81"/>
      <c r="BB1991" s="81"/>
    </row>
    <row r="1992" spans="1:54" x14ac:dyDescent="0.35">
      <c r="A1992" s="66" t="s">
        <v>1269</v>
      </c>
      <c r="B1992" s="66" t="s">
        <v>1269</v>
      </c>
      <c r="C1992" s="67"/>
      <c r="D1992" s="68"/>
      <c r="E1992" s="69"/>
      <c r="F1992" s="70"/>
      <c r="G1992" s="67"/>
      <c r="H1992" s="71"/>
      <c r="I1992" s="72"/>
      <c r="J1992" s="72"/>
      <c r="K1992" s="36"/>
      <c r="L1992" s="79"/>
      <c r="M1992" s="79"/>
      <c r="N1992" s="74"/>
      <c r="O1992" s="81" t="s">
        <v>179</v>
      </c>
      <c r="P1992" s="83">
        <v>44460.760775462964</v>
      </c>
      <c r="Q1992" s="81" t="s">
        <v>2420</v>
      </c>
      <c r="R1992" s="81"/>
      <c r="S1992" s="81"/>
      <c r="T1992" s="81"/>
      <c r="U1992" s="81"/>
      <c r="V1992" s="84" t="str">
        <f>HYPERLINK("https://pbs.twimg.com/profile_images/378800000705328795/304bfd91ee90011498fd092cc79a423e_normal.jpeg")</f>
        <v>https://pbs.twimg.com/profile_images/378800000705328795/304bfd91ee90011498fd092cc79a423e_normal.jpeg</v>
      </c>
      <c r="W1992" s="83">
        <v>44460.760775462964</v>
      </c>
      <c r="X1992" s="89">
        <v>44460</v>
      </c>
      <c r="Y1992" s="86" t="s">
        <v>4056</v>
      </c>
      <c r="Z1992" s="84" t="str">
        <f>HYPERLINK("https://twitter.com/pos_indonesia/status/1440379178121981960")</f>
        <v>https://twitter.com/pos_indonesia/status/1440379178121981960</v>
      </c>
      <c r="AA1992" s="81"/>
      <c r="AB1992" s="81"/>
      <c r="AC1992" s="86" t="s">
        <v>5675</v>
      </c>
      <c r="AD1992" s="81"/>
      <c r="AE1992" s="81" t="b">
        <v>0</v>
      </c>
      <c r="AF1992" s="81">
        <v>0</v>
      </c>
      <c r="AG1992" s="86" t="s">
        <v>6240</v>
      </c>
      <c r="AH1992" s="81" t="b">
        <v>0</v>
      </c>
      <c r="AI1992" s="81" t="s">
        <v>6479</v>
      </c>
      <c r="AJ1992" s="81"/>
      <c r="AK1992" s="86" t="s">
        <v>6240</v>
      </c>
      <c r="AL1992" s="81" t="b">
        <v>0</v>
      </c>
      <c r="AM1992" s="81">
        <v>0</v>
      </c>
      <c r="AN1992" s="86" t="s">
        <v>6240</v>
      </c>
      <c r="AO1992" s="86" t="s">
        <v>6506</v>
      </c>
      <c r="AP1992" s="81" t="b">
        <v>0</v>
      </c>
      <c r="AQ1992" s="86" t="s">
        <v>5675</v>
      </c>
      <c r="AR1992" s="81" t="s">
        <v>179</v>
      </c>
      <c r="AS1992" s="81">
        <v>0</v>
      </c>
      <c r="AT1992" s="81">
        <v>0</v>
      </c>
      <c r="AU1992" s="81"/>
      <c r="AV1992" s="81"/>
      <c r="AW1992" s="81"/>
      <c r="AX1992" s="81"/>
      <c r="AY1992" s="81"/>
      <c r="AZ1992" s="81"/>
      <c r="BA1992" s="81"/>
      <c r="BB1992" s="81"/>
    </row>
    <row r="1993" spans="1:54" x14ac:dyDescent="0.35">
      <c r="A1993" s="66" t="s">
        <v>1269</v>
      </c>
      <c r="B1993" s="66" t="s">
        <v>1269</v>
      </c>
      <c r="C1993" s="67"/>
      <c r="D1993" s="68"/>
      <c r="E1993" s="69"/>
      <c r="F1993" s="70"/>
      <c r="G1993" s="67"/>
      <c r="H1993" s="71"/>
      <c r="I1993" s="72"/>
      <c r="J1993" s="72"/>
      <c r="K1993" s="36"/>
      <c r="L1993" s="79"/>
      <c r="M1993" s="79"/>
      <c r="N1993" s="74"/>
      <c r="O1993" s="81" t="s">
        <v>179</v>
      </c>
      <c r="P1993" s="83">
        <v>44460.781585648147</v>
      </c>
      <c r="Q1993" s="81" t="s">
        <v>2421</v>
      </c>
      <c r="R1993" s="81"/>
      <c r="S1993" s="81"/>
      <c r="T1993" s="81"/>
      <c r="U1993" s="81"/>
      <c r="V1993" s="84" t="str">
        <f>HYPERLINK("https://pbs.twimg.com/profile_images/378800000705328795/304bfd91ee90011498fd092cc79a423e_normal.jpeg")</f>
        <v>https://pbs.twimg.com/profile_images/378800000705328795/304bfd91ee90011498fd092cc79a423e_normal.jpeg</v>
      </c>
      <c r="W1993" s="83">
        <v>44460.781585648147</v>
      </c>
      <c r="X1993" s="89">
        <v>44460</v>
      </c>
      <c r="Y1993" s="86" t="s">
        <v>4102</v>
      </c>
      <c r="Z1993" s="84" t="str">
        <f>HYPERLINK("https://twitter.com/pos_indonesia/status/1440386716754268160")</f>
        <v>https://twitter.com/pos_indonesia/status/1440386716754268160</v>
      </c>
      <c r="AA1993" s="81"/>
      <c r="AB1993" s="81"/>
      <c r="AC1993" s="86" t="s">
        <v>5676</v>
      </c>
      <c r="AD1993" s="81"/>
      <c r="AE1993" s="81" t="b">
        <v>0</v>
      </c>
      <c r="AF1993" s="81">
        <v>0</v>
      </c>
      <c r="AG1993" s="86" t="s">
        <v>6240</v>
      </c>
      <c r="AH1993" s="81" t="b">
        <v>0</v>
      </c>
      <c r="AI1993" s="81" t="s">
        <v>6479</v>
      </c>
      <c r="AJ1993" s="81"/>
      <c r="AK1993" s="86" t="s">
        <v>6240</v>
      </c>
      <c r="AL1993" s="81" t="b">
        <v>0</v>
      </c>
      <c r="AM1993" s="81">
        <v>0</v>
      </c>
      <c r="AN1993" s="86" t="s">
        <v>6240</v>
      </c>
      <c r="AO1993" s="86" t="s">
        <v>6506</v>
      </c>
      <c r="AP1993" s="81" t="b">
        <v>0</v>
      </c>
      <c r="AQ1993" s="86" t="s">
        <v>5676</v>
      </c>
      <c r="AR1993" s="81" t="s">
        <v>179</v>
      </c>
      <c r="AS1993" s="81">
        <v>0</v>
      </c>
      <c r="AT1993" s="81">
        <v>0</v>
      </c>
      <c r="AU1993" s="81"/>
      <c r="AV1993" s="81"/>
      <c r="AW1993" s="81"/>
      <c r="AX1993" s="81"/>
      <c r="AY1993" s="81"/>
      <c r="AZ1993" s="81"/>
      <c r="BA1993" s="81"/>
      <c r="BB1993" s="81"/>
    </row>
    <row r="1994" spans="1:54" x14ac:dyDescent="0.35">
      <c r="A1994" s="66" t="s">
        <v>1269</v>
      </c>
      <c r="B1994" s="66" t="s">
        <v>1269</v>
      </c>
      <c r="C1994" s="67"/>
      <c r="D1994" s="68"/>
      <c r="E1994" s="69"/>
      <c r="F1994" s="70"/>
      <c r="G1994" s="67"/>
      <c r="H1994" s="71"/>
      <c r="I1994" s="72"/>
      <c r="J1994" s="72"/>
      <c r="K1994" s="36"/>
      <c r="L1994" s="79"/>
      <c r="M1994" s="79"/>
      <c r="N1994" s="74"/>
      <c r="O1994" s="81" t="s">
        <v>179</v>
      </c>
      <c r="P1994" s="83">
        <v>44460.802430555559</v>
      </c>
      <c r="Q1994" s="81" t="s">
        <v>2422</v>
      </c>
      <c r="R1994" s="81"/>
      <c r="S1994" s="81"/>
      <c r="T1994" s="81"/>
      <c r="U1994" s="81"/>
      <c r="V1994" s="84" t="str">
        <f>HYPERLINK("https://pbs.twimg.com/profile_images/378800000705328795/304bfd91ee90011498fd092cc79a423e_normal.jpeg")</f>
        <v>https://pbs.twimg.com/profile_images/378800000705328795/304bfd91ee90011498fd092cc79a423e_normal.jpeg</v>
      </c>
      <c r="W1994" s="83">
        <v>44460.802430555559</v>
      </c>
      <c r="X1994" s="89">
        <v>44460</v>
      </c>
      <c r="Y1994" s="86" t="s">
        <v>4058</v>
      </c>
      <c r="Z1994" s="84" t="str">
        <f>HYPERLINK("https://twitter.com/pos_indonesia/status/1440394271652077581")</f>
        <v>https://twitter.com/pos_indonesia/status/1440394271652077581</v>
      </c>
      <c r="AA1994" s="81"/>
      <c r="AB1994" s="81"/>
      <c r="AC1994" s="86" t="s">
        <v>5677</v>
      </c>
      <c r="AD1994" s="81"/>
      <c r="AE1994" s="81" t="b">
        <v>0</v>
      </c>
      <c r="AF1994" s="81">
        <v>0</v>
      </c>
      <c r="AG1994" s="86" t="s">
        <v>6240</v>
      </c>
      <c r="AH1994" s="81" t="b">
        <v>0</v>
      </c>
      <c r="AI1994" s="81" t="s">
        <v>6479</v>
      </c>
      <c r="AJ1994" s="81"/>
      <c r="AK1994" s="86" t="s">
        <v>6240</v>
      </c>
      <c r="AL1994" s="81" t="b">
        <v>0</v>
      </c>
      <c r="AM1994" s="81">
        <v>0</v>
      </c>
      <c r="AN1994" s="86" t="s">
        <v>6240</v>
      </c>
      <c r="AO1994" s="86" t="s">
        <v>6506</v>
      </c>
      <c r="AP1994" s="81" t="b">
        <v>0</v>
      </c>
      <c r="AQ1994" s="86" t="s">
        <v>5677</v>
      </c>
      <c r="AR1994" s="81" t="s">
        <v>179</v>
      </c>
      <c r="AS1994" s="81">
        <v>0</v>
      </c>
      <c r="AT1994" s="81">
        <v>0</v>
      </c>
      <c r="AU1994" s="81"/>
      <c r="AV1994" s="81"/>
      <c r="AW1994" s="81"/>
      <c r="AX1994" s="81"/>
      <c r="AY1994" s="81"/>
      <c r="AZ1994" s="81"/>
      <c r="BA1994" s="81"/>
      <c r="BB1994" s="81"/>
    </row>
    <row r="1995" spans="1:54" x14ac:dyDescent="0.35">
      <c r="A1995" s="66" t="s">
        <v>1269</v>
      </c>
      <c r="B1995" s="66" t="s">
        <v>1269</v>
      </c>
      <c r="C1995" s="67"/>
      <c r="D1995" s="68"/>
      <c r="E1995" s="69"/>
      <c r="F1995" s="70"/>
      <c r="G1995" s="67"/>
      <c r="H1995" s="71"/>
      <c r="I1995" s="72"/>
      <c r="J1995" s="72"/>
      <c r="K1995" s="36"/>
      <c r="L1995" s="79"/>
      <c r="M1995" s="79"/>
      <c r="N1995" s="74"/>
      <c r="O1995" s="81" t="s">
        <v>179</v>
      </c>
      <c r="P1995" s="83">
        <v>44460.823240740741</v>
      </c>
      <c r="Q1995" s="81" t="s">
        <v>2373</v>
      </c>
      <c r="R1995" s="81"/>
      <c r="S1995" s="81"/>
      <c r="T1995" s="81"/>
      <c r="U1995" s="81"/>
      <c r="V1995" s="84" t="str">
        <f>HYPERLINK("https://pbs.twimg.com/profile_images/378800000705328795/304bfd91ee90011498fd092cc79a423e_normal.jpeg")</f>
        <v>https://pbs.twimg.com/profile_images/378800000705328795/304bfd91ee90011498fd092cc79a423e_normal.jpeg</v>
      </c>
      <c r="W1995" s="83">
        <v>44460.823240740741</v>
      </c>
      <c r="X1995" s="89">
        <v>44460</v>
      </c>
      <c r="Y1995" s="86" t="s">
        <v>4103</v>
      </c>
      <c r="Z1995" s="84" t="str">
        <f>HYPERLINK("https://twitter.com/pos_indonesia/status/1440401814776545306")</f>
        <v>https://twitter.com/pos_indonesia/status/1440401814776545306</v>
      </c>
      <c r="AA1995" s="81"/>
      <c r="AB1995" s="81"/>
      <c r="AC1995" s="86" t="s">
        <v>5678</v>
      </c>
      <c r="AD1995" s="81"/>
      <c r="AE1995" s="81" t="b">
        <v>0</v>
      </c>
      <c r="AF1995" s="81">
        <v>0</v>
      </c>
      <c r="AG1995" s="86" t="s">
        <v>6240</v>
      </c>
      <c r="AH1995" s="81" t="b">
        <v>0</v>
      </c>
      <c r="AI1995" s="81" t="s">
        <v>6479</v>
      </c>
      <c r="AJ1995" s="81"/>
      <c r="AK1995" s="86" t="s">
        <v>6240</v>
      </c>
      <c r="AL1995" s="81" t="b">
        <v>0</v>
      </c>
      <c r="AM1995" s="81">
        <v>0</v>
      </c>
      <c r="AN1995" s="86" t="s">
        <v>6240</v>
      </c>
      <c r="AO1995" s="86" t="s">
        <v>6506</v>
      </c>
      <c r="AP1995" s="81" t="b">
        <v>0</v>
      </c>
      <c r="AQ1995" s="86" t="s">
        <v>5678</v>
      </c>
      <c r="AR1995" s="81" t="s">
        <v>179</v>
      </c>
      <c r="AS1995" s="81">
        <v>0</v>
      </c>
      <c r="AT1995" s="81">
        <v>0</v>
      </c>
      <c r="AU1995" s="81"/>
      <c r="AV1995" s="81"/>
      <c r="AW1995" s="81"/>
      <c r="AX1995" s="81"/>
      <c r="AY1995" s="81"/>
      <c r="AZ1995" s="81"/>
      <c r="BA1995" s="81"/>
      <c r="BB1995" s="81"/>
    </row>
    <row r="1996" spans="1:54" x14ac:dyDescent="0.35">
      <c r="A1996" s="66" t="s">
        <v>1269</v>
      </c>
      <c r="B1996" s="66" t="s">
        <v>1269</v>
      </c>
      <c r="C1996" s="67"/>
      <c r="D1996" s="68"/>
      <c r="E1996" s="69"/>
      <c r="F1996" s="70"/>
      <c r="G1996" s="67"/>
      <c r="H1996" s="71"/>
      <c r="I1996" s="72"/>
      <c r="J1996" s="72"/>
      <c r="K1996" s="36"/>
      <c r="L1996" s="79"/>
      <c r="M1996" s="79"/>
      <c r="N1996" s="74"/>
      <c r="O1996" s="81" t="s">
        <v>179</v>
      </c>
      <c r="P1996" s="83">
        <v>44460.84412037037</v>
      </c>
      <c r="Q1996" s="81" t="s">
        <v>2423</v>
      </c>
      <c r="R1996" s="81"/>
      <c r="S1996" s="81"/>
      <c r="T1996" s="81"/>
      <c r="U1996" s="81"/>
      <c r="V1996" s="84" t="str">
        <f>HYPERLINK("https://pbs.twimg.com/profile_images/378800000705328795/304bfd91ee90011498fd092cc79a423e_normal.jpeg")</f>
        <v>https://pbs.twimg.com/profile_images/378800000705328795/304bfd91ee90011498fd092cc79a423e_normal.jpeg</v>
      </c>
      <c r="W1996" s="83">
        <v>44460.84412037037</v>
      </c>
      <c r="X1996" s="89">
        <v>44460</v>
      </c>
      <c r="Y1996" s="86" t="s">
        <v>4060</v>
      </c>
      <c r="Z1996" s="84" t="str">
        <f>HYPERLINK("https://twitter.com/pos_indonesia/status/1440409380734705665")</f>
        <v>https://twitter.com/pos_indonesia/status/1440409380734705665</v>
      </c>
      <c r="AA1996" s="81"/>
      <c r="AB1996" s="81"/>
      <c r="AC1996" s="86" t="s">
        <v>5679</v>
      </c>
      <c r="AD1996" s="81"/>
      <c r="AE1996" s="81" t="b">
        <v>0</v>
      </c>
      <c r="AF1996" s="81">
        <v>0</v>
      </c>
      <c r="AG1996" s="86" t="s">
        <v>6240</v>
      </c>
      <c r="AH1996" s="81" t="b">
        <v>0</v>
      </c>
      <c r="AI1996" s="81" t="s">
        <v>6479</v>
      </c>
      <c r="AJ1996" s="81"/>
      <c r="AK1996" s="86" t="s">
        <v>6240</v>
      </c>
      <c r="AL1996" s="81" t="b">
        <v>0</v>
      </c>
      <c r="AM1996" s="81">
        <v>0</v>
      </c>
      <c r="AN1996" s="86" t="s">
        <v>6240</v>
      </c>
      <c r="AO1996" s="86" t="s">
        <v>6506</v>
      </c>
      <c r="AP1996" s="81" t="b">
        <v>0</v>
      </c>
      <c r="AQ1996" s="86" t="s">
        <v>5679</v>
      </c>
      <c r="AR1996" s="81" t="s">
        <v>179</v>
      </c>
      <c r="AS1996" s="81">
        <v>0</v>
      </c>
      <c r="AT1996" s="81">
        <v>0</v>
      </c>
      <c r="AU1996" s="81"/>
      <c r="AV1996" s="81"/>
      <c r="AW1996" s="81"/>
      <c r="AX1996" s="81"/>
      <c r="AY1996" s="81"/>
      <c r="AZ1996" s="81"/>
      <c r="BA1996" s="81"/>
      <c r="BB1996" s="81"/>
    </row>
    <row r="1997" spans="1:54" x14ac:dyDescent="0.35">
      <c r="A1997" s="66" t="s">
        <v>1269</v>
      </c>
      <c r="B1997" s="66" t="s">
        <v>1269</v>
      </c>
      <c r="C1997" s="67"/>
      <c r="D1997" s="68"/>
      <c r="E1997" s="69"/>
      <c r="F1997" s="70"/>
      <c r="G1997" s="67"/>
      <c r="H1997" s="71"/>
      <c r="I1997" s="72"/>
      <c r="J1997" s="72"/>
      <c r="K1997" s="36"/>
      <c r="L1997" s="79"/>
      <c r="M1997" s="79"/>
      <c r="N1997" s="74"/>
      <c r="O1997" s="81" t="s">
        <v>179</v>
      </c>
      <c r="P1997" s="83">
        <v>44460.864942129629</v>
      </c>
      <c r="Q1997" s="81" t="s">
        <v>2330</v>
      </c>
      <c r="R1997" s="81"/>
      <c r="S1997" s="81"/>
      <c r="T1997" s="81"/>
      <c r="U1997" s="81"/>
      <c r="V1997" s="84" t="str">
        <f>HYPERLINK("https://pbs.twimg.com/profile_images/378800000705328795/304bfd91ee90011498fd092cc79a423e_normal.jpeg")</f>
        <v>https://pbs.twimg.com/profile_images/378800000705328795/304bfd91ee90011498fd092cc79a423e_normal.jpeg</v>
      </c>
      <c r="W1997" s="83">
        <v>44460.864942129629</v>
      </c>
      <c r="X1997" s="89">
        <v>44460</v>
      </c>
      <c r="Y1997" s="86" t="s">
        <v>4142</v>
      </c>
      <c r="Z1997" s="84" t="str">
        <f>HYPERLINK("https://twitter.com/pos_indonesia/status/1440416924479856657")</f>
        <v>https://twitter.com/pos_indonesia/status/1440416924479856657</v>
      </c>
      <c r="AA1997" s="81"/>
      <c r="AB1997" s="81"/>
      <c r="AC1997" s="86" t="s">
        <v>5680</v>
      </c>
      <c r="AD1997" s="81"/>
      <c r="AE1997" s="81" t="b">
        <v>0</v>
      </c>
      <c r="AF1997" s="81">
        <v>0</v>
      </c>
      <c r="AG1997" s="86" t="s">
        <v>6240</v>
      </c>
      <c r="AH1997" s="81" t="b">
        <v>0</v>
      </c>
      <c r="AI1997" s="81" t="s">
        <v>6479</v>
      </c>
      <c r="AJ1997" s="81"/>
      <c r="AK1997" s="86" t="s">
        <v>6240</v>
      </c>
      <c r="AL1997" s="81" t="b">
        <v>0</v>
      </c>
      <c r="AM1997" s="81">
        <v>0</v>
      </c>
      <c r="AN1997" s="86" t="s">
        <v>6240</v>
      </c>
      <c r="AO1997" s="86" t="s">
        <v>6506</v>
      </c>
      <c r="AP1997" s="81" t="b">
        <v>0</v>
      </c>
      <c r="AQ1997" s="86" t="s">
        <v>5680</v>
      </c>
      <c r="AR1997" s="81" t="s">
        <v>179</v>
      </c>
      <c r="AS1997" s="81">
        <v>0</v>
      </c>
      <c r="AT1997" s="81">
        <v>0</v>
      </c>
      <c r="AU1997" s="81"/>
      <c r="AV1997" s="81"/>
      <c r="AW1997" s="81"/>
      <c r="AX1997" s="81"/>
      <c r="AY1997" s="81"/>
      <c r="AZ1997" s="81"/>
      <c r="BA1997" s="81"/>
      <c r="BB1997" s="81"/>
    </row>
    <row r="1998" spans="1:54" x14ac:dyDescent="0.35">
      <c r="A1998" s="66" t="s">
        <v>1269</v>
      </c>
      <c r="B1998" s="66" t="s">
        <v>1269</v>
      </c>
      <c r="C1998" s="67"/>
      <c r="D1998" s="68"/>
      <c r="E1998" s="69"/>
      <c r="F1998" s="70"/>
      <c r="G1998" s="67"/>
      <c r="H1998" s="71"/>
      <c r="I1998" s="72"/>
      <c r="J1998" s="72"/>
      <c r="K1998" s="36"/>
      <c r="L1998" s="79"/>
      <c r="M1998" s="79"/>
      <c r="N1998" s="74"/>
      <c r="O1998" s="81" t="s">
        <v>179</v>
      </c>
      <c r="P1998" s="83">
        <v>44460.885752314818</v>
      </c>
      <c r="Q1998" s="81" t="s">
        <v>2424</v>
      </c>
      <c r="R1998" s="81"/>
      <c r="S1998" s="81"/>
      <c r="T1998" s="81"/>
      <c r="U1998" s="81"/>
      <c r="V1998" s="84" t="str">
        <f>HYPERLINK("https://pbs.twimg.com/profile_images/378800000705328795/304bfd91ee90011498fd092cc79a423e_normal.jpeg")</f>
        <v>https://pbs.twimg.com/profile_images/378800000705328795/304bfd91ee90011498fd092cc79a423e_normal.jpeg</v>
      </c>
      <c r="W1998" s="83">
        <v>44460.885752314818</v>
      </c>
      <c r="X1998" s="89">
        <v>44460</v>
      </c>
      <c r="Y1998" s="86" t="s">
        <v>4062</v>
      </c>
      <c r="Z1998" s="84" t="str">
        <f>HYPERLINK("https://twitter.com/pos_indonesia/status/1440424467948130310")</f>
        <v>https://twitter.com/pos_indonesia/status/1440424467948130310</v>
      </c>
      <c r="AA1998" s="81"/>
      <c r="AB1998" s="81"/>
      <c r="AC1998" s="86" t="s">
        <v>5681</v>
      </c>
      <c r="AD1998" s="81"/>
      <c r="AE1998" s="81" t="b">
        <v>0</v>
      </c>
      <c r="AF1998" s="81">
        <v>0</v>
      </c>
      <c r="AG1998" s="86" t="s">
        <v>6240</v>
      </c>
      <c r="AH1998" s="81" t="b">
        <v>0</v>
      </c>
      <c r="AI1998" s="81" t="s">
        <v>6479</v>
      </c>
      <c r="AJ1998" s="81"/>
      <c r="AK1998" s="86" t="s">
        <v>6240</v>
      </c>
      <c r="AL1998" s="81" t="b">
        <v>0</v>
      </c>
      <c r="AM1998" s="81">
        <v>0</v>
      </c>
      <c r="AN1998" s="86" t="s">
        <v>6240</v>
      </c>
      <c r="AO1998" s="86" t="s">
        <v>6506</v>
      </c>
      <c r="AP1998" s="81" t="b">
        <v>0</v>
      </c>
      <c r="AQ1998" s="86" t="s">
        <v>5681</v>
      </c>
      <c r="AR1998" s="81" t="s">
        <v>179</v>
      </c>
      <c r="AS1998" s="81">
        <v>0</v>
      </c>
      <c r="AT1998" s="81">
        <v>0</v>
      </c>
      <c r="AU1998" s="81"/>
      <c r="AV1998" s="81"/>
      <c r="AW1998" s="81"/>
      <c r="AX1998" s="81"/>
      <c r="AY1998" s="81"/>
      <c r="AZ1998" s="81"/>
      <c r="BA1998" s="81"/>
      <c r="BB1998" s="81"/>
    </row>
    <row r="1999" spans="1:54" x14ac:dyDescent="0.35">
      <c r="A1999" s="66" t="s">
        <v>1269</v>
      </c>
      <c r="B1999" s="66" t="s">
        <v>1269</v>
      </c>
      <c r="C1999" s="67"/>
      <c r="D1999" s="68"/>
      <c r="E1999" s="69"/>
      <c r="F1999" s="70"/>
      <c r="G1999" s="67"/>
      <c r="H1999" s="71"/>
      <c r="I1999" s="72"/>
      <c r="J1999" s="72"/>
      <c r="K1999" s="36"/>
      <c r="L1999" s="79"/>
      <c r="M1999" s="79"/>
      <c r="N1999" s="74"/>
      <c r="O1999" s="81" t="s">
        <v>179</v>
      </c>
      <c r="P1999" s="83">
        <v>44460.906585648147</v>
      </c>
      <c r="Q1999" s="81" t="s">
        <v>2425</v>
      </c>
      <c r="R1999" s="81"/>
      <c r="S1999" s="81"/>
      <c r="T1999" s="81"/>
      <c r="U1999" s="81"/>
      <c r="V1999" s="84" t="str">
        <f>HYPERLINK("https://pbs.twimg.com/profile_images/378800000705328795/304bfd91ee90011498fd092cc79a423e_normal.jpeg")</f>
        <v>https://pbs.twimg.com/profile_images/378800000705328795/304bfd91ee90011498fd092cc79a423e_normal.jpeg</v>
      </c>
      <c r="W1999" s="83">
        <v>44460.906585648147</v>
      </c>
      <c r="X1999" s="89">
        <v>44460</v>
      </c>
      <c r="Y1999" s="86" t="s">
        <v>4063</v>
      </c>
      <c r="Z1999" s="84" t="str">
        <f>HYPERLINK("https://twitter.com/pos_indonesia/status/1440432016688746497")</f>
        <v>https://twitter.com/pos_indonesia/status/1440432016688746497</v>
      </c>
      <c r="AA1999" s="81"/>
      <c r="AB1999" s="81"/>
      <c r="AC1999" s="86" t="s">
        <v>5682</v>
      </c>
      <c r="AD1999" s="81"/>
      <c r="AE1999" s="81" t="b">
        <v>0</v>
      </c>
      <c r="AF1999" s="81">
        <v>1</v>
      </c>
      <c r="AG1999" s="86" t="s">
        <v>6240</v>
      </c>
      <c r="AH1999" s="81" t="b">
        <v>0</v>
      </c>
      <c r="AI1999" s="81" t="s">
        <v>6479</v>
      </c>
      <c r="AJ1999" s="81"/>
      <c r="AK1999" s="86" t="s">
        <v>6240</v>
      </c>
      <c r="AL1999" s="81" t="b">
        <v>0</v>
      </c>
      <c r="AM1999" s="81">
        <v>0</v>
      </c>
      <c r="AN1999" s="86" t="s">
        <v>6240</v>
      </c>
      <c r="AO1999" s="86" t="s">
        <v>6506</v>
      </c>
      <c r="AP1999" s="81" t="b">
        <v>0</v>
      </c>
      <c r="AQ1999" s="86" t="s">
        <v>5682</v>
      </c>
      <c r="AR1999" s="81" t="s">
        <v>179</v>
      </c>
      <c r="AS1999" s="81">
        <v>0</v>
      </c>
      <c r="AT1999" s="81">
        <v>0</v>
      </c>
      <c r="AU1999" s="81"/>
      <c r="AV1999" s="81"/>
      <c r="AW1999" s="81"/>
      <c r="AX1999" s="81"/>
      <c r="AY1999" s="81"/>
      <c r="AZ1999" s="81"/>
      <c r="BA1999" s="81"/>
      <c r="BB1999" s="81"/>
    </row>
    <row r="2000" spans="1:54" x14ac:dyDescent="0.35">
      <c r="A2000" s="66" t="s">
        <v>1269</v>
      </c>
      <c r="B2000" s="66" t="s">
        <v>1269</v>
      </c>
      <c r="C2000" s="67"/>
      <c r="D2000" s="68"/>
      <c r="E2000" s="69"/>
      <c r="F2000" s="70"/>
      <c r="G2000" s="67"/>
      <c r="H2000" s="71"/>
      <c r="I2000" s="72"/>
      <c r="J2000" s="72"/>
      <c r="K2000" s="36"/>
      <c r="L2000" s="79"/>
      <c r="M2000" s="79"/>
      <c r="N2000" s="74"/>
      <c r="O2000" s="81" t="s">
        <v>179</v>
      </c>
      <c r="P2000" s="83">
        <v>44460.948240740741</v>
      </c>
      <c r="Q2000" s="81" t="s">
        <v>2426</v>
      </c>
      <c r="R2000" s="81"/>
      <c r="S2000" s="81"/>
      <c r="T2000" s="81"/>
      <c r="U2000" s="81"/>
      <c r="V2000" s="84" t="str">
        <f>HYPERLINK("https://pbs.twimg.com/profile_images/378800000705328795/304bfd91ee90011498fd092cc79a423e_normal.jpeg")</f>
        <v>https://pbs.twimg.com/profile_images/378800000705328795/304bfd91ee90011498fd092cc79a423e_normal.jpeg</v>
      </c>
      <c r="W2000" s="83">
        <v>44460.948240740741</v>
      </c>
      <c r="X2000" s="89">
        <v>44460</v>
      </c>
      <c r="Y2000" s="86" t="s">
        <v>4106</v>
      </c>
      <c r="Z2000" s="84" t="str">
        <f>HYPERLINK("https://twitter.com/pos_indonesia/status/1440447114056589318")</f>
        <v>https://twitter.com/pos_indonesia/status/1440447114056589318</v>
      </c>
      <c r="AA2000" s="81"/>
      <c r="AB2000" s="81"/>
      <c r="AC2000" s="86" t="s">
        <v>5683</v>
      </c>
      <c r="AD2000" s="81"/>
      <c r="AE2000" s="81" t="b">
        <v>0</v>
      </c>
      <c r="AF2000" s="81">
        <v>0</v>
      </c>
      <c r="AG2000" s="86" t="s">
        <v>6240</v>
      </c>
      <c r="AH2000" s="81" t="b">
        <v>0</v>
      </c>
      <c r="AI2000" s="81" t="s">
        <v>6479</v>
      </c>
      <c r="AJ2000" s="81"/>
      <c r="AK2000" s="86" t="s">
        <v>6240</v>
      </c>
      <c r="AL2000" s="81" t="b">
        <v>0</v>
      </c>
      <c r="AM2000" s="81">
        <v>0</v>
      </c>
      <c r="AN2000" s="86" t="s">
        <v>6240</v>
      </c>
      <c r="AO2000" s="86" t="s">
        <v>6506</v>
      </c>
      <c r="AP2000" s="81" t="b">
        <v>0</v>
      </c>
      <c r="AQ2000" s="86" t="s">
        <v>5683</v>
      </c>
      <c r="AR2000" s="81" t="s">
        <v>179</v>
      </c>
      <c r="AS2000" s="81">
        <v>0</v>
      </c>
      <c r="AT2000" s="81">
        <v>0</v>
      </c>
      <c r="AU2000" s="81"/>
      <c r="AV2000" s="81"/>
      <c r="AW2000" s="81"/>
      <c r="AX2000" s="81"/>
      <c r="AY2000" s="81"/>
      <c r="AZ2000" s="81"/>
      <c r="BA2000" s="81"/>
      <c r="BB2000" s="81"/>
    </row>
    <row r="2001" spans="1:54" x14ac:dyDescent="0.35">
      <c r="A2001" s="66" t="s">
        <v>1269</v>
      </c>
      <c r="B2001" s="66" t="s">
        <v>1269</v>
      </c>
      <c r="C2001" s="67"/>
      <c r="D2001" s="68"/>
      <c r="E2001" s="69"/>
      <c r="F2001" s="70"/>
      <c r="G2001" s="67"/>
      <c r="H2001" s="71"/>
      <c r="I2001" s="72"/>
      <c r="J2001" s="72"/>
      <c r="K2001" s="36"/>
      <c r="L2001" s="79"/>
      <c r="M2001" s="79"/>
      <c r="N2001" s="74"/>
      <c r="O2001" s="81" t="s">
        <v>179</v>
      </c>
      <c r="P2001" s="83">
        <v>44460.969143518516</v>
      </c>
      <c r="Q2001" s="81" t="s">
        <v>2427</v>
      </c>
      <c r="R2001" s="81"/>
      <c r="S2001" s="81"/>
      <c r="T2001" s="81"/>
      <c r="U2001" s="81"/>
      <c r="V2001" s="84" t="str">
        <f>HYPERLINK("https://pbs.twimg.com/profile_images/378800000705328795/304bfd91ee90011498fd092cc79a423e_normal.jpeg")</f>
        <v>https://pbs.twimg.com/profile_images/378800000705328795/304bfd91ee90011498fd092cc79a423e_normal.jpeg</v>
      </c>
      <c r="W2001" s="83">
        <v>44460.969143518516</v>
      </c>
      <c r="X2001" s="89">
        <v>44460</v>
      </c>
      <c r="Y2001" s="86" t="s">
        <v>4066</v>
      </c>
      <c r="Z2001" s="84" t="str">
        <f>HYPERLINK("https://twitter.com/pos_indonesia/status/1440454688751587337")</f>
        <v>https://twitter.com/pos_indonesia/status/1440454688751587337</v>
      </c>
      <c r="AA2001" s="81"/>
      <c r="AB2001" s="81"/>
      <c r="AC2001" s="86" t="s">
        <v>5684</v>
      </c>
      <c r="AD2001" s="81"/>
      <c r="AE2001" s="81" t="b">
        <v>0</v>
      </c>
      <c r="AF2001" s="81">
        <v>0</v>
      </c>
      <c r="AG2001" s="86" t="s">
        <v>6240</v>
      </c>
      <c r="AH2001" s="81" t="b">
        <v>0</v>
      </c>
      <c r="AI2001" s="81" t="s">
        <v>6479</v>
      </c>
      <c r="AJ2001" s="81"/>
      <c r="AK2001" s="86" t="s">
        <v>6240</v>
      </c>
      <c r="AL2001" s="81" t="b">
        <v>0</v>
      </c>
      <c r="AM2001" s="81">
        <v>0</v>
      </c>
      <c r="AN2001" s="86" t="s">
        <v>6240</v>
      </c>
      <c r="AO2001" s="86" t="s">
        <v>6506</v>
      </c>
      <c r="AP2001" s="81" t="b">
        <v>0</v>
      </c>
      <c r="AQ2001" s="86" t="s">
        <v>5684</v>
      </c>
      <c r="AR2001" s="81" t="s">
        <v>179</v>
      </c>
      <c r="AS2001" s="81">
        <v>0</v>
      </c>
      <c r="AT2001" s="81">
        <v>0</v>
      </c>
      <c r="AU2001" s="81"/>
      <c r="AV2001" s="81"/>
      <c r="AW2001" s="81"/>
      <c r="AX2001" s="81"/>
      <c r="AY2001" s="81"/>
      <c r="AZ2001" s="81"/>
      <c r="BA2001" s="81"/>
      <c r="BB2001" s="81"/>
    </row>
    <row r="2002" spans="1:54" x14ac:dyDescent="0.35">
      <c r="A2002" s="66" t="s">
        <v>1269</v>
      </c>
      <c r="B2002" s="66" t="s">
        <v>1269</v>
      </c>
      <c r="C2002" s="67"/>
      <c r="D2002" s="68"/>
      <c r="E2002" s="69"/>
      <c r="F2002" s="70"/>
      <c r="G2002" s="67"/>
      <c r="H2002" s="71"/>
      <c r="I2002" s="72"/>
      <c r="J2002" s="72"/>
      <c r="K2002" s="36"/>
      <c r="L2002" s="79"/>
      <c r="M2002" s="79"/>
      <c r="N2002" s="74"/>
      <c r="O2002" s="81" t="s">
        <v>179</v>
      </c>
      <c r="P2002" s="83">
        <v>44460.989918981482</v>
      </c>
      <c r="Q2002" s="81" t="s">
        <v>2428</v>
      </c>
      <c r="R2002" s="81"/>
      <c r="S2002" s="81"/>
      <c r="T2002" s="81"/>
      <c r="U2002" s="81"/>
      <c r="V2002" s="84" t="str">
        <f>HYPERLINK("https://pbs.twimg.com/profile_images/378800000705328795/304bfd91ee90011498fd092cc79a423e_normal.jpeg")</f>
        <v>https://pbs.twimg.com/profile_images/378800000705328795/304bfd91ee90011498fd092cc79a423e_normal.jpeg</v>
      </c>
      <c r="W2002" s="83">
        <v>44460.989918981482</v>
      </c>
      <c r="X2002" s="89">
        <v>44460</v>
      </c>
      <c r="Y2002" s="86" t="s">
        <v>4067</v>
      </c>
      <c r="Z2002" s="84" t="str">
        <f>HYPERLINK("https://twitter.com/pos_indonesia/status/1440462217753739281")</f>
        <v>https://twitter.com/pos_indonesia/status/1440462217753739281</v>
      </c>
      <c r="AA2002" s="81"/>
      <c r="AB2002" s="81"/>
      <c r="AC2002" s="86" t="s">
        <v>5685</v>
      </c>
      <c r="AD2002" s="81"/>
      <c r="AE2002" s="81" t="b">
        <v>0</v>
      </c>
      <c r="AF2002" s="81">
        <v>0</v>
      </c>
      <c r="AG2002" s="86" t="s">
        <v>6240</v>
      </c>
      <c r="AH2002" s="81" t="b">
        <v>0</v>
      </c>
      <c r="AI2002" s="81" t="s">
        <v>6479</v>
      </c>
      <c r="AJ2002" s="81"/>
      <c r="AK2002" s="86" t="s">
        <v>6240</v>
      </c>
      <c r="AL2002" s="81" t="b">
        <v>0</v>
      </c>
      <c r="AM2002" s="81">
        <v>0</v>
      </c>
      <c r="AN2002" s="86" t="s">
        <v>6240</v>
      </c>
      <c r="AO2002" s="86" t="s">
        <v>6506</v>
      </c>
      <c r="AP2002" s="81" t="b">
        <v>0</v>
      </c>
      <c r="AQ2002" s="86" t="s">
        <v>5685</v>
      </c>
      <c r="AR2002" s="81" t="s">
        <v>179</v>
      </c>
      <c r="AS2002" s="81">
        <v>0</v>
      </c>
      <c r="AT2002" s="81">
        <v>0</v>
      </c>
      <c r="AU2002" s="81"/>
      <c r="AV2002" s="81"/>
      <c r="AW2002" s="81"/>
      <c r="AX2002" s="81"/>
      <c r="AY2002" s="81"/>
      <c r="AZ2002" s="81"/>
      <c r="BA2002" s="81"/>
      <c r="BB2002" s="81"/>
    </row>
    <row r="2003" spans="1:54" x14ac:dyDescent="0.35">
      <c r="A2003" s="66" t="s">
        <v>1269</v>
      </c>
      <c r="B2003" s="66" t="s">
        <v>1269</v>
      </c>
      <c r="C2003" s="67"/>
      <c r="D2003" s="68"/>
      <c r="E2003" s="69"/>
      <c r="F2003" s="70"/>
      <c r="G2003" s="67"/>
      <c r="H2003" s="71"/>
      <c r="I2003" s="72"/>
      <c r="J2003" s="72"/>
      <c r="K2003" s="36"/>
      <c r="L2003" s="79"/>
      <c r="M2003" s="79"/>
      <c r="N2003" s="74"/>
      <c r="O2003" s="81" t="s">
        <v>179</v>
      </c>
      <c r="P2003" s="83">
        <v>44461.010821759257</v>
      </c>
      <c r="Q2003" s="81" t="s">
        <v>2429</v>
      </c>
      <c r="R2003" s="81"/>
      <c r="S2003" s="81"/>
      <c r="T2003" s="81"/>
      <c r="U2003" s="81"/>
      <c r="V2003" s="84" t="str">
        <f>HYPERLINK("https://pbs.twimg.com/profile_images/378800000705328795/304bfd91ee90011498fd092cc79a423e_normal.jpeg")</f>
        <v>https://pbs.twimg.com/profile_images/378800000705328795/304bfd91ee90011498fd092cc79a423e_normal.jpeg</v>
      </c>
      <c r="W2003" s="83">
        <v>44461.010821759257</v>
      </c>
      <c r="X2003" s="89">
        <v>44461</v>
      </c>
      <c r="Y2003" s="86" t="s">
        <v>4143</v>
      </c>
      <c r="Z2003" s="84" t="str">
        <f>HYPERLINK("https://twitter.com/pos_indonesia/status/1440469790972207110")</f>
        <v>https://twitter.com/pos_indonesia/status/1440469790972207110</v>
      </c>
      <c r="AA2003" s="81"/>
      <c r="AB2003" s="81"/>
      <c r="AC2003" s="86" t="s">
        <v>5686</v>
      </c>
      <c r="AD2003" s="81"/>
      <c r="AE2003" s="81" t="b">
        <v>0</v>
      </c>
      <c r="AF2003" s="81">
        <v>0</v>
      </c>
      <c r="AG2003" s="86" t="s">
        <v>6240</v>
      </c>
      <c r="AH2003" s="81" t="b">
        <v>0</v>
      </c>
      <c r="AI2003" s="81" t="s">
        <v>6479</v>
      </c>
      <c r="AJ2003" s="81"/>
      <c r="AK2003" s="86" t="s">
        <v>6240</v>
      </c>
      <c r="AL2003" s="81" t="b">
        <v>0</v>
      </c>
      <c r="AM2003" s="81">
        <v>0</v>
      </c>
      <c r="AN2003" s="86" t="s">
        <v>6240</v>
      </c>
      <c r="AO2003" s="86" t="s">
        <v>6506</v>
      </c>
      <c r="AP2003" s="81" t="b">
        <v>0</v>
      </c>
      <c r="AQ2003" s="86" t="s">
        <v>5686</v>
      </c>
      <c r="AR2003" s="81" t="s">
        <v>179</v>
      </c>
      <c r="AS2003" s="81">
        <v>0</v>
      </c>
      <c r="AT2003" s="81">
        <v>0</v>
      </c>
      <c r="AU2003" s="81"/>
      <c r="AV2003" s="81"/>
      <c r="AW2003" s="81"/>
      <c r="AX2003" s="81"/>
      <c r="AY2003" s="81"/>
      <c r="AZ2003" s="81"/>
      <c r="BA2003" s="81"/>
      <c r="BB2003" s="81"/>
    </row>
    <row r="2004" spans="1:54" x14ac:dyDescent="0.35">
      <c r="A2004" s="66" t="s">
        <v>1269</v>
      </c>
      <c r="B2004" s="66" t="s">
        <v>1269</v>
      </c>
      <c r="C2004" s="67"/>
      <c r="D2004" s="68"/>
      <c r="E2004" s="69"/>
      <c r="F2004" s="70"/>
      <c r="G2004" s="67"/>
      <c r="H2004" s="71"/>
      <c r="I2004" s="72"/>
      <c r="J2004" s="72"/>
      <c r="K2004" s="36"/>
      <c r="L2004" s="79"/>
      <c r="M2004" s="79"/>
      <c r="N2004" s="74"/>
      <c r="O2004" s="81" t="s">
        <v>179</v>
      </c>
      <c r="P2004" s="83">
        <v>44461.031585648147</v>
      </c>
      <c r="Q2004" s="81" t="s">
        <v>2358</v>
      </c>
      <c r="R2004" s="81"/>
      <c r="S2004" s="81"/>
      <c r="T2004" s="81"/>
      <c r="U2004" s="81"/>
      <c r="V2004" s="84" t="str">
        <f>HYPERLINK("https://pbs.twimg.com/profile_images/378800000705328795/304bfd91ee90011498fd092cc79a423e_normal.jpeg")</f>
        <v>https://pbs.twimg.com/profile_images/378800000705328795/304bfd91ee90011498fd092cc79a423e_normal.jpeg</v>
      </c>
      <c r="W2004" s="83">
        <v>44461.031585648147</v>
      </c>
      <c r="X2004" s="89">
        <v>44461</v>
      </c>
      <c r="Y2004" s="86" t="s">
        <v>4069</v>
      </c>
      <c r="Z2004" s="84" t="str">
        <f>HYPERLINK("https://twitter.com/pos_indonesia/status/1440477314576388103")</f>
        <v>https://twitter.com/pos_indonesia/status/1440477314576388103</v>
      </c>
      <c r="AA2004" s="81"/>
      <c r="AB2004" s="81"/>
      <c r="AC2004" s="86" t="s">
        <v>5687</v>
      </c>
      <c r="AD2004" s="81"/>
      <c r="AE2004" s="81" t="b">
        <v>0</v>
      </c>
      <c r="AF2004" s="81">
        <v>0</v>
      </c>
      <c r="AG2004" s="86" t="s">
        <v>6240</v>
      </c>
      <c r="AH2004" s="81" t="b">
        <v>0</v>
      </c>
      <c r="AI2004" s="81" t="s">
        <v>6479</v>
      </c>
      <c r="AJ2004" s="81"/>
      <c r="AK2004" s="86" t="s">
        <v>6240</v>
      </c>
      <c r="AL2004" s="81" t="b">
        <v>0</v>
      </c>
      <c r="AM2004" s="81">
        <v>0</v>
      </c>
      <c r="AN2004" s="86" t="s">
        <v>6240</v>
      </c>
      <c r="AO2004" s="86" t="s">
        <v>6506</v>
      </c>
      <c r="AP2004" s="81" t="b">
        <v>0</v>
      </c>
      <c r="AQ2004" s="86" t="s">
        <v>5687</v>
      </c>
      <c r="AR2004" s="81" t="s">
        <v>179</v>
      </c>
      <c r="AS2004" s="81">
        <v>0</v>
      </c>
      <c r="AT2004" s="81">
        <v>0</v>
      </c>
      <c r="AU2004" s="81"/>
      <c r="AV2004" s="81"/>
      <c r="AW2004" s="81"/>
      <c r="AX2004" s="81"/>
      <c r="AY2004" s="81"/>
      <c r="AZ2004" s="81"/>
      <c r="BA2004" s="81"/>
      <c r="BB2004" s="81"/>
    </row>
    <row r="2005" spans="1:54" x14ac:dyDescent="0.35">
      <c r="A2005" s="66" t="s">
        <v>1269</v>
      </c>
      <c r="B2005" s="66" t="s">
        <v>1269</v>
      </c>
      <c r="C2005" s="67"/>
      <c r="D2005" s="68"/>
      <c r="E2005" s="69"/>
      <c r="F2005" s="70"/>
      <c r="G2005" s="67"/>
      <c r="H2005" s="71"/>
      <c r="I2005" s="72"/>
      <c r="J2005" s="72"/>
      <c r="K2005" s="36"/>
      <c r="L2005" s="79"/>
      <c r="M2005" s="79"/>
      <c r="N2005" s="74"/>
      <c r="O2005" s="81" t="s">
        <v>179</v>
      </c>
      <c r="P2005" s="83">
        <v>44461.073263888888</v>
      </c>
      <c r="Q2005" s="81" t="s">
        <v>2397</v>
      </c>
      <c r="R2005" s="81"/>
      <c r="S2005" s="81"/>
      <c r="T2005" s="81"/>
      <c r="U2005" s="81"/>
      <c r="V2005" s="84" t="str">
        <f>HYPERLINK("https://pbs.twimg.com/profile_images/378800000705328795/304bfd91ee90011498fd092cc79a423e_normal.jpeg")</f>
        <v>https://pbs.twimg.com/profile_images/378800000705328795/304bfd91ee90011498fd092cc79a423e_normal.jpeg</v>
      </c>
      <c r="W2005" s="83">
        <v>44461.073263888888</v>
      </c>
      <c r="X2005" s="89">
        <v>44461</v>
      </c>
      <c r="Y2005" s="86" t="s">
        <v>4144</v>
      </c>
      <c r="Z2005" s="84" t="str">
        <f>HYPERLINK("https://twitter.com/pos_indonesia/status/1440492419787591680")</f>
        <v>https://twitter.com/pos_indonesia/status/1440492419787591680</v>
      </c>
      <c r="AA2005" s="81"/>
      <c r="AB2005" s="81"/>
      <c r="AC2005" s="86" t="s">
        <v>5688</v>
      </c>
      <c r="AD2005" s="81"/>
      <c r="AE2005" s="81" t="b">
        <v>0</v>
      </c>
      <c r="AF2005" s="81">
        <v>0</v>
      </c>
      <c r="AG2005" s="86" t="s">
        <v>6240</v>
      </c>
      <c r="AH2005" s="81" t="b">
        <v>0</v>
      </c>
      <c r="AI2005" s="81" t="s">
        <v>6479</v>
      </c>
      <c r="AJ2005" s="81"/>
      <c r="AK2005" s="86" t="s">
        <v>6240</v>
      </c>
      <c r="AL2005" s="81" t="b">
        <v>0</v>
      </c>
      <c r="AM2005" s="81">
        <v>0</v>
      </c>
      <c r="AN2005" s="86" t="s">
        <v>6240</v>
      </c>
      <c r="AO2005" s="86" t="s">
        <v>6506</v>
      </c>
      <c r="AP2005" s="81" t="b">
        <v>0</v>
      </c>
      <c r="AQ2005" s="86" t="s">
        <v>5688</v>
      </c>
      <c r="AR2005" s="81" t="s">
        <v>179</v>
      </c>
      <c r="AS2005" s="81">
        <v>0</v>
      </c>
      <c r="AT2005" s="81">
        <v>0</v>
      </c>
      <c r="AU2005" s="81"/>
      <c r="AV2005" s="81"/>
      <c r="AW2005" s="81"/>
      <c r="AX2005" s="81"/>
      <c r="AY2005" s="81"/>
      <c r="AZ2005" s="81"/>
      <c r="BA2005" s="81"/>
      <c r="BB2005" s="81"/>
    </row>
    <row r="2006" spans="1:54" x14ac:dyDescent="0.35">
      <c r="A2006" s="66" t="s">
        <v>1269</v>
      </c>
      <c r="B2006" s="66" t="s">
        <v>1269</v>
      </c>
      <c r="C2006" s="67"/>
      <c r="D2006" s="68"/>
      <c r="E2006" s="69"/>
      <c r="F2006" s="70"/>
      <c r="G2006" s="67"/>
      <c r="H2006" s="71"/>
      <c r="I2006" s="72"/>
      <c r="J2006" s="72"/>
      <c r="K2006" s="36"/>
      <c r="L2006" s="79"/>
      <c r="M2006" s="79"/>
      <c r="N2006" s="74"/>
      <c r="O2006" s="81" t="s">
        <v>179</v>
      </c>
      <c r="P2006" s="83">
        <v>44461.094155092593</v>
      </c>
      <c r="Q2006" s="81" t="s">
        <v>2430</v>
      </c>
      <c r="R2006" s="81"/>
      <c r="S2006" s="81"/>
      <c r="T2006" s="81"/>
      <c r="U2006" s="81"/>
      <c r="V2006" s="84" t="str">
        <f>HYPERLINK("https://pbs.twimg.com/profile_images/378800000705328795/304bfd91ee90011498fd092cc79a423e_normal.jpeg")</f>
        <v>https://pbs.twimg.com/profile_images/378800000705328795/304bfd91ee90011498fd092cc79a423e_normal.jpeg</v>
      </c>
      <c r="W2006" s="83">
        <v>44461.094155092593</v>
      </c>
      <c r="X2006" s="89">
        <v>44461</v>
      </c>
      <c r="Y2006" s="86" t="s">
        <v>4133</v>
      </c>
      <c r="Z2006" s="84" t="str">
        <f>HYPERLINK("https://twitter.com/pos_indonesia/status/1440499990783094792")</f>
        <v>https://twitter.com/pos_indonesia/status/1440499990783094792</v>
      </c>
      <c r="AA2006" s="81"/>
      <c r="AB2006" s="81"/>
      <c r="AC2006" s="86" t="s">
        <v>5689</v>
      </c>
      <c r="AD2006" s="81"/>
      <c r="AE2006" s="81" t="b">
        <v>0</v>
      </c>
      <c r="AF2006" s="81">
        <v>0</v>
      </c>
      <c r="AG2006" s="86" t="s">
        <v>6240</v>
      </c>
      <c r="AH2006" s="81" t="b">
        <v>0</v>
      </c>
      <c r="AI2006" s="81" t="s">
        <v>6479</v>
      </c>
      <c r="AJ2006" s="81"/>
      <c r="AK2006" s="86" t="s">
        <v>6240</v>
      </c>
      <c r="AL2006" s="81" t="b">
        <v>0</v>
      </c>
      <c r="AM2006" s="81">
        <v>0</v>
      </c>
      <c r="AN2006" s="86" t="s">
        <v>6240</v>
      </c>
      <c r="AO2006" s="86" t="s">
        <v>6506</v>
      </c>
      <c r="AP2006" s="81" t="b">
        <v>0</v>
      </c>
      <c r="AQ2006" s="86" t="s">
        <v>5689</v>
      </c>
      <c r="AR2006" s="81" t="s">
        <v>179</v>
      </c>
      <c r="AS2006" s="81">
        <v>0</v>
      </c>
      <c r="AT2006" s="81">
        <v>0</v>
      </c>
      <c r="AU2006" s="81"/>
      <c r="AV2006" s="81"/>
      <c r="AW2006" s="81"/>
      <c r="AX2006" s="81"/>
      <c r="AY2006" s="81"/>
      <c r="AZ2006" s="81"/>
      <c r="BA2006" s="81"/>
      <c r="BB2006" s="81"/>
    </row>
    <row r="2007" spans="1:54" x14ac:dyDescent="0.35">
      <c r="A2007" s="66" t="s">
        <v>1269</v>
      </c>
      <c r="B2007" s="66" t="s">
        <v>1269</v>
      </c>
      <c r="C2007" s="67"/>
      <c r="D2007" s="68"/>
      <c r="E2007" s="69"/>
      <c r="F2007" s="70"/>
      <c r="G2007" s="67"/>
      <c r="H2007" s="71"/>
      <c r="I2007" s="72"/>
      <c r="J2007" s="72"/>
      <c r="K2007" s="36"/>
      <c r="L2007" s="79"/>
      <c r="M2007" s="79"/>
      <c r="N2007" s="74"/>
      <c r="O2007" s="81" t="s">
        <v>179</v>
      </c>
      <c r="P2007" s="83">
        <v>44461.114930555559</v>
      </c>
      <c r="Q2007" s="81" t="s">
        <v>2431</v>
      </c>
      <c r="R2007" s="81"/>
      <c r="S2007" s="81"/>
      <c r="T2007" s="81"/>
      <c r="U2007" s="81"/>
      <c r="V2007" s="84" t="str">
        <f>HYPERLINK("https://pbs.twimg.com/profile_images/378800000705328795/304bfd91ee90011498fd092cc79a423e_normal.jpeg")</f>
        <v>https://pbs.twimg.com/profile_images/378800000705328795/304bfd91ee90011498fd092cc79a423e_normal.jpeg</v>
      </c>
      <c r="W2007" s="83">
        <v>44461.114930555559</v>
      </c>
      <c r="X2007" s="89">
        <v>44461</v>
      </c>
      <c r="Y2007" s="86" t="s">
        <v>4073</v>
      </c>
      <c r="Z2007" s="84" t="str">
        <f>HYPERLINK("https://twitter.com/pos_indonesia/status/1440507519214882817")</f>
        <v>https://twitter.com/pos_indonesia/status/1440507519214882817</v>
      </c>
      <c r="AA2007" s="81"/>
      <c r="AB2007" s="81"/>
      <c r="AC2007" s="86" t="s">
        <v>5690</v>
      </c>
      <c r="AD2007" s="81"/>
      <c r="AE2007" s="81" t="b">
        <v>0</v>
      </c>
      <c r="AF2007" s="81">
        <v>1</v>
      </c>
      <c r="AG2007" s="86" t="s">
        <v>6240</v>
      </c>
      <c r="AH2007" s="81" t="b">
        <v>0</v>
      </c>
      <c r="AI2007" s="81" t="s">
        <v>6479</v>
      </c>
      <c r="AJ2007" s="81"/>
      <c r="AK2007" s="86" t="s">
        <v>6240</v>
      </c>
      <c r="AL2007" s="81" t="b">
        <v>0</v>
      </c>
      <c r="AM2007" s="81">
        <v>0</v>
      </c>
      <c r="AN2007" s="86" t="s">
        <v>6240</v>
      </c>
      <c r="AO2007" s="86" t="s">
        <v>6506</v>
      </c>
      <c r="AP2007" s="81" t="b">
        <v>0</v>
      </c>
      <c r="AQ2007" s="86" t="s">
        <v>5690</v>
      </c>
      <c r="AR2007" s="81" t="s">
        <v>179</v>
      </c>
      <c r="AS2007" s="81">
        <v>0</v>
      </c>
      <c r="AT2007" s="81">
        <v>0</v>
      </c>
      <c r="AU2007" s="81"/>
      <c r="AV2007" s="81"/>
      <c r="AW2007" s="81"/>
      <c r="AX2007" s="81"/>
      <c r="AY2007" s="81"/>
      <c r="AZ2007" s="81"/>
      <c r="BA2007" s="81"/>
      <c r="BB2007" s="81"/>
    </row>
    <row r="2008" spans="1:54" x14ac:dyDescent="0.35">
      <c r="A2008" s="66" t="s">
        <v>1269</v>
      </c>
      <c r="B2008" s="66" t="s">
        <v>1269</v>
      </c>
      <c r="C2008" s="67"/>
      <c r="D2008" s="68"/>
      <c r="E2008" s="69"/>
      <c r="F2008" s="70"/>
      <c r="G2008" s="67"/>
      <c r="H2008" s="71"/>
      <c r="I2008" s="72"/>
      <c r="J2008" s="72"/>
      <c r="K2008" s="36"/>
      <c r="L2008" s="79"/>
      <c r="M2008" s="79"/>
      <c r="N2008" s="74"/>
      <c r="O2008" s="81" t="s">
        <v>179</v>
      </c>
      <c r="P2008" s="83">
        <v>44461.135798611111</v>
      </c>
      <c r="Q2008" s="81" t="s">
        <v>2432</v>
      </c>
      <c r="R2008" s="81"/>
      <c r="S2008" s="81"/>
      <c r="T2008" s="81"/>
      <c r="U2008" s="81"/>
      <c r="V2008" s="84" t="str">
        <f>HYPERLINK("https://pbs.twimg.com/profile_images/378800000705328795/304bfd91ee90011498fd092cc79a423e_normal.jpeg")</f>
        <v>https://pbs.twimg.com/profile_images/378800000705328795/304bfd91ee90011498fd092cc79a423e_normal.jpeg</v>
      </c>
      <c r="W2008" s="83">
        <v>44461.135798611111</v>
      </c>
      <c r="X2008" s="89">
        <v>44461</v>
      </c>
      <c r="Y2008" s="86" t="s">
        <v>4109</v>
      </c>
      <c r="Z2008" s="84" t="str">
        <f>HYPERLINK("https://twitter.com/pos_indonesia/status/1440515081813463052")</f>
        <v>https://twitter.com/pos_indonesia/status/1440515081813463052</v>
      </c>
      <c r="AA2008" s="81"/>
      <c r="AB2008" s="81"/>
      <c r="AC2008" s="86" t="s">
        <v>5691</v>
      </c>
      <c r="AD2008" s="81"/>
      <c r="AE2008" s="81" t="b">
        <v>0</v>
      </c>
      <c r="AF2008" s="81">
        <v>0</v>
      </c>
      <c r="AG2008" s="86" t="s">
        <v>6240</v>
      </c>
      <c r="AH2008" s="81" t="b">
        <v>0</v>
      </c>
      <c r="AI2008" s="81" t="s">
        <v>6479</v>
      </c>
      <c r="AJ2008" s="81"/>
      <c r="AK2008" s="86" t="s">
        <v>6240</v>
      </c>
      <c r="AL2008" s="81" t="b">
        <v>0</v>
      </c>
      <c r="AM2008" s="81">
        <v>0</v>
      </c>
      <c r="AN2008" s="86" t="s">
        <v>6240</v>
      </c>
      <c r="AO2008" s="86" t="s">
        <v>6506</v>
      </c>
      <c r="AP2008" s="81" t="b">
        <v>0</v>
      </c>
      <c r="AQ2008" s="86" t="s">
        <v>5691</v>
      </c>
      <c r="AR2008" s="81" t="s">
        <v>179</v>
      </c>
      <c r="AS2008" s="81">
        <v>0</v>
      </c>
      <c r="AT2008" s="81">
        <v>0</v>
      </c>
      <c r="AU2008" s="81"/>
      <c r="AV2008" s="81"/>
      <c r="AW2008" s="81"/>
      <c r="AX2008" s="81"/>
      <c r="AY2008" s="81"/>
      <c r="AZ2008" s="81"/>
      <c r="BA2008" s="81"/>
      <c r="BB2008" s="81"/>
    </row>
    <row r="2009" spans="1:54" x14ac:dyDescent="0.35">
      <c r="A2009" s="66" t="s">
        <v>1269</v>
      </c>
      <c r="B2009" s="66" t="s">
        <v>1269</v>
      </c>
      <c r="C2009" s="67"/>
      <c r="D2009" s="68"/>
      <c r="E2009" s="69"/>
      <c r="F2009" s="70"/>
      <c r="G2009" s="67"/>
      <c r="H2009" s="71"/>
      <c r="I2009" s="72"/>
      <c r="J2009" s="72"/>
      <c r="K2009" s="36"/>
      <c r="L2009" s="79"/>
      <c r="M2009" s="79"/>
      <c r="N2009" s="74"/>
      <c r="O2009" s="81" t="s">
        <v>179</v>
      </c>
      <c r="P2009" s="83">
        <v>44461.156585648147</v>
      </c>
      <c r="Q2009" s="81" t="s">
        <v>2329</v>
      </c>
      <c r="R2009" s="81"/>
      <c r="S2009" s="81"/>
      <c r="T2009" s="81"/>
      <c r="U2009" s="81"/>
      <c r="V2009" s="84" t="str">
        <f>HYPERLINK("https://pbs.twimg.com/profile_images/378800000705328795/304bfd91ee90011498fd092cc79a423e_normal.jpeg")</f>
        <v>https://pbs.twimg.com/profile_images/378800000705328795/304bfd91ee90011498fd092cc79a423e_normal.jpeg</v>
      </c>
      <c r="W2009" s="83">
        <v>44461.156585648147</v>
      </c>
      <c r="X2009" s="89">
        <v>44461</v>
      </c>
      <c r="Y2009" s="86" t="s">
        <v>4110</v>
      </c>
      <c r="Z2009" s="84" t="str">
        <f>HYPERLINK("https://twitter.com/pos_indonesia/status/1440522615920074761")</f>
        <v>https://twitter.com/pos_indonesia/status/1440522615920074761</v>
      </c>
      <c r="AA2009" s="81"/>
      <c r="AB2009" s="81"/>
      <c r="AC2009" s="86" t="s">
        <v>5692</v>
      </c>
      <c r="AD2009" s="81"/>
      <c r="AE2009" s="81" t="b">
        <v>0</v>
      </c>
      <c r="AF2009" s="81">
        <v>0</v>
      </c>
      <c r="AG2009" s="86" t="s">
        <v>6240</v>
      </c>
      <c r="AH2009" s="81" t="b">
        <v>0</v>
      </c>
      <c r="AI2009" s="81" t="s">
        <v>6479</v>
      </c>
      <c r="AJ2009" s="81"/>
      <c r="AK2009" s="86" t="s">
        <v>6240</v>
      </c>
      <c r="AL2009" s="81" t="b">
        <v>0</v>
      </c>
      <c r="AM2009" s="81">
        <v>0</v>
      </c>
      <c r="AN2009" s="86" t="s">
        <v>6240</v>
      </c>
      <c r="AO2009" s="86" t="s">
        <v>6506</v>
      </c>
      <c r="AP2009" s="81" t="b">
        <v>0</v>
      </c>
      <c r="AQ2009" s="86" t="s">
        <v>5692</v>
      </c>
      <c r="AR2009" s="81" t="s">
        <v>179</v>
      </c>
      <c r="AS2009" s="81">
        <v>0</v>
      </c>
      <c r="AT2009" s="81">
        <v>0</v>
      </c>
      <c r="AU2009" s="81"/>
      <c r="AV2009" s="81"/>
      <c r="AW2009" s="81"/>
      <c r="AX2009" s="81"/>
      <c r="AY2009" s="81"/>
      <c r="AZ2009" s="81"/>
      <c r="BA2009" s="81"/>
      <c r="BB2009" s="81"/>
    </row>
    <row r="2010" spans="1:54" x14ac:dyDescent="0.35">
      <c r="A2010" s="66" t="s">
        <v>1269</v>
      </c>
      <c r="B2010" s="66" t="s">
        <v>1269</v>
      </c>
      <c r="C2010" s="67"/>
      <c r="D2010" s="68"/>
      <c r="E2010" s="69"/>
      <c r="F2010" s="70"/>
      <c r="G2010" s="67"/>
      <c r="H2010" s="71"/>
      <c r="I2010" s="72"/>
      <c r="J2010" s="72"/>
      <c r="K2010" s="36"/>
      <c r="L2010" s="79"/>
      <c r="M2010" s="79"/>
      <c r="N2010" s="74"/>
      <c r="O2010" s="81" t="s">
        <v>179</v>
      </c>
      <c r="P2010" s="83">
        <v>44461.177476851852</v>
      </c>
      <c r="Q2010" s="81" t="s">
        <v>2326</v>
      </c>
      <c r="R2010" s="81"/>
      <c r="S2010" s="81"/>
      <c r="T2010" s="81"/>
      <c r="U2010" s="81"/>
      <c r="V2010" s="84" t="str">
        <f>HYPERLINK("https://pbs.twimg.com/profile_images/378800000705328795/304bfd91ee90011498fd092cc79a423e_normal.jpeg")</f>
        <v>https://pbs.twimg.com/profile_images/378800000705328795/304bfd91ee90011498fd092cc79a423e_normal.jpeg</v>
      </c>
      <c r="W2010" s="83">
        <v>44461.177476851852</v>
      </c>
      <c r="X2010" s="89">
        <v>44461</v>
      </c>
      <c r="Y2010" s="86" t="s">
        <v>4076</v>
      </c>
      <c r="Z2010" s="84" t="str">
        <f>HYPERLINK("https://twitter.com/pos_indonesia/status/1440530185183395841")</f>
        <v>https://twitter.com/pos_indonesia/status/1440530185183395841</v>
      </c>
      <c r="AA2010" s="81"/>
      <c r="AB2010" s="81"/>
      <c r="AC2010" s="86" t="s">
        <v>5693</v>
      </c>
      <c r="AD2010" s="81"/>
      <c r="AE2010" s="81" t="b">
        <v>0</v>
      </c>
      <c r="AF2010" s="81">
        <v>1</v>
      </c>
      <c r="AG2010" s="86" t="s">
        <v>6240</v>
      </c>
      <c r="AH2010" s="81" t="b">
        <v>0</v>
      </c>
      <c r="AI2010" s="81" t="s">
        <v>6479</v>
      </c>
      <c r="AJ2010" s="81"/>
      <c r="AK2010" s="86" t="s">
        <v>6240</v>
      </c>
      <c r="AL2010" s="81" t="b">
        <v>0</v>
      </c>
      <c r="AM2010" s="81">
        <v>0</v>
      </c>
      <c r="AN2010" s="86" t="s">
        <v>6240</v>
      </c>
      <c r="AO2010" s="86" t="s">
        <v>6506</v>
      </c>
      <c r="AP2010" s="81" t="b">
        <v>0</v>
      </c>
      <c r="AQ2010" s="86" t="s">
        <v>5693</v>
      </c>
      <c r="AR2010" s="81" t="s">
        <v>179</v>
      </c>
      <c r="AS2010" s="81">
        <v>0</v>
      </c>
      <c r="AT2010" s="81">
        <v>0</v>
      </c>
      <c r="AU2010" s="81"/>
      <c r="AV2010" s="81"/>
      <c r="AW2010" s="81"/>
      <c r="AX2010" s="81"/>
      <c r="AY2010" s="81"/>
      <c r="AZ2010" s="81"/>
      <c r="BA2010" s="81"/>
      <c r="BB2010" s="81"/>
    </row>
    <row r="2011" spans="1:54" x14ac:dyDescent="0.35">
      <c r="A2011" s="66" t="s">
        <v>1269</v>
      </c>
      <c r="B2011" s="66" t="s">
        <v>1269</v>
      </c>
      <c r="C2011" s="67"/>
      <c r="D2011" s="68"/>
      <c r="E2011" s="69"/>
      <c r="F2011" s="70"/>
      <c r="G2011" s="67"/>
      <c r="H2011" s="71"/>
      <c r="I2011" s="72"/>
      <c r="J2011" s="72"/>
      <c r="K2011" s="36"/>
      <c r="L2011" s="79"/>
      <c r="M2011" s="79"/>
      <c r="N2011" s="74"/>
      <c r="O2011" s="81" t="s">
        <v>179</v>
      </c>
      <c r="P2011" s="83">
        <v>44461.219166666669</v>
      </c>
      <c r="Q2011" s="81" t="s">
        <v>2433</v>
      </c>
      <c r="R2011" s="81"/>
      <c r="S2011" s="81"/>
      <c r="T2011" s="81"/>
      <c r="U2011" s="81"/>
      <c r="V2011" s="84" t="str">
        <f>HYPERLINK("https://pbs.twimg.com/profile_images/378800000705328795/304bfd91ee90011498fd092cc79a423e_normal.jpeg")</f>
        <v>https://pbs.twimg.com/profile_images/378800000705328795/304bfd91ee90011498fd092cc79a423e_normal.jpeg</v>
      </c>
      <c r="W2011" s="83">
        <v>44461.219166666669</v>
      </c>
      <c r="X2011" s="89">
        <v>44461</v>
      </c>
      <c r="Y2011" s="86" t="s">
        <v>4145</v>
      </c>
      <c r="Z2011" s="84" t="str">
        <f>HYPERLINK("https://twitter.com/pos_indonesia/status/1440545293154484231")</f>
        <v>https://twitter.com/pos_indonesia/status/1440545293154484231</v>
      </c>
      <c r="AA2011" s="81"/>
      <c r="AB2011" s="81"/>
      <c r="AC2011" s="86" t="s">
        <v>5694</v>
      </c>
      <c r="AD2011" s="81"/>
      <c r="AE2011" s="81" t="b">
        <v>0</v>
      </c>
      <c r="AF2011" s="81">
        <v>0</v>
      </c>
      <c r="AG2011" s="86" t="s">
        <v>6240</v>
      </c>
      <c r="AH2011" s="81" t="b">
        <v>0</v>
      </c>
      <c r="AI2011" s="81" t="s">
        <v>6479</v>
      </c>
      <c r="AJ2011" s="81"/>
      <c r="AK2011" s="86" t="s">
        <v>6240</v>
      </c>
      <c r="AL2011" s="81" t="b">
        <v>0</v>
      </c>
      <c r="AM2011" s="81">
        <v>0</v>
      </c>
      <c r="AN2011" s="86" t="s">
        <v>6240</v>
      </c>
      <c r="AO2011" s="86" t="s">
        <v>6506</v>
      </c>
      <c r="AP2011" s="81" t="b">
        <v>0</v>
      </c>
      <c r="AQ2011" s="86" t="s">
        <v>5694</v>
      </c>
      <c r="AR2011" s="81" t="s">
        <v>179</v>
      </c>
      <c r="AS2011" s="81">
        <v>0</v>
      </c>
      <c r="AT2011" s="81">
        <v>0</v>
      </c>
      <c r="AU2011" s="81"/>
      <c r="AV2011" s="81"/>
      <c r="AW2011" s="81"/>
      <c r="AX2011" s="81"/>
      <c r="AY2011" s="81"/>
      <c r="AZ2011" s="81"/>
      <c r="BA2011" s="81"/>
      <c r="BB2011" s="81"/>
    </row>
    <row r="2012" spans="1:54" x14ac:dyDescent="0.35">
      <c r="A2012" s="66" t="s">
        <v>1269</v>
      </c>
      <c r="B2012" s="66" t="s">
        <v>1269</v>
      </c>
      <c r="C2012" s="67"/>
      <c r="D2012" s="68"/>
      <c r="E2012" s="69"/>
      <c r="F2012" s="70"/>
      <c r="G2012" s="67"/>
      <c r="H2012" s="71"/>
      <c r="I2012" s="72"/>
      <c r="J2012" s="72"/>
      <c r="K2012" s="36"/>
      <c r="L2012" s="79"/>
      <c r="M2012" s="79"/>
      <c r="N2012" s="74"/>
      <c r="O2012" s="81" t="s">
        <v>179</v>
      </c>
      <c r="P2012" s="83">
        <v>44461.239930555559</v>
      </c>
      <c r="Q2012" s="81" t="s">
        <v>2434</v>
      </c>
      <c r="R2012" s="81"/>
      <c r="S2012" s="81"/>
      <c r="T2012" s="81"/>
      <c r="U2012" s="81"/>
      <c r="V2012" s="84" t="str">
        <f>HYPERLINK("https://pbs.twimg.com/profile_images/378800000705328795/304bfd91ee90011498fd092cc79a423e_normal.jpeg")</f>
        <v>https://pbs.twimg.com/profile_images/378800000705328795/304bfd91ee90011498fd092cc79a423e_normal.jpeg</v>
      </c>
      <c r="W2012" s="83">
        <v>44461.239930555559</v>
      </c>
      <c r="X2012" s="89">
        <v>44461</v>
      </c>
      <c r="Y2012" s="86" t="s">
        <v>4134</v>
      </c>
      <c r="Z2012" s="84" t="str">
        <f>HYPERLINK("https://twitter.com/pos_indonesia/status/1440552815798063110")</f>
        <v>https://twitter.com/pos_indonesia/status/1440552815798063110</v>
      </c>
      <c r="AA2012" s="81"/>
      <c r="AB2012" s="81"/>
      <c r="AC2012" s="86" t="s">
        <v>5695</v>
      </c>
      <c r="AD2012" s="81"/>
      <c r="AE2012" s="81" t="b">
        <v>0</v>
      </c>
      <c r="AF2012" s="81">
        <v>0</v>
      </c>
      <c r="AG2012" s="86" t="s">
        <v>6240</v>
      </c>
      <c r="AH2012" s="81" t="b">
        <v>0</v>
      </c>
      <c r="AI2012" s="81" t="s">
        <v>6479</v>
      </c>
      <c r="AJ2012" s="81"/>
      <c r="AK2012" s="86" t="s">
        <v>6240</v>
      </c>
      <c r="AL2012" s="81" t="b">
        <v>0</v>
      </c>
      <c r="AM2012" s="81">
        <v>0</v>
      </c>
      <c r="AN2012" s="86" t="s">
        <v>6240</v>
      </c>
      <c r="AO2012" s="86" t="s">
        <v>6506</v>
      </c>
      <c r="AP2012" s="81" t="b">
        <v>0</v>
      </c>
      <c r="AQ2012" s="86" t="s">
        <v>5695</v>
      </c>
      <c r="AR2012" s="81" t="s">
        <v>179</v>
      </c>
      <c r="AS2012" s="81">
        <v>0</v>
      </c>
      <c r="AT2012" s="81">
        <v>0</v>
      </c>
      <c r="AU2012" s="81"/>
      <c r="AV2012" s="81"/>
      <c r="AW2012" s="81"/>
      <c r="AX2012" s="81"/>
      <c r="AY2012" s="81"/>
      <c r="AZ2012" s="81"/>
      <c r="BA2012" s="81"/>
      <c r="BB2012" s="81"/>
    </row>
    <row r="2013" spans="1:54" x14ac:dyDescent="0.35">
      <c r="A2013" s="66" t="s">
        <v>1269</v>
      </c>
      <c r="B2013" s="66" t="s">
        <v>1269</v>
      </c>
      <c r="C2013" s="67"/>
      <c r="D2013" s="68"/>
      <c r="E2013" s="69"/>
      <c r="F2013" s="70"/>
      <c r="G2013" s="67"/>
      <c r="H2013" s="71"/>
      <c r="I2013" s="72"/>
      <c r="J2013" s="72"/>
      <c r="K2013" s="36"/>
      <c r="L2013" s="79"/>
      <c r="M2013" s="79"/>
      <c r="N2013" s="74"/>
      <c r="O2013" s="81" t="s">
        <v>179</v>
      </c>
      <c r="P2013" s="83">
        <v>44461.260810185187</v>
      </c>
      <c r="Q2013" s="81" t="s">
        <v>2435</v>
      </c>
      <c r="R2013" s="84" t="str">
        <f>HYPERLINK("http://www.paketonlinestore.com")</f>
        <v>http://www.paketonlinestore.com</v>
      </c>
      <c r="S2013" s="81" t="s">
        <v>2654</v>
      </c>
      <c r="T2013" s="86" t="s">
        <v>2752</v>
      </c>
      <c r="U2013" s="81"/>
      <c r="V2013" s="84" t="str">
        <f>HYPERLINK("https://pbs.twimg.com/profile_images/378800000705328795/304bfd91ee90011498fd092cc79a423e_normal.jpeg")</f>
        <v>https://pbs.twimg.com/profile_images/378800000705328795/304bfd91ee90011498fd092cc79a423e_normal.jpeg</v>
      </c>
      <c r="W2013" s="83">
        <v>44461.260810185187</v>
      </c>
      <c r="X2013" s="89">
        <v>44461</v>
      </c>
      <c r="Y2013" s="86" t="s">
        <v>4135</v>
      </c>
      <c r="Z2013" s="84" t="str">
        <f>HYPERLINK("https://twitter.com/pos_indonesia/status/1440560382561509384")</f>
        <v>https://twitter.com/pos_indonesia/status/1440560382561509384</v>
      </c>
      <c r="AA2013" s="81"/>
      <c r="AB2013" s="81"/>
      <c r="AC2013" s="86" t="s">
        <v>5696</v>
      </c>
      <c r="AD2013" s="81"/>
      <c r="AE2013" s="81" t="b">
        <v>0</v>
      </c>
      <c r="AF2013" s="81">
        <v>0</v>
      </c>
      <c r="AG2013" s="86" t="s">
        <v>6240</v>
      </c>
      <c r="AH2013" s="81" t="b">
        <v>0</v>
      </c>
      <c r="AI2013" s="81" t="s">
        <v>6478</v>
      </c>
      <c r="AJ2013" s="81"/>
      <c r="AK2013" s="86" t="s">
        <v>6240</v>
      </c>
      <c r="AL2013" s="81" t="b">
        <v>0</v>
      </c>
      <c r="AM2013" s="81">
        <v>0</v>
      </c>
      <c r="AN2013" s="86" t="s">
        <v>6240</v>
      </c>
      <c r="AO2013" s="86" t="s">
        <v>6506</v>
      </c>
      <c r="AP2013" s="81" t="b">
        <v>0</v>
      </c>
      <c r="AQ2013" s="86" t="s">
        <v>5696</v>
      </c>
      <c r="AR2013" s="81" t="s">
        <v>179</v>
      </c>
      <c r="AS2013" s="81">
        <v>0</v>
      </c>
      <c r="AT2013" s="81">
        <v>0</v>
      </c>
      <c r="AU2013" s="81"/>
      <c r="AV2013" s="81"/>
      <c r="AW2013" s="81"/>
      <c r="AX2013" s="81"/>
      <c r="AY2013" s="81"/>
      <c r="AZ2013" s="81"/>
      <c r="BA2013" s="81"/>
      <c r="BB2013" s="81"/>
    </row>
    <row r="2014" spans="1:54" x14ac:dyDescent="0.35">
      <c r="A2014" s="66" t="s">
        <v>1269</v>
      </c>
      <c r="B2014" s="66" t="s">
        <v>1269</v>
      </c>
      <c r="C2014" s="67"/>
      <c r="D2014" s="68"/>
      <c r="E2014" s="69"/>
      <c r="F2014" s="70"/>
      <c r="G2014" s="67"/>
      <c r="H2014" s="71"/>
      <c r="I2014" s="72"/>
      <c r="J2014" s="72"/>
      <c r="K2014" s="36"/>
      <c r="L2014" s="79"/>
      <c r="M2014" s="79"/>
      <c r="N2014" s="74"/>
      <c r="O2014" s="81" t="s">
        <v>179</v>
      </c>
      <c r="P2014" s="83">
        <v>44461.281585648147</v>
      </c>
      <c r="Q2014" s="81" t="s">
        <v>2436</v>
      </c>
      <c r="R2014" s="81"/>
      <c r="S2014" s="81"/>
      <c r="T2014" s="81"/>
      <c r="U2014" s="81"/>
      <c r="V2014" s="84" t="str">
        <f>HYPERLINK("https://pbs.twimg.com/profile_images/378800000705328795/304bfd91ee90011498fd092cc79a423e_normal.jpeg")</f>
        <v>https://pbs.twimg.com/profile_images/378800000705328795/304bfd91ee90011498fd092cc79a423e_normal.jpeg</v>
      </c>
      <c r="W2014" s="83">
        <v>44461.281585648147</v>
      </c>
      <c r="X2014" s="89">
        <v>44461</v>
      </c>
      <c r="Y2014" s="86" t="s">
        <v>4081</v>
      </c>
      <c r="Z2014" s="84" t="str">
        <f>HYPERLINK("https://twitter.com/pos_indonesia/status/1440567913585332228")</f>
        <v>https://twitter.com/pos_indonesia/status/1440567913585332228</v>
      </c>
      <c r="AA2014" s="81"/>
      <c r="AB2014" s="81"/>
      <c r="AC2014" s="86" t="s">
        <v>5697</v>
      </c>
      <c r="AD2014" s="81"/>
      <c r="AE2014" s="81" t="b">
        <v>0</v>
      </c>
      <c r="AF2014" s="81">
        <v>0</v>
      </c>
      <c r="AG2014" s="86" t="s">
        <v>6240</v>
      </c>
      <c r="AH2014" s="81" t="b">
        <v>0</v>
      </c>
      <c r="AI2014" s="81" t="s">
        <v>6479</v>
      </c>
      <c r="AJ2014" s="81"/>
      <c r="AK2014" s="86" t="s">
        <v>6240</v>
      </c>
      <c r="AL2014" s="81" t="b">
        <v>0</v>
      </c>
      <c r="AM2014" s="81">
        <v>0</v>
      </c>
      <c r="AN2014" s="86" t="s">
        <v>6240</v>
      </c>
      <c r="AO2014" s="86" t="s">
        <v>6506</v>
      </c>
      <c r="AP2014" s="81" t="b">
        <v>0</v>
      </c>
      <c r="AQ2014" s="86" t="s">
        <v>5697</v>
      </c>
      <c r="AR2014" s="81" t="s">
        <v>179</v>
      </c>
      <c r="AS2014" s="81">
        <v>0</v>
      </c>
      <c r="AT2014" s="81">
        <v>0</v>
      </c>
      <c r="AU2014" s="81"/>
      <c r="AV2014" s="81"/>
      <c r="AW2014" s="81"/>
      <c r="AX2014" s="81"/>
      <c r="AY2014" s="81"/>
      <c r="AZ2014" s="81"/>
      <c r="BA2014" s="81"/>
      <c r="BB2014" s="81"/>
    </row>
    <row r="2015" spans="1:54" x14ac:dyDescent="0.35">
      <c r="A2015" s="66" t="s">
        <v>1269</v>
      </c>
      <c r="B2015" s="66" t="s">
        <v>1269</v>
      </c>
      <c r="C2015" s="67"/>
      <c r="D2015" s="68"/>
      <c r="E2015" s="69"/>
      <c r="F2015" s="70"/>
      <c r="G2015" s="67"/>
      <c r="H2015" s="71"/>
      <c r="I2015" s="72"/>
      <c r="J2015" s="72"/>
      <c r="K2015" s="36"/>
      <c r="L2015" s="79"/>
      <c r="M2015" s="79"/>
      <c r="N2015" s="74"/>
      <c r="O2015" s="81" t="s">
        <v>179</v>
      </c>
      <c r="P2015" s="83">
        <v>44461.302453703705</v>
      </c>
      <c r="Q2015" s="81" t="s">
        <v>2437</v>
      </c>
      <c r="R2015" s="81"/>
      <c r="S2015" s="81"/>
      <c r="T2015" s="81"/>
      <c r="U2015" s="81"/>
      <c r="V2015" s="84" t="str">
        <f>HYPERLINK("https://pbs.twimg.com/profile_images/378800000705328795/304bfd91ee90011498fd092cc79a423e_normal.jpeg")</f>
        <v>https://pbs.twimg.com/profile_images/378800000705328795/304bfd91ee90011498fd092cc79a423e_normal.jpeg</v>
      </c>
      <c r="W2015" s="83">
        <v>44461.302453703705</v>
      </c>
      <c r="X2015" s="89">
        <v>44461</v>
      </c>
      <c r="Y2015" s="86" t="s">
        <v>3628</v>
      </c>
      <c r="Z2015" s="84" t="str">
        <f>HYPERLINK("https://twitter.com/pos_indonesia/status/1440575475386966016")</f>
        <v>https://twitter.com/pos_indonesia/status/1440575475386966016</v>
      </c>
      <c r="AA2015" s="81"/>
      <c r="AB2015" s="81"/>
      <c r="AC2015" s="86" t="s">
        <v>5698</v>
      </c>
      <c r="AD2015" s="81"/>
      <c r="AE2015" s="81" t="b">
        <v>0</v>
      </c>
      <c r="AF2015" s="81">
        <v>0</v>
      </c>
      <c r="AG2015" s="86" t="s">
        <v>6240</v>
      </c>
      <c r="AH2015" s="81" t="b">
        <v>0</v>
      </c>
      <c r="AI2015" s="81" t="s">
        <v>6479</v>
      </c>
      <c r="AJ2015" s="81"/>
      <c r="AK2015" s="86" t="s">
        <v>6240</v>
      </c>
      <c r="AL2015" s="81" t="b">
        <v>0</v>
      </c>
      <c r="AM2015" s="81">
        <v>0</v>
      </c>
      <c r="AN2015" s="86" t="s">
        <v>6240</v>
      </c>
      <c r="AO2015" s="86" t="s">
        <v>6506</v>
      </c>
      <c r="AP2015" s="81" t="b">
        <v>0</v>
      </c>
      <c r="AQ2015" s="86" t="s">
        <v>5698</v>
      </c>
      <c r="AR2015" s="81" t="s">
        <v>179</v>
      </c>
      <c r="AS2015" s="81">
        <v>0</v>
      </c>
      <c r="AT2015" s="81">
        <v>0</v>
      </c>
      <c r="AU2015" s="81"/>
      <c r="AV2015" s="81"/>
      <c r="AW2015" s="81"/>
      <c r="AX2015" s="81"/>
      <c r="AY2015" s="81"/>
      <c r="AZ2015" s="81"/>
      <c r="BA2015" s="81"/>
      <c r="BB2015" s="81"/>
    </row>
    <row r="2016" spans="1:54" x14ac:dyDescent="0.35">
      <c r="A2016" s="66" t="s">
        <v>1269</v>
      </c>
      <c r="B2016" s="66" t="s">
        <v>1269</v>
      </c>
      <c r="C2016" s="67"/>
      <c r="D2016" s="68"/>
      <c r="E2016" s="69"/>
      <c r="F2016" s="70"/>
      <c r="G2016" s="67"/>
      <c r="H2016" s="71"/>
      <c r="I2016" s="72"/>
      <c r="J2016" s="72"/>
      <c r="K2016" s="36"/>
      <c r="L2016" s="79"/>
      <c r="M2016" s="79"/>
      <c r="N2016" s="74"/>
      <c r="O2016" s="81" t="s">
        <v>179</v>
      </c>
      <c r="P2016" s="83">
        <v>44461.323252314818</v>
      </c>
      <c r="Q2016" s="81" t="s">
        <v>2339</v>
      </c>
      <c r="R2016" s="81"/>
      <c r="S2016" s="81"/>
      <c r="T2016" s="81"/>
      <c r="U2016" s="81"/>
      <c r="V2016" s="84" t="str">
        <f>HYPERLINK("https://pbs.twimg.com/profile_images/378800000705328795/304bfd91ee90011498fd092cc79a423e_normal.jpeg")</f>
        <v>https://pbs.twimg.com/profile_images/378800000705328795/304bfd91ee90011498fd092cc79a423e_normal.jpeg</v>
      </c>
      <c r="W2016" s="83">
        <v>44461.323252314818</v>
      </c>
      <c r="X2016" s="89">
        <v>44461</v>
      </c>
      <c r="Y2016" s="86" t="s">
        <v>4083</v>
      </c>
      <c r="Z2016" s="84" t="str">
        <f>HYPERLINK("https://twitter.com/pos_indonesia/status/1440583013092319233")</f>
        <v>https://twitter.com/pos_indonesia/status/1440583013092319233</v>
      </c>
      <c r="AA2016" s="81"/>
      <c r="AB2016" s="81"/>
      <c r="AC2016" s="86" t="s">
        <v>5699</v>
      </c>
      <c r="AD2016" s="81"/>
      <c r="AE2016" s="81" t="b">
        <v>0</v>
      </c>
      <c r="AF2016" s="81">
        <v>0</v>
      </c>
      <c r="AG2016" s="86" t="s">
        <v>6240</v>
      </c>
      <c r="AH2016" s="81" t="b">
        <v>0</v>
      </c>
      <c r="AI2016" s="81" t="s">
        <v>6479</v>
      </c>
      <c r="AJ2016" s="81"/>
      <c r="AK2016" s="86" t="s">
        <v>6240</v>
      </c>
      <c r="AL2016" s="81" t="b">
        <v>0</v>
      </c>
      <c r="AM2016" s="81">
        <v>0</v>
      </c>
      <c r="AN2016" s="86" t="s">
        <v>6240</v>
      </c>
      <c r="AO2016" s="86" t="s">
        <v>6506</v>
      </c>
      <c r="AP2016" s="81" t="b">
        <v>0</v>
      </c>
      <c r="AQ2016" s="86" t="s">
        <v>5699</v>
      </c>
      <c r="AR2016" s="81" t="s">
        <v>179</v>
      </c>
      <c r="AS2016" s="81">
        <v>0</v>
      </c>
      <c r="AT2016" s="81">
        <v>0</v>
      </c>
      <c r="AU2016" s="81"/>
      <c r="AV2016" s="81"/>
      <c r="AW2016" s="81"/>
      <c r="AX2016" s="81"/>
      <c r="AY2016" s="81"/>
      <c r="AZ2016" s="81"/>
      <c r="BA2016" s="81"/>
      <c r="BB2016" s="81"/>
    </row>
    <row r="2017" spans="1:54" x14ac:dyDescent="0.35">
      <c r="A2017" s="66" t="s">
        <v>1269</v>
      </c>
      <c r="B2017" s="66" t="s">
        <v>1269</v>
      </c>
      <c r="C2017" s="67"/>
      <c r="D2017" s="68"/>
      <c r="E2017" s="69"/>
      <c r="F2017" s="70"/>
      <c r="G2017" s="67"/>
      <c r="H2017" s="71"/>
      <c r="I2017" s="72"/>
      <c r="J2017" s="72"/>
      <c r="K2017" s="36"/>
      <c r="L2017" s="79"/>
      <c r="M2017" s="79"/>
      <c r="N2017" s="74"/>
      <c r="O2017" s="81" t="s">
        <v>179</v>
      </c>
      <c r="P2017" s="83">
        <v>44461.344143518516</v>
      </c>
      <c r="Q2017" s="81" t="s">
        <v>2300</v>
      </c>
      <c r="R2017" s="81"/>
      <c r="S2017" s="81"/>
      <c r="T2017" s="81"/>
      <c r="U2017" s="81"/>
      <c r="V2017" s="84" t="str">
        <f>HYPERLINK("https://pbs.twimg.com/profile_images/378800000705328795/304bfd91ee90011498fd092cc79a423e_normal.jpeg")</f>
        <v>https://pbs.twimg.com/profile_images/378800000705328795/304bfd91ee90011498fd092cc79a423e_normal.jpeg</v>
      </c>
      <c r="W2017" s="83">
        <v>44461.344143518516</v>
      </c>
      <c r="X2017" s="89">
        <v>44461</v>
      </c>
      <c r="Y2017" s="86" t="s">
        <v>4146</v>
      </c>
      <c r="Z2017" s="84" t="str">
        <f>HYPERLINK("https://twitter.com/pos_indonesia/status/1440590584603758593")</f>
        <v>https://twitter.com/pos_indonesia/status/1440590584603758593</v>
      </c>
      <c r="AA2017" s="81"/>
      <c r="AB2017" s="81"/>
      <c r="AC2017" s="86" t="s">
        <v>5700</v>
      </c>
      <c r="AD2017" s="81"/>
      <c r="AE2017" s="81" t="b">
        <v>0</v>
      </c>
      <c r="AF2017" s="81">
        <v>0</v>
      </c>
      <c r="AG2017" s="86" t="s">
        <v>6240</v>
      </c>
      <c r="AH2017" s="81" t="b">
        <v>0</v>
      </c>
      <c r="AI2017" s="81" t="s">
        <v>6479</v>
      </c>
      <c r="AJ2017" s="81"/>
      <c r="AK2017" s="86" t="s">
        <v>6240</v>
      </c>
      <c r="AL2017" s="81" t="b">
        <v>0</v>
      </c>
      <c r="AM2017" s="81">
        <v>0</v>
      </c>
      <c r="AN2017" s="86" t="s">
        <v>6240</v>
      </c>
      <c r="AO2017" s="86" t="s">
        <v>6506</v>
      </c>
      <c r="AP2017" s="81" t="b">
        <v>0</v>
      </c>
      <c r="AQ2017" s="86" t="s">
        <v>5700</v>
      </c>
      <c r="AR2017" s="81" t="s">
        <v>179</v>
      </c>
      <c r="AS2017" s="81">
        <v>0</v>
      </c>
      <c r="AT2017" s="81">
        <v>0</v>
      </c>
      <c r="AU2017" s="81"/>
      <c r="AV2017" s="81"/>
      <c r="AW2017" s="81"/>
      <c r="AX2017" s="81"/>
      <c r="AY2017" s="81"/>
      <c r="AZ2017" s="81"/>
      <c r="BA2017" s="81"/>
      <c r="BB2017" s="81"/>
    </row>
    <row r="2018" spans="1:54" x14ac:dyDescent="0.35">
      <c r="A2018" s="66" t="s">
        <v>1269</v>
      </c>
      <c r="B2018" s="66" t="s">
        <v>1269</v>
      </c>
      <c r="C2018" s="67"/>
      <c r="D2018" s="68"/>
      <c r="E2018" s="69"/>
      <c r="F2018" s="70"/>
      <c r="G2018" s="67"/>
      <c r="H2018" s="71"/>
      <c r="I2018" s="72"/>
      <c r="J2018" s="72"/>
      <c r="K2018" s="36"/>
      <c r="L2018" s="79"/>
      <c r="M2018" s="79"/>
      <c r="N2018" s="74"/>
      <c r="O2018" s="81" t="s">
        <v>179</v>
      </c>
      <c r="P2018" s="83">
        <v>44461.364942129629</v>
      </c>
      <c r="Q2018" s="81" t="s">
        <v>2438</v>
      </c>
      <c r="R2018" s="81"/>
      <c r="S2018" s="81"/>
      <c r="T2018" s="81"/>
      <c r="U2018" s="81"/>
      <c r="V2018" s="84" t="str">
        <f>HYPERLINK("https://pbs.twimg.com/profile_images/378800000705328795/304bfd91ee90011498fd092cc79a423e_normal.jpeg")</f>
        <v>https://pbs.twimg.com/profile_images/378800000705328795/304bfd91ee90011498fd092cc79a423e_normal.jpeg</v>
      </c>
      <c r="W2018" s="83">
        <v>44461.364942129629</v>
      </c>
      <c r="X2018" s="89">
        <v>44461</v>
      </c>
      <c r="Y2018" s="86" t="s">
        <v>4147</v>
      </c>
      <c r="Z2018" s="84" t="str">
        <f>HYPERLINK("https://twitter.com/pos_indonesia/status/1440598119771623433")</f>
        <v>https://twitter.com/pos_indonesia/status/1440598119771623433</v>
      </c>
      <c r="AA2018" s="81"/>
      <c r="AB2018" s="81"/>
      <c r="AC2018" s="86" t="s">
        <v>5701</v>
      </c>
      <c r="AD2018" s="81"/>
      <c r="AE2018" s="81" t="b">
        <v>0</v>
      </c>
      <c r="AF2018" s="81">
        <v>0</v>
      </c>
      <c r="AG2018" s="86" t="s">
        <v>6240</v>
      </c>
      <c r="AH2018" s="81" t="b">
        <v>0</v>
      </c>
      <c r="AI2018" s="81" t="s">
        <v>6479</v>
      </c>
      <c r="AJ2018" s="81"/>
      <c r="AK2018" s="86" t="s">
        <v>6240</v>
      </c>
      <c r="AL2018" s="81" t="b">
        <v>0</v>
      </c>
      <c r="AM2018" s="81">
        <v>0</v>
      </c>
      <c r="AN2018" s="86" t="s">
        <v>6240</v>
      </c>
      <c r="AO2018" s="86" t="s">
        <v>6506</v>
      </c>
      <c r="AP2018" s="81" t="b">
        <v>0</v>
      </c>
      <c r="AQ2018" s="86" t="s">
        <v>5701</v>
      </c>
      <c r="AR2018" s="81" t="s">
        <v>179</v>
      </c>
      <c r="AS2018" s="81">
        <v>0</v>
      </c>
      <c r="AT2018" s="81">
        <v>0</v>
      </c>
      <c r="AU2018" s="81"/>
      <c r="AV2018" s="81"/>
      <c r="AW2018" s="81"/>
      <c r="AX2018" s="81"/>
      <c r="AY2018" s="81"/>
      <c r="AZ2018" s="81"/>
      <c r="BA2018" s="81"/>
      <c r="BB2018" s="81"/>
    </row>
    <row r="2019" spans="1:54" x14ac:dyDescent="0.35">
      <c r="A2019" s="66" t="s">
        <v>1269</v>
      </c>
      <c r="B2019" s="66" t="s">
        <v>1269</v>
      </c>
      <c r="C2019" s="67"/>
      <c r="D2019" s="68"/>
      <c r="E2019" s="69"/>
      <c r="F2019" s="70"/>
      <c r="G2019" s="67"/>
      <c r="H2019" s="71"/>
      <c r="I2019" s="72"/>
      <c r="J2019" s="72"/>
      <c r="K2019" s="36"/>
      <c r="L2019" s="79"/>
      <c r="M2019" s="79"/>
      <c r="N2019" s="74"/>
      <c r="O2019" s="81" t="s">
        <v>179</v>
      </c>
      <c r="P2019" s="83">
        <v>44461.385798611111</v>
      </c>
      <c r="Q2019" s="81" t="s">
        <v>2371</v>
      </c>
      <c r="R2019" s="81"/>
      <c r="S2019" s="81"/>
      <c r="T2019" s="81"/>
      <c r="U2019" s="81"/>
      <c r="V2019" s="84" t="str">
        <f>HYPERLINK("https://pbs.twimg.com/profile_images/378800000705328795/304bfd91ee90011498fd092cc79a423e_normal.jpeg")</f>
        <v>https://pbs.twimg.com/profile_images/378800000705328795/304bfd91ee90011498fd092cc79a423e_normal.jpeg</v>
      </c>
      <c r="W2019" s="83">
        <v>44461.385798611111</v>
      </c>
      <c r="X2019" s="89">
        <v>44461</v>
      </c>
      <c r="Y2019" s="86" t="s">
        <v>4085</v>
      </c>
      <c r="Z2019" s="84" t="str">
        <f>HYPERLINK("https://twitter.com/pos_indonesia/status/1440605676602941441")</f>
        <v>https://twitter.com/pos_indonesia/status/1440605676602941441</v>
      </c>
      <c r="AA2019" s="81"/>
      <c r="AB2019" s="81"/>
      <c r="AC2019" s="86" t="s">
        <v>5702</v>
      </c>
      <c r="AD2019" s="81"/>
      <c r="AE2019" s="81" t="b">
        <v>0</v>
      </c>
      <c r="AF2019" s="81">
        <v>0</v>
      </c>
      <c r="AG2019" s="86" t="s">
        <v>6240</v>
      </c>
      <c r="AH2019" s="81" t="b">
        <v>0</v>
      </c>
      <c r="AI2019" s="81" t="s">
        <v>6479</v>
      </c>
      <c r="AJ2019" s="81"/>
      <c r="AK2019" s="86" t="s">
        <v>6240</v>
      </c>
      <c r="AL2019" s="81" t="b">
        <v>0</v>
      </c>
      <c r="AM2019" s="81">
        <v>0</v>
      </c>
      <c r="AN2019" s="86" t="s">
        <v>6240</v>
      </c>
      <c r="AO2019" s="86" t="s">
        <v>6506</v>
      </c>
      <c r="AP2019" s="81" t="b">
        <v>0</v>
      </c>
      <c r="AQ2019" s="86" t="s">
        <v>5702</v>
      </c>
      <c r="AR2019" s="81" t="s">
        <v>179</v>
      </c>
      <c r="AS2019" s="81">
        <v>0</v>
      </c>
      <c r="AT2019" s="81">
        <v>0</v>
      </c>
      <c r="AU2019" s="81"/>
      <c r="AV2019" s="81"/>
      <c r="AW2019" s="81"/>
      <c r="AX2019" s="81"/>
      <c r="AY2019" s="81"/>
      <c r="AZ2019" s="81"/>
      <c r="BA2019" s="81"/>
      <c r="BB2019" s="81"/>
    </row>
    <row r="2020" spans="1:54" x14ac:dyDescent="0.35">
      <c r="A2020" s="66" t="s">
        <v>1269</v>
      </c>
      <c r="B2020" s="66" t="s">
        <v>1269</v>
      </c>
      <c r="C2020" s="67"/>
      <c r="D2020" s="68"/>
      <c r="E2020" s="69"/>
      <c r="F2020" s="70"/>
      <c r="G2020" s="67"/>
      <c r="H2020" s="71"/>
      <c r="I2020" s="72"/>
      <c r="J2020" s="72"/>
      <c r="K2020" s="36"/>
      <c r="L2020" s="79"/>
      <c r="M2020" s="79"/>
      <c r="N2020" s="74"/>
      <c r="O2020" s="81" t="s">
        <v>179</v>
      </c>
      <c r="P2020" s="83">
        <v>44461.406585648147</v>
      </c>
      <c r="Q2020" s="81" t="s">
        <v>2439</v>
      </c>
      <c r="R2020" s="81"/>
      <c r="S2020" s="81"/>
      <c r="T2020" s="81"/>
      <c r="U2020" s="81"/>
      <c r="V2020" s="84" t="str">
        <f>HYPERLINK("https://pbs.twimg.com/profile_images/378800000705328795/304bfd91ee90011498fd092cc79a423e_normal.jpeg")</f>
        <v>https://pbs.twimg.com/profile_images/378800000705328795/304bfd91ee90011498fd092cc79a423e_normal.jpeg</v>
      </c>
      <c r="W2020" s="83">
        <v>44461.406585648147</v>
      </c>
      <c r="X2020" s="89">
        <v>44461</v>
      </c>
      <c r="Y2020" s="86" t="s">
        <v>4086</v>
      </c>
      <c r="Z2020" s="84" t="str">
        <f>HYPERLINK("https://twitter.com/pos_indonesia/status/1440613211221356550")</f>
        <v>https://twitter.com/pos_indonesia/status/1440613211221356550</v>
      </c>
      <c r="AA2020" s="81"/>
      <c r="AB2020" s="81"/>
      <c r="AC2020" s="86" t="s">
        <v>5703</v>
      </c>
      <c r="AD2020" s="81"/>
      <c r="AE2020" s="81" t="b">
        <v>0</v>
      </c>
      <c r="AF2020" s="81">
        <v>0</v>
      </c>
      <c r="AG2020" s="86" t="s">
        <v>6240</v>
      </c>
      <c r="AH2020" s="81" t="b">
        <v>0</v>
      </c>
      <c r="AI2020" s="81" t="s">
        <v>6479</v>
      </c>
      <c r="AJ2020" s="81"/>
      <c r="AK2020" s="86" t="s">
        <v>6240</v>
      </c>
      <c r="AL2020" s="81" t="b">
        <v>0</v>
      </c>
      <c r="AM2020" s="81">
        <v>0</v>
      </c>
      <c r="AN2020" s="86" t="s">
        <v>6240</v>
      </c>
      <c r="AO2020" s="86" t="s">
        <v>6506</v>
      </c>
      <c r="AP2020" s="81" t="b">
        <v>0</v>
      </c>
      <c r="AQ2020" s="86" t="s">
        <v>5703</v>
      </c>
      <c r="AR2020" s="81" t="s">
        <v>179</v>
      </c>
      <c r="AS2020" s="81">
        <v>0</v>
      </c>
      <c r="AT2020" s="81">
        <v>0</v>
      </c>
      <c r="AU2020" s="81"/>
      <c r="AV2020" s="81"/>
      <c r="AW2020" s="81"/>
      <c r="AX2020" s="81"/>
      <c r="AY2020" s="81"/>
      <c r="AZ2020" s="81"/>
      <c r="BA2020" s="81"/>
      <c r="BB2020" s="81"/>
    </row>
    <row r="2021" spans="1:54" x14ac:dyDescent="0.35">
      <c r="A2021" s="66" t="s">
        <v>1269</v>
      </c>
      <c r="B2021" s="66" t="s">
        <v>1269</v>
      </c>
      <c r="C2021" s="67"/>
      <c r="D2021" s="68"/>
      <c r="E2021" s="69"/>
      <c r="F2021" s="70"/>
      <c r="G2021" s="67"/>
      <c r="H2021" s="71"/>
      <c r="I2021" s="72"/>
      <c r="J2021" s="72"/>
      <c r="K2021" s="36"/>
      <c r="L2021" s="79"/>
      <c r="M2021" s="79"/>
      <c r="N2021" s="74"/>
      <c r="O2021" s="81" t="s">
        <v>179</v>
      </c>
      <c r="P2021" s="83">
        <v>44461.427476851852</v>
      </c>
      <c r="Q2021" s="81" t="s">
        <v>2413</v>
      </c>
      <c r="R2021" s="81"/>
      <c r="S2021" s="81"/>
      <c r="T2021" s="81"/>
      <c r="U2021" s="81"/>
      <c r="V2021" s="84" t="str">
        <f>HYPERLINK("https://pbs.twimg.com/profile_images/378800000705328795/304bfd91ee90011498fd092cc79a423e_normal.jpeg")</f>
        <v>https://pbs.twimg.com/profile_images/378800000705328795/304bfd91ee90011498fd092cc79a423e_normal.jpeg</v>
      </c>
      <c r="W2021" s="83">
        <v>44461.427476851852</v>
      </c>
      <c r="X2021" s="89">
        <v>44461</v>
      </c>
      <c r="Y2021" s="86" t="s">
        <v>4114</v>
      </c>
      <c r="Z2021" s="84" t="str">
        <f>HYPERLINK("https://twitter.com/pos_indonesia/status/1440620779876413457")</f>
        <v>https://twitter.com/pos_indonesia/status/1440620779876413457</v>
      </c>
      <c r="AA2021" s="81"/>
      <c r="AB2021" s="81"/>
      <c r="AC2021" s="86" t="s">
        <v>5704</v>
      </c>
      <c r="AD2021" s="81"/>
      <c r="AE2021" s="81" t="b">
        <v>0</v>
      </c>
      <c r="AF2021" s="81">
        <v>2</v>
      </c>
      <c r="AG2021" s="86" t="s">
        <v>6240</v>
      </c>
      <c r="AH2021" s="81" t="b">
        <v>0</v>
      </c>
      <c r="AI2021" s="81" t="s">
        <v>6479</v>
      </c>
      <c r="AJ2021" s="81"/>
      <c r="AK2021" s="86" t="s">
        <v>6240</v>
      </c>
      <c r="AL2021" s="81" t="b">
        <v>0</v>
      </c>
      <c r="AM2021" s="81">
        <v>1</v>
      </c>
      <c r="AN2021" s="86" t="s">
        <v>6240</v>
      </c>
      <c r="AO2021" s="86" t="s">
        <v>6506</v>
      </c>
      <c r="AP2021" s="81" t="b">
        <v>0</v>
      </c>
      <c r="AQ2021" s="86" t="s">
        <v>5704</v>
      </c>
      <c r="AR2021" s="81" t="s">
        <v>179</v>
      </c>
      <c r="AS2021" s="81">
        <v>0</v>
      </c>
      <c r="AT2021" s="81">
        <v>0</v>
      </c>
      <c r="AU2021" s="81"/>
      <c r="AV2021" s="81"/>
      <c r="AW2021" s="81"/>
      <c r="AX2021" s="81"/>
      <c r="AY2021" s="81"/>
      <c r="AZ2021" s="81"/>
      <c r="BA2021" s="81"/>
      <c r="BB2021" s="81"/>
    </row>
    <row r="2022" spans="1:54" x14ac:dyDescent="0.35">
      <c r="A2022" s="66" t="s">
        <v>1269</v>
      </c>
      <c r="B2022" s="66" t="s">
        <v>1269</v>
      </c>
      <c r="C2022" s="67"/>
      <c r="D2022" s="68"/>
      <c r="E2022" s="69"/>
      <c r="F2022" s="70"/>
      <c r="G2022" s="67"/>
      <c r="H2022" s="71"/>
      <c r="I2022" s="72"/>
      <c r="J2022" s="72"/>
      <c r="K2022" s="36"/>
      <c r="L2022" s="79"/>
      <c r="M2022" s="79"/>
      <c r="N2022" s="74"/>
      <c r="O2022" s="81" t="s">
        <v>179</v>
      </c>
      <c r="P2022" s="83">
        <v>44461.448252314818</v>
      </c>
      <c r="Q2022" s="81" t="s">
        <v>2440</v>
      </c>
      <c r="R2022" s="81"/>
      <c r="S2022" s="81"/>
      <c r="T2022" s="81"/>
      <c r="U2022" s="81"/>
      <c r="V2022" s="84" t="str">
        <f>HYPERLINK("https://pbs.twimg.com/profile_images/378800000705328795/304bfd91ee90011498fd092cc79a423e_normal.jpeg")</f>
        <v>https://pbs.twimg.com/profile_images/378800000705328795/304bfd91ee90011498fd092cc79a423e_normal.jpeg</v>
      </c>
      <c r="W2022" s="83">
        <v>44461.448252314818</v>
      </c>
      <c r="X2022" s="89">
        <v>44461</v>
      </c>
      <c r="Y2022" s="86" t="s">
        <v>4088</v>
      </c>
      <c r="Z2022" s="84" t="str">
        <f>HYPERLINK("https://twitter.com/pos_indonesia/status/1440628311881752578")</f>
        <v>https://twitter.com/pos_indonesia/status/1440628311881752578</v>
      </c>
      <c r="AA2022" s="81"/>
      <c r="AB2022" s="81"/>
      <c r="AC2022" s="86" t="s">
        <v>5705</v>
      </c>
      <c r="AD2022" s="81"/>
      <c r="AE2022" s="81" t="b">
        <v>0</v>
      </c>
      <c r="AF2022" s="81">
        <v>3</v>
      </c>
      <c r="AG2022" s="86" t="s">
        <v>6240</v>
      </c>
      <c r="AH2022" s="81" t="b">
        <v>0</v>
      </c>
      <c r="AI2022" s="81" t="s">
        <v>6479</v>
      </c>
      <c r="AJ2022" s="81"/>
      <c r="AK2022" s="86" t="s">
        <v>6240</v>
      </c>
      <c r="AL2022" s="81" t="b">
        <v>0</v>
      </c>
      <c r="AM2022" s="81">
        <v>1</v>
      </c>
      <c r="AN2022" s="86" t="s">
        <v>6240</v>
      </c>
      <c r="AO2022" s="86" t="s">
        <v>6506</v>
      </c>
      <c r="AP2022" s="81" t="b">
        <v>0</v>
      </c>
      <c r="AQ2022" s="86" t="s">
        <v>5705</v>
      </c>
      <c r="AR2022" s="81" t="s">
        <v>179</v>
      </c>
      <c r="AS2022" s="81">
        <v>0</v>
      </c>
      <c r="AT2022" s="81">
        <v>0</v>
      </c>
      <c r="AU2022" s="81"/>
      <c r="AV2022" s="81"/>
      <c r="AW2022" s="81"/>
      <c r="AX2022" s="81"/>
      <c r="AY2022" s="81"/>
      <c r="AZ2022" s="81"/>
      <c r="BA2022" s="81"/>
      <c r="BB2022" s="81"/>
    </row>
    <row r="2023" spans="1:54" x14ac:dyDescent="0.35">
      <c r="A2023" s="66" t="s">
        <v>1269</v>
      </c>
      <c r="B2023" s="66" t="s">
        <v>1269</v>
      </c>
      <c r="C2023" s="67"/>
      <c r="D2023" s="68"/>
      <c r="E2023" s="69"/>
      <c r="F2023" s="70"/>
      <c r="G2023" s="67"/>
      <c r="H2023" s="71"/>
      <c r="I2023" s="72"/>
      <c r="J2023" s="72"/>
      <c r="K2023" s="36"/>
      <c r="L2023" s="79"/>
      <c r="M2023" s="79"/>
      <c r="N2023" s="74"/>
      <c r="O2023" s="81" t="s">
        <v>179</v>
      </c>
      <c r="P2023" s="83">
        <v>44461.469143518516</v>
      </c>
      <c r="Q2023" s="81" t="s">
        <v>2373</v>
      </c>
      <c r="R2023" s="81"/>
      <c r="S2023" s="81"/>
      <c r="T2023" s="81"/>
      <c r="U2023" s="81"/>
      <c r="V2023" s="84" t="str">
        <f>HYPERLINK("https://pbs.twimg.com/profile_images/378800000705328795/304bfd91ee90011498fd092cc79a423e_normal.jpeg")</f>
        <v>https://pbs.twimg.com/profile_images/378800000705328795/304bfd91ee90011498fd092cc79a423e_normal.jpeg</v>
      </c>
      <c r="W2023" s="83">
        <v>44461.469143518516</v>
      </c>
      <c r="X2023" s="89">
        <v>44461</v>
      </c>
      <c r="Y2023" s="86" t="s">
        <v>4115</v>
      </c>
      <c r="Z2023" s="84" t="str">
        <f>HYPERLINK("https://twitter.com/pos_indonesia/status/1440635881816092681")</f>
        <v>https://twitter.com/pos_indonesia/status/1440635881816092681</v>
      </c>
      <c r="AA2023" s="81"/>
      <c r="AB2023" s="81"/>
      <c r="AC2023" s="86" t="s">
        <v>5706</v>
      </c>
      <c r="AD2023" s="81"/>
      <c r="AE2023" s="81" t="b">
        <v>0</v>
      </c>
      <c r="AF2023" s="81">
        <v>0</v>
      </c>
      <c r="AG2023" s="86" t="s">
        <v>6240</v>
      </c>
      <c r="AH2023" s="81" t="b">
        <v>0</v>
      </c>
      <c r="AI2023" s="81" t="s">
        <v>6479</v>
      </c>
      <c r="AJ2023" s="81"/>
      <c r="AK2023" s="86" t="s">
        <v>6240</v>
      </c>
      <c r="AL2023" s="81" t="b">
        <v>0</v>
      </c>
      <c r="AM2023" s="81">
        <v>0</v>
      </c>
      <c r="AN2023" s="86" t="s">
        <v>6240</v>
      </c>
      <c r="AO2023" s="86" t="s">
        <v>6506</v>
      </c>
      <c r="AP2023" s="81" t="b">
        <v>0</v>
      </c>
      <c r="AQ2023" s="86" t="s">
        <v>5706</v>
      </c>
      <c r="AR2023" s="81" t="s">
        <v>179</v>
      </c>
      <c r="AS2023" s="81">
        <v>0</v>
      </c>
      <c r="AT2023" s="81">
        <v>0</v>
      </c>
      <c r="AU2023" s="81"/>
      <c r="AV2023" s="81"/>
      <c r="AW2023" s="81"/>
      <c r="AX2023" s="81"/>
      <c r="AY2023" s="81"/>
      <c r="AZ2023" s="81"/>
      <c r="BA2023" s="81"/>
      <c r="BB2023" s="81"/>
    </row>
    <row r="2024" spans="1:54" x14ac:dyDescent="0.35">
      <c r="A2024" s="66" t="s">
        <v>1269</v>
      </c>
      <c r="B2024" s="66" t="s">
        <v>1269</v>
      </c>
      <c r="C2024" s="67"/>
      <c r="D2024" s="68"/>
      <c r="E2024" s="69"/>
      <c r="F2024" s="70"/>
      <c r="G2024" s="67"/>
      <c r="H2024" s="71"/>
      <c r="I2024" s="72"/>
      <c r="J2024" s="72"/>
      <c r="K2024" s="36"/>
      <c r="L2024" s="79"/>
      <c r="M2024" s="79"/>
      <c r="N2024" s="74"/>
      <c r="O2024" s="81" t="s">
        <v>179</v>
      </c>
      <c r="P2024" s="83">
        <v>44461.489930555559</v>
      </c>
      <c r="Q2024" s="81" t="s">
        <v>2441</v>
      </c>
      <c r="R2024" s="81"/>
      <c r="S2024" s="81"/>
      <c r="T2024" s="81"/>
      <c r="U2024" s="81"/>
      <c r="V2024" s="84" t="str">
        <f>HYPERLINK("https://pbs.twimg.com/profile_images/378800000705328795/304bfd91ee90011498fd092cc79a423e_normal.jpeg")</f>
        <v>https://pbs.twimg.com/profile_images/378800000705328795/304bfd91ee90011498fd092cc79a423e_normal.jpeg</v>
      </c>
      <c r="W2024" s="83">
        <v>44461.489930555559</v>
      </c>
      <c r="X2024" s="89">
        <v>44461</v>
      </c>
      <c r="Y2024" s="86" t="s">
        <v>4116</v>
      </c>
      <c r="Z2024" s="84" t="str">
        <f>HYPERLINK("https://twitter.com/pos_indonesia/status/1440643414018564096")</f>
        <v>https://twitter.com/pos_indonesia/status/1440643414018564096</v>
      </c>
      <c r="AA2024" s="81"/>
      <c r="AB2024" s="81"/>
      <c r="AC2024" s="86" t="s">
        <v>5707</v>
      </c>
      <c r="AD2024" s="81"/>
      <c r="AE2024" s="81" t="b">
        <v>0</v>
      </c>
      <c r="AF2024" s="81">
        <v>0</v>
      </c>
      <c r="AG2024" s="86" t="s">
        <v>6240</v>
      </c>
      <c r="AH2024" s="81" t="b">
        <v>0</v>
      </c>
      <c r="AI2024" s="81" t="s">
        <v>6479</v>
      </c>
      <c r="AJ2024" s="81"/>
      <c r="AK2024" s="86" t="s">
        <v>6240</v>
      </c>
      <c r="AL2024" s="81" t="b">
        <v>0</v>
      </c>
      <c r="AM2024" s="81">
        <v>0</v>
      </c>
      <c r="AN2024" s="86" t="s">
        <v>6240</v>
      </c>
      <c r="AO2024" s="86" t="s">
        <v>6506</v>
      </c>
      <c r="AP2024" s="81" t="b">
        <v>0</v>
      </c>
      <c r="AQ2024" s="86" t="s">
        <v>5707</v>
      </c>
      <c r="AR2024" s="81" t="s">
        <v>179</v>
      </c>
      <c r="AS2024" s="81">
        <v>0</v>
      </c>
      <c r="AT2024" s="81">
        <v>0</v>
      </c>
      <c r="AU2024" s="81"/>
      <c r="AV2024" s="81"/>
      <c r="AW2024" s="81"/>
      <c r="AX2024" s="81"/>
      <c r="AY2024" s="81"/>
      <c r="AZ2024" s="81"/>
      <c r="BA2024" s="81"/>
      <c r="BB2024" s="81"/>
    </row>
    <row r="2025" spans="1:54" x14ac:dyDescent="0.35">
      <c r="A2025" s="66" t="s">
        <v>1269</v>
      </c>
      <c r="B2025" s="66" t="s">
        <v>1269</v>
      </c>
      <c r="C2025" s="67"/>
      <c r="D2025" s="68"/>
      <c r="E2025" s="69"/>
      <c r="F2025" s="70"/>
      <c r="G2025" s="67"/>
      <c r="H2025" s="71"/>
      <c r="I2025" s="72"/>
      <c r="J2025" s="72"/>
      <c r="K2025" s="36"/>
      <c r="L2025" s="79"/>
      <c r="M2025" s="79"/>
      <c r="N2025" s="74"/>
      <c r="O2025" s="81" t="s">
        <v>179</v>
      </c>
      <c r="P2025" s="83">
        <v>44461.510821759257</v>
      </c>
      <c r="Q2025" s="81" t="s">
        <v>2442</v>
      </c>
      <c r="R2025" s="81"/>
      <c r="S2025" s="81"/>
      <c r="T2025" s="81"/>
      <c r="U2025" s="81"/>
      <c r="V2025" s="84" t="str">
        <f>HYPERLINK("https://pbs.twimg.com/profile_images/378800000705328795/304bfd91ee90011498fd092cc79a423e_normal.jpeg")</f>
        <v>https://pbs.twimg.com/profile_images/378800000705328795/304bfd91ee90011498fd092cc79a423e_normal.jpeg</v>
      </c>
      <c r="W2025" s="83">
        <v>44461.510821759257</v>
      </c>
      <c r="X2025" s="89">
        <v>44461</v>
      </c>
      <c r="Y2025" s="86" t="s">
        <v>4148</v>
      </c>
      <c r="Z2025" s="84" t="str">
        <f>HYPERLINK("https://twitter.com/pos_indonesia/status/1440650984934436870")</f>
        <v>https://twitter.com/pos_indonesia/status/1440650984934436870</v>
      </c>
      <c r="AA2025" s="81"/>
      <c r="AB2025" s="81"/>
      <c r="AC2025" s="86" t="s">
        <v>5708</v>
      </c>
      <c r="AD2025" s="81"/>
      <c r="AE2025" s="81" t="b">
        <v>0</v>
      </c>
      <c r="AF2025" s="81">
        <v>0</v>
      </c>
      <c r="AG2025" s="86" t="s">
        <v>6240</v>
      </c>
      <c r="AH2025" s="81" t="b">
        <v>0</v>
      </c>
      <c r="AI2025" s="81" t="s">
        <v>6479</v>
      </c>
      <c r="AJ2025" s="81"/>
      <c r="AK2025" s="86" t="s">
        <v>6240</v>
      </c>
      <c r="AL2025" s="81" t="b">
        <v>0</v>
      </c>
      <c r="AM2025" s="81">
        <v>0</v>
      </c>
      <c r="AN2025" s="86" t="s">
        <v>6240</v>
      </c>
      <c r="AO2025" s="86" t="s">
        <v>6506</v>
      </c>
      <c r="AP2025" s="81" t="b">
        <v>0</v>
      </c>
      <c r="AQ2025" s="86" t="s">
        <v>5708</v>
      </c>
      <c r="AR2025" s="81" t="s">
        <v>179</v>
      </c>
      <c r="AS2025" s="81">
        <v>0</v>
      </c>
      <c r="AT2025" s="81">
        <v>0</v>
      </c>
      <c r="AU2025" s="81"/>
      <c r="AV2025" s="81"/>
      <c r="AW2025" s="81"/>
      <c r="AX2025" s="81"/>
      <c r="AY2025" s="81"/>
      <c r="AZ2025" s="81"/>
      <c r="BA2025" s="81"/>
      <c r="BB2025" s="81"/>
    </row>
    <row r="2026" spans="1:54" x14ac:dyDescent="0.35">
      <c r="A2026" s="66" t="s">
        <v>1269</v>
      </c>
      <c r="B2026" s="66" t="s">
        <v>1269</v>
      </c>
      <c r="C2026" s="67"/>
      <c r="D2026" s="68"/>
      <c r="E2026" s="69"/>
      <c r="F2026" s="70"/>
      <c r="G2026" s="67"/>
      <c r="H2026" s="71"/>
      <c r="I2026" s="72"/>
      <c r="J2026" s="72"/>
      <c r="K2026" s="36"/>
      <c r="L2026" s="79"/>
      <c r="M2026" s="79"/>
      <c r="N2026" s="74"/>
      <c r="O2026" s="81" t="s">
        <v>179</v>
      </c>
      <c r="P2026" s="83">
        <v>44461.531585648147</v>
      </c>
      <c r="Q2026" s="81" t="s">
        <v>2443</v>
      </c>
      <c r="R2026" s="81"/>
      <c r="S2026" s="81"/>
      <c r="T2026" s="81"/>
      <c r="U2026" s="81"/>
      <c r="V2026" s="84" t="str">
        <f>HYPERLINK("https://pbs.twimg.com/profile_images/378800000705328795/304bfd91ee90011498fd092cc79a423e_normal.jpeg")</f>
        <v>https://pbs.twimg.com/profile_images/378800000705328795/304bfd91ee90011498fd092cc79a423e_normal.jpeg</v>
      </c>
      <c r="W2026" s="83">
        <v>44461.531585648147</v>
      </c>
      <c r="X2026" s="89">
        <v>44461</v>
      </c>
      <c r="Y2026" s="86" t="s">
        <v>4092</v>
      </c>
      <c r="Z2026" s="84" t="str">
        <f>HYPERLINK("https://twitter.com/pos_indonesia/status/1440658510799200265")</f>
        <v>https://twitter.com/pos_indonesia/status/1440658510799200265</v>
      </c>
      <c r="AA2026" s="81"/>
      <c r="AB2026" s="81"/>
      <c r="AC2026" s="86" t="s">
        <v>5709</v>
      </c>
      <c r="AD2026" s="81"/>
      <c r="AE2026" s="81" t="b">
        <v>0</v>
      </c>
      <c r="AF2026" s="81">
        <v>0</v>
      </c>
      <c r="AG2026" s="86" t="s">
        <v>6240</v>
      </c>
      <c r="AH2026" s="81" t="b">
        <v>0</v>
      </c>
      <c r="AI2026" s="81" t="s">
        <v>6479</v>
      </c>
      <c r="AJ2026" s="81"/>
      <c r="AK2026" s="86" t="s">
        <v>6240</v>
      </c>
      <c r="AL2026" s="81" t="b">
        <v>0</v>
      </c>
      <c r="AM2026" s="81">
        <v>0</v>
      </c>
      <c r="AN2026" s="86" t="s">
        <v>6240</v>
      </c>
      <c r="AO2026" s="86" t="s">
        <v>6506</v>
      </c>
      <c r="AP2026" s="81" t="b">
        <v>0</v>
      </c>
      <c r="AQ2026" s="86" t="s">
        <v>5709</v>
      </c>
      <c r="AR2026" s="81" t="s">
        <v>179</v>
      </c>
      <c r="AS2026" s="81">
        <v>0</v>
      </c>
      <c r="AT2026" s="81">
        <v>0</v>
      </c>
      <c r="AU2026" s="81"/>
      <c r="AV2026" s="81"/>
      <c r="AW2026" s="81"/>
      <c r="AX2026" s="81"/>
      <c r="AY2026" s="81"/>
      <c r="AZ2026" s="81"/>
      <c r="BA2026" s="81"/>
      <c r="BB2026" s="81"/>
    </row>
    <row r="2027" spans="1:54" x14ac:dyDescent="0.35">
      <c r="A2027" s="66" t="s">
        <v>1269</v>
      </c>
      <c r="B2027" s="66" t="s">
        <v>1269</v>
      </c>
      <c r="C2027" s="67"/>
      <c r="D2027" s="68"/>
      <c r="E2027" s="69"/>
      <c r="F2027" s="70"/>
      <c r="G2027" s="67"/>
      <c r="H2027" s="71"/>
      <c r="I2027" s="72"/>
      <c r="J2027" s="72"/>
      <c r="K2027" s="36"/>
      <c r="L2027" s="79"/>
      <c r="M2027" s="79"/>
      <c r="N2027" s="74"/>
      <c r="O2027" s="81" t="s">
        <v>179</v>
      </c>
      <c r="P2027" s="83">
        <v>44461.552465277775</v>
      </c>
      <c r="Q2027" s="81" t="s">
        <v>2297</v>
      </c>
      <c r="R2027" s="81"/>
      <c r="S2027" s="81"/>
      <c r="T2027" s="81"/>
      <c r="U2027" s="81"/>
      <c r="V2027" s="84" t="str">
        <f>HYPERLINK("https://pbs.twimg.com/profile_images/378800000705328795/304bfd91ee90011498fd092cc79a423e_normal.jpeg")</f>
        <v>https://pbs.twimg.com/profile_images/378800000705328795/304bfd91ee90011498fd092cc79a423e_normal.jpeg</v>
      </c>
      <c r="W2027" s="83">
        <v>44461.552465277775</v>
      </c>
      <c r="X2027" s="89">
        <v>44461</v>
      </c>
      <c r="Y2027" s="86" t="s">
        <v>4140</v>
      </c>
      <c r="Z2027" s="84" t="str">
        <f>HYPERLINK("https://twitter.com/pos_indonesia/status/1440666076182814736")</f>
        <v>https://twitter.com/pos_indonesia/status/1440666076182814736</v>
      </c>
      <c r="AA2027" s="81"/>
      <c r="AB2027" s="81"/>
      <c r="AC2027" s="86" t="s">
        <v>5710</v>
      </c>
      <c r="AD2027" s="81"/>
      <c r="AE2027" s="81" t="b">
        <v>0</v>
      </c>
      <c r="AF2027" s="81">
        <v>0</v>
      </c>
      <c r="AG2027" s="86" t="s">
        <v>6240</v>
      </c>
      <c r="AH2027" s="81" t="b">
        <v>0</v>
      </c>
      <c r="AI2027" s="81" t="s">
        <v>6479</v>
      </c>
      <c r="AJ2027" s="81"/>
      <c r="AK2027" s="86" t="s">
        <v>6240</v>
      </c>
      <c r="AL2027" s="81" t="b">
        <v>0</v>
      </c>
      <c r="AM2027" s="81">
        <v>0</v>
      </c>
      <c r="AN2027" s="86" t="s">
        <v>6240</v>
      </c>
      <c r="AO2027" s="86" t="s">
        <v>6506</v>
      </c>
      <c r="AP2027" s="81" t="b">
        <v>0</v>
      </c>
      <c r="AQ2027" s="86" t="s">
        <v>5710</v>
      </c>
      <c r="AR2027" s="81" t="s">
        <v>179</v>
      </c>
      <c r="AS2027" s="81">
        <v>0</v>
      </c>
      <c r="AT2027" s="81">
        <v>0</v>
      </c>
      <c r="AU2027" s="81"/>
      <c r="AV2027" s="81"/>
      <c r="AW2027" s="81"/>
      <c r="AX2027" s="81"/>
      <c r="AY2027" s="81"/>
      <c r="AZ2027" s="81"/>
      <c r="BA2027" s="81"/>
      <c r="BB2027" s="81"/>
    </row>
    <row r="2028" spans="1:54" x14ac:dyDescent="0.35">
      <c r="A2028" s="66" t="s">
        <v>1269</v>
      </c>
      <c r="B2028" s="66" t="s">
        <v>1269</v>
      </c>
      <c r="C2028" s="67"/>
      <c r="D2028" s="68"/>
      <c r="E2028" s="69"/>
      <c r="F2028" s="70"/>
      <c r="G2028" s="67"/>
      <c r="H2028" s="71"/>
      <c r="I2028" s="72"/>
      <c r="J2028" s="72"/>
      <c r="K2028" s="36"/>
      <c r="L2028" s="79"/>
      <c r="M2028" s="79"/>
      <c r="N2028" s="74"/>
      <c r="O2028" s="81" t="s">
        <v>179</v>
      </c>
      <c r="P2028" s="83">
        <v>44461.573252314818</v>
      </c>
      <c r="Q2028" s="81" t="s">
        <v>2444</v>
      </c>
      <c r="R2028" s="81"/>
      <c r="S2028" s="81"/>
      <c r="T2028" s="81"/>
      <c r="U2028" s="81"/>
      <c r="V2028" s="84" t="str">
        <f>HYPERLINK("https://pbs.twimg.com/profile_images/378800000705328795/304bfd91ee90011498fd092cc79a423e_normal.jpeg")</f>
        <v>https://pbs.twimg.com/profile_images/378800000705328795/304bfd91ee90011498fd092cc79a423e_normal.jpeg</v>
      </c>
      <c r="W2028" s="83">
        <v>44461.573252314818</v>
      </c>
      <c r="X2028" s="89">
        <v>44461</v>
      </c>
      <c r="Y2028" s="86" t="s">
        <v>4119</v>
      </c>
      <c r="Z2028" s="84" t="str">
        <f>HYPERLINK("https://twitter.com/pos_indonesia/status/1440673609249296389")</f>
        <v>https://twitter.com/pos_indonesia/status/1440673609249296389</v>
      </c>
      <c r="AA2028" s="81"/>
      <c r="AB2028" s="81"/>
      <c r="AC2028" s="86" t="s">
        <v>5711</v>
      </c>
      <c r="AD2028" s="81"/>
      <c r="AE2028" s="81" t="b">
        <v>0</v>
      </c>
      <c r="AF2028" s="81">
        <v>0</v>
      </c>
      <c r="AG2028" s="86" t="s">
        <v>6240</v>
      </c>
      <c r="AH2028" s="81" t="b">
        <v>0</v>
      </c>
      <c r="AI2028" s="81" t="s">
        <v>6479</v>
      </c>
      <c r="AJ2028" s="81"/>
      <c r="AK2028" s="86" t="s">
        <v>6240</v>
      </c>
      <c r="AL2028" s="81" t="b">
        <v>0</v>
      </c>
      <c r="AM2028" s="81">
        <v>0</v>
      </c>
      <c r="AN2028" s="86" t="s">
        <v>6240</v>
      </c>
      <c r="AO2028" s="86" t="s">
        <v>6506</v>
      </c>
      <c r="AP2028" s="81" t="b">
        <v>0</v>
      </c>
      <c r="AQ2028" s="86" t="s">
        <v>5711</v>
      </c>
      <c r="AR2028" s="81" t="s">
        <v>179</v>
      </c>
      <c r="AS2028" s="81">
        <v>0</v>
      </c>
      <c r="AT2028" s="81">
        <v>0</v>
      </c>
      <c r="AU2028" s="81"/>
      <c r="AV2028" s="81"/>
      <c r="AW2028" s="81"/>
      <c r="AX2028" s="81"/>
      <c r="AY2028" s="81"/>
      <c r="AZ2028" s="81"/>
      <c r="BA2028" s="81"/>
      <c r="BB2028" s="81"/>
    </row>
    <row r="2029" spans="1:54" x14ac:dyDescent="0.35">
      <c r="A2029" s="66" t="s">
        <v>1269</v>
      </c>
      <c r="B2029" s="66" t="s">
        <v>1269</v>
      </c>
      <c r="C2029" s="67"/>
      <c r="D2029" s="68"/>
      <c r="E2029" s="69"/>
      <c r="F2029" s="70"/>
      <c r="G2029" s="67"/>
      <c r="H2029" s="71"/>
      <c r="I2029" s="72"/>
      <c r="J2029" s="72"/>
      <c r="K2029" s="36"/>
      <c r="L2029" s="79"/>
      <c r="M2029" s="79"/>
      <c r="N2029" s="74"/>
      <c r="O2029" s="81" t="s">
        <v>179</v>
      </c>
      <c r="P2029" s="83">
        <v>44461.594155092593</v>
      </c>
      <c r="Q2029" s="81" t="s">
        <v>2445</v>
      </c>
      <c r="R2029" s="81"/>
      <c r="S2029" s="81"/>
      <c r="T2029" s="81"/>
      <c r="U2029" s="81"/>
      <c r="V2029" s="84" t="str">
        <f>HYPERLINK("https://pbs.twimg.com/profile_images/378800000705328795/304bfd91ee90011498fd092cc79a423e_normal.jpeg")</f>
        <v>https://pbs.twimg.com/profile_images/378800000705328795/304bfd91ee90011498fd092cc79a423e_normal.jpeg</v>
      </c>
      <c r="W2029" s="83">
        <v>44461.594155092593</v>
      </c>
      <c r="X2029" s="89">
        <v>44461</v>
      </c>
      <c r="Y2029" s="86" t="s">
        <v>4094</v>
      </c>
      <c r="Z2029" s="84" t="str">
        <f>HYPERLINK("https://twitter.com/pos_indonesia/status/1440681182748831752")</f>
        <v>https://twitter.com/pos_indonesia/status/1440681182748831752</v>
      </c>
      <c r="AA2029" s="81"/>
      <c r="AB2029" s="81"/>
      <c r="AC2029" s="86" t="s">
        <v>5712</v>
      </c>
      <c r="AD2029" s="81"/>
      <c r="AE2029" s="81" t="b">
        <v>0</v>
      </c>
      <c r="AF2029" s="81">
        <v>0</v>
      </c>
      <c r="AG2029" s="86" t="s">
        <v>6240</v>
      </c>
      <c r="AH2029" s="81" t="b">
        <v>0</v>
      </c>
      <c r="AI2029" s="81" t="s">
        <v>6479</v>
      </c>
      <c r="AJ2029" s="81"/>
      <c r="AK2029" s="86" t="s">
        <v>6240</v>
      </c>
      <c r="AL2029" s="81" t="b">
        <v>0</v>
      </c>
      <c r="AM2029" s="81">
        <v>0</v>
      </c>
      <c r="AN2029" s="86" t="s">
        <v>6240</v>
      </c>
      <c r="AO2029" s="86" t="s">
        <v>6506</v>
      </c>
      <c r="AP2029" s="81" t="b">
        <v>0</v>
      </c>
      <c r="AQ2029" s="86" t="s">
        <v>5712</v>
      </c>
      <c r="AR2029" s="81" t="s">
        <v>179</v>
      </c>
      <c r="AS2029" s="81">
        <v>0</v>
      </c>
      <c r="AT2029" s="81">
        <v>0</v>
      </c>
      <c r="AU2029" s="81"/>
      <c r="AV2029" s="81"/>
      <c r="AW2029" s="81"/>
      <c r="AX2029" s="81"/>
      <c r="AY2029" s="81"/>
      <c r="AZ2029" s="81"/>
      <c r="BA2029" s="81"/>
      <c r="BB2029" s="81"/>
    </row>
    <row r="2030" spans="1:54" x14ac:dyDescent="0.35">
      <c r="A2030" s="66" t="s">
        <v>1269</v>
      </c>
      <c r="B2030" s="66" t="s">
        <v>1269</v>
      </c>
      <c r="C2030" s="67"/>
      <c r="D2030" s="68"/>
      <c r="E2030" s="69"/>
      <c r="F2030" s="70"/>
      <c r="G2030" s="67"/>
      <c r="H2030" s="71"/>
      <c r="I2030" s="72"/>
      <c r="J2030" s="72"/>
      <c r="K2030" s="36"/>
      <c r="L2030" s="79"/>
      <c r="M2030" s="79"/>
      <c r="N2030" s="74"/>
      <c r="O2030" s="81" t="s">
        <v>179</v>
      </c>
      <c r="P2030" s="83">
        <v>44461.635763888888</v>
      </c>
      <c r="Q2030" s="81" t="s">
        <v>2446</v>
      </c>
      <c r="R2030" s="81"/>
      <c r="S2030" s="81"/>
      <c r="T2030" s="81"/>
      <c r="U2030" s="81"/>
      <c r="V2030" s="84" t="str">
        <f>HYPERLINK("https://pbs.twimg.com/profile_images/378800000705328795/304bfd91ee90011498fd092cc79a423e_normal.jpeg")</f>
        <v>https://pbs.twimg.com/profile_images/378800000705328795/304bfd91ee90011498fd092cc79a423e_normal.jpeg</v>
      </c>
      <c r="W2030" s="83">
        <v>44461.635763888888</v>
      </c>
      <c r="X2030" s="89">
        <v>44461</v>
      </c>
      <c r="Y2030" s="86" t="s">
        <v>4096</v>
      </c>
      <c r="Z2030" s="84" t="str">
        <f>HYPERLINK("https://twitter.com/pos_indonesia/status/1440696261854695427")</f>
        <v>https://twitter.com/pos_indonesia/status/1440696261854695427</v>
      </c>
      <c r="AA2030" s="81"/>
      <c r="AB2030" s="81"/>
      <c r="AC2030" s="86" t="s">
        <v>5713</v>
      </c>
      <c r="AD2030" s="81"/>
      <c r="AE2030" s="81" t="b">
        <v>0</v>
      </c>
      <c r="AF2030" s="81">
        <v>0</v>
      </c>
      <c r="AG2030" s="86" t="s">
        <v>6240</v>
      </c>
      <c r="AH2030" s="81" t="b">
        <v>0</v>
      </c>
      <c r="AI2030" s="81" t="s">
        <v>6479</v>
      </c>
      <c r="AJ2030" s="81"/>
      <c r="AK2030" s="86" t="s">
        <v>6240</v>
      </c>
      <c r="AL2030" s="81" t="b">
        <v>0</v>
      </c>
      <c r="AM2030" s="81">
        <v>0</v>
      </c>
      <c r="AN2030" s="86" t="s">
        <v>6240</v>
      </c>
      <c r="AO2030" s="86" t="s">
        <v>6506</v>
      </c>
      <c r="AP2030" s="81" t="b">
        <v>0</v>
      </c>
      <c r="AQ2030" s="86" t="s">
        <v>5713</v>
      </c>
      <c r="AR2030" s="81" t="s">
        <v>179</v>
      </c>
      <c r="AS2030" s="81">
        <v>0</v>
      </c>
      <c r="AT2030" s="81">
        <v>0</v>
      </c>
      <c r="AU2030" s="81"/>
      <c r="AV2030" s="81"/>
      <c r="AW2030" s="81"/>
      <c r="AX2030" s="81"/>
      <c r="AY2030" s="81"/>
      <c r="AZ2030" s="81"/>
      <c r="BA2030" s="81"/>
      <c r="BB2030" s="81"/>
    </row>
    <row r="2031" spans="1:54" x14ac:dyDescent="0.35">
      <c r="A2031" s="66" t="s">
        <v>1269</v>
      </c>
      <c r="B2031" s="66" t="s">
        <v>1269</v>
      </c>
      <c r="C2031" s="67"/>
      <c r="D2031" s="68"/>
      <c r="E2031" s="69"/>
      <c r="F2031" s="70"/>
      <c r="G2031" s="67"/>
      <c r="H2031" s="71"/>
      <c r="I2031" s="72"/>
      <c r="J2031" s="72"/>
      <c r="K2031" s="36"/>
      <c r="L2031" s="79"/>
      <c r="M2031" s="79"/>
      <c r="N2031" s="74"/>
      <c r="O2031" s="81" t="s">
        <v>179</v>
      </c>
      <c r="P2031" s="83">
        <v>44461.656585648147</v>
      </c>
      <c r="Q2031" s="81" t="s">
        <v>2401</v>
      </c>
      <c r="R2031" s="81"/>
      <c r="S2031" s="81"/>
      <c r="T2031" s="81"/>
      <c r="U2031" s="81"/>
      <c r="V2031" s="84" t="str">
        <f>HYPERLINK("https://pbs.twimg.com/profile_images/378800000705328795/304bfd91ee90011498fd092cc79a423e_normal.jpeg")</f>
        <v>https://pbs.twimg.com/profile_images/378800000705328795/304bfd91ee90011498fd092cc79a423e_normal.jpeg</v>
      </c>
      <c r="W2031" s="83">
        <v>44461.656585648147</v>
      </c>
      <c r="X2031" s="89">
        <v>44461</v>
      </c>
      <c r="Y2031" s="86" t="s">
        <v>4122</v>
      </c>
      <c r="Z2031" s="84" t="str">
        <f>HYPERLINK("https://twitter.com/pos_indonesia/status/1440703807004897287")</f>
        <v>https://twitter.com/pos_indonesia/status/1440703807004897287</v>
      </c>
      <c r="AA2031" s="81"/>
      <c r="AB2031" s="81"/>
      <c r="AC2031" s="86" t="s">
        <v>5714</v>
      </c>
      <c r="AD2031" s="81"/>
      <c r="AE2031" s="81" t="b">
        <v>0</v>
      </c>
      <c r="AF2031" s="81">
        <v>0</v>
      </c>
      <c r="AG2031" s="86" t="s">
        <v>6240</v>
      </c>
      <c r="AH2031" s="81" t="b">
        <v>0</v>
      </c>
      <c r="AI2031" s="81" t="s">
        <v>6479</v>
      </c>
      <c r="AJ2031" s="81"/>
      <c r="AK2031" s="86" t="s">
        <v>6240</v>
      </c>
      <c r="AL2031" s="81" t="b">
        <v>0</v>
      </c>
      <c r="AM2031" s="81">
        <v>0</v>
      </c>
      <c r="AN2031" s="86" t="s">
        <v>6240</v>
      </c>
      <c r="AO2031" s="86" t="s">
        <v>6506</v>
      </c>
      <c r="AP2031" s="81" t="b">
        <v>0</v>
      </c>
      <c r="AQ2031" s="86" t="s">
        <v>5714</v>
      </c>
      <c r="AR2031" s="81" t="s">
        <v>179</v>
      </c>
      <c r="AS2031" s="81">
        <v>0</v>
      </c>
      <c r="AT2031" s="81">
        <v>0</v>
      </c>
      <c r="AU2031" s="81"/>
      <c r="AV2031" s="81"/>
      <c r="AW2031" s="81"/>
      <c r="AX2031" s="81"/>
      <c r="AY2031" s="81"/>
      <c r="AZ2031" s="81"/>
      <c r="BA2031" s="81"/>
      <c r="BB2031" s="81"/>
    </row>
    <row r="2032" spans="1:54" x14ac:dyDescent="0.35">
      <c r="A2032" s="66" t="s">
        <v>1269</v>
      </c>
      <c r="B2032" s="66" t="s">
        <v>1269</v>
      </c>
      <c r="C2032" s="67"/>
      <c r="D2032" s="68"/>
      <c r="E2032" s="69"/>
      <c r="F2032" s="70"/>
      <c r="G2032" s="67"/>
      <c r="H2032" s="71"/>
      <c r="I2032" s="72"/>
      <c r="J2032" s="72"/>
      <c r="K2032" s="36"/>
      <c r="L2032" s="79"/>
      <c r="M2032" s="79"/>
      <c r="N2032" s="74"/>
      <c r="O2032" s="81" t="s">
        <v>179</v>
      </c>
      <c r="P2032" s="83">
        <v>44461.677442129629</v>
      </c>
      <c r="Q2032" s="81" t="s">
        <v>2395</v>
      </c>
      <c r="R2032" s="81"/>
      <c r="S2032" s="81"/>
      <c r="T2032" s="81"/>
      <c r="U2032" s="81"/>
      <c r="V2032" s="84" t="str">
        <f>HYPERLINK("https://pbs.twimg.com/profile_images/378800000705328795/304bfd91ee90011498fd092cc79a423e_normal.jpeg")</f>
        <v>https://pbs.twimg.com/profile_images/378800000705328795/304bfd91ee90011498fd092cc79a423e_normal.jpeg</v>
      </c>
      <c r="W2032" s="83">
        <v>44461.677442129629</v>
      </c>
      <c r="X2032" s="89">
        <v>44461</v>
      </c>
      <c r="Y2032" s="86" t="s">
        <v>4123</v>
      </c>
      <c r="Z2032" s="84" t="str">
        <f>HYPERLINK("https://twitter.com/pos_indonesia/status/1440711367128801295")</f>
        <v>https://twitter.com/pos_indonesia/status/1440711367128801295</v>
      </c>
      <c r="AA2032" s="81"/>
      <c r="AB2032" s="81"/>
      <c r="AC2032" s="86" t="s">
        <v>5715</v>
      </c>
      <c r="AD2032" s="81"/>
      <c r="AE2032" s="81" t="b">
        <v>0</v>
      </c>
      <c r="AF2032" s="81">
        <v>0</v>
      </c>
      <c r="AG2032" s="86" t="s">
        <v>6240</v>
      </c>
      <c r="AH2032" s="81" t="b">
        <v>0</v>
      </c>
      <c r="AI2032" s="81" t="s">
        <v>6479</v>
      </c>
      <c r="AJ2032" s="81"/>
      <c r="AK2032" s="86" t="s">
        <v>6240</v>
      </c>
      <c r="AL2032" s="81" t="b">
        <v>0</v>
      </c>
      <c r="AM2032" s="81">
        <v>0</v>
      </c>
      <c r="AN2032" s="86" t="s">
        <v>6240</v>
      </c>
      <c r="AO2032" s="86" t="s">
        <v>6506</v>
      </c>
      <c r="AP2032" s="81" t="b">
        <v>0</v>
      </c>
      <c r="AQ2032" s="86" t="s">
        <v>5715</v>
      </c>
      <c r="AR2032" s="81" t="s">
        <v>179</v>
      </c>
      <c r="AS2032" s="81">
        <v>0</v>
      </c>
      <c r="AT2032" s="81">
        <v>0</v>
      </c>
      <c r="AU2032" s="81"/>
      <c r="AV2032" s="81"/>
      <c r="AW2032" s="81"/>
      <c r="AX2032" s="81"/>
      <c r="AY2032" s="81"/>
      <c r="AZ2032" s="81"/>
      <c r="BA2032" s="81"/>
      <c r="BB2032" s="81"/>
    </row>
    <row r="2033" spans="1:54" x14ac:dyDescent="0.35">
      <c r="A2033" s="66" t="s">
        <v>1269</v>
      </c>
      <c r="B2033" s="66" t="s">
        <v>1269</v>
      </c>
      <c r="C2033" s="67"/>
      <c r="D2033" s="68"/>
      <c r="E2033" s="69"/>
      <c r="F2033" s="70"/>
      <c r="G2033" s="67"/>
      <c r="H2033" s="71"/>
      <c r="I2033" s="72"/>
      <c r="J2033" s="72"/>
      <c r="K2033" s="36"/>
      <c r="L2033" s="79"/>
      <c r="M2033" s="79"/>
      <c r="N2033" s="74"/>
      <c r="O2033" s="81" t="s">
        <v>179</v>
      </c>
      <c r="P2033" s="83">
        <v>44461.698240740741</v>
      </c>
      <c r="Q2033" s="81" t="s">
        <v>2447</v>
      </c>
      <c r="R2033" s="81"/>
      <c r="S2033" s="81"/>
      <c r="T2033" s="81"/>
      <c r="U2033" s="81"/>
      <c r="V2033" s="84" t="str">
        <f>HYPERLINK("https://pbs.twimg.com/profile_images/378800000705328795/304bfd91ee90011498fd092cc79a423e_normal.jpeg")</f>
        <v>https://pbs.twimg.com/profile_images/378800000705328795/304bfd91ee90011498fd092cc79a423e_normal.jpeg</v>
      </c>
      <c r="W2033" s="83">
        <v>44461.698240740741</v>
      </c>
      <c r="X2033" s="89">
        <v>44461</v>
      </c>
      <c r="Y2033" s="86" t="s">
        <v>4099</v>
      </c>
      <c r="Z2033" s="84" t="str">
        <f>HYPERLINK("https://twitter.com/pos_indonesia/status/1440718905039671302")</f>
        <v>https://twitter.com/pos_indonesia/status/1440718905039671302</v>
      </c>
      <c r="AA2033" s="81"/>
      <c r="AB2033" s="81"/>
      <c r="AC2033" s="86" t="s">
        <v>5716</v>
      </c>
      <c r="AD2033" s="81"/>
      <c r="AE2033" s="81" t="b">
        <v>0</v>
      </c>
      <c r="AF2033" s="81">
        <v>0</v>
      </c>
      <c r="AG2033" s="86" t="s">
        <v>6240</v>
      </c>
      <c r="AH2033" s="81" t="b">
        <v>0</v>
      </c>
      <c r="AI2033" s="81" t="s">
        <v>6479</v>
      </c>
      <c r="AJ2033" s="81"/>
      <c r="AK2033" s="86" t="s">
        <v>6240</v>
      </c>
      <c r="AL2033" s="81" t="b">
        <v>0</v>
      </c>
      <c r="AM2033" s="81">
        <v>0</v>
      </c>
      <c r="AN2033" s="86" t="s">
        <v>6240</v>
      </c>
      <c r="AO2033" s="86" t="s">
        <v>6506</v>
      </c>
      <c r="AP2033" s="81" t="b">
        <v>0</v>
      </c>
      <c r="AQ2033" s="86" t="s">
        <v>5716</v>
      </c>
      <c r="AR2033" s="81" t="s">
        <v>179</v>
      </c>
      <c r="AS2033" s="81">
        <v>0</v>
      </c>
      <c r="AT2033" s="81">
        <v>0</v>
      </c>
      <c r="AU2033" s="81"/>
      <c r="AV2033" s="81"/>
      <c r="AW2033" s="81"/>
      <c r="AX2033" s="81"/>
      <c r="AY2033" s="81"/>
      <c r="AZ2033" s="81"/>
      <c r="BA2033" s="81"/>
      <c r="BB2033" s="81"/>
    </row>
    <row r="2034" spans="1:54" x14ac:dyDescent="0.35">
      <c r="A2034" s="66" t="s">
        <v>1269</v>
      </c>
      <c r="B2034" s="66" t="s">
        <v>1269</v>
      </c>
      <c r="C2034" s="67"/>
      <c r="D2034" s="68"/>
      <c r="E2034" s="69"/>
      <c r="F2034" s="70"/>
      <c r="G2034" s="67"/>
      <c r="H2034" s="71"/>
      <c r="I2034" s="72"/>
      <c r="J2034" s="72"/>
      <c r="K2034" s="36"/>
      <c r="L2034" s="79"/>
      <c r="M2034" s="79"/>
      <c r="N2034" s="74"/>
      <c r="O2034" s="81" t="s">
        <v>179</v>
      </c>
      <c r="P2034" s="83">
        <v>44461.719097222223</v>
      </c>
      <c r="Q2034" s="81" t="s">
        <v>2448</v>
      </c>
      <c r="R2034" s="81"/>
      <c r="S2034" s="81"/>
      <c r="T2034" s="81"/>
      <c r="U2034" s="81"/>
      <c r="V2034" s="84" t="str">
        <f>HYPERLINK("https://pbs.twimg.com/profile_images/378800000705328795/304bfd91ee90011498fd092cc79a423e_normal.jpeg")</f>
        <v>https://pbs.twimg.com/profile_images/378800000705328795/304bfd91ee90011498fd092cc79a423e_normal.jpeg</v>
      </c>
      <c r="W2034" s="83">
        <v>44461.719097222223</v>
      </c>
      <c r="X2034" s="89">
        <v>44461</v>
      </c>
      <c r="Y2034" s="86" t="s">
        <v>4100</v>
      </c>
      <c r="Z2034" s="84" t="str">
        <f>HYPERLINK("https://twitter.com/pos_indonesia/status/1440726461590106129")</f>
        <v>https://twitter.com/pos_indonesia/status/1440726461590106129</v>
      </c>
      <c r="AA2034" s="81"/>
      <c r="AB2034" s="81"/>
      <c r="AC2034" s="86" t="s">
        <v>5717</v>
      </c>
      <c r="AD2034" s="81"/>
      <c r="AE2034" s="81" t="b">
        <v>0</v>
      </c>
      <c r="AF2034" s="81">
        <v>1</v>
      </c>
      <c r="AG2034" s="86" t="s">
        <v>6240</v>
      </c>
      <c r="AH2034" s="81" t="b">
        <v>0</v>
      </c>
      <c r="AI2034" s="81" t="s">
        <v>6479</v>
      </c>
      <c r="AJ2034" s="81"/>
      <c r="AK2034" s="86" t="s">
        <v>6240</v>
      </c>
      <c r="AL2034" s="81" t="b">
        <v>0</v>
      </c>
      <c r="AM2034" s="81">
        <v>0</v>
      </c>
      <c r="AN2034" s="86" t="s">
        <v>6240</v>
      </c>
      <c r="AO2034" s="86" t="s">
        <v>6506</v>
      </c>
      <c r="AP2034" s="81" t="b">
        <v>0</v>
      </c>
      <c r="AQ2034" s="86" t="s">
        <v>5717</v>
      </c>
      <c r="AR2034" s="81" t="s">
        <v>179</v>
      </c>
      <c r="AS2034" s="81">
        <v>0</v>
      </c>
      <c r="AT2034" s="81">
        <v>0</v>
      </c>
      <c r="AU2034" s="81"/>
      <c r="AV2034" s="81"/>
      <c r="AW2034" s="81"/>
      <c r="AX2034" s="81"/>
      <c r="AY2034" s="81"/>
      <c r="AZ2034" s="81"/>
      <c r="BA2034" s="81"/>
      <c r="BB2034" s="81"/>
    </row>
    <row r="2035" spans="1:54" x14ac:dyDescent="0.35">
      <c r="A2035" s="66" t="s">
        <v>1269</v>
      </c>
      <c r="B2035" s="66" t="s">
        <v>1269</v>
      </c>
      <c r="C2035" s="67"/>
      <c r="D2035" s="68"/>
      <c r="E2035" s="69"/>
      <c r="F2035" s="70"/>
      <c r="G2035" s="67"/>
      <c r="H2035" s="71"/>
      <c r="I2035" s="72"/>
      <c r="J2035" s="72"/>
      <c r="K2035" s="36"/>
      <c r="L2035" s="79"/>
      <c r="M2035" s="79"/>
      <c r="N2035" s="74"/>
      <c r="O2035" s="81" t="s">
        <v>179</v>
      </c>
      <c r="P2035" s="83">
        <v>44461.739918981482</v>
      </c>
      <c r="Q2035" s="81" t="s">
        <v>2449</v>
      </c>
      <c r="R2035" s="81"/>
      <c r="S2035" s="81"/>
      <c r="T2035" s="81"/>
      <c r="U2035" s="81"/>
      <c r="V2035" s="84" t="str">
        <f>HYPERLINK("https://pbs.twimg.com/profile_images/378800000705328795/304bfd91ee90011498fd092cc79a423e_normal.jpeg")</f>
        <v>https://pbs.twimg.com/profile_images/378800000705328795/304bfd91ee90011498fd092cc79a423e_normal.jpeg</v>
      </c>
      <c r="W2035" s="83">
        <v>44461.739918981482</v>
      </c>
      <c r="X2035" s="89">
        <v>44461</v>
      </c>
      <c r="Y2035" s="86" t="s">
        <v>4126</v>
      </c>
      <c r="Z2035" s="84" t="str">
        <f>HYPERLINK("https://twitter.com/pos_indonesia/status/1440734007461748747")</f>
        <v>https://twitter.com/pos_indonesia/status/1440734007461748747</v>
      </c>
      <c r="AA2035" s="81"/>
      <c r="AB2035" s="81"/>
      <c r="AC2035" s="86" t="s">
        <v>5718</v>
      </c>
      <c r="AD2035" s="81"/>
      <c r="AE2035" s="81" t="b">
        <v>0</v>
      </c>
      <c r="AF2035" s="81">
        <v>1</v>
      </c>
      <c r="AG2035" s="86" t="s">
        <v>6240</v>
      </c>
      <c r="AH2035" s="81" t="b">
        <v>0</v>
      </c>
      <c r="AI2035" s="81" t="s">
        <v>6479</v>
      </c>
      <c r="AJ2035" s="81"/>
      <c r="AK2035" s="86" t="s">
        <v>6240</v>
      </c>
      <c r="AL2035" s="81" t="b">
        <v>0</v>
      </c>
      <c r="AM2035" s="81">
        <v>1</v>
      </c>
      <c r="AN2035" s="86" t="s">
        <v>6240</v>
      </c>
      <c r="AO2035" s="86" t="s">
        <v>6506</v>
      </c>
      <c r="AP2035" s="81" t="b">
        <v>0</v>
      </c>
      <c r="AQ2035" s="86" t="s">
        <v>5718</v>
      </c>
      <c r="AR2035" s="81" t="s">
        <v>179</v>
      </c>
      <c r="AS2035" s="81">
        <v>0</v>
      </c>
      <c r="AT2035" s="81">
        <v>0</v>
      </c>
      <c r="AU2035" s="81"/>
      <c r="AV2035" s="81"/>
      <c r="AW2035" s="81"/>
      <c r="AX2035" s="81"/>
      <c r="AY2035" s="81"/>
      <c r="AZ2035" s="81"/>
      <c r="BA2035" s="81"/>
      <c r="BB2035" s="81"/>
    </row>
    <row r="2036" spans="1:54" x14ac:dyDescent="0.35">
      <c r="A2036" s="66" t="s">
        <v>1269</v>
      </c>
      <c r="B2036" s="66" t="s">
        <v>1269</v>
      </c>
      <c r="C2036" s="67"/>
      <c r="D2036" s="68"/>
      <c r="E2036" s="69"/>
      <c r="F2036" s="70"/>
      <c r="G2036" s="67"/>
      <c r="H2036" s="71"/>
      <c r="I2036" s="72"/>
      <c r="J2036" s="72"/>
      <c r="K2036" s="36"/>
      <c r="L2036" s="79"/>
      <c r="M2036" s="79"/>
      <c r="N2036" s="74"/>
      <c r="O2036" s="81" t="s">
        <v>179</v>
      </c>
      <c r="P2036" s="83">
        <v>44461.760775462964</v>
      </c>
      <c r="Q2036" s="81" t="s">
        <v>2450</v>
      </c>
      <c r="R2036" s="81"/>
      <c r="S2036" s="81"/>
      <c r="T2036" s="81"/>
      <c r="U2036" s="81"/>
      <c r="V2036" s="84" t="str">
        <f>HYPERLINK("https://pbs.twimg.com/profile_images/378800000705328795/304bfd91ee90011498fd092cc79a423e_normal.jpeg")</f>
        <v>https://pbs.twimg.com/profile_images/378800000705328795/304bfd91ee90011498fd092cc79a423e_normal.jpeg</v>
      </c>
      <c r="W2036" s="83">
        <v>44461.760775462964</v>
      </c>
      <c r="X2036" s="89">
        <v>44461</v>
      </c>
      <c r="Y2036" s="86" t="s">
        <v>4056</v>
      </c>
      <c r="Z2036" s="84" t="str">
        <f>HYPERLINK("https://twitter.com/pos_indonesia/status/1440741564762910722")</f>
        <v>https://twitter.com/pos_indonesia/status/1440741564762910722</v>
      </c>
      <c r="AA2036" s="81"/>
      <c r="AB2036" s="81"/>
      <c r="AC2036" s="86" t="s">
        <v>5719</v>
      </c>
      <c r="AD2036" s="81"/>
      <c r="AE2036" s="81" t="b">
        <v>0</v>
      </c>
      <c r="AF2036" s="81">
        <v>0</v>
      </c>
      <c r="AG2036" s="86" t="s">
        <v>6240</v>
      </c>
      <c r="AH2036" s="81" t="b">
        <v>0</v>
      </c>
      <c r="AI2036" s="81" t="s">
        <v>6479</v>
      </c>
      <c r="AJ2036" s="81"/>
      <c r="AK2036" s="86" t="s">
        <v>6240</v>
      </c>
      <c r="AL2036" s="81" t="b">
        <v>0</v>
      </c>
      <c r="AM2036" s="81">
        <v>0</v>
      </c>
      <c r="AN2036" s="86" t="s">
        <v>6240</v>
      </c>
      <c r="AO2036" s="86" t="s">
        <v>6506</v>
      </c>
      <c r="AP2036" s="81" t="b">
        <v>0</v>
      </c>
      <c r="AQ2036" s="86" t="s">
        <v>5719</v>
      </c>
      <c r="AR2036" s="81" t="s">
        <v>179</v>
      </c>
      <c r="AS2036" s="81">
        <v>0</v>
      </c>
      <c r="AT2036" s="81">
        <v>0</v>
      </c>
      <c r="AU2036" s="81"/>
      <c r="AV2036" s="81"/>
      <c r="AW2036" s="81"/>
      <c r="AX2036" s="81"/>
      <c r="AY2036" s="81"/>
      <c r="AZ2036" s="81"/>
      <c r="BA2036" s="81"/>
      <c r="BB2036" s="81"/>
    </row>
    <row r="2037" spans="1:54" x14ac:dyDescent="0.35">
      <c r="A2037" s="66" t="s">
        <v>1269</v>
      </c>
      <c r="B2037" s="66" t="s">
        <v>1269</v>
      </c>
      <c r="C2037" s="67"/>
      <c r="D2037" s="68"/>
      <c r="E2037" s="69"/>
      <c r="F2037" s="70"/>
      <c r="G2037" s="67"/>
      <c r="H2037" s="71"/>
      <c r="I2037" s="72"/>
      <c r="J2037" s="72"/>
      <c r="K2037" s="36"/>
      <c r="L2037" s="79"/>
      <c r="M2037" s="79"/>
      <c r="N2037" s="74"/>
      <c r="O2037" s="81" t="s">
        <v>179</v>
      </c>
      <c r="P2037" s="83">
        <v>44461.781585648147</v>
      </c>
      <c r="Q2037" s="81" t="s">
        <v>2451</v>
      </c>
      <c r="R2037" s="81"/>
      <c r="S2037" s="81"/>
      <c r="T2037" s="81"/>
      <c r="U2037" s="81"/>
      <c r="V2037" s="84" t="str">
        <f>HYPERLINK("https://pbs.twimg.com/profile_images/378800000705328795/304bfd91ee90011498fd092cc79a423e_normal.jpeg")</f>
        <v>https://pbs.twimg.com/profile_images/378800000705328795/304bfd91ee90011498fd092cc79a423e_normal.jpeg</v>
      </c>
      <c r="W2037" s="83">
        <v>44461.781585648147</v>
      </c>
      <c r="X2037" s="89">
        <v>44461</v>
      </c>
      <c r="Y2037" s="86" t="s">
        <v>4102</v>
      </c>
      <c r="Z2037" s="84" t="str">
        <f>HYPERLINK("https://twitter.com/pos_indonesia/status/1440749106935132162")</f>
        <v>https://twitter.com/pos_indonesia/status/1440749106935132162</v>
      </c>
      <c r="AA2037" s="81"/>
      <c r="AB2037" s="81"/>
      <c r="AC2037" s="86" t="s">
        <v>5720</v>
      </c>
      <c r="AD2037" s="81"/>
      <c r="AE2037" s="81" t="b">
        <v>0</v>
      </c>
      <c r="AF2037" s="81">
        <v>0</v>
      </c>
      <c r="AG2037" s="86" t="s">
        <v>6240</v>
      </c>
      <c r="AH2037" s="81" t="b">
        <v>0</v>
      </c>
      <c r="AI2037" s="81" t="s">
        <v>6479</v>
      </c>
      <c r="AJ2037" s="81"/>
      <c r="AK2037" s="86" t="s">
        <v>6240</v>
      </c>
      <c r="AL2037" s="81" t="b">
        <v>0</v>
      </c>
      <c r="AM2037" s="81">
        <v>0</v>
      </c>
      <c r="AN2037" s="86" t="s">
        <v>6240</v>
      </c>
      <c r="AO2037" s="86" t="s">
        <v>6506</v>
      </c>
      <c r="AP2037" s="81" t="b">
        <v>0</v>
      </c>
      <c r="AQ2037" s="86" t="s">
        <v>5720</v>
      </c>
      <c r="AR2037" s="81" t="s">
        <v>179</v>
      </c>
      <c r="AS2037" s="81">
        <v>0</v>
      </c>
      <c r="AT2037" s="81">
        <v>0</v>
      </c>
      <c r="AU2037" s="81"/>
      <c r="AV2037" s="81"/>
      <c r="AW2037" s="81"/>
      <c r="AX2037" s="81"/>
      <c r="AY2037" s="81"/>
      <c r="AZ2037" s="81"/>
      <c r="BA2037" s="81"/>
      <c r="BB2037" s="81"/>
    </row>
    <row r="2038" spans="1:54" x14ac:dyDescent="0.35">
      <c r="A2038" s="66" t="s">
        <v>1269</v>
      </c>
      <c r="B2038" s="66" t="s">
        <v>1269</v>
      </c>
      <c r="C2038" s="67"/>
      <c r="D2038" s="68"/>
      <c r="E2038" s="69"/>
      <c r="F2038" s="70"/>
      <c r="G2038" s="67"/>
      <c r="H2038" s="71"/>
      <c r="I2038" s="72"/>
      <c r="J2038" s="72"/>
      <c r="K2038" s="36"/>
      <c r="L2038" s="79"/>
      <c r="M2038" s="79"/>
      <c r="N2038" s="74"/>
      <c r="O2038" s="81" t="s">
        <v>179</v>
      </c>
      <c r="P2038" s="83">
        <v>44461.802430555559</v>
      </c>
      <c r="Q2038" s="81" t="s">
        <v>2452</v>
      </c>
      <c r="R2038" s="81"/>
      <c r="S2038" s="81"/>
      <c r="T2038" s="81"/>
      <c r="U2038" s="81"/>
      <c r="V2038" s="84" t="str">
        <f>HYPERLINK("https://pbs.twimg.com/profile_images/378800000705328795/304bfd91ee90011498fd092cc79a423e_normal.jpeg")</f>
        <v>https://pbs.twimg.com/profile_images/378800000705328795/304bfd91ee90011498fd092cc79a423e_normal.jpeg</v>
      </c>
      <c r="W2038" s="83">
        <v>44461.802430555559</v>
      </c>
      <c r="X2038" s="89">
        <v>44461</v>
      </c>
      <c r="Y2038" s="86" t="s">
        <v>4058</v>
      </c>
      <c r="Z2038" s="84" t="str">
        <f>HYPERLINK("https://twitter.com/pos_indonesia/status/1440756659291246592")</f>
        <v>https://twitter.com/pos_indonesia/status/1440756659291246592</v>
      </c>
      <c r="AA2038" s="81"/>
      <c r="AB2038" s="81"/>
      <c r="AC2038" s="86" t="s">
        <v>5721</v>
      </c>
      <c r="AD2038" s="81"/>
      <c r="AE2038" s="81" t="b">
        <v>0</v>
      </c>
      <c r="AF2038" s="81">
        <v>0</v>
      </c>
      <c r="AG2038" s="86" t="s">
        <v>6240</v>
      </c>
      <c r="AH2038" s="81" t="b">
        <v>0</v>
      </c>
      <c r="AI2038" s="81" t="s">
        <v>6479</v>
      </c>
      <c r="AJ2038" s="81"/>
      <c r="AK2038" s="86" t="s">
        <v>6240</v>
      </c>
      <c r="AL2038" s="81" t="b">
        <v>0</v>
      </c>
      <c r="AM2038" s="81">
        <v>0</v>
      </c>
      <c r="AN2038" s="86" t="s">
        <v>6240</v>
      </c>
      <c r="AO2038" s="86" t="s">
        <v>6506</v>
      </c>
      <c r="AP2038" s="81" t="b">
        <v>0</v>
      </c>
      <c r="AQ2038" s="86" t="s">
        <v>5721</v>
      </c>
      <c r="AR2038" s="81" t="s">
        <v>179</v>
      </c>
      <c r="AS2038" s="81">
        <v>0</v>
      </c>
      <c r="AT2038" s="81">
        <v>0</v>
      </c>
      <c r="AU2038" s="81"/>
      <c r="AV2038" s="81"/>
      <c r="AW2038" s="81"/>
      <c r="AX2038" s="81"/>
      <c r="AY2038" s="81"/>
      <c r="AZ2038" s="81"/>
      <c r="BA2038" s="81"/>
      <c r="BB2038" s="81"/>
    </row>
    <row r="2039" spans="1:54" x14ac:dyDescent="0.35">
      <c r="A2039" s="66" t="s">
        <v>1269</v>
      </c>
      <c r="B2039" s="66" t="s">
        <v>1269</v>
      </c>
      <c r="C2039" s="67"/>
      <c r="D2039" s="68"/>
      <c r="E2039" s="69"/>
      <c r="F2039" s="70"/>
      <c r="G2039" s="67"/>
      <c r="H2039" s="71"/>
      <c r="I2039" s="72"/>
      <c r="J2039" s="72"/>
      <c r="K2039" s="36"/>
      <c r="L2039" s="79"/>
      <c r="M2039" s="79"/>
      <c r="N2039" s="74"/>
      <c r="O2039" s="81" t="s">
        <v>179</v>
      </c>
      <c r="P2039" s="83">
        <v>44461.823240740741</v>
      </c>
      <c r="Q2039" s="81" t="s">
        <v>2453</v>
      </c>
      <c r="R2039" s="81"/>
      <c r="S2039" s="81"/>
      <c r="T2039" s="81"/>
      <c r="U2039" s="81"/>
      <c r="V2039" s="84" t="str">
        <f>HYPERLINK("https://pbs.twimg.com/profile_images/378800000705328795/304bfd91ee90011498fd092cc79a423e_normal.jpeg")</f>
        <v>https://pbs.twimg.com/profile_images/378800000705328795/304bfd91ee90011498fd092cc79a423e_normal.jpeg</v>
      </c>
      <c r="W2039" s="83">
        <v>44461.823240740741</v>
      </c>
      <c r="X2039" s="89">
        <v>44461</v>
      </c>
      <c r="Y2039" s="86" t="s">
        <v>4103</v>
      </c>
      <c r="Z2039" s="84" t="str">
        <f>HYPERLINK("https://twitter.com/pos_indonesia/status/1440764203820732417")</f>
        <v>https://twitter.com/pos_indonesia/status/1440764203820732417</v>
      </c>
      <c r="AA2039" s="81"/>
      <c r="AB2039" s="81"/>
      <c r="AC2039" s="86" t="s">
        <v>5722</v>
      </c>
      <c r="AD2039" s="81"/>
      <c r="AE2039" s="81" t="b">
        <v>0</v>
      </c>
      <c r="AF2039" s="81">
        <v>0</v>
      </c>
      <c r="AG2039" s="86" t="s">
        <v>6240</v>
      </c>
      <c r="AH2039" s="81" t="b">
        <v>0</v>
      </c>
      <c r="AI2039" s="81" t="s">
        <v>6479</v>
      </c>
      <c r="AJ2039" s="81"/>
      <c r="AK2039" s="86" t="s">
        <v>6240</v>
      </c>
      <c r="AL2039" s="81" t="b">
        <v>0</v>
      </c>
      <c r="AM2039" s="81">
        <v>0</v>
      </c>
      <c r="AN2039" s="86" t="s">
        <v>6240</v>
      </c>
      <c r="AO2039" s="86" t="s">
        <v>6506</v>
      </c>
      <c r="AP2039" s="81" t="b">
        <v>0</v>
      </c>
      <c r="AQ2039" s="86" t="s">
        <v>5722</v>
      </c>
      <c r="AR2039" s="81" t="s">
        <v>179</v>
      </c>
      <c r="AS2039" s="81">
        <v>0</v>
      </c>
      <c r="AT2039" s="81">
        <v>0</v>
      </c>
      <c r="AU2039" s="81"/>
      <c r="AV2039" s="81"/>
      <c r="AW2039" s="81"/>
      <c r="AX2039" s="81"/>
      <c r="AY2039" s="81"/>
      <c r="AZ2039" s="81"/>
      <c r="BA2039" s="81"/>
      <c r="BB2039" s="81"/>
    </row>
    <row r="2040" spans="1:54" x14ac:dyDescent="0.35">
      <c r="A2040" s="66" t="s">
        <v>1269</v>
      </c>
      <c r="B2040" s="66" t="s">
        <v>1269</v>
      </c>
      <c r="C2040" s="67"/>
      <c r="D2040" s="68"/>
      <c r="E2040" s="69"/>
      <c r="F2040" s="70"/>
      <c r="G2040" s="67"/>
      <c r="H2040" s="71"/>
      <c r="I2040" s="72"/>
      <c r="J2040" s="72"/>
      <c r="K2040" s="36"/>
      <c r="L2040" s="79"/>
      <c r="M2040" s="79"/>
      <c r="N2040" s="74"/>
      <c r="O2040" s="81" t="s">
        <v>179</v>
      </c>
      <c r="P2040" s="83">
        <v>44461.844108796293</v>
      </c>
      <c r="Q2040" s="81" t="s">
        <v>2454</v>
      </c>
      <c r="R2040" s="81"/>
      <c r="S2040" s="81"/>
      <c r="T2040" s="81"/>
      <c r="U2040" s="81"/>
      <c r="V2040" s="84" t="str">
        <f>HYPERLINK("https://pbs.twimg.com/profile_images/378800000705328795/304bfd91ee90011498fd092cc79a423e_normal.jpeg")</f>
        <v>https://pbs.twimg.com/profile_images/378800000705328795/304bfd91ee90011498fd092cc79a423e_normal.jpeg</v>
      </c>
      <c r="W2040" s="83">
        <v>44461.844108796293</v>
      </c>
      <c r="X2040" s="89">
        <v>44461</v>
      </c>
      <c r="Y2040" s="86" t="s">
        <v>4149</v>
      </c>
      <c r="Z2040" s="84" t="str">
        <f>HYPERLINK("https://twitter.com/pos_indonesia/status/1440771765412663303")</f>
        <v>https://twitter.com/pos_indonesia/status/1440771765412663303</v>
      </c>
      <c r="AA2040" s="81"/>
      <c r="AB2040" s="81"/>
      <c r="AC2040" s="86" t="s">
        <v>5723</v>
      </c>
      <c r="AD2040" s="81"/>
      <c r="AE2040" s="81" t="b">
        <v>0</v>
      </c>
      <c r="AF2040" s="81">
        <v>0</v>
      </c>
      <c r="AG2040" s="86" t="s">
        <v>6240</v>
      </c>
      <c r="AH2040" s="81" t="b">
        <v>0</v>
      </c>
      <c r="AI2040" s="81" t="s">
        <v>6479</v>
      </c>
      <c r="AJ2040" s="81"/>
      <c r="AK2040" s="86" t="s">
        <v>6240</v>
      </c>
      <c r="AL2040" s="81" t="b">
        <v>0</v>
      </c>
      <c r="AM2040" s="81">
        <v>0</v>
      </c>
      <c r="AN2040" s="86" t="s">
        <v>6240</v>
      </c>
      <c r="AO2040" s="86" t="s">
        <v>6506</v>
      </c>
      <c r="AP2040" s="81" t="b">
        <v>0</v>
      </c>
      <c r="AQ2040" s="86" t="s">
        <v>5723</v>
      </c>
      <c r="AR2040" s="81" t="s">
        <v>179</v>
      </c>
      <c r="AS2040" s="81">
        <v>0</v>
      </c>
      <c r="AT2040" s="81">
        <v>0</v>
      </c>
      <c r="AU2040" s="81"/>
      <c r="AV2040" s="81"/>
      <c r="AW2040" s="81"/>
      <c r="AX2040" s="81"/>
      <c r="AY2040" s="81"/>
      <c r="AZ2040" s="81"/>
      <c r="BA2040" s="81"/>
      <c r="BB2040" s="81"/>
    </row>
    <row r="2041" spans="1:54" x14ac:dyDescent="0.35">
      <c r="A2041" s="66" t="s">
        <v>1269</v>
      </c>
      <c r="B2041" s="66" t="s">
        <v>1269</v>
      </c>
      <c r="C2041" s="67"/>
      <c r="D2041" s="68"/>
      <c r="E2041" s="69"/>
      <c r="F2041" s="70"/>
      <c r="G2041" s="67"/>
      <c r="H2041" s="71"/>
      <c r="I2041" s="72"/>
      <c r="J2041" s="72"/>
      <c r="K2041" s="36"/>
      <c r="L2041" s="79"/>
      <c r="M2041" s="79"/>
      <c r="N2041" s="74"/>
      <c r="O2041" s="81" t="s">
        <v>179</v>
      </c>
      <c r="P2041" s="83">
        <v>44461.864953703705</v>
      </c>
      <c r="Q2041" s="81" t="s">
        <v>2455</v>
      </c>
      <c r="R2041" s="81"/>
      <c r="S2041" s="81"/>
      <c r="T2041" s="81"/>
      <c r="U2041" s="81"/>
      <c r="V2041" s="84" t="str">
        <f>HYPERLINK("https://pbs.twimg.com/profile_images/378800000705328795/304bfd91ee90011498fd092cc79a423e_normal.jpeg")</f>
        <v>https://pbs.twimg.com/profile_images/378800000705328795/304bfd91ee90011498fd092cc79a423e_normal.jpeg</v>
      </c>
      <c r="W2041" s="83">
        <v>44461.864953703705</v>
      </c>
      <c r="X2041" s="89">
        <v>44461</v>
      </c>
      <c r="Y2041" s="86" t="s">
        <v>4127</v>
      </c>
      <c r="Z2041" s="84" t="str">
        <f>HYPERLINK("https://twitter.com/pos_indonesia/status/1440779318053855236")</f>
        <v>https://twitter.com/pos_indonesia/status/1440779318053855236</v>
      </c>
      <c r="AA2041" s="81"/>
      <c r="AB2041" s="81"/>
      <c r="AC2041" s="86" t="s">
        <v>5724</v>
      </c>
      <c r="AD2041" s="81"/>
      <c r="AE2041" s="81" t="b">
        <v>0</v>
      </c>
      <c r="AF2041" s="81">
        <v>0</v>
      </c>
      <c r="AG2041" s="86" t="s">
        <v>6240</v>
      </c>
      <c r="AH2041" s="81" t="b">
        <v>0</v>
      </c>
      <c r="AI2041" s="81" t="s">
        <v>6479</v>
      </c>
      <c r="AJ2041" s="81"/>
      <c r="AK2041" s="86" t="s">
        <v>6240</v>
      </c>
      <c r="AL2041" s="81" t="b">
        <v>0</v>
      </c>
      <c r="AM2041" s="81">
        <v>0</v>
      </c>
      <c r="AN2041" s="86" t="s">
        <v>6240</v>
      </c>
      <c r="AO2041" s="86" t="s">
        <v>6506</v>
      </c>
      <c r="AP2041" s="81" t="b">
        <v>0</v>
      </c>
      <c r="AQ2041" s="86" t="s">
        <v>5724</v>
      </c>
      <c r="AR2041" s="81" t="s">
        <v>179</v>
      </c>
      <c r="AS2041" s="81">
        <v>0</v>
      </c>
      <c r="AT2041" s="81">
        <v>0</v>
      </c>
      <c r="AU2041" s="81"/>
      <c r="AV2041" s="81"/>
      <c r="AW2041" s="81"/>
      <c r="AX2041" s="81"/>
      <c r="AY2041" s="81"/>
      <c r="AZ2041" s="81"/>
      <c r="BA2041" s="81"/>
      <c r="BB2041" s="81"/>
    </row>
    <row r="2042" spans="1:54" x14ac:dyDescent="0.35">
      <c r="A2042" s="66" t="s">
        <v>1269</v>
      </c>
      <c r="B2042" s="66" t="s">
        <v>1269</v>
      </c>
      <c r="C2042" s="67"/>
      <c r="D2042" s="68"/>
      <c r="E2042" s="69"/>
      <c r="F2042" s="70"/>
      <c r="G2042" s="67"/>
      <c r="H2042" s="71"/>
      <c r="I2042" s="72"/>
      <c r="J2042" s="72"/>
      <c r="K2042" s="36"/>
      <c r="L2042" s="79"/>
      <c r="M2042" s="79"/>
      <c r="N2042" s="74"/>
      <c r="O2042" s="81" t="s">
        <v>179</v>
      </c>
      <c r="P2042" s="83">
        <v>44461.885763888888</v>
      </c>
      <c r="Q2042" s="81" t="s">
        <v>2456</v>
      </c>
      <c r="R2042" s="81"/>
      <c r="S2042" s="81"/>
      <c r="T2042" s="81"/>
      <c r="U2042" s="81"/>
      <c r="V2042" s="84" t="str">
        <f>HYPERLINK("https://pbs.twimg.com/profile_images/378800000705328795/304bfd91ee90011498fd092cc79a423e_normal.jpeg")</f>
        <v>https://pbs.twimg.com/profile_images/378800000705328795/304bfd91ee90011498fd092cc79a423e_normal.jpeg</v>
      </c>
      <c r="W2042" s="83">
        <v>44461.885763888888</v>
      </c>
      <c r="X2042" s="89">
        <v>44461</v>
      </c>
      <c r="Y2042" s="86" t="s">
        <v>4128</v>
      </c>
      <c r="Z2042" s="84" t="str">
        <f>HYPERLINK("https://twitter.com/pos_indonesia/status/1440786858175176714")</f>
        <v>https://twitter.com/pos_indonesia/status/1440786858175176714</v>
      </c>
      <c r="AA2042" s="81"/>
      <c r="AB2042" s="81"/>
      <c r="AC2042" s="86" t="s">
        <v>5725</v>
      </c>
      <c r="AD2042" s="81"/>
      <c r="AE2042" s="81" t="b">
        <v>0</v>
      </c>
      <c r="AF2042" s="81">
        <v>0</v>
      </c>
      <c r="AG2042" s="86" t="s">
        <v>6240</v>
      </c>
      <c r="AH2042" s="81" t="b">
        <v>0</v>
      </c>
      <c r="AI2042" s="81" t="s">
        <v>6479</v>
      </c>
      <c r="AJ2042" s="81"/>
      <c r="AK2042" s="86" t="s">
        <v>6240</v>
      </c>
      <c r="AL2042" s="81" t="b">
        <v>0</v>
      </c>
      <c r="AM2042" s="81">
        <v>0</v>
      </c>
      <c r="AN2042" s="86" t="s">
        <v>6240</v>
      </c>
      <c r="AO2042" s="86" t="s">
        <v>6506</v>
      </c>
      <c r="AP2042" s="81" t="b">
        <v>0</v>
      </c>
      <c r="AQ2042" s="86" t="s">
        <v>5725</v>
      </c>
      <c r="AR2042" s="81" t="s">
        <v>179</v>
      </c>
      <c r="AS2042" s="81">
        <v>0</v>
      </c>
      <c r="AT2042" s="81">
        <v>0</v>
      </c>
      <c r="AU2042" s="81"/>
      <c r="AV2042" s="81"/>
      <c r="AW2042" s="81"/>
      <c r="AX2042" s="81"/>
      <c r="AY2042" s="81"/>
      <c r="AZ2042" s="81"/>
      <c r="BA2042" s="81"/>
      <c r="BB2042" s="81"/>
    </row>
    <row r="2043" spans="1:54" x14ac:dyDescent="0.35">
      <c r="A2043" s="66" t="s">
        <v>1269</v>
      </c>
      <c r="B2043" s="66" t="s">
        <v>1269</v>
      </c>
      <c r="C2043" s="67"/>
      <c r="D2043" s="68"/>
      <c r="E2043" s="69"/>
      <c r="F2043" s="70"/>
      <c r="G2043" s="67"/>
      <c r="H2043" s="71"/>
      <c r="I2043" s="72"/>
      <c r="J2043" s="72"/>
      <c r="K2043" s="36"/>
      <c r="L2043" s="79"/>
      <c r="M2043" s="79"/>
      <c r="N2043" s="74"/>
      <c r="O2043" s="81" t="s">
        <v>179</v>
      </c>
      <c r="P2043" s="83">
        <v>44461.906585648147</v>
      </c>
      <c r="Q2043" s="81" t="s">
        <v>2457</v>
      </c>
      <c r="R2043" s="81"/>
      <c r="S2043" s="81"/>
      <c r="T2043" s="81"/>
      <c r="U2043" s="81"/>
      <c r="V2043" s="84" t="str">
        <f>HYPERLINK("https://pbs.twimg.com/profile_images/378800000705328795/304bfd91ee90011498fd092cc79a423e_normal.jpeg")</f>
        <v>https://pbs.twimg.com/profile_images/378800000705328795/304bfd91ee90011498fd092cc79a423e_normal.jpeg</v>
      </c>
      <c r="W2043" s="83">
        <v>44461.906585648147</v>
      </c>
      <c r="X2043" s="89">
        <v>44461</v>
      </c>
      <c r="Y2043" s="86" t="s">
        <v>4063</v>
      </c>
      <c r="Z2043" s="84" t="str">
        <f>HYPERLINK("https://twitter.com/pos_indonesia/status/1440794404696965130")</f>
        <v>https://twitter.com/pos_indonesia/status/1440794404696965130</v>
      </c>
      <c r="AA2043" s="81"/>
      <c r="AB2043" s="81"/>
      <c r="AC2043" s="86" t="s">
        <v>5726</v>
      </c>
      <c r="AD2043" s="81"/>
      <c r="AE2043" s="81" t="b">
        <v>0</v>
      </c>
      <c r="AF2043" s="81">
        <v>0</v>
      </c>
      <c r="AG2043" s="86" t="s">
        <v>6240</v>
      </c>
      <c r="AH2043" s="81" t="b">
        <v>0</v>
      </c>
      <c r="AI2043" s="81" t="s">
        <v>6479</v>
      </c>
      <c r="AJ2043" s="81"/>
      <c r="AK2043" s="86" t="s">
        <v>6240</v>
      </c>
      <c r="AL2043" s="81" t="b">
        <v>0</v>
      </c>
      <c r="AM2043" s="81">
        <v>0</v>
      </c>
      <c r="AN2043" s="86" t="s">
        <v>6240</v>
      </c>
      <c r="AO2043" s="86" t="s">
        <v>6506</v>
      </c>
      <c r="AP2043" s="81" t="b">
        <v>0</v>
      </c>
      <c r="AQ2043" s="86" t="s">
        <v>5726</v>
      </c>
      <c r="AR2043" s="81" t="s">
        <v>179</v>
      </c>
      <c r="AS2043" s="81">
        <v>0</v>
      </c>
      <c r="AT2043" s="81">
        <v>0</v>
      </c>
      <c r="AU2043" s="81"/>
      <c r="AV2043" s="81"/>
      <c r="AW2043" s="81"/>
      <c r="AX2043" s="81"/>
      <c r="AY2043" s="81"/>
      <c r="AZ2043" s="81"/>
      <c r="BA2043" s="81"/>
      <c r="BB2043" s="81"/>
    </row>
    <row r="2044" spans="1:54" x14ac:dyDescent="0.35">
      <c r="A2044" s="66" t="s">
        <v>1269</v>
      </c>
      <c r="B2044" s="66" t="s">
        <v>1269</v>
      </c>
      <c r="C2044" s="67"/>
      <c r="D2044" s="68"/>
      <c r="E2044" s="69"/>
      <c r="F2044" s="70"/>
      <c r="G2044" s="67"/>
      <c r="H2044" s="71"/>
      <c r="I2044" s="72"/>
      <c r="J2044" s="72"/>
      <c r="K2044" s="36"/>
      <c r="L2044" s="79"/>
      <c r="M2044" s="79"/>
      <c r="N2044" s="74"/>
      <c r="O2044" s="81" t="s">
        <v>179</v>
      </c>
      <c r="P2044" s="83">
        <v>44461.927442129629</v>
      </c>
      <c r="Q2044" s="81" t="s">
        <v>2458</v>
      </c>
      <c r="R2044" s="81"/>
      <c r="S2044" s="81"/>
      <c r="T2044" s="81"/>
      <c r="U2044" s="81"/>
      <c r="V2044" s="84" t="str">
        <f>HYPERLINK("https://pbs.twimg.com/profile_images/378800000705328795/304bfd91ee90011498fd092cc79a423e_normal.jpeg")</f>
        <v>https://pbs.twimg.com/profile_images/378800000705328795/304bfd91ee90011498fd092cc79a423e_normal.jpeg</v>
      </c>
      <c r="W2044" s="83">
        <v>44461.927442129629</v>
      </c>
      <c r="X2044" s="89">
        <v>44461</v>
      </c>
      <c r="Y2044" s="86" t="s">
        <v>4064</v>
      </c>
      <c r="Z2044" s="84" t="str">
        <f>HYPERLINK("https://twitter.com/pos_indonesia/status/1440801962753081346")</f>
        <v>https://twitter.com/pos_indonesia/status/1440801962753081346</v>
      </c>
      <c r="AA2044" s="81"/>
      <c r="AB2044" s="81"/>
      <c r="AC2044" s="86" t="s">
        <v>5727</v>
      </c>
      <c r="AD2044" s="81"/>
      <c r="AE2044" s="81" t="b">
        <v>0</v>
      </c>
      <c r="AF2044" s="81">
        <v>0</v>
      </c>
      <c r="AG2044" s="86" t="s">
        <v>6240</v>
      </c>
      <c r="AH2044" s="81" t="b">
        <v>0</v>
      </c>
      <c r="AI2044" s="81" t="s">
        <v>6479</v>
      </c>
      <c r="AJ2044" s="81"/>
      <c r="AK2044" s="86" t="s">
        <v>6240</v>
      </c>
      <c r="AL2044" s="81" t="b">
        <v>0</v>
      </c>
      <c r="AM2044" s="81">
        <v>0</v>
      </c>
      <c r="AN2044" s="86" t="s">
        <v>6240</v>
      </c>
      <c r="AO2044" s="86" t="s">
        <v>6506</v>
      </c>
      <c r="AP2044" s="81" t="b">
        <v>0</v>
      </c>
      <c r="AQ2044" s="86" t="s">
        <v>5727</v>
      </c>
      <c r="AR2044" s="81" t="s">
        <v>179</v>
      </c>
      <c r="AS2044" s="81">
        <v>0</v>
      </c>
      <c r="AT2044" s="81">
        <v>0</v>
      </c>
      <c r="AU2044" s="81"/>
      <c r="AV2044" s="81"/>
      <c r="AW2044" s="81"/>
      <c r="AX2044" s="81"/>
      <c r="AY2044" s="81"/>
      <c r="AZ2044" s="81"/>
      <c r="BA2044" s="81"/>
      <c r="BB2044" s="81"/>
    </row>
    <row r="2045" spans="1:54" x14ac:dyDescent="0.35">
      <c r="A2045" s="66" t="s">
        <v>1269</v>
      </c>
      <c r="B2045" s="66" t="s">
        <v>1269</v>
      </c>
      <c r="C2045" s="67"/>
      <c r="D2045" s="68"/>
      <c r="E2045" s="69"/>
      <c r="F2045" s="70"/>
      <c r="G2045" s="67"/>
      <c r="H2045" s="71"/>
      <c r="I2045" s="72"/>
      <c r="J2045" s="72"/>
      <c r="K2045" s="36"/>
      <c r="L2045" s="79"/>
      <c r="M2045" s="79"/>
      <c r="N2045" s="74"/>
      <c r="O2045" s="81" t="s">
        <v>179</v>
      </c>
      <c r="P2045" s="83">
        <v>44461.948240740741</v>
      </c>
      <c r="Q2045" s="81" t="s">
        <v>2298</v>
      </c>
      <c r="R2045" s="81"/>
      <c r="S2045" s="81"/>
      <c r="T2045" s="81"/>
      <c r="U2045" s="81"/>
      <c r="V2045" s="84" t="str">
        <f>HYPERLINK("https://pbs.twimg.com/profile_images/378800000705328795/304bfd91ee90011498fd092cc79a423e_normal.jpeg")</f>
        <v>https://pbs.twimg.com/profile_images/378800000705328795/304bfd91ee90011498fd092cc79a423e_normal.jpeg</v>
      </c>
      <c r="W2045" s="83">
        <v>44461.948240740741</v>
      </c>
      <c r="X2045" s="89">
        <v>44461</v>
      </c>
      <c r="Y2045" s="86" t="s">
        <v>4106</v>
      </c>
      <c r="Z2045" s="84" t="str">
        <f>HYPERLINK("https://twitter.com/pos_indonesia/status/1440809501033054210")</f>
        <v>https://twitter.com/pos_indonesia/status/1440809501033054210</v>
      </c>
      <c r="AA2045" s="81"/>
      <c r="AB2045" s="81"/>
      <c r="AC2045" s="86" t="s">
        <v>5728</v>
      </c>
      <c r="AD2045" s="81"/>
      <c r="AE2045" s="81" t="b">
        <v>0</v>
      </c>
      <c r="AF2045" s="81">
        <v>0</v>
      </c>
      <c r="AG2045" s="86" t="s">
        <v>6240</v>
      </c>
      <c r="AH2045" s="81" t="b">
        <v>0</v>
      </c>
      <c r="AI2045" s="81" t="s">
        <v>6479</v>
      </c>
      <c r="AJ2045" s="81"/>
      <c r="AK2045" s="86" t="s">
        <v>6240</v>
      </c>
      <c r="AL2045" s="81" t="b">
        <v>0</v>
      </c>
      <c r="AM2045" s="81">
        <v>0</v>
      </c>
      <c r="AN2045" s="86" t="s">
        <v>6240</v>
      </c>
      <c r="AO2045" s="86" t="s">
        <v>6506</v>
      </c>
      <c r="AP2045" s="81" t="b">
        <v>0</v>
      </c>
      <c r="AQ2045" s="86" t="s">
        <v>5728</v>
      </c>
      <c r="AR2045" s="81" t="s">
        <v>179</v>
      </c>
      <c r="AS2045" s="81">
        <v>0</v>
      </c>
      <c r="AT2045" s="81">
        <v>0</v>
      </c>
      <c r="AU2045" s="81"/>
      <c r="AV2045" s="81"/>
      <c r="AW2045" s="81"/>
      <c r="AX2045" s="81"/>
      <c r="AY2045" s="81"/>
      <c r="AZ2045" s="81"/>
      <c r="BA2045" s="81"/>
      <c r="BB2045" s="81"/>
    </row>
    <row r="2046" spans="1:54" x14ac:dyDescent="0.35">
      <c r="A2046" s="66" t="s">
        <v>1269</v>
      </c>
      <c r="B2046" s="66" t="s">
        <v>1269</v>
      </c>
      <c r="C2046" s="67"/>
      <c r="D2046" s="68"/>
      <c r="E2046" s="69"/>
      <c r="F2046" s="70"/>
      <c r="G2046" s="67"/>
      <c r="H2046" s="71"/>
      <c r="I2046" s="72"/>
      <c r="J2046" s="72"/>
      <c r="K2046" s="36"/>
      <c r="L2046" s="79"/>
      <c r="M2046" s="79"/>
      <c r="N2046" s="74"/>
      <c r="O2046" s="81" t="s">
        <v>179</v>
      </c>
      <c r="P2046" s="83">
        <v>44461.989930555559</v>
      </c>
      <c r="Q2046" s="81" t="s">
        <v>2409</v>
      </c>
      <c r="R2046" s="81"/>
      <c r="S2046" s="81"/>
      <c r="T2046" s="81"/>
      <c r="U2046" s="81"/>
      <c r="V2046" s="84" t="str">
        <f>HYPERLINK("https://pbs.twimg.com/profile_images/378800000705328795/304bfd91ee90011498fd092cc79a423e_normal.jpeg")</f>
        <v>https://pbs.twimg.com/profile_images/378800000705328795/304bfd91ee90011498fd092cc79a423e_normal.jpeg</v>
      </c>
      <c r="W2046" s="83">
        <v>44461.989930555559</v>
      </c>
      <c r="X2046" s="89">
        <v>44461</v>
      </c>
      <c r="Y2046" s="86" t="s">
        <v>4150</v>
      </c>
      <c r="Z2046" s="84" t="str">
        <f>HYPERLINK("https://twitter.com/pos_indonesia/status/1440824607309647875")</f>
        <v>https://twitter.com/pos_indonesia/status/1440824607309647875</v>
      </c>
      <c r="AA2046" s="81"/>
      <c r="AB2046" s="81"/>
      <c r="AC2046" s="86" t="s">
        <v>5729</v>
      </c>
      <c r="AD2046" s="81"/>
      <c r="AE2046" s="81" t="b">
        <v>0</v>
      </c>
      <c r="AF2046" s="81">
        <v>0</v>
      </c>
      <c r="AG2046" s="86" t="s">
        <v>6240</v>
      </c>
      <c r="AH2046" s="81" t="b">
        <v>0</v>
      </c>
      <c r="AI2046" s="81" t="s">
        <v>6479</v>
      </c>
      <c r="AJ2046" s="81"/>
      <c r="AK2046" s="86" t="s">
        <v>6240</v>
      </c>
      <c r="AL2046" s="81" t="b">
        <v>0</v>
      </c>
      <c r="AM2046" s="81">
        <v>0</v>
      </c>
      <c r="AN2046" s="86" t="s">
        <v>6240</v>
      </c>
      <c r="AO2046" s="86" t="s">
        <v>6506</v>
      </c>
      <c r="AP2046" s="81" t="b">
        <v>0</v>
      </c>
      <c r="AQ2046" s="86" t="s">
        <v>5729</v>
      </c>
      <c r="AR2046" s="81" t="s">
        <v>179</v>
      </c>
      <c r="AS2046" s="81">
        <v>0</v>
      </c>
      <c r="AT2046" s="81">
        <v>0</v>
      </c>
      <c r="AU2046" s="81"/>
      <c r="AV2046" s="81"/>
      <c r="AW2046" s="81"/>
      <c r="AX2046" s="81"/>
      <c r="AY2046" s="81"/>
      <c r="AZ2046" s="81"/>
      <c r="BA2046" s="81"/>
      <c r="BB2046" s="81"/>
    </row>
    <row r="2047" spans="1:54" x14ac:dyDescent="0.35">
      <c r="A2047" s="66" t="s">
        <v>1269</v>
      </c>
      <c r="B2047" s="66" t="s">
        <v>1269</v>
      </c>
      <c r="C2047" s="67"/>
      <c r="D2047" s="68"/>
      <c r="E2047" s="69"/>
      <c r="F2047" s="70"/>
      <c r="G2047" s="67"/>
      <c r="H2047" s="71"/>
      <c r="I2047" s="72"/>
      <c r="J2047" s="72"/>
      <c r="K2047" s="36"/>
      <c r="L2047" s="79"/>
      <c r="M2047" s="79"/>
      <c r="N2047" s="74"/>
      <c r="O2047" s="81" t="s">
        <v>179</v>
      </c>
      <c r="P2047" s="83">
        <v>44462.010798611111</v>
      </c>
      <c r="Q2047" s="81" t="s">
        <v>2412</v>
      </c>
      <c r="R2047" s="81"/>
      <c r="S2047" s="81"/>
      <c r="T2047" s="81"/>
      <c r="U2047" s="81"/>
      <c r="V2047" s="84" t="str">
        <f>HYPERLINK("https://pbs.twimg.com/profile_images/378800000705328795/304bfd91ee90011498fd092cc79a423e_normal.jpeg")</f>
        <v>https://pbs.twimg.com/profile_images/378800000705328795/304bfd91ee90011498fd092cc79a423e_normal.jpeg</v>
      </c>
      <c r="W2047" s="83">
        <v>44462.010798611111</v>
      </c>
      <c r="X2047" s="89">
        <v>44462</v>
      </c>
      <c r="Y2047" s="86" t="s">
        <v>4131</v>
      </c>
      <c r="Z2047" s="84" t="str">
        <f>HYPERLINK("https://twitter.com/pos_indonesia/status/1440832171548176388")</f>
        <v>https://twitter.com/pos_indonesia/status/1440832171548176388</v>
      </c>
      <c r="AA2047" s="81"/>
      <c r="AB2047" s="81"/>
      <c r="AC2047" s="86" t="s">
        <v>5730</v>
      </c>
      <c r="AD2047" s="81"/>
      <c r="AE2047" s="81" t="b">
        <v>0</v>
      </c>
      <c r="AF2047" s="81">
        <v>0</v>
      </c>
      <c r="AG2047" s="86" t="s">
        <v>6240</v>
      </c>
      <c r="AH2047" s="81" t="b">
        <v>0</v>
      </c>
      <c r="AI2047" s="81" t="s">
        <v>6479</v>
      </c>
      <c r="AJ2047" s="81"/>
      <c r="AK2047" s="86" t="s">
        <v>6240</v>
      </c>
      <c r="AL2047" s="81" t="b">
        <v>0</v>
      </c>
      <c r="AM2047" s="81">
        <v>0</v>
      </c>
      <c r="AN2047" s="86" t="s">
        <v>6240</v>
      </c>
      <c r="AO2047" s="86" t="s">
        <v>6506</v>
      </c>
      <c r="AP2047" s="81" t="b">
        <v>0</v>
      </c>
      <c r="AQ2047" s="86" t="s">
        <v>5730</v>
      </c>
      <c r="AR2047" s="81" t="s">
        <v>179</v>
      </c>
      <c r="AS2047" s="81">
        <v>0</v>
      </c>
      <c r="AT2047" s="81">
        <v>0</v>
      </c>
      <c r="AU2047" s="81"/>
      <c r="AV2047" s="81"/>
      <c r="AW2047" s="81"/>
      <c r="AX2047" s="81"/>
      <c r="AY2047" s="81"/>
      <c r="AZ2047" s="81"/>
      <c r="BA2047" s="81"/>
      <c r="BB2047" s="81"/>
    </row>
    <row r="2048" spans="1:54" x14ac:dyDescent="0.35">
      <c r="A2048" s="66" t="s">
        <v>1269</v>
      </c>
      <c r="B2048" s="66" t="s">
        <v>1269</v>
      </c>
      <c r="C2048" s="67"/>
      <c r="D2048" s="68"/>
      <c r="E2048" s="69"/>
      <c r="F2048" s="70"/>
      <c r="G2048" s="67"/>
      <c r="H2048" s="71"/>
      <c r="I2048" s="72"/>
      <c r="J2048" s="72"/>
      <c r="K2048" s="36"/>
      <c r="L2048" s="79"/>
      <c r="M2048" s="79"/>
      <c r="N2048" s="74"/>
      <c r="O2048" s="81" t="s">
        <v>179</v>
      </c>
      <c r="P2048" s="83">
        <v>44462.031585648147</v>
      </c>
      <c r="Q2048" s="81" t="s">
        <v>2301</v>
      </c>
      <c r="R2048" s="81"/>
      <c r="S2048" s="81"/>
      <c r="T2048" s="81"/>
      <c r="U2048" s="81"/>
      <c r="V2048" s="84" t="str">
        <f>HYPERLINK("https://pbs.twimg.com/profile_images/378800000705328795/304bfd91ee90011498fd092cc79a423e_normal.jpeg")</f>
        <v>https://pbs.twimg.com/profile_images/378800000705328795/304bfd91ee90011498fd092cc79a423e_normal.jpeg</v>
      </c>
      <c r="W2048" s="83">
        <v>44462.031585648147</v>
      </c>
      <c r="X2048" s="89">
        <v>44462</v>
      </c>
      <c r="Y2048" s="86" t="s">
        <v>4069</v>
      </c>
      <c r="Z2048" s="84" t="str">
        <f>HYPERLINK("https://twitter.com/pos_indonesia/status/1440839704971137026")</f>
        <v>https://twitter.com/pos_indonesia/status/1440839704971137026</v>
      </c>
      <c r="AA2048" s="81"/>
      <c r="AB2048" s="81"/>
      <c r="AC2048" s="86" t="s">
        <v>5731</v>
      </c>
      <c r="AD2048" s="81"/>
      <c r="AE2048" s="81" t="b">
        <v>0</v>
      </c>
      <c r="AF2048" s="81">
        <v>0</v>
      </c>
      <c r="AG2048" s="86" t="s">
        <v>6240</v>
      </c>
      <c r="AH2048" s="81" t="b">
        <v>0</v>
      </c>
      <c r="AI2048" s="81" t="s">
        <v>6479</v>
      </c>
      <c r="AJ2048" s="81"/>
      <c r="AK2048" s="86" t="s">
        <v>6240</v>
      </c>
      <c r="AL2048" s="81" t="b">
        <v>0</v>
      </c>
      <c r="AM2048" s="81">
        <v>0</v>
      </c>
      <c r="AN2048" s="86" t="s">
        <v>6240</v>
      </c>
      <c r="AO2048" s="86" t="s">
        <v>6506</v>
      </c>
      <c r="AP2048" s="81" t="b">
        <v>0</v>
      </c>
      <c r="AQ2048" s="86" t="s">
        <v>5731</v>
      </c>
      <c r="AR2048" s="81" t="s">
        <v>179</v>
      </c>
      <c r="AS2048" s="81">
        <v>0</v>
      </c>
      <c r="AT2048" s="81">
        <v>0</v>
      </c>
      <c r="AU2048" s="81"/>
      <c r="AV2048" s="81"/>
      <c r="AW2048" s="81"/>
      <c r="AX2048" s="81"/>
      <c r="AY2048" s="81"/>
      <c r="AZ2048" s="81"/>
      <c r="BA2048" s="81"/>
      <c r="BB2048" s="81"/>
    </row>
    <row r="2049" spans="1:54" x14ac:dyDescent="0.35">
      <c r="A2049" s="66" t="s">
        <v>1269</v>
      </c>
      <c r="B2049" s="66" t="s">
        <v>1269</v>
      </c>
      <c r="C2049" s="67"/>
      <c r="D2049" s="68"/>
      <c r="E2049" s="69"/>
      <c r="F2049" s="70"/>
      <c r="G2049" s="67"/>
      <c r="H2049" s="71"/>
      <c r="I2049" s="72"/>
      <c r="J2049" s="72"/>
      <c r="K2049" s="36"/>
      <c r="L2049" s="79"/>
      <c r="M2049" s="79"/>
      <c r="N2049" s="74"/>
      <c r="O2049" s="81" t="s">
        <v>179</v>
      </c>
      <c r="P2049" s="83">
        <v>44462.052465277775</v>
      </c>
      <c r="Q2049" s="81" t="s">
        <v>2459</v>
      </c>
      <c r="R2049" s="81"/>
      <c r="S2049" s="81"/>
      <c r="T2049" s="81"/>
      <c r="U2049" s="81"/>
      <c r="V2049" s="84" t="str">
        <f>HYPERLINK("https://pbs.twimg.com/profile_images/378800000705328795/304bfd91ee90011498fd092cc79a423e_normal.jpeg")</f>
        <v>https://pbs.twimg.com/profile_images/378800000705328795/304bfd91ee90011498fd092cc79a423e_normal.jpeg</v>
      </c>
      <c r="W2049" s="83">
        <v>44462.052465277775</v>
      </c>
      <c r="X2049" s="89">
        <v>44462</v>
      </c>
      <c r="Y2049" s="86" t="s">
        <v>4070</v>
      </c>
      <c r="Z2049" s="84" t="str">
        <f>HYPERLINK("https://twitter.com/pos_indonesia/status/1440847268643368969")</f>
        <v>https://twitter.com/pos_indonesia/status/1440847268643368969</v>
      </c>
      <c r="AA2049" s="81"/>
      <c r="AB2049" s="81"/>
      <c r="AC2049" s="86" t="s">
        <v>5732</v>
      </c>
      <c r="AD2049" s="81"/>
      <c r="AE2049" s="81" t="b">
        <v>0</v>
      </c>
      <c r="AF2049" s="81">
        <v>0</v>
      </c>
      <c r="AG2049" s="86" t="s">
        <v>6240</v>
      </c>
      <c r="AH2049" s="81" t="b">
        <v>0</v>
      </c>
      <c r="AI2049" s="81" t="s">
        <v>6479</v>
      </c>
      <c r="AJ2049" s="81"/>
      <c r="AK2049" s="86" t="s">
        <v>6240</v>
      </c>
      <c r="AL2049" s="81" t="b">
        <v>0</v>
      </c>
      <c r="AM2049" s="81">
        <v>0</v>
      </c>
      <c r="AN2049" s="86" t="s">
        <v>6240</v>
      </c>
      <c r="AO2049" s="86" t="s">
        <v>6506</v>
      </c>
      <c r="AP2049" s="81" t="b">
        <v>0</v>
      </c>
      <c r="AQ2049" s="86" t="s">
        <v>5732</v>
      </c>
      <c r="AR2049" s="81" t="s">
        <v>179</v>
      </c>
      <c r="AS2049" s="81">
        <v>0</v>
      </c>
      <c r="AT2049" s="81">
        <v>0</v>
      </c>
      <c r="AU2049" s="81"/>
      <c r="AV2049" s="81"/>
      <c r="AW2049" s="81"/>
      <c r="AX2049" s="81"/>
      <c r="AY2049" s="81"/>
      <c r="AZ2049" s="81"/>
      <c r="BA2049" s="81"/>
      <c r="BB2049" s="81"/>
    </row>
    <row r="2050" spans="1:54" x14ac:dyDescent="0.35">
      <c r="A2050" s="66" t="s">
        <v>1269</v>
      </c>
      <c r="B2050" s="66" t="s">
        <v>1269</v>
      </c>
      <c r="C2050" s="67"/>
      <c r="D2050" s="68"/>
      <c r="E2050" s="69"/>
      <c r="F2050" s="70"/>
      <c r="G2050" s="67"/>
      <c r="H2050" s="71"/>
      <c r="I2050" s="72"/>
      <c r="J2050" s="72"/>
      <c r="K2050" s="36"/>
      <c r="L2050" s="79"/>
      <c r="M2050" s="79"/>
      <c r="N2050" s="74"/>
      <c r="O2050" s="81" t="s">
        <v>179</v>
      </c>
      <c r="P2050" s="83">
        <v>44462.094189814816</v>
      </c>
      <c r="Q2050" s="81" t="s">
        <v>2460</v>
      </c>
      <c r="R2050" s="81"/>
      <c r="S2050" s="81"/>
      <c r="T2050" s="81"/>
      <c r="U2050" s="81"/>
      <c r="V2050" s="84" t="str">
        <f>HYPERLINK("https://pbs.twimg.com/profile_images/378800000705328795/304bfd91ee90011498fd092cc79a423e_normal.jpeg")</f>
        <v>https://pbs.twimg.com/profile_images/378800000705328795/304bfd91ee90011498fd092cc79a423e_normal.jpeg</v>
      </c>
      <c r="W2050" s="83">
        <v>44462.094189814816</v>
      </c>
      <c r="X2050" s="89">
        <v>44462</v>
      </c>
      <c r="Y2050" s="86" t="s">
        <v>4151</v>
      </c>
      <c r="Z2050" s="84" t="str">
        <f>HYPERLINK("https://twitter.com/pos_indonesia/status/1440862389079998464")</f>
        <v>https://twitter.com/pos_indonesia/status/1440862389079998464</v>
      </c>
      <c r="AA2050" s="81"/>
      <c r="AB2050" s="81"/>
      <c r="AC2050" s="86" t="s">
        <v>5733</v>
      </c>
      <c r="AD2050" s="81"/>
      <c r="AE2050" s="81" t="b">
        <v>0</v>
      </c>
      <c r="AF2050" s="81">
        <v>0</v>
      </c>
      <c r="AG2050" s="86" t="s">
        <v>6240</v>
      </c>
      <c r="AH2050" s="81" t="b">
        <v>0</v>
      </c>
      <c r="AI2050" s="81" t="s">
        <v>6479</v>
      </c>
      <c r="AJ2050" s="81"/>
      <c r="AK2050" s="86" t="s">
        <v>6240</v>
      </c>
      <c r="AL2050" s="81" t="b">
        <v>0</v>
      </c>
      <c r="AM2050" s="81">
        <v>0</v>
      </c>
      <c r="AN2050" s="86" t="s">
        <v>6240</v>
      </c>
      <c r="AO2050" s="86" t="s">
        <v>6506</v>
      </c>
      <c r="AP2050" s="81" t="b">
        <v>0</v>
      </c>
      <c r="AQ2050" s="86" t="s">
        <v>5733</v>
      </c>
      <c r="AR2050" s="81" t="s">
        <v>179</v>
      </c>
      <c r="AS2050" s="81">
        <v>0</v>
      </c>
      <c r="AT2050" s="81">
        <v>0</v>
      </c>
      <c r="AU2050" s="81"/>
      <c r="AV2050" s="81"/>
      <c r="AW2050" s="81"/>
      <c r="AX2050" s="81"/>
      <c r="AY2050" s="81"/>
      <c r="AZ2050" s="81"/>
      <c r="BA2050" s="81"/>
      <c r="BB2050" s="81"/>
    </row>
    <row r="2051" spans="1:54" x14ac:dyDescent="0.35">
      <c r="A2051" s="66" t="s">
        <v>1269</v>
      </c>
      <c r="B2051" s="66" t="s">
        <v>1269</v>
      </c>
      <c r="C2051" s="67"/>
      <c r="D2051" s="68"/>
      <c r="E2051" s="69"/>
      <c r="F2051" s="70"/>
      <c r="G2051" s="67"/>
      <c r="H2051" s="71"/>
      <c r="I2051" s="72"/>
      <c r="J2051" s="72"/>
      <c r="K2051" s="36"/>
      <c r="L2051" s="79"/>
      <c r="M2051" s="79"/>
      <c r="N2051" s="74"/>
      <c r="O2051" s="81" t="s">
        <v>179</v>
      </c>
      <c r="P2051" s="83">
        <v>44462.114930555559</v>
      </c>
      <c r="Q2051" s="81" t="s">
        <v>2398</v>
      </c>
      <c r="R2051" s="81"/>
      <c r="S2051" s="81"/>
      <c r="T2051" s="81"/>
      <c r="U2051" s="81"/>
      <c r="V2051" s="84" t="str">
        <f>HYPERLINK("https://pbs.twimg.com/profile_images/378800000705328795/304bfd91ee90011498fd092cc79a423e_normal.jpeg")</f>
        <v>https://pbs.twimg.com/profile_images/378800000705328795/304bfd91ee90011498fd092cc79a423e_normal.jpeg</v>
      </c>
      <c r="W2051" s="83">
        <v>44462.114930555559</v>
      </c>
      <c r="X2051" s="89">
        <v>44462</v>
      </c>
      <c r="Y2051" s="86" t="s">
        <v>4073</v>
      </c>
      <c r="Z2051" s="84" t="str">
        <f>HYPERLINK("https://twitter.com/pos_indonesia/status/1440869906199683075")</f>
        <v>https://twitter.com/pos_indonesia/status/1440869906199683075</v>
      </c>
      <c r="AA2051" s="81"/>
      <c r="AB2051" s="81"/>
      <c r="AC2051" s="86" t="s">
        <v>5734</v>
      </c>
      <c r="AD2051" s="81"/>
      <c r="AE2051" s="81" t="b">
        <v>0</v>
      </c>
      <c r="AF2051" s="81">
        <v>0</v>
      </c>
      <c r="AG2051" s="86" t="s">
        <v>6240</v>
      </c>
      <c r="AH2051" s="81" t="b">
        <v>0</v>
      </c>
      <c r="AI2051" s="81" t="s">
        <v>6479</v>
      </c>
      <c r="AJ2051" s="81"/>
      <c r="AK2051" s="86" t="s">
        <v>6240</v>
      </c>
      <c r="AL2051" s="81" t="b">
        <v>0</v>
      </c>
      <c r="AM2051" s="81">
        <v>0</v>
      </c>
      <c r="AN2051" s="86" t="s">
        <v>6240</v>
      </c>
      <c r="AO2051" s="86" t="s">
        <v>6506</v>
      </c>
      <c r="AP2051" s="81" t="b">
        <v>0</v>
      </c>
      <c r="AQ2051" s="86" t="s">
        <v>5734</v>
      </c>
      <c r="AR2051" s="81" t="s">
        <v>179</v>
      </c>
      <c r="AS2051" s="81">
        <v>0</v>
      </c>
      <c r="AT2051" s="81">
        <v>0</v>
      </c>
      <c r="AU2051" s="81"/>
      <c r="AV2051" s="81"/>
      <c r="AW2051" s="81"/>
      <c r="AX2051" s="81"/>
      <c r="AY2051" s="81"/>
      <c r="AZ2051" s="81"/>
      <c r="BA2051" s="81"/>
      <c r="BB2051" s="81"/>
    </row>
    <row r="2052" spans="1:54" x14ac:dyDescent="0.35">
      <c r="A2052" s="66" t="s">
        <v>1269</v>
      </c>
      <c r="B2052" s="66" t="s">
        <v>1269</v>
      </c>
      <c r="C2052" s="67"/>
      <c r="D2052" s="68"/>
      <c r="E2052" s="69"/>
      <c r="F2052" s="70"/>
      <c r="G2052" s="67"/>
      <c r="H2052" s="71"/>
      <c r="I2052" s="72"/>
      <c r="J2052" s="72"/>
      <c r="K2052" s="36"/>
      <c r="L2052" s="79"/>
      <c r="M2052" s="79"/>
      <c r="N2052" s="74"/>
      <c r="O2052" s="81" t="s">
        <v>179</v>
      </c>
      <c r="P2052" s="83">
        <v>44462.135798611111</v>
      </c>
      <c r="Q2052" s="81" t="s">
        <v>2461</v>
      </c>
      <c r="R2052" s="81"/>
      <c r="S2052" s="81"/>
      <c r="T2052" s="81"/>
      <c r="U2052" s="81"/>
      <c r="V2052" s="84" t="str">
        <f>HYPERLINK("https://pbs.twimg.com/profile_images/378800000705328795/304bfd91ee90011498fd092cc79a423e_normal.jpeg")</f>
        <v>https://pbs.twimg.com/profile_images/378800000705328795/304bfd91ee90011498fd092cc79a423e_normal.jpeg</v>
      </c>
      <c r="W2052" s="83">
        <v>44462.135798611111</v>
      </c>
      <c r="X2052" s="89">
        <v>44462</v>
      </c>
      <c r="Y2052" s="86" t="s">
        <v>4109</v>
      </c>
      <c r="Z2052" s="84" t="str">
        <f>HYPERLINK("https://twitter.com/pos_indonesia/status/1440877469721001991")</f>
        <v>https://twitter.com/pos_indonesia/status/1440877469721001991</v>
      </c>
      <c r="AA2052" s="81"/>
      <c r="AB2052" s="81"/>
      <c r="AC2052" s="86" t="s">
        <v>5735</v>
      </c>
      <c r="AD2052" s="81"/>
      <c r="AE2052" s="81" t="b">
        <v>0</v>
      </c>
      <c r="AF2052" s="81">
        <v>0</v>
      </c>
      <c r="AG2052" s="86" t="s">
        <v>6240</v>
      </c>
      <c r="AH2052" s="81" t="b">
        <v>0</v>
      </c>
      <c r="AI2052" s="81" t="s">
        <v>6479</v>
      </c>
      <c r="AJ2052" s="81"/>
      <c r="AK2052" s="86" t="s">
        <v>6240</v>
      </c>
      <c r="AL2052" s="81" t="b">
        <v>0</v>
      </c>
      <c r="AM2052" s="81">
        <v>0</v>
      </c>
      <c r="AN2052" s="86" t="s">
        <v>6240</v>
      </c>
      <c r="AO2052" s="86" t="s">
        <v>6506</v>
      </c>
      <c r="AP2052" s="81" t="b">
        <v>0</v>
      </c>
      <c r="AQ2052" s="86" t="s">
        <v>5735</v>
      </c>
      <c r="AR2052" s="81" t="s">
        <v>179</v>
      </c>
      <c r="AS2052" s="81">
        <v>0</v>
      </c>
      <c r="AT2052" s="81">
        <v>0</v>
      </c>
      <c r="AU2052" s="81"/>
      <c r="AV2052" s="81"/>
      <c r="AW2052" s="81"/>
      <c r="AX2052" s="81"/>
      <c r="AY2052" s="81"/>
      <c r="AZ2052" s="81"/>
      <c r="BA2052" s="81"/>
      <c r="BB2052" s="81"/>
    </row>
    <row r="2053" spans="1:54" x14ac:dyDescent="0.35">
      <c r="A2053" s="66" t="s">
        <v>1269</v>
      </c>
      <c r="B2053" s="66" t="s">
        <v>1269</v>
      </c>
      <c r="C2053" s="67"/>
      <c r="D2053" s="68"/>
      <c r="E2053" s="69"/>
      <c r="F2053" s="70"/>
      <c r="G2053" s="67"/>
      <c r="H2053" s="71"/>
      <c r="I2053" s="72"/>
      <c r="J2053" s="72"/>
      <c r="K2053" s="36"/>
      <c r="L2053" s="79"/>
      <c r="M2053" s="79"/>
      <c r="N2053" s="74"/>
      <c r="O2053" s="81" t="s">
        <v>179</v>
      </c>
      <c r="P2053" s="83">
        <v>44462.156585648147</v>
      </c>
      <c r="Q2053" s="81" t="s">
        <v>2462</v>
      </c>
      <c r="R2053" s="81"/>
      <c r="S2053" s="81"/>
      <c r="T2053" s="81"/>
      <c r="U2053" s="81"/>
      <c r="V2053" s="84" t="str">
        <f>HYPERLINK("https://pbs.twimg.com/profile_images/378800000705328795/304bfd91ee90011498fd092cc79a423e_normal.jpeg")</f>
        <v>https://pbs.twimg.com/profile_images/378800000705328795/304bfd91ee90011498fd092cc79a423e_normal.jpeg</v>
      </c>
      <c r="W2053" s="83">
        <v>44462.156585648147</v>
      </c>
      <c r="X2053" s="89">
        <v>44462</v>
      </c>
      <c r="Y2053" s="86" t="s">
        <v>4110</v>
      </c>
      <c r="Z2053" s="84" t="str">
        <f>HYPERLINK("https://twitter.com/pos_indonesia/status/1440885001348792323")</f>
        <v>https://twitter.com/pos_indonesia/status/1440885001348792323</v>
      </c>
      <c r="AA2053" s="81"/>
      <c r="AB2053" s="81"/>
      <c r="AC2053" s="86" t="s">
        <v>5736</v>
      </c>
      <c r="AD2053" s="81"/>
      <c r="AE2053" s="81" t="b">
        <v>0</v>
      </c>
      <c r="AF2053" s="81">
        <v>0</v>
      </c>
      <c r="AG2053" s="86" t="s">
        <v>6240</v>
      </c>
      <c r="AH2053" s="81" t="b">
        <v>0</v>
      </c>
      <c r="AI2053" s="81" t="s">
        <v>6479</v>
      </c>
      <c r="AJ2053" s="81"/>
      <c r="AK2053" s="86" t="s">
        <v>6240</v>
      </c>
      <c r="AL2053" s="81" t="b">
        <v>0</v>
      </c>
      <c r="AM2053" s="81">
        <v>0</v>
      </c>
      <c r="AN2053" s="86" t="s">
        <v>6240</v>
      </c>
      <c r="AO2053" s="86" t="s">
        <v>6506</v>
      </c>
      <c r="AP2053" s="81" t="b">
        <v>0</v>
      </c>
      <c r="AQ2053" s="86" t="s">
        <v>5736</v>
      </c>
      <c r="AR2053" s="81" t="s">
        <v>179</v>
      </c>
      <c r="AS2053" s="81">
        <v>0</v>
      </c>
      <c r="AT2053" s="81">
        <v>0</v>
      </c>
      <c r="AU2053" s="81"/>
      <c r="AV2053" s="81"/>
      <c r="AW2053" s="81"/>
      <c r="AX2053" s="81"/>
      <c r="AY2053" s="81"/>
      <c r="AZ2053" s="81"/>
      <c r="BA2053" s="81"/>
      <c r="BB2053" s="81"/>
    </row>
    <row r="2054" spans="1:54" x14ac:dyDescent="0.35">
      <c r="A2054" s="66" t="s">
        <v>1269</v>
      </c>
      <c r="B2054" s="66" t="s">
        <v>1269</v>
      </c>
      <c r="C2054" s="67"/>
      <c r="D2054" s="68"/>
      <c r="E2054" s="69"/>
      <c r="F2054" s="70"/>
      <c r="G2054" s="67"/>
      <c r="H2054" s="71"/>
      <c r="I2054" s="72"/>
      <c r="J2054" s="72"/>
      <c r="K2054" s="36"/>
      <c r="L2054" s="79"/>
      <c r="M2054" s="79"/>
      <c r="N2054" s="74"/>
      <c r="O2054" s="81" t="s">
        <v>179</v>
      </c>
      <c r="P2054" s="83">
        <v>44462.177476851852</v>
      </c>
      <c r="Q2054" s="81" t="s">
        <v>2330</v>
      </c>
      <c r="R2054" s="81"/>
      <c r="S2054" s="81"/>
      <c r="T2054" s="81"/>
      <c r="U2054" s="81"/>
      <c r="V2054" s="84" t="str">
        <f>HYPERLINK("https://pbs.twimg.com/profile_images/378800000705328795/304bfd91ee90011498fd092cc79a423e_normal.jpeg")</f>
        <v>https://pbs.twimg.com/profile_images/378800000705328795/304bfd91ee90011498fd092cc79a423e_normal.jpeg</v>
      </c>
      <c r="W2054" s="83">
        <v>44462.177476851852</v>
      </c>
      <c r="X2054" s="89">
        <v>44462</v>
      </c>
      <c r="Y2054" s="86" t="s">
        <v>4076</v>
      </c>
      <c r="Z2054" s="84" t="str">
        <f>HYPERLINK("https://twitter.com/pos_indonesia/status/1440892571278983175")</f>
        <v>https://twitter.com/pos_indonesia/status/1440892571278983175</v>
      </c>
      <c r="AA2054" s="81"/>
      <c r="AB2054" s="81"/>
      <c r="AC2054" s="86" t="s">
        <v>5737</v>
      </c>
      <c r="AD2054" s="81"/>
      <c r="AE2054" s="81" t="b">
        <v>0</v>
      </c>
      <c r="AF2054" s="81">
        <v>0</v>
      </c>
      <c r="AG2054" s="86" t="s">
        <v>6240</v>
      </c>
      <c r="AH2054" s="81" t="b">
        <v>0</v>
      </c>
      <c r="AI2054" s="81" t="s">
        <v>6479</v>
      </c>
      <c r="AJ2054" s="81"/>
      <c r="AK2054" s="86" t="s">
        <v>6240</v>
      </c>
      <c r="AL2054" s="81" t="b">
        <v>0</v>
      </c>
      <c r="AM2054" s="81">
        <v>0</v>
      </c>
      <c r="AN2054" s="86" t="s">
        <v>6240</v>
      </c>
      <c r="AO2054" s="86" t="s">
        <v>6506</v>
      </c>
      <c r="AP2054" s="81" t="b">
        <v>0</v>
      </c>
      <c r="AQ2054" s="86" t="s">
        <v>5737</v>
      </c>
      <c r="AR2054" s="81" t="s">
        <v>179</v>
      </c>
      <c r="AS2054" s="81">
        <v>0</v>
      </c>
      <c r="AT2054" s="81">
        <v>0</v>
      </c>
      <c r="AU2054" s="81"/>
      <c r="AV2054" s="81"/>
      <c r="AW2054" s="81"/>
      <c r="AX2054" s="81"/>
      <c r="AY2054" s="81"/>
      <c r="AZ2054" s="81"/>
      <c r="BA2054" s="81"/>
      <c r="BB2054" s="81"/>
    </row>
    <row r="2055" spans="1:54" x14ac:dyDescent="0.35">
      <c r="A2055" s="66" t="s">
        <v>1269</v>
      </c>
      <c r="B2055" s="66" t="s">
        <v>1269</v>
      </c>
      <c r="C2055" s="67"/>
      <c r="D2055" s="68"/>
      <c r="E2055" s="69"/>
      <c r="F2055" s="70"/>
      <c r="G2055" s="67"/>
      <c r="H2055" s="71"/>
      <c r="I2055" s="72"/>
      <c r="J2055" s="72"/>
      <c r="K2055" s="36"/>
      <c r="L2055" s="79"/>
      <c r="M2055" s="79"/>
      <c r="N2055" s="74"/>
      <c r="O2055" s="81" t="s">
        <v>179</v>
      </c>
      <c r="P2055" s="83">
        <v>44462.198252314818</v>
      </c>
      <c r="Q2055" s="81" t="s">
        <v>2463</v>
      </c>
      <c r="R2055" s="81"/>
      <c r="S2055" s="81"/>
      <c r="T2055" s="81"/>
      <c r="U2055" s="81"/>
      <c r="V2055" s="84" t="str">
        <f>HYPERLINK("https://pbs.twimg.com/profile_images/378800000705328795/304bfd91ee90011498fd092cc79a423e_normal.jpeg")</f>
        <v>https://pbs.twimg.com/profile_images/378800000705328795/304bfd91ee90011498fd092cc79a423e_normal.jpeg</v>
      </c>
      <c r="W2055" s="83">
        <v>44462.198252314818</v>
      </c>
      <c r="X2055" s="89">
        <v>44462</v>
      </c>
      <c r="Y2055" s="86" t="s">
        <v>4077</v>
      </c>
      <c r="Z2055" s="84" t="str">
        <f>HYPERLINK("https://twitter.com/pos_indonesia/status/1440900099958194186")</f>
        <v>https://twitter.com/pos_indonesia/status/1440900099958194186</v>
      </c>
      <c r="AA2055" s="81"/>
      <c r="AB2055" s="81"/>
      <c r="AC2055" s="86" t="s">
        <v>5738</v>
      </c>
      <c r="AD2055" s="81"/>
      <c r="AE2055" s="81" t="b">
        <v>0</v>
      </c>
      <c r="AF2055" s="81">
        <v>0</v>
      </c>
      <c r="AG2055" s="86" t="s">
        <v>6240</v>
      </c>
      <c r="AH2055" s="81" t="b">
        <v>0</v>
      </c>
      <c r="AI2055" s="81" t="s">
        <v>6479</v>
      </c>
      <c r="AJ2055" s="81"/>
      <c r="AK2055" s="86" t="s">
        <v>6240</v>
      </c>
      <c r="AL2055" s="81" t="b">
        <v>0</v>
      </c>
      <c r="AM2055" s="81">
        <v>0</v>
      </c>
      <c r="AN2055" s="86" t="s">
        <v>6240</v>
      </c>
      <c r="AO2055" s="86" t="s">
        <v>6506</v>
      </c>
      <c r="AP2055" s="81" t="b">
        <v>0</v>
      </c>
      <c r="AQ2055" s="86" t="s">
        <v>5738</v>
      </c>
      <c r="AR2055" s="81" t="s">
        <v>179</v>
      </c>
      <c r="AS2055" s="81">
        <v>0</v>
      </c>
      <c r="AT2055" s="81">
        <v>0</v>
      </c>
      <c r="AU2055" s="81"/>
      <c r="AV2055" s="81"/>
      <c r="AW2055" s="81"/>
      <c r="AX2055" s="81"/>
      <c r="AY2055" s="81"/>
      <c r="AZ2055" s="81"/>
      <c r="BA2055" s="81"/>
      <c r="BB2055" s="81"/>
    </row>
    <row r="2056" spans="1:54" x14ac:dyDescent="0.35">
      <c r="A2056" s="66" t="s">
        <v>1269</v>
      </c>
      <c r="B2056" s="66" t="s">
        <v>1269</v>
      </c>
      <c r="C2056" s="67"/>
      <c r="D2056" s="68"/>
      <c r="E2056" s="69"/>
      <c r="F2056" s="70"/>
      <c r="G2056" s="67"/>
      <c r="H2056" s="71"/>
      <c r="I2056" s="72"/>
      <c r="J2056" s="72"/>
      <c r="K2056" s="36"/>
      <c r="L2056" s="79"/>
      <c r="M2056" s="79"/>
      <c r="N2056" s="74"/>
      <c r="O2056" s="81" t="s">
        <v>179</v>
      </c>
      <c r="P2056" s="83">
        <v>44462.219131944446</v>
      </c>
      <c r="Q2056" s="81" t="s">
        <v>2445</v>
      </c>
      <c r="R2056" s="81"/>
      <c r="S2056" s="81"/>
      <c r="T2056" s="81"/>
      <c r="U2056" s="81"/>
      <c r="V2056" s="84" t="str">
        <f>HYPERLINK("https://pbs.twimg.com/profile_images/378800000705328795/304bfd91ee90011498fd092cc79a423e_normal.jpeg")</f>
        <v>https://pbs.twimg.com/profile_images/378800000705328795/304bfd91ee90011498fd092cc79a423e_normal.jpeg</v>
      </c>
      <c r="W2056" s="83">
        <v>44462.219131944446</v>
      </c>
      <c r="X2056" s="89">
        <v>44462</v>
      </c>
      <c r="Y2056" s="86" t="s">
        <v>4111</v>
      </c>
      <c r="Z2056" s="84" t="str">
        <f>HYPERLINK("https://twitter.com/pos_indonesia/status/1440907670035132427")</f>
        <v>https://twitter.com/pos_indonesia/status/1440907670035132427</v>
      </c>
      <c r="AA2056" s="81"/>
      <c r="AB2056" s="81"/>
      <c r="AC2056" s="86" t="s">
        <v>5739</v>
      </c>
      <c r="AD2056" s="81"/>
      <c r="AE2056" s="81" t="b">
        <v>0</v>
      </c>
      <c r="AF2056" s="81">
        <v>0</v>
      </c>
      <c r="AG2056" s="86" t="s">
        <v>6240</v>
      </c>
      <c r="AH2056" s="81" t="b">
        <v>0</v>
      </c>
      <c r="AI2056" s="81" t="s">
        <v>6479</v>
      </c>
      <c r="AJ2056" s="81"/>
      <c r="AK2056" s="86" t="s">
        <v>6240</v>
      </c>
      <c r="AL2056" s="81" t="b">
        <v>0</v>
      </c>
      <c r="AM2056" s="81">
        <v>0</v>
      </c>
      <c r="AN2056" s="86" t="s">
        <v>6240</v>
      </c>
      <c r="AO2056" s="86" t="s">
        <v>6506</v>
      </c>
      <c r="AP2056" s="81" t="b">
        <v>0</v>
      </c>
      <c r="AQ2056" s="86" t="s">
        <v>5739</v>
      </c>
      <c r="AR2056" s="81" t="s">
        <v>179</v>
      </c>
      <c r="AS2056" s="81">
        <v>0</v>
      </c>
      <c r="AT2056" s="81">
        <v>0</v>
      </c>
      <c r="AU2056" s="81"/>
      <c r="AV2056" s="81"/>
      <c r="AW2056" s="81"/>
      <c r="AX2056" s="81"/>
      <c r="AY2056" s="81"/>
      <c r="AZ2056" s="81"/>
      <c r="BA2056" s="81"/>
      <c r="BB2056" s="81"/>
    </row>
    <row r="2057" spans="1:54" x14ac:dyDescent="0.35">
      <c r="A2057" s="66" t="s">
        <v>1269</v>
      </c>
      <c r="B2057" s="66" t="s">
        <v>1269</v>
      </c>
      <c r="C2057" s="67"/>
      <c r="D2057" s="68"/>
      <c r="E2057" s="69"/>
      <c r="F2057" s="70"/>
      <c r="G2057" s="67"/>
      <c r="H2057" s="71"/>
      <c r="I2057" s="72"/>
      <c r="J2057" s="72"/>
      <c r="K2057" s="36"/>
      <c r="L2057" s="79"/>
      <c r="M2057" s="79"/>
      <c r="N2057" s="74"/>
      <c r="O2057" s="81" t="s">
        <v>179</v>
      </c>
      <c r="P2057" s="83">
        <v>44462.239930555559</v>
      </c>
      <c r="Q2057" s="81" t="s">
        <v>2464</v>
      </c>
      <c r="R2057" s="81"/>
      <c r="S2057" s="81"/>
      <c r="T2057" s="81"/>
      <c r="U2057" s="81"/>
      <c r="V2057" s="84" t="str">
        <f>HYPERLINK("https://pbs.twimg.com/profile_images/378800000705328795/304bfd91ee90011498fd092cc79a423e_normal.jpeg")</f>
        <v>https://pbs.twimg.com/profile_images/378800000705328795/304bfd91ee90011498fd092cc79a423e_normal.jpeg</v>
      </c>
      <c r="W2057" s="83">
        <v>44462.239930555559</v>
      </c>
      <c r="X2057" s="89">
        <v>44462</v>
      </c>
      <c r="Y2057" s="86" t="s">
        <v>4134</v>
      </c>
      <c r="Z2057" s="84" t="str">
        <f>HYPERLINK("https://twitter.com/pos_indonesia/status/1440915204892610573")</f>
        <v>https://twitter.com/pos_indonesia/status/1440915204892610573</v>
      </c>
      <c r="AA2057" s="81"/>
      <c r="AB2057" s="81"/>
      <c r="AC2057" s="86" t="s">
        <v>5740</v>
      </c>
      <c r="AD2057" s="81"/>
      <c r="AE2057" s="81" t="b">
        <v>0</v>
      </c>
      <c r="AF2057" s="81">
        <v>0</v>
      </c>
      <c r="AG2057" s="86" t="s">
        <v>6240</v>
      </c>
      <c r="AH2057" s="81" t="b">
        <v>0</v>
      </c>
      <c r="AI2057" s="81" t="s">
        <v>6479</v>
      </c>
      <c r="AJ2057" s="81"/>
      <c r="AK2057" s="86" t="s">
        <v>6240</v>
      </c>
      <c r="AL2057" s="81" t="b">
        <v>0</v>
      </c>
      <c r="AM2057" s="81">
        <v>0</v>
      </c>
      <c r="AN2057" s="86" t="s">
        <v>6240</v>
      </c>
      <c r="AO2057" s="86" t="s">
        <v>6506</v>
      </c>
      <c r="AP2057" s="81" t="b">
        <v>0</v>
      </c>
      <c r="AQ2057" s="86" t="s">
        <v>5740</v>
      </c>
      <c r="AR2057" s="81" t="s">
        <v>179</v>
      </c>
      <c r="AS2057" s="81">
        <v>0</v>
      </c>
      <c r="AT2057" s="81">
        <v>0</v>
      </c>
      <c r="AU2057" s="81"/>
      <c r="AV2057" s="81"/>
      <c r="AW2057" s="81"/>
      <c r="AX2057" s="81"/>
      <c r="AY2057" s="81"/>
      <c r="AZ2057" s="81"/>
      <c r="BA2057" s="81"/>
      <c r="BB2057" s="81"/>
    </row>
    <row r="2058" spans="1:54" x14ac:dyDescent="0.35">
      <c r="A2058" s="66" t="s">
        <v>1269</v>
      </c>
      <c r="B2058" s="66" t="s">
        <v>1269</v>
      </c>
      <c r="C2058" s="67"/>
      <c r="D2058" s="68"/>
      <c r="E2058" s="69"/>
      <c r="F2058" s="70"/>
      <c r="G2058" s="67"/>
      <c r="H2058" s="71"/>
      <c r="I2058" s="72"/>
      <c r="J2058" s="72"/>
      <c r="K2058" s="36"/>
      <c r="L2058" s="79"/>
      <c r="M2058" s="79"/>
      <c r="N2058" s="74"/>
      <c r="O2058" s="81" t="s">
        <v>179</v>
      </c>
      <c r="P2058" s="83">
        <v>44462.260798611111</v>
      </c>
      <c r="Q2058" s="81" t="s">
        <v>2364</v>
      </c>
      <c r="R2058" s="81"/>
      <c r="S2058" s="81"/>
      <c r="T2058" s="81"/>
      <c r="U2058" s="81"/>
      <c r="V2058" s="84" t="str">
        <f>HYPERLINK("https://pbs.twimg.com/profile_images/378800000705328795/304bfd91ee90011498fd092cc79a423e_normal.jpeg")</f>
        <v>https://pbs.twimg.com/profile_images/378800000705328795/304bfd91ee90011498fd092cc79a423e_normal.jpeg</v>
      </c>
      <c r="W2058" s="83">
        <v>44462.260798611111</v>
      </c>
      <c r="X2058" s="89">
        <v>44462</v>
      </c>
      <c r="Y2058" s="86" t="s">
        <v>4080</v>
      </c>
      <c r="Z2058" s="84" t="str">
        <f>HYPERLINK("https://twitter.com/pos_indonesia/status/1440922766408970245")</f>
        <v>https://twitter.com/pos_indonesia/status/1440922766408970245</v>
      </c>
      <c r="AA2058" s="81"/>
      <c r="AB2058" s="81"/>
      <c r="AC2058" s="86" t="s">
        <v>5741</v>
      </c>
      <c r="AD2058" s="81"/>
      <c r="AE2058" s="81" t="b">
        <v>0</v>
      </c>
      <c r="AF2058" s="81">
        <v>0</v>
      </c>
      <c r="AG2058" s="86" t="s">
        <v>6240</v>
      </c>
      <c r="AH2058" s="81" t="b">
        <v>0</v>
      </c>
      <c r="AI2058" s="81" t="s">
        <v>6479</v>
      </c>
      <c r="AJ2058" s="81"/>
      <c r="AK2058" s="86" t="s">
        <v>6240</v>
      </c>
      <c r="AL2058" s="81" t="b">
        <v>0</v>
      </c>
      <c r="AM2058" s="81">
        <v>0</v>
      </c>
      <c r="AN2058" s="86" t="s">
        <v>6240</v>
      </c>
      <c r="AO2058" s="86" t="s">
        <v>6506</v>
      </c>
      <c r="AP2058" s="81" t="b">
        <v>0</v>
      </c>
      <c r="AQ2058" s="86" t="s">
        <v>5741</v>
      </c>
      <c r="AR2058" s="81" t="s">
        <v>179</v>
      </c>
      <c r="AS2058" s="81">
        <v>0</v>
      </c>
      <c r="AT2058" s="81">
        <v>0</v>
      </c>
      <c r="AU2058" s="81"/>
      <c r="AV2058" s="81"/>
      <c r="AW2058" s="81"/>
      <c r="AX2058" s="81"/>
      <c r="AY2058" s="81"/>
      <c r="AZ2058" s="81"/>
      <c r="BA2058" s="81"/>
      <c r="BB2058" s="81"/>
    </row>
    <row r="2059" spans="1:54" x14ac:dyDescent="0.35">
      <c r="A2059" s="66" t="s">
        <v>1269</v>
      </c>
      <c r="B2059" s="66" t="s">
        <v>1269</v>
      </c>
      <c r="C2059" s="67"/>
      <c r="D2059" s="68"/>
      <c r="E2059" s="69"/>
      <c r="F2059" s="70"/>
      <c r="G2059" s="67"/>
      <c r="H2059" s="71"/>
      <c r="I2059" s="72"/>
      <c r="J2059" s="72"/>
      <c r="K2059" s="36"/>
      <c r="L2059" s="79"/>
      <c r="M2059" s="79"/>
      <c r="N2059" s="74"/>
      <c r="O2059" s="81" t="s">
        <v>179</v>
      </c>
      <c r="P2059" s="83">
        <v>44462.281817129631</v>
      </c>
      <c r="Q2059" s="81" t="s">
        <v>2355</v>
      </c>
      <c r="R2059" s="81"/>
      <c r="S2059" s="81"/>
      <c r="T2059" s="81"/>
      <c r="U2059" s="81"/>
      <c r="V2059" s="84" t="str">
        <f>HYPERLINK("https://pbs.twimg.com/profile_images/378800000705328795/304bfd91ee90011498fd092cc79a423e_normal.jpeg")</f>
        <v>https://pbs.twimg.com/profile_images/378800000705328795/304bfd91ee90011498fd092cc79a423e_normal.jpeg</v>
      </c>
      <c r="W2059" s="83">
        <v>44462.281817129631</v>
      </c>
      <c r="X2059" s="89">
        <v>44462</v>
      </c>
      <c r="Y2059" s="86" t="s">
        <v>4152</v>
      </c>
      <c r="Z2059" s="84" t="str">
        <f>HYPERLINK("https://twitter.com/pos_indonesia/status/1440930382455603200")</f>
        <v>https://twitter.com/pos_indonesia/status/1440930382455603200</v>
      </c>
      <c r="AA2059" s="81"/>
      <c r="AB2059" s="81"/>
      <c r="AC2059" s="86" t="s">
        <v>5742</v>
      </c>
      <c r="AD2059" s="81"/>
      <c r="AE2059" s="81" t="b">
        <v>0</v>
      </c>
      <c r="AF2059" s="81">
        <v>0</v>
      </c>
      <c r="AG2059" s="86" t="s">
        <v>6240</v>
      </c>
      <c r="AH2059" s="81" t="b">
        <v>0</v>
      </c>
      <c r="AI2059" s="81" t="s">
        <v>6479</v>
      </c>
      <c r="AJ2059" s="81"/>
      <c r="AK2059" s="86" t="s">
        <v>6240</v>
      </c>
      <c r="AL2059" s="81" t="b">
        <v>0</v>
      </c>
      <c r="AM2059" s="81">
        <v>0</v>
      </c>
      <c r="AN2059" s="86" t="s">
        <v>6240</v>
      </c>
      <c r="AO2059" s="86" t="s">
        <v>6506</v>
      </c>
      <c r="AP2059" s="81" t="b">
        <v>0</v>
      </c>
      <c r="AQ2059" s="86" t="s">
        <v>5742</v>
      </c>
      <c r="AR2059" s="81" t="s">
        <v>179</v>
      </c>
      <c r="AS2059" s="81">
        <v>0</v>
      </c>
      <c r="AT2059" s="81">
        <v>0</v>
      </c>
      <c r="AU2059" s="81"/>
      <c r="AV2059" s="81"/>
      <c r="AW2059" s="81"/>
      <c r="AX2059" s="81"/>
      <c r="AY2059" s="81"/>
      <c r="AZ2059" s="81"/>
      <c r="BA2059" s="81"/>
      <c r="BB2059" s="81"/>
    </row>
    <row r="2060" spans="1:54" x14ac:dyDescent="0.35">
      <c r="A2060" s="66" t="s">
        <v>1269</v>
      </c>
      <c r="B2060" s="66" t="s">
        <v>1269</v>
      </c>
      <c r="C2060" s="67"/>
      <c r="D2060" s="68"/>
      <c r="E2060" s="69"/>
      <c r="F2060" s="70"/>
      <c r="G2060" s="67"/>
      <c r="H2060" s="71"/>
      <c r="I2060" s="72"/>
      <c r="J2060" s="72"/>
      <c r="K2060" s="36"/>
      <c r="L2060" s="79"/>
      <c r="M2060" s="79"/>
      <c r="N2060" s="74"/>
      <c r="O2060" s="81" t="s">
        <v>179</v>
      </c>
      <c r="P2060" s="83">
        <v>44462.302453703705</v>
      </c>
      <c r="Q2060" s="81" t="s">
        <v>2441</v>
      </c>
      <c r="R2060" s="81"/>
      <c r="S2060" s="81"/>
      <c r="T2060" s="81"/>
      <c r="U2060" s="81"/>
      <c r="V2060" s="84" t="str">
        <f>HYPERLINK("https://pbs.twimg.com/profile_images/378800000705328795/304bfd91ee90011498fd092cc79a423e_normal.jpeg")</f>
        <v>https://pbs.twimg.com/profile_images/378800000705328795/304bfd91ee90011498fd092cc79a423e_normal.jpeg</v>
      </c>
      <c r="W2060" s="83">
        <v>44462.302453703705</v>
      </c>
      <c r="X2060" s="89">
        <v>44462</v>
      </c>
      <c r="Y2060" s="86" t="s">
        <v>3628</v>
      </c>
      <c r="Z2060" s="84" t="str">
        <f>HYPERLINK("https://twitter.com/pos_indonesia/status/1440937864640884740")</f>
        <v>https://twitter.com/pos_indonesia/status/1440937864640884740</v>
      </c>
      <c r="AA2060" s="81"/>
      <c r="AB2060" s="81"/>
      <c r="AC2060" s="86" t="s">
        <v>5743</v>
      </c>
      <c r="AD2060" s="81"/>
      <c r="AE2060" s="81" t="b">
        <v>0</v>
      </c>
      <c r="AF2060" s="81">
        <v>0</v>
      </c>
      <c r="AG2060" s="86" t="s">
        <v>6240</v>
      </c>
      <c r="AH2060" s="81" t="b">
        <v>0</v>
      </c>
      <c r="AI2060" s="81" t="s">
        <v>6479</v>
      </c>
      <c r="AJ2060" s="81"/>
      <c r="AK2060" s="86" t="s">
        <v>6240</v>
      </c>
      <c r="AL2060" s="81" t="b">
        <v>0</v>
      </c>
      <c r="AM2060" s="81">
        <v>0</v>
      </c>
      <c r="AN2060" s="86" t="s">
        <v>6240</v>
      </c>
      <c r="AO2060" s="86" t="s">
        <v>6506</v>
      </c>
      <c r="AP2060" s="81" t="b">
        <v>0</v>
      </c>
      <c r="AQ2060" s="86" t="s">
        <v>5743</v>
      </c>
      <c r="AR2060" s="81" t="s">
        <v>179</v>
      </c>
      <c r="AS2060" s="81">
        <v>0</v>
      </c>
      <c r="AT2060" s="81">
        <v>0</v>
      </c>
      <c r="AU2060" s="81"/>
      <c r="AV2060" s="81"/>
      <c r="AW2060" s="81"/>
      <c r="AX2060" s="81"/>
      <c r="AY2060" s="81"/>
      <c r="AZ2060" s="81"/>
      <c r="BA2060" s="81"/>
      <c r="BB2060" s="81"/>
    </row>
    <row r="2061" spans="1:54" x14ac:dyDescent="0.35">
      <c r="A2061" s="66" t="s">
        <v>1269</v>
      </c>
      <c r="B2061" s="66" t="s">
        <v>1269</v>
      </c>
      <c r="C2061" s="67"/>
      <c r="D2061" s="68"/>
      <c r="E2061" s="69"/>
      <c r="F2061" s="70"/>
      <c r="G2061" s="67"/>
      <c r="H2061" s="71"/>
      <c r="I2061" s="72"/>
      <c r="J2061" s="72"/>
      <c r="K2061" s="36"/>
      <c r="L2061" s="79"/>
      <c r="M2061" s="79"/>
      <c r="N2061" s="74"/>
      <c r="O2061" s="81" t="s">
        <v>179</v>
      </c>
      <c r="P2061" s="83">
        <v>44462.323263888888</v>
      </c>
      <c r="Q2061" s="81" t="s">
        <v>2465</v>
      </c>
      <c r="R2061" s="81"/>
      <c r="S2061" s="81"/>
      <c r="T2061" s="81"/>
      <c r="U2061" s="81"/>
      <c r="V2061" s="84" t="str">
        <f>HYPERLINK("https://pbs.twimg.com/profile_images/378800000705328795/304bfd91ee90011498fd092cc79a423e_normal.jpeg")</f>
        <v>https://pbs.twimg.com/profile_images/378800000705328795/304bfd91ee90011498fd092cc79a423e_normal.jpeg</v>
      </c>
      <c r="W2061" s="83">
        <v>44462.323263888888</v>
      </c>
      <c r="X2061" s="89">
        <v>44462</v>
      </c>
      <c r="Y2061" s="86" t="s">
        <v>4112</v>
      </c>
      <c r="Z2061" s="84" t="str">
        <f>HYPERLINK("https://twitter.com/pos_indonesia/status/1440945402996408326")</f>
        <v>https://twitter.com/pos_indonesia/status/1440945402996408326</v>
      </c>
      <c r="AA2061" s="81"/>
      <c r="AB2061" s="81"/>
      <c r="AC2061" s="86" t="s">
        <v>5744</v>
      </c>
      <c r="AD2061" s="81"/>
      <c r="AE2061" s="81" t="b">
        <v>0</v>
      </c>
      <c r="AF2061" s="81">
        <v>0</v>
      </c>
      <c r="AG2061" s="86" t="s">
        <v>6240</v>
      </c>
      <c r="AH2061" s="81" t="b">
        <v>0</v>
      </c>
      <c r="AI2061" s="81" t="s">
        <v>6479</v>
      </c>
      <c r="AJ2061" s="81"/>
      <c r="AK2061" s="86" t="s">
        <v>6240</v>
      </c>
      <c r="AL2061" s="81" t="b">
        <v>0</v>
      </c>
      <c r="AM2061" s="81">
        <v>0</v>
      </c>
      <c r="AN2061" s="86" t="s">
        <v>6240</v>
      </c>
      <c r="AO2061" s="86" t="s">
        <v>6506</v>
      </c>
      <c r="AP2061" s="81" t="b">
        <v>0</v>
      </c>
      <c r="AQ2061" s="86" t="s">
        <v>5744</v>
      </c>
      <c r="AR2061" s="81" t="s">
        <v>179</v>
      </c>
      <c r="AS2061" s="81">
        <v>0</v>
      </c>
      <c r="AT2061" s="81">
        <v>0</v>
      </c>
      <c r="AU2061" s="81"/>
      <c r="AV2061" s="81"/>
      <c r="AW2061" s="81"/>
      <c r="AX2061" s="81"/>
      <c r="AY2061" s="81"/>
      <c r="AZ2061" s="81"/>
      <c r="BA2061" s="81"/>
      <c r="BB2061" s="81"/>
    </row>
    <row r="2062" spans="1:54" x14ac:dyDescent="0.35">
      <c r="A2062" s="66" t="s">
        <v>1269</v>
      </c>
      <c r="B2062" s="66" t="s">
        <v>1269</v>
      </c>
      <c r="C2062" s="67"/>
      <c r="D2062" s="68"/>
      <c r="E2062" s="69"/>
      <c r="F2062" s="70"/>
      <c r="G2062" s="67"/>
      <c r="H2062" s="71"/>
      <c r="I2062" s="72"/>
      <c r="J2062" s="72"/>
      <c r="K2062" s="36"/>
      <c r="L2062" s="79"/>
      <c r="M2062" s="79"/>
      <c r="N2062" s="74"/>
      <c r="O2062" s="81" t="s">
        <v>179</v>
      </c>
      <c r="P2062" s="83">
        <v>44462.344155092593</v>
      </c>
      <c r="Q2062" s="81" t="s">
        <v>2334</v>
      </c>
      <c r="R2062" s="81"/>
      <c r="S2062" s="81"/>
      <c r="T2062" s="81"/>
      <c r="U2062" s="81"/>
      <c r="V2062" s="84" t="str">
        <f>HYPERLINK("https://pbs.twimg.com/profile_images/378800000705328795/304bfd91ee90011498fd092cc79a423e_normal.jpeg")</f>
        <v>https://pbs.twimg.com/profile_images/378800000705328795/304bfd91ee90011498fd092cc79a423e_normal.jpeg</v>
      </c>
      <c r="W2062" s="83">
        <v>44462.344155092593</v>
      </c>
      <c r="X2062" s="89">
        <v>44462</v>
      </c>
      <c r="Y2062" s="86" t="s">
        <v>4084</v>
      </c>
      <c r="Z2062" s="84" t="str">
        <f>HYPERLINK("https://twitter.com/pos_indonesia/status/1440952976286228486")</f>
        <v>https://twitter.com/pos_indonesia/status/1440952976286228486</v>
      </c>
      <c r="AA2062" s="81"/>
      <c r="AB2062" s="81"/>
      <c r="AC2062" s="86" t="s">
        <v>5745</v>
      </c>
      <c r="AD2062" s="81"/>
      <c r="AE2062" s="81" t="b">
        <v>0</v>
      </c>
      <c r="AF2062" s="81">
        <v>0</v>
      </c>
      <c r="AG2062" s="86" t="s">
        <v>6240</v>
      </c>
      <c r="AH2062" s="81" t="b">
        <v>0</v>
      </c>
      <c r="AI2062" s="81" t="s">
        <v>6479</v>
      </c>
      <c r="AJ2062" s="81"/>
      <c r="AK2062" s="86" t="s">
        <v>6240</v>
      </c>
      <c r="AL2062" s="81" t="b">
        <v>0</v>
      </c>
      <c r="AM2062" s="81">
        <v>0</v>
      </c>
      <c r="AN2062" s="86" t="s">
        <v>6240</v>
      </c>
      <c r="AO2062" s="86" t="s">
        <v>6506</v>
      </c>
      <c r="AP2062" s="81" t="b">
        <v>0</v>
      </c>
      <c r="AQ2062" s="86" t="s">
        <v>5745</v>
      </c>
      <c r="AR2062" s="81" t="s">
        <v>179</v>
      </c>
      <c r="AS2062" s="81">
        <v>0</v>
      </c>
      <c r="AT2062" s="81">
        <v>0</v>
      </c>
      <c r="AU2062" s="81"/>
      <c r="AV2062" s="81"/>
      <c r="AW2062" s="81"/>
      <c r="AX2062" s="81"/>
      <c r="AY2062" s="81"/>
      <c r="AZ2062" s="81"/>
      <c r="BA2062" s="81"/>
      <c r="BB2062" s="81"/>
    </row>
    <row r="2063" spans="1:54" x14ac:dyDescent="0.35">
      <c r="A2063" s="66" t="s">
        <v>1269</v>
      </c>
      <c r="B2063" s="66" t="s">
        <v>1269</v>
      </c>
      <c r="C2063" s="67"/>
      <c r="D2063" s="68"/>
      <c r="E2063" s="69"/>
      <c r="F2063" s="70"/>
      <c r="G2063" s="67"/>
      <c r="H2063" s="71"/>
      <c r="I2063" s="72"/>
      <c r="J2063" s="72"/>
      <c r="K2063" s="36"/>
      <c r="L2063" s="79"/>
      <c r="M2063" s="79"/>
      <c r="N2063" s="74"/>
      <c r="O2063" s="81" t="s">
        <v>179</v>
      </c>
      <c r="P2063" s="83">
        <v>44462.364930555559</v>
      </c>
      <c r="Q2063" s="81" t="s">
        <v>2359</v>
      </c>
      <c r="R2063" s="81"/>
      <c r="S2063" s="81"/>
      <c r="T2063" s="81"/>
      <c r="U2063" s="81"/>
      <c r="V2063" s="84" t="str">
        <f>HYPERLINK("https://pbs.twimg.com/profile_images/378800000705328795/304bfd91ee90011498fd092cc79a423e_normal.jpeg")</f>
        <v>https://pbs.twimg.com/profile_images/378800000705328795/304bfd91ee90011498fd092cc79a423e_normal.jpeg</v>
      </c>
      <c r="W2063" s="83">
        <v>44462.364930555559</v>
      </c>
      <c r="X2063" s="89">
        <v>44462</v>
      </c>
      <c r="Y2063" s="86" t="s">
        <v>4113</v>
      </c>
      <c r="Z2063" s="84" t="str">
        <f>HYPERLINK("https://twitter.com/pos_indonesia/status/1440960502654386186")</f>
        <v>https://twitter.com/pos_indonesia/status/1440960502654386186</v>
      </c>
      <c r="AA2063" s="81"/>
      <c r="AB2063" s="81"/>
      <c r="AC2063" s="86" t="s">
        <v>5746</v>
      </c>
      <c r="AD2063" s="81"/>
      <c r="AE2063" s="81" t="b">
        <v>0</v>
      </c>
      <c r="AF2063" s="81">
        <v>0</v>
      </c>
      <c r="AG2063" s="86" t="s">
        <v>6240</v>
      </c>
      <c r="AH2063" s="81" t="b">
        <v>0</v>
      </c>
      <c r="AI2063" s="81" t="s">
        <v>6479</v>
      </c>
      <c r="AJ2063" s="81"/>
      <c r="AK2063" s="86" t="s">
        <v>6240</v>
      </c>
      <c r="AL2063" s="81" t="b">
        <v>0</v>
      </c>
      <c r="AM2063" s="81">
        <v>0</v>
      </c>
      <c r="AN2063" s="86" t="s">
        <v>6240</v>
      </c>
      <c r="AO2063" s="86" t="s">
        <v>6506</v>
      </c>
      <c r="AP2063" s="81" t="b">
        <v>0</v>
      </c>
      <c r="AQ2063" s="86" t="s">
        <v>5746</v>
      </c>
      <c r="AR2063" s="81" t="s">
        <v>179</v>
      </c>
      <c r="AS2063" s="81">
        <v>0</v>
      </c>
      <c r="AT2063" s="81">
        <v>0</v>
      </c>
      <c r="AU2063" s="81"/>
      <c r="AV2063" s="81"/>
      <c r="AW2063" s="81"/>
      <c r="AX2063" s="81"/>
      <c r="AY2063" s="81"/>
      <c r="AZ2063" s="81"/>
      <c r="BA2063" s="81"/>
      <c r="BB2063" s="81"/>
    </row>
    <row r="2064" spans="1:54" x14ac:dyDescent="0.35">
      <c r="A2064" s="66" t="s">
        <v>1269</v>
      </c>
      <c r="B2064" s="66" t="s">
        <v>1269</v>
      </c>
      <c r="C2064" s="67"/>
      <c r="D2064" s="68"/>
      <c r="E2064" s="69"/>
      <c r="F2064" s="70"/>
      <c r="G2064" s="67"/>
      <c r="H2064" s="71"/>
      <c r="I2064" s="72"/>
      <c r="J2064" s="72"/>
      <c r="K2064" s="36"/>
      <c r="L2064" s="79"/>
      <c r="M2064" s="79"/>
      <c r="N2064" s="74"/>
      <c r="O2064" s="81" t="s">
        <v>179</v>
      </c>
      <c r="P2064" s="83">
        <v>44462.385787037034</v>
      </c>
      <c r="Q2064" s="81" t="s">
        <v>2466</v>
      </c>
      <c r="R2064" s="81"/>
      <c r="S2064" s="81"/>
      <c r="T2064" s="81"/>
      <c r="U2064" s="81"/>
      <c r="V2064" s="84" t="str">
        <f>HYPERLINK("https://pbs.twimg.com/profile_images/378800000705328795/304bfd91ee90011498fd092cc79a423e_normal.jpeg")</f>
        <v>https://pbs.twimg.com/profile_images/378800000705328795/304bfd91ee90011498fd092cc79a423e_normal.jpeg</v>
      </c>
      <c r="W2064" s="83">
        <v>44462.385787037034</v>
      </c>
      <c r="X2064" s="89">
        <v>44462</v>
      </c>
      <c r="Y2064" s="86" t="s">
        <v>4153</v>
      </c>
      <c r="Z2064" s="84" t="str">
        <f>HYPERLINK("https://twitter.com/pos_indonesia/status/1440968063541600256")</f>
        <v>https://twitter.com/pos_indonesia/status/1440968063541600256</v>
      </c>
      <c r="AA2064" s="81"/>
      <c r="AB2064" s="81"/>
      <c r="AC2064" s="86" t="s">
        <v>5747</v>
      </c>
      <c r="AD2064" s="81"/>
      <c r="AE2064" s="81" t="b">
        <v>0</v>
      </c>
      <c r="AF2064" s="81">
        <v>0</v>
      </c>
      <c r="AG2064" s="86" t="s">
        <v>6240</v>
      </c>
      <c r="AH2064" s="81" t="b">
        <v>0</v>
      </c>
      <c r="AI2064" s="81" t="s">
        <v>6479</v>
      </c>
      <c r="AJ2064" s="81"/>
      <c r="AK2064" s="86" t="s">
        <v>6240</v>
      </c>
      <c r="AL2064" s="81" t="b">
        <v>0</v>
      </c>
      <c r="AM2064" s="81">
        <v>0</v>
      </c>
      <c r="AN2064" s="86" t="s">
        <v>6240</v>
      </c>
      <c r="AO2064" s="86" t="s">
        <v>6506</v>
      </c>
      <c r="AP2064" s="81" t="b">
        <v>0</v>
      </c>
      <c r="AQ2064" s="86" t="s">
        <v>5747</v>
      </c>
      <c r="AR2064" s="81" t="s">
        <v>179</v>
      </c>
      <c r="AS2064" s="81">
        <v>0</v>
      </c>
      <c r="AT2064" s="81">
        <v>0</v>
      </c>
      <c r="AU2064" s="81"/>
      <c r="AV2064" s="81"/>
      <c r="AW2064" s="81"/>
      <c r="AX2064" s="81"/>
      <c r="AY2064" s="81"/>
      <c r="AZ2064" s="81"/>
      <c r="BA2064" s="81"/>
      <c r="BB2064" s="81"/>
    </row>
    <row r="2065" spans="1:54" x14ac:dyDescent="0.35">
      <c r="A2065" s="66" t="s">
        <v>1269</v>
      </c>
      <c r="B2065" s="66" t="s">
        <v>1269</v>
      </c>
      <c r="C2065" s="67"/>
      <c r="D2065" s="68"/>
      <c r="E2065" s="69"/>
      <c r="F2065" s="70"/>
      <c r="G2065" s="67"/>
      <c r="H2065" s="71"/>
      <c r="I2065" s="72"/>
      <c r="J2065" s="72"/>
      <c r="K2065" s="36"/>
      <c r="L2065" s="79"/>
      <c r="M2065" s="79"/>
      <c r="N2065" s="74"/>
      <c r="O2065" s="81" t="s">
        <v>179</v>
      </c>
      <c r="P2065" s="83">
        <v>44462.406585648147</v>
      </c>
      <c r="Q2065" s="81" t="s">
        <v>2318</v>
      </c>
      <c r="R2065" s="81"/>
      <c r="S2065" s="81"/>
      <c r="T2065" s="81"/>
      <c r="U2065" s="81"/>
      <c r="V2065" s="84" t="str">
        <f>HYPERLINK("https://pbs.twimg.com/profile_images/378800000705328795/304bfd91ee90011498fd092cc79a423e_normal.jpeg")</f>
        <v>https://pbs.twimg.com/profile_images/378800000705328795/304bfd91ee90011498fd092cc79a423e_normal.jpeg</v>
      </c>
      <c r="W2065" s="83">
        <v>44462.406585648147</v>
      </c>
      <c r="X2065" s="89">
        <v>44462</v>
      </c>
      <c r="Y2065" s="86" t="s">
        <v>4086</v>
      </c>
      <c r="Z2065" s="84" t="str">
        <f>HYPERLINK("https://twitter.com/pos_indonesia/status/1440975597790904321")</f>
        <v>https://twitter.com/pos_indonesia/status/1440975597790904321</v>
      </c>
      <c r="AA2065" s="81"/>
      <c r="AB2065" s="81"/>
      <c r="AC2065" s="86" t="s">
        <v>5748</v>
      </c>
      <c r="AD2065" s="81"/>
      <c r="AE2065" s="81" t="b">
        <v>0</v>
      </c>
      <c r="AF2065" s="81">
        <v>0</v>
      </c>
      <c r="AG2065" s="86" t="s">
        <v>6240</v>
      </c>
      <c r="AH2065" s="81" t="b">
        <v>0</v>
      </c>
      <c r="AI2065" s="81" t="s">
        <v>6479</v>
      </c>
      <c r="AJ2065" s="81"/>
      <c r="AK2065" s="86" t="s">
        <v>6240</v>
      </c>
      <c r="AL2065" s="81" t="b">
        <v>0</v>
      </c>
      <c r="AM2065" s="81">
        <v>0</v>
      </c>
      <c r="AN2065" s="86" t="s">
        <v>6240</v>
      </c>
      <c r="AO2065" s="86" t="s">
        <v>6506</v>
      </c>
      <c r="AP2065" s="81" t="b">
        <v>0</v>
      </c>
      <c r="AQ2065" s="86" t="s">
        <v>5748</v>
      </c>
      <c r="AR2065" s="81" t="s">
        <v>179</v>
      </c>
      <c r="AS2065" s="81">
        <v>0</v>
      </c>
      <c r="AT2065" s="81">
        <v>0</v>
      </c>
      <c r="AU2065" s="81"/>
      <c r="AV2065" s="81"/>
      <c r="AW2065" s="81"/>
      <c r="AX2065" s="81"/>
      <c r="AY2065" s="81"/>
      <c r="AZ2065" s="81"/>
      <c r="BA2065" s="81"/>
      <c r="BB2065" s="81"/>
    </row>
    <row r="2066" spans="1:54" x14ac:dyDescent="0.35">
      <c r="A2066" s="66" t="s">
        <v>1269</v>
      </c>
      <c r="B2066" s="66" t="s">
        <v>1269</v>
      </c>
      <c r="C2066" s="67"/>
      <c r="D2066" s="68"/>
      <c r="E2066" s="69"/>
      <c r="F2066" s="70"/>
      <c r="G2066" s="67"/>
      <c r="H2066" s="71"/>
      <c r="I2066" s="72"/>
      <c r="J2066" s="72"/>
      <c r="K2066" s="36"/>
      <c r="L2066" s="79"/>
      <c r="M2066" s="79"/>
      <c r="N2066" s="74"/>
      <c r="O2066" s="81" t="s">
        <v>179</v>
      </c>
      <c r="P2066" s="83">
        <v>44462.427465277775</v>
      </c>
      <c r="Q2066" s="81" t="s">
        <v>2467</v>
      </c>
      <c r="R2066" s="81"/>
      <c r="S2066" s="81"/>
      <c r="T2066" s="81"/>
      <c r="U2066" s="81"/>
      <c r="V2066" s="84" t="str">
        <f>HYPERLINK("https://pbs.twimg.com/profile_images/378800000705328795/304bfd91ee90011498fd092cc79a423e_normal.jpeg")</f>
        <v>https://pbs.twimg.com/profile_images/378800000705328795/304bfd91ee90011498fd092cc79a423e_normal.jpeg</v>
      </c>
      <c r="W2066" s="83">
        <v>44462.427465277775</v>
      </c>
      <c r="X2066" s="89">
        <v>44462</v>
      </c>
      <c r="Y2066" s="86" t="s">
        <v>4087</v>
      </c>
      <c r="Z2066" s="84" t="str">
        <f>HYPERLINK("https://twitter.com/pos_indonesia/status/1440983166081110020")</f>
        <v>https://twitter.com/pos_indonesia/status/1440983166081110020</v>
      </c>
      <c r="AA2066" s="81"/>
      <c r="AB2066" s="81"/>
      <c r="AC2066" s="86" t="s">
        <v>5749</v>
      </c>
      <c r="AD2066" s="81"/>
      <c r="AE2066" s="81" t="b">
        <v>0</v>
      </c>
      <c r="AF2066" s="81">
        <v>0</v>
      </c>
      <c r="AG2066" s="86" t="s">
        <v>6240</v>
      </c>
      <c r="AH2066" s="81" t="b">
        <v>0</v>
      </c>
      <c r="AI2066" s="81" t="s">
        <v>6479</v>
      </c>
      <c r="AJ2066" s="81"/>
      <c r="AK2066" s="86" t="s">
        <v>6240</v>
      </c>
      <c r="AL2066" s="81" t="b">
        <v>0</v>
      </c>
      <c r="AM2066" s="81">
        <v>0</v>
      </c>
      <c r="AN2066" s="86" t="s">
        <v>6240</v>
      </c>
      <c r="AO2066" s="86" t="s">
        <v>6506</v>
      </c>
      <c r="AP2066" s="81" t="b">
        <v>0</v>
      </c>
      <c r="AQ2066" s="86" t="s">
        <v>5749</v>
      </c>
      <c r="AR2066" s="81" t="s">
        <v>179</v>
      </c>
      <c r="AS2066" s="81">
        <v>0</v>
      </c>
      <c r="AT2066" s="81">
        <v>0</v>
      </c>
      <c r="AU2066" s="81"/>
      <c r="AV2066" s="81"/>
      <c r="AW2066" s="81"/>
      <c r="AX2066" s="81"/>
      <c r="AY2066" s="81"/>
      <c r="AZ2066" s="81"/>
      <c r="BA2066" s="81"/>
      <c r="BB2066" s="81"/>
    </row>
    <row r="2067" spans="1:54" x14ac:dyDescent="0.35">
      <c r="A2067" s="66" t="s">
        <v>1269</v>
      </c>
      <c r="B2067" s="66" t="s">
        <v>1269</v>
      </c>
      <c r="C2067" s="67"/>
      <c r="D2067" s="68"/>
      <c r="E2067" s="69"/>
      <c r="F2067" s="70"/>
      <c r="G2067" s="67"/>
      <c r="H2067" s="71"/>
      <c r="I2067" s="72"/>
      <c r="J2067" s="72"/>
      <c r="K2067" s="36"/>
      <c r="L2067" s="79"/>
      <c r="M2067" s="79"/>
      <c r="N2067" s="74"/>
      <c r="O2067" s="81" t="s">
        <v>179</v>
      </c>
      <c r="P2067" s="83">
        <v>44462.448252314818</v>
      </c>
      <c r="Q2067" s="81" t="s">
        <v>2444</v>
      </c>
      <c r="R2067" s="81"/>
      <c r="S2067" s="81"/>
      <c r="T2067" s="81"/>
      <c r="U2067" s="81"/>
      <c r="V2067" s="84" t="str">
        <f>HYPERLINK("https://pbs.twimg.com/profile_images/378800000705328795/304bfd91ee90011498fd092cc79a423e_normal.jpeg")</f>
        <v>https://pbs.twimg.com/profile_images/378800000705328795/304bfd91ee90011498fd092cc79a423e_normal.jpeg</v>
      </c>
      <c r="W2067" s="83">
        <v>44462.448252314818</v>
      </c>
      <c r="X2067" s="89">
        <v>44462</v>
      </c>
      <c r="Y2067" s="86" t="s">
        <v>4088</v>
      </c>
      <c r="Z2067" s="84" t="str">
        <f>HYPERLINK("https://twitter.com/pos_indonesia/status/1440990699374088193")</f>
        <v>https://twitter.com/pos_indonesia/status/1440990699374088193</v>
      </c>
      <c r="AA2067" s="81"/>
      <c r="AB2067" s="81"/>
      <c r="AC2067" s="86" t="s">
        <v>5750</v>
      </c>
      <c r="AD2067" s="81"/>
      <c r="AE2067" s="81" t="b">
        <v>0</v>
      </c>
      <c r="AF2067" s="81">
        <v>0</v>
      </c>
      <c r="AG2067" s="86" t="s">
        <v>6240</v>
      </c>
      <c r="AH2067" s="81" t="b">
        <v>0</v>
      </c>
      <c r="AI2067" s="81" t="s">
        <v>6479</v>
      </c>
      <c r="AJ2067" s="81"/>
      <c r="AK2067" s="86" t="s">
        <v>6240</v>
      </c>
      <c r="AL2067" s="81" t="b">
        <v>0</v>
      </c>
      <c r="AM2067" s="81">
        <v>0</v>
      </c>
      <c r="AN2067" s="86" t="s">
        <v>6240</v>
      </c>
      <c r="AO2067" s="86" t="s">
        <v>6506</v>
      </c>
      <c r="AP2067" s="81" t="b">
        <v>0</v>
      </c>
      <c r="AQ2067" s="86" t="s">
        <v>5750</v>
      </c>
      <c r="AR2067" s="81" t="s">
        <v>179</v>
      </c>
      <c r="AS2067" s="81">
        <v>0</v>
      </c>
      <c r="AT2067" s="81">
        <v>0</v>
      </c>
      <c r="AU2067" s="81"/>
      <c r="AV2067" s="81"/>
      <c r="AW2067" s="81"/>
      <c r="AX2067" s="81"/>
      <c r="AY2067" s="81"/>
      <c r="AZ2067" s="81"/>
      <c r="BA2067" s="81"/>
      <c r="BB2067" s="81"/>
    </row>
    <row r="2068" spans="1:54" x14ac:dyDescent="0.35">
      <c r="A2068" s="66" t="s">
        <v>1269</v>
      </c>
      <c r="B2068" s="66" t="s">
        <v>1269</v>
      </c>
      <c r="C2068" s="67"/>
      <c r="D2068" s="68"/>
      <c r="E2068" s="69"/>
      <c r="F2068" s="70"/>
      <c r="G2068" s="67"/>
      <c r="H2068" s="71"/>
      <c r="I2068" s="72"/>
      <c r="J2068" s="72"/>
      <c r="K2068" s="36"/>
      <c r="L2068" s="79"/>
      <c r="M2068" s="79"/>
      <c r="N2068" s="74"/>
      <c r="O2068" s="81" t="s">
        <v>179</v>
      </c>
      <c r="P2068" s="83">
        <v>44462.469131944446</v>
      </c>
      <c r="Q2068" s="81" t="s">
        <v>2468</v>
      </c>
      <c r="R2068" s="81"/>
      <c r="S2068" s="81"/>
      <c r="T2068" s="81"/>
      <c r="U2068" s="81"/>
      <c r="V2068" s="84" t="str">
        <f>HYPERLINK("https://pbs.twimg.com/profile_images/378800000705328795/304bfd91ee90011498fd092cc79a423e_normal.jpeg")</f>
        <v>https://pbs.twimg.com/profile_images/378800000705328795/304bfd91ee90011498fd092cc79a423e_normal.jpeg</v>
      </c>
      <c r="W2068" s="83">
        <v>44462.469131944446</v>
      </c>
      <c r="X2068" s="89">
        <v>44462</v>
      </c>
      <c r="Y2068" s="86" t="s">
        <v>4154</v>
      </c>
      <c r="Z2068" s="84" t="str">
        <f>HYPERLINK("https://twitter.com/pos_indonesia/status/1440998264774402058")</f>
        <v>https://twitter.com/pos_indonesia/status/1440998264774402058</v>
      </c>
      <c r="AA2068" s="81"/>
      <c r="AB2068" s="81"/>
      <c r="AC2068" s="86" t="s">
        <v>5751</v>
      </c>
      <c r="AD2068" s="81"/>
      <c r="AE2068" s="81" t="b">
        <v>0</v>
      </c>
      <c r="AF2068" s="81">
        <v>0</v>
      </c>
      <c r="AG2068" s="86" t="s">
        <v>6240</v>
      </c>
      <c r="AH2068" s="81" t="b">
        <v>0</v>
      </c>
      <c r="AI2068" s="81" t="s">
        <v>6479</v>
      </c>
      <c r="AJ2068" s="81"/>
      <c r="AK2068" s="86" t="s">
        <v>6240</v>
      </c>
      <c r="AL2068" s="81" t="b">
        <v>0</v>
      </c>
      <c r="AM2068" s="81">
        <v>0</v>
      </c>
      <c r="AN2068" s="86" t="s">
        <v>6240</v>
      </c>
      <c r="AO2068" s="86" t="s">
        <v>6506</v>
      </c>
      <c r="AP2068" s="81" t="b">
        <v>0</v>
      </c>
      <c r="AQ2068" s="86" t="s">
        <v>5751</v>
      </c>
      <c r="AR2068" s="81" t="s">
        <v>179</v>
      </c>
      <c r="AS2068" s="81">
        <v>0</v>
      </c>
      <c r="AT2068" s="81">
        <v>0</v>
      </c>
      <c r="AU2068" s="81"/>
      <c r="AV2068" s="81"/>
      <c r="AW2068" s="81"/>
      <c r="AX2068" s="81"/>
      <c r="AY2068" s="81"/>
      <c r="AZ2068" s="81"/>
      <c r="BA2068" s="81"/>
      <c r="BB2068" s="81"/>
    </row>
    <row r="2069" spans="1:54" x14ac:dyDescent="0.35">
      <c r="A2069" s="66" t="s">
        <v>1269</v>
      </c>
      <c r="B2069" s="66" t="s">
        <v>1269</v>
      </c>
      <c r="C2069" s="67"/>
      <c r="D2069" s="68"/>
      <c r="E2069" s="69"/>
      <c r="F2069" s="70"/>
      <c r="G2069" s="67"/>
      <c r="H2069" s="71"/>
      <c r="I2069" s="72"/>
      <c r="J2069" s="72"/>
      <c r="K2069" s="36"/>
      <c r="L2069" s="79"/>
      <c r="M2069" s="79"/>
      <c r="N2069" s="74"/>
      <c r="O2069" s="81" t="s">
        <v>179</v>
      </c>
      <c r="P2069" s="83">
        <v>44462.489930555559</v>
      </c>
      <c r="Q2069" s="81" t="s">
        <v>2469</v>
      </c>
      <c r="R2069" s="81"/>
      <c r="S2069" s="81"/>
      <c r="T2069" s="81"/>
      <c r="U2069" s="81"/>
      <c r="V2069" s="84" t="str">
        <f>HYPERLINK("https://pbs.twimg.com/profile_images/378800000705328795/304bfd91ee90011498fd092cc79a423e_normal.jpeg")</f>
        <v>https://pbs.twimg.com/profile_images/378800000705328795/304bfd91ee90011498fd092cc79a423e_normal.jpeg</v>
      </c>
      <c r="W2069" s="83">
        <v>44462.489930555559</v>
      </c>
      <c r="X2069" s="89">
        <v>44462</v>
      </c>
      <c r="Y2069" s="86" t="s">
        <v>4116</v>
      </c>
      <c r="Z2069" s="84" t="str">
        <f>HYPERLINK("https://twitter.com/pos_indonesia/status/1441005800579796993")</f>
        <v>https://twitter.com/pos_indonesia/status/1441005800579796993</v>
      </c>
      <c r="AA2069" s="81"/>
      <c r="AB2069" s="81"/>
      <c r="AC2069" s="86" t="s">
        <v>5752</v>
      </c>
      <c r="AD2069" s="81"/>
      <c r="AE2069" s="81" t="b">
        <v>0</v>
      </c>
      <c r="AF2069" s="81">
        <v>0</v>
      </c>
      <c r="AG2069" s="86" t="s">
        <v>6240</v>
      </c>
      <c r="AH2069" s="81" t="b">
        <v>0</v>
      </c>
      <c r="AI2069" s="81" t="s">
        <v>6479</v>
      </c>
      <c r="AJ2069" s="81"/>
      <c r="AK2069" s="86" t="s">
        <v>6240</v>
      </c>
      <c r="AL2069" s="81" t="b">
        <v>0</v>
      </c>
      <c r="AM2069" s="81">
        <v>0</v>
      </c>
      <c r="AN2069" s="86" t="s">
        <v>6240</v>
      </c>
      <c r="AO2069" s="86" t="s">
        <v>6506</v>
      </c>
      <c r="AP2069" s="81" t="b">
        <v>0</v>
      </c>
      <c r="AQ2069" s="86" t="s">
        <v>5752</v>
      </c>
      <c r="AR2069" s="81" t="s">
        <v>179</v>
      </c>
      <c r="AS2069" s="81">
        <v>0</v>
      </c>
      <c r="AT2069" s="81">
        <v>0</v>
      </c>
      <c r="AU2069" s="81"/>
      <c r="AV2069" s="81"/>
      <c r="AW2069" s="81"/>
      <c r="AX2069" s="81"/>
      <c r="AY2069" s="81"/>
      <c r="AZ2069" s="81"/>
      <c r="BA2069" s="81"/>
      <c r="BB2069" s="81"/>
    </row>
    <row r="2070" spans="1:54" x14ac:dyDescent="0.35">
      <c r="A2070" s="66" t="s">
        <v>1269</v>
      </c>
      <c r="B2070" s="66" t="s">
        <v>1269</v>
      </c>
      <c r="C2070" s="67"/>
      <c r="D2070" s="68"/>
      <c r="E2070" s="69"/>
      <c r="F2070" s="70"/>
      <c r="G2070" s="67"/>
      <c r="H2070" s="71"/>
      <c r="I2070" s="72"/>
      <c r="J2070" s="72"/>
      <c r="K2070" s="36"/>
      <c r="L2070" s="79"/>
      <c r="M2070" s="79"/>
      <c r="N2070" s="74"/>
      <c r="O2070" s="81" t="s">
        <v>179</v>
      </c>
      <c r="P2070" s="83">
        <v>44462.510810185187</v>
      </c>
      <c r="Q2070" s="81" t="s">
        <v>2470</v>
      </c>
      <c r="R2070" s="81"/>
      <c r="S2070" s="81"/>
      <c r="T2070" s="81"/>
      <c r="U2070" s="81"/>
      <c r="V2070" s="84" t="str">
        <f>HYPERLINK("https://pbs.twimg.com/profile_images/378800000705328795/304bfd91ee90011498fd092cc79a423e_normal.jpeg")</f>
        <v>https://pbs.twimg.com/profile_images/378800000705328795/304bfd91ee90011498fd092cc79a423e_normal.jpeg</v>
      </c>
      <c r="W2070" s="83">
        <v>44462.510810185187</v>
      </c>
      <c r="X2070" s="89">
        <v>44462</v>
      </c>
      <c r="Y2070" s="86" t="s">
        <v>4117</v>
      </c>
      <c r="Z2070" s="84" t="str">
        <f>HYPERLINK("https://twitter.com/pos_indonesia/status/1441013367796166663")</f>
        <v>https://twitter.com/pos_indonesia/status/1441013367796166663</v>
      </c>
      <c r="AA2070" s="81"/>
      <c r="AB2070" s="81"/>
      <c r="AC2070" s="86" t="s">
        <v>5753</v>
      </c>
      <c r="AD2070" s="81"/>
      <c r="AE2070" s="81" t="b">
        <v>0</v>
      </c>
      <c r="AF2070" s="81">
        <v>0</v>
      </c>
      <c r="AG2070" s="86" t="s">
        <v>6240</v>
      </c>
      <c r="AH2070" s="81" t="b">
        <v>0</v>
      </c>
      <c r="AI2070" s="81" t="s">
        <v>6479</v>
      </c>
      <c r="AJ2070" s="81"/>
      <c r="AK2070" s="86" t="s">
        <v>6240</v>
      </c>
      <c r="AL2070" s="81" t="b">
        <v>0</v>
      </c>
      <c r="AM2070" s="81">
        <v>0</v>
      </c>
      <c r="AN2070" s="86" t="s">
        <v>6240</v>
      </c>
      <c r="AO2070" s="86" t="s">
        <v>6506</v>
      </c>
      <c r="AP2070" s="81" t="b">
        <v>0</v>
      </c>
      <c r="AQ2070" s="86" t="s">
        <v>5753</v>
      </c>
      <c r="AR2070" s="81" t="s">
        <v>179</v>
      </c>
      <c r="AS2070" s="81">
        <v>0</v>
      </c>
      <c r="AT2070" s="81">
        <v>0</v>
      </c>
      <c r="AU2070" s="81"/>
      <c r="AV2070" s="81"/>
      <c r="AW2070" s="81"/>
      <c r="AX2070" s="81"/>
      <c r="AY2070" s="81"/>
      <c r="AZ2070" s="81"/>
      <c r="BA2070" s="81"/>
      <c r="BB2070" s="81"/>
    </row>
    <row r="2071" spans="1:54" x14ac:dyDescent="0.35">
      <c r="A2071" s="66" t="s">
        <v>1269</v>
      </c>
      <c r="B2071" s="66" t="s">
        <v>1269</v>
      </c>
      <c r="C2071" s="67"/>
      <c r="D2071" s="68"/>
      <c r="E2071" s="69"/>
      <c r="F2071" s="70"/>
      <c r="G2071" s="67"/>
      <c r="H2071" s="71"/>
      <c r="I2071" s="72"/>
      <c r="J2071" s="72"/>
      <c r="K2071" s="36"/>
      <c r="L2071" s="79"/>
      <c r="M2071" s="79"/>
      <c r="N2071" s="74"/>
      <c r="O2071" s="81" t="s">
        <v>179</v>
      </c>
      <c r="P2071" s="83">
        <v>44462.531597222223</v>
      </c>
      <c r="Q2071" s="81" t="s">
        <v>2471</v>
      </c>
      <c r="R2071" s="81"/>
      <c r="S2071" s="81"/>
      <c r="T2071" s="81"/>
      <c r="U2071" s="81"/>
      <c r="V2071" s="84" t="str">
        <f>HYPERLINK("https://pbs.twimg.com/profile_images/378800000705328795/304bfd91ee90011498fd092cc79a423e_normal.jpeg")</f>
        <v>https://pbs.twimg.com/profile_images/378800000705328795/304bfd91ee90011498fd092cc79a423e_normal.jpeg</v>
      </c>
      <c r="W2071" s="83">
        <v>44462.531597222223</v>
      </c>
      <c r="X2071" s="89">
        <v>44462</v>
      </c>
      <c r="Y2071" s="86" t="s">
        <v>4155</v>
      </c>
      <c r="Z2071" s="84" t="str">
        <f>HYPERLINK("https://twitter.com/pos_indonesia/status/1441020900917219335")</f>
        <v>https://twitter.com/pos_indonesia/status/1441020900917219335</v>
      </c>
      <c r="AA2071" s="81"/>
      <c r="AB2071" s="81"/>
      <c r="AC2071" s="86" t="s">
        <v>5754</v>
      </c>
      <c r="AD2071" s="81"/>
      <c r="AE2071" s="81" t="b">
        <v>0</v>
      </c>
      <c r="AF2071" s="81">
        <v>0</v>
      </c>
      <c r="AG2071" s="86" t="s">
        <v>6240</v>
      </c>
      <c r="AH2071" s="81" t="b">
        <v>0</v>
      </c>
      <c r="AI2071" s="81" t="s">
        <v>6479</v>
      </c>
      <c r="AJ2071" s="81"/>
      <c r="AK2071" s="86" t="s">
        <v>6240</v>
      </c>
      <c r="AL2071" s="81" t="b">
        <v>0</v>
      </c>
      <c r="AM2071" s="81">
        <v>0</v>
      </c>
      <c r="AN2071" s="86" t="s">
        <v>6240</v>
      </c>
      <c r="AO2071" s="86" t="s">
        <v>6506</v>
      </c>
      <c r="AP2071" s="81" t="b">
        <v>0</v>
      </c>
      <c r="AQ2071" s="86" t="s">
        <v>5754</v>
      </c>
      <c r="AR2071" s="81" t="s">
        <v>179</v>
      </c>
      <c r="AS2071" s="81">
        <v>0</v>
      </c>
      <c r="AT2071" s="81">
        <v>0</v>
      </c>
      <c r="AU2071" s="81"/>
      <c r="AV2071" s="81"/>
      <c r="AW2071" s="81"/>
      <c r="AX2071" s="81"/>
      <c r="AY2071" s="81"/>
      <c r="AZ2071" s="81"/>
      <c r="BA2071" s="81"/>
      <c r="BB2071" s="81"/>
    </row>
    <row r="2072" spans="1:54" x14ac:dyDescent="0.35">
      <c r="A2072" s="66" t="s">
        <v>1269</v>
      </c>
      <c r="B2072" s="66" t="s">
        <v>1269</v>
      </c>
      <c r="C2072" s="67"/>
      <c r="D2072" s="68"/>
      <c r="E2072" s="69"/>
      <c r="F2072" s="70"/>
      <c r="G2072" s="67"/>
      <c r="H2072" s="71"/>
      <c r="I2072" s="72"/>
      <c r="J2072" s="72"/>
      <c r="K2072" s="36"/>
      <c r="L2072" s="79"/>
      <c r="M2072" s="79"/>
      <c r="N2072" s="74"/>
      <c r="O2072" s="81" t="s">
        <v>179</v>
      </c>
      <c r="P2072" s="83">
        <v>44462.552465277775</v>
      </c>
      <c r="Q2072" s="81" t="s">
        <v>2472</v>
      </c>
      <c r="R2072" s="81"/>
      <c r="S2072" s="81"/>
      <c r="T2072" s="81"/>
      <c r="U2072" s="81"/>
      <c r="V2072" s="84" t="str">
        <f>HYPERLINK("https://pbs.twimg.com/profile_images/378800000705328795/304bfd91ee90011498fd092cc79a423e_normal.jpeg")</f>
        <v>https://pbs.twimg.com/profile_images/378800000705328795/304bfd91ee90011498fd092cc79a423e_normal.jpeg</v>
      </c>
      <c r="W2072" s="83">
        <v>44462.552465277775</v>
      </c>
      <c r="X2072" s="89">
        <v>44462</v>
      </c>
      <c r="Y2072" s="86" t="s">
        <v>4140</v>
      </c>
      <c r="Z2072" s="84" t="str">
        <f>HYPERLINK("https://twitter.com/pos_indonesia/status/1441028463339606022")</f>
        <v>https://twitter.com/pos_indonesia/status/1441028463339606022</v>
      </c>
      <c r="AA2072" s="81"/>
      <c r="AB2072" s="81"/>
      <c r="AC2072" s="86" t="s">
        <v>5755</v>
      </c>
      <c r="AD2072" s="81"/>
      <c r="AE2072" s="81" t="b">
        <v>0</v>
      </c>
      <c r="AF2072" s="81">
        <v>0</v>
      </c>
      <c r="AG2072" s="86" t="s">
        <v>6240</v>
      </c>
      <c r="AH2072" s="81" t="b">
        <v>0</v>
      </c>
      <c r="AI2072" s="81" t="s">
        <v>6479</v>
      </c>
      <c r="AJ2072" s="81"/>
      <c r="AK2072" s="86" t="s">
        <v>6240</v>
      </c>
      <c r="AL2072" s="81" t="b">
        <v>0</v>
      </c>
      <c r="AM2072" s="81">
        <v>0</v>
      </c>
      <c r="AN2072" s="86" t="s">
        <v>6240</v>
      </c>
      <c r="AO2072" s="86" t="s">
        <v>6506</v>
      </c>
      <c r="AP2072" s="81" t="b">
        <v>0</v>
      </c>
      <c r="AQ2072" s="86" t="s">
        <v>5755</v>
      </c>
      <c r="AR2072" s="81" t="s">
        <v>179</v>
      </c>
      <c r="AS2072" s="81">
        <v>0</v>
      </c>
      <c r="AT2072" s="81">
        <v>0</v>
      </c>
      <c r="AU2072" s="81"/>
      <c r="AV2072" s="81"/>
      <c r="AW2072" s="81"/>
      <c r="AX2072" s="81"/>
      <c r="AY2072" s="81"/>
      <c r="AZ2072" s="81"/>
      <c r="BA2072" s="81"/>
      <c r="BB2072" s="81"/>
    </row>
    <row r="2073" spans="1:54" x14ac:dyDescent="0.35">
      <c r="A2073" s="66" t="s">
        <v>1269</v>
      </c>
      <c r="B2073" s="66" t="s">
        <v>1269</v>
      </c>
      <c r="C2073" s="67"/>
      <c r="D2073" s="68"/>
      <c r="E2073" s="69"/>
      <c r="F2073" s="70"/>
      <c r="G2073" s="67"/>
      <c r="H2073" s="71"/>
      <c r="I2073" s="72"/>
      <c r="J2073" s="72"/>
      <c r="K2073" s="36"/>
      <c r="L2073" s="79"/>
      <c r="M2073" s="79"/>
      <c r="N2073" s="74"/>
      <c r="O2073" s="81" t="s">
        <v>179</v>
      </c>
      <c r="P2073" s="83">
        <v>44462.573252314818</v>
      </c>
      <c r="Q2073" s="81" t="s">
        <v>2473</v>
      </c>
      <c r="R2073" s="81"/>
      <c r="S2073" s="81"/>
      <c r="T2073" s="81"/>
      <c r="U2073" s="81"/>
      <c r="V2073" s="84" t="str">
        <f>HYPERLINK("https://pbs.twimg.com/profile_images/378800000705328795/304bfd91ee90011498fd092cc79a423e_normal.jpeg")</f>
        <v>https://pbs.twimg.com/profile_images/378800000705328795/304bfd91ee90011498fd092cc79a423e_normal.jpeg</v>
      </c>
      <c r="W2073" s="83">
        <v>44462.573252314818</v>
      </c>
      <c r="X2073" s="89">
        <v>44462</v>
      </c>
      <c r="Y2073" s="86" t="s">
        <v>4119</v>
      </c>
      <c r="Z2073" s="84" t="str">
        <f>HYPERLINK("https://twitter.com/pos_indonesia/status/1441035995269328897")</f>
        <v>https://twitter.com/pos_indonesia/status/1441035995269328897</v>
      </c>
      <c r="AA2073" s="81"/>
      <c r="AB2073" s="81"/>
      <c r="AC2073" s="86" t="s">
        <v>5756</v>
      </c>
      <c r="AD2073" s="81"/>
      <c r="AE2073" s="81" t="b">
        <v>0</v>
      </c>
      <c r="AF2073" s="81">
        <v>0</v>
      </c>
      <c r="AG2073" s="86" t="s">
        <v>6240</v>
      </c>
      <c r="AH2073" s="81" t="b">
        <v>0</v>
      </c>
      <c r="AI2073" s="81" t="s">
        <v>6479</v>
      </c>
      <c r="AJ2073" s="81"/>
      <c r="AK2073" s="86" t="s">
        <v>6240</v>
      </c>
      <c r="AL2073" s="81" t="b">
        <v>0</v>
      </c>
      <c r="AM2073" s="81">
        <v>0</v>
      </c>
      <c r="AN2073" s="86" t="s">
        <v>6240</v>
      </c>
      <c r="AO2073" s="86" t="s">
        <v>6506</v>
      </c>
      <c r="AP2073" s="81" t="b">
        <v>0</v>
      </c>
      <c r="AQ2073" s="86" t="s">
        <v>5756</v>
      </c>
      <c r="AR2073" s="81" t="s">
        <v>179</v>
      </c>
      <c r="AS2073" s="81">
        <v>0</v>
      </c>
      <c r="AT2073" s="81">
        <v>0</v>
      </c>
      <c r="AU2073" s="81"/>
      <c r="AV2073" s="81"/>
      <c r="AW2073" s="81"/>
      <c r="AX2073" s="81"/>
      <c r="AY2073" s="81"/>
      <c r="AZ2073" s="81"/>
      <c r="BA2073" s="81"/>
      <c r="BB2073" s="81"/>
    </row>
    <row r="2074" spans="1:54" x14ac:dyDescent="0.35">
      <c r="A2074" s="66" t="s">
        <v>1269</v>
      </c>
      <c r="B2074" s="66" t="s">
        <v>1269</v>
      </c>
      <c r="C2074" s="67"/>
      <c r="D2074" s="68"/>
      <c r="E2074" s="69"/>
      <c r="F2074" s="70"/>
      <c r="G2074" s="67"/>
      <c r="H2074" s="71"/>
      <c r="I2074" s="72"/>
      <c r="J2074" s="72"/>
      <c r="K2074" s="36"/>
      <c r="L2074" s="79"/>
      <c r="M2074" s="79"/>
      <c r="N2074" s="74"/>
      <c r="O2074" s="81" t="s">
        <v>179</v>
      </c>
      <c r="P2074" s="83">
        <v>44462.594155092593</v>
      </c>
      <c r="Q2074" s="81" t="s">
        <v>2474</v>
      </c>
      <c r="R2074" s="81"/>
      <c r="S2074" s="81"/>
      <c r="T2074" s="81"/>
      <c r="U2074" s="81"/>
      <c r="V2074" s="84" t="str">
        <f>HYPERLINK("https://pbs.twimg.com/profile_images/378800000705328795/304bfd91ee90011498fd092cc79a423e_normal.jpeg")</f>
        <v>https://pbs.twimg.com/profile_images/378800000705328795/304bfd91ee90011498fd092cc79a423e_normal.jpeg</v>
      </c>
      <c r="W2074" s="83">
        <v>44462.594155092593</v>
      </c>
      <c r="X2074" s="89">
        <v>44462</v>
      </c>
      <c r="Y2074" s="86" t="s">
        <v>4094</v>
      </c>
      <c r="Z2074" s="84" t="str">
        <f>HYPERLINK("https://twitter.com/pos_indonesia/status/1441043570857635846")</f>
        <v>https://twitter.com/pos_indonesia/status/1441043570857635846</v>
      </c>
      <c r="AA2074" s="81"/>
      <c r="AB2074" s="81"/>
      <c r="AC2074" s="86" t="s">
        <v>5757</v>
      </c>
      <c r="AD2074" s="81"/>
      <c r="AE2074" s="81" t="b">
        <v>0</v>
      </c>
      <c r="AF2074" s="81">
        <v>0</v>
      </c>
      <c r="AG2074" s="86" t="s">
        <v>6240</v>
      </c>
      <c r="AH2074" s="81" t="b">
        <v>0</v>
      </c>
      <c r="AI2074" s="81" t="s">
        <v>6479</v>
      </c>
      <c r="AJ2074" s="81"/>
      <c r="AK2074" s="86" t="s">
        <v>6240</v>
      </c>
      <c r="AL2074" s="81" t="b">
        <v>0</v>
      </c>
      <c r="AM2074" s="81">
        <v>0</v>
      </c>
      <c r="AN2074" s="86" t="s">
        <v>6240</v>
      </c>
      <c r="AO2074" s="86" t="s">
        <v>6506</v>
      </c>
      <c r="AP2074" s="81" t="b">
        <v>0</v>
      </c>
      <c r="AQ2074" s="86" t="s">
        <v>5757</v>
      </c>
      <c r="AR2074" s="81" t="s">
        <v>179</v>
      </c>
      <c r="AS2074" s="81">
        <v>0</v>
      </c>
      <c r="AT2074" s="81">
        <v>0</v>
      </c>
      <c r="AU2074" s="81"/>
      <c r="AV2074" s="81"/>
      <c r="AW2074" s="81"/>
      <c r="AX2074" s="81"/>
      <c r="AY2074" s="81"/>
      <c r="AZ2074" s="81"/>
      <c r="BA2074" s="81"/>
      <c r="BB2074" s="81"/>
    </row>
    <row r="2075" spans="1:54" x14ac:dyDescent="0.35">
      <c r="A2075" s="66" t="s">
        <v>1269</v>
      </c>
      <c r="B2075" s="66" t="s">
        <v>1269</v>
      </c>
      <c r="C2075" s="67"/>
      <c r="D2075" s="68"/>
      <c r="E2075" s="69"/>
      <c r="F2075" s="70"/>
      <c r="G2075" s="67"/>
      <c r="H2075" s="71"/>
      <c r="I2075" s="72"/>
      <c r="J2075" s="72"/>
      <c r="K2075" s="36"/>
      <c r="L2075" s="79"/>
      <c r="M2075" s="79"/>
      <c r="N2075" s="74"/>
      <c r="O2075" s="81" t="s">
        <v>179</v>
      </c>
      <c r="P2075" s="83">
        <v>44462.614942129629</v>
      </c>
      <c r="Q2075" s="81" t="s">
        <v>2475</v>
      </c>
      <c r="R2075" s="81"/>
      <c r="S2075" s="81"/>
      <c r="T2075" s="81"/>
      <c r="U2075" s="81"/>
      <c r="V2075" s="84" t="str">
        <f>HYPERLINK("https://pbs.twimg.com/profile_images/378800000705328795/304bfd91ee90011498fd092cc79a423e_normal.jpeg")</f>
        <v>https://pbs.twimg.com/profile_images/378800000705328795/304bfd91ee90011498fd092cc79a423e_normal.jpeg</v>
      </c>
      <c r="W2075" s="83">
        <v>44462.614942129629</v>
      </c>
      <c r="X2075" s="89">
        <v>44462</v>
      </c>
      <c r="Y2075" s="86" t="s">
        <v>4120</v>
      </c>
      <c r="Z2075" s="84" t="str">
        <f>HYPERLINK("https://twitter.com/pos_indonesia/status/1441051103617900549")</f>
        <v>https://twitter.com/pos_indonesia/status/1441051103617900549</v>
      </c>
      <c r="AA2075" s="81"/>
      <c r="AB2075" s="81"/>
      <c r="AC2075" s="86" t="s">
        <v>5758</v>
      </c>
      <c r="AD2075" s="81"/>
      <c r="AE2075" s="81" t="b">
        <v>0</v>
      </c>
      <c r="AF2075" s="81">
        <v>0</v>
      </c>
      <c r="AG2075" s="86" t="s">
        <v>6240</v>
      </c>
      <c r="AH2075" s="81" t="b">
        <v>0</v>
      </c>
      <c r="AI2075" s="81" t="s">
        <v>6479</v>
      </c>
      <c r="AJ2075" s="81"/>
      <c r="AK2075" s="86" t="s">
        <v>6240</v>
      </c>
      <c r="AL2075" s="81" t="b">
        <v>0</v>
      </c>
      <c r="AM2075" s="81">
        <v>0</v>
      </c>
      <c r="AN2075" s="86" t="s">
        <v>6240</v>
      </c>
      <c r="AO2075" s="86" t="s">
        <v>6506</v>
      </c>
      <c r="AP2075" s="81" t="b">
        <v>0</v>
      </c>
      <c r="AQ2075" s="86" t="s">
        <v>5758</v>
      </c>
      <c r="AR2075" s="81" t="s">
        <v>179</v>
      </c>
      <c r="AS2075" s="81">
        <v>0</v>
      </c>
      <c r="AT2075" s="81">
        <v>0</v>
      </c>
      <c r="AU2075" s="81"/>
      <c r="AV2075" s="81"/>
      <c r="AW2075" s="81"/>
      <c r="AX2075" s="81"/>
      <c r="AY2075" s="81"/>
      <c r="AZ2075" s="81"/>
      <c r="BA2075" s="81"/>
      <c r="BB2075" s="81"/>
    </row>
    <row r="2076" spans="1:54" x14ac:dyDescent="0.35">
      <c r="A2076" s="66" t="s">
        <v>1269</v>
      </c>
      <c r="B2076" s="66" t="s">
        <v>1269</v>
      </c>
      <c r="C2076" s="67"/>
      <c r="D2076" s="68"/>
      <c r="E2076" s="69"/>
      <c r="F2076" s="70"/>
      <c r="G2076" s="67"/>
      <c r="H2076" s="71"/>
      <c r="I2076" s="72"/>
      <c r="J2076" s="72"/>
      <c r="K2076" s="36"/>
      <c r="L2076" s="79"/>
      <c r="M2076" s="79"/>
      <c r="N2076" s="74"/>
      <c r="O2076" s="81" t="s">
        <v>179</v>
      </c>
      <c r="P2076" s="83">
        <v>44462.635752314818</v>
      </c>
      <c r="Q2076" s="81" t="s">
        <v>2476</v>
      </c>
      <c r="R2076" s="81"/>
      <c r="S2076" s="81"/>
      <c r="T2076" s="81"/>
      <c r="U2076" s="81"/>
      <c r="V2076" s="84" t="str">
        <f>HYPERLINK("https://pbs.twimg.com/profile_images/378800000705328795/304bfd91ee90011498fd092cc79a423e_normal.jpeg")</f>
        <v>https://pbs.twimg.com/profile_images/378800000705328795/304bfd91ee90011498fd092cc79a423e_normal.jpeg</v>
      </c>
      <c r="W2076" s="83">
        <v>44462.635752314818</v>
      </c>
      <c r="X2076" s="89">
        <v>44462</v>
      </c>
      <c r="Y2076" s="86" t="s">
        <v>4121</v>
      </c>
      <c r="Z2076" s="84" t="str">
        <f>HYPERLINK("https://twitter.com/pos_indonesia/status/1441058646612328460")</f>
        <v>https://twitter.com/pos_indonesia/status/1441058646612328460</v>
      </c>
      <c r="AA2076" s="81"/>
      <c r="AB2076" s="81"/>
      <c r="AC2076" s="86" t="s">
        <v>5759</v>
      </c>
      <c r="AD2076" s="81"/>
      <c r="AE2076" s="81" t="b">
        <v>0</v>
      </c>
      <c r="AF2076" s="81">
        <v>0</v>
      </c>
      <c r="AG2076" s="86" t="s">
        <v>6240</v>
      </c>
      <c r="AH2076" s="81" t="b">
        <v>0</v>
      </c>
      <c r="AI2076" s="81" t="s">
        <v>6479</v>
      </c>
      <c r="AJ2076" s="81"/>
      <c r="AK2076" s="86" t="s">
        <v>6240</v>
      </c>
      <c r="AL2076" s="81" t="b">
        <v>0</v>
      </c>
      <c r="AM2076" s="81">
        <v>0</v>
      </c>
      <c r="AN2076" s="86" t="s">
        <v>6240</v>
      </c>
      <c r="AO2076" s="86" t="s">
        <v>6506</v>
      </c>
      <c r="AP2076" s="81" t="b">
        <v>0</v>
      </c>
      <c r="AQ2076" s="86" t="s">
        <v>5759</v>
      </c>
      <c r="AR2076" s="81" t="s">
        <v>179</v>
      </c>
      <c r="AS2076" s="81">
        <v>0</v>
      </c>
      <c r="AT2076" s="81">
        <v>0</v>
      </c>
      <c r="AU2076" s="81"/>
      <c r="AV2076" s="81"/>
      <c r="AW2076" s="81"/>
      <c r="AX2076" s="81"/>
      <c r="AY2076" s="81"/>
      <c r="AZ2076" s="81"/>
      <c r="BA2076" s="81"/>
      <c r="BB2076" s="81"/>
    </row>
    <row r="2077" spans="1:54" x14ac:dyDescent="0.35">
      <c r="A2077" s="66" t="s">
        <v>1269</v>
      </c>
      <c r="B2077" s="66" t="s">
        <v>1269</v>
      </c>
      <c r="C2077" s="67"/>
      <c r="D2077" s="68"/>
      <c r="E2077" s="69"/>
      <c r="F2077" s="70"/>
      <c r="G2077" s="67"/>
      <c r="H2077" s="71"/>
      <c r="I2077" s="72"/>
      <c r="J2077" s="72"/>
      <c r="K2077" s="36"/>
      <c r="L2077" s="79"/>
      <c r="M2077" s="79"/>
      <c r="N2077" s="74"/>
      <c r="O2077" s="81" t="s">
        <v>179</v>
      </c>
      <c r="P2077" s="83">
        <v>44462.656585648147</v>
      </c>
      <c r="Q2077" s="81" t="s">
        <v>2443</v>
      </c>
      <c r="R2077" s="81"/>
      <c r="S2077" s="81"/>
      <c r="T2077" s="81"/>
      <c r="U2077" s="81"/>
      <c r="V2077" s="84" t="str">
        <f>HYPERLINK("https://pbs.twimg.com/profile_images/378800000705328795/304bfd91ee90011498fd092cc79a423e_normal.jpeg")</f>
        <v>https://pbs.twimg.com/profile_images/378800000705328795/304bfd91ee90011498fd092cc79a423e_normal.jpeg</v>
      </c>
      <c r="W2077" s="83">
        <v>44462.656585648147</v>
      </c>
      <c r="X2077" s="89">
        <v>44462</v>
      </c>
      <c r="Y2077" s="86" t="s">
        <v>4122</v>
      </c>
      <c r="Z2077" s="84" t="str">
        <f>HYPERLINK("https://twitter.com/pos_indonesia/status/1441066194874687496")</f>
        <v>https://twitter.com/pos_indonesia/status/1441066194874687496</v>
      </c>
      <c r="AA2077" s="81"/>
      <c r="AB2077" s="81"/>
      <c r="AC2077" s="86" t="s">
        <v>5760</v>
      </c>
      <c r="AD2077" s="81"/>
      <c r="AE2077" s="81" t="b">
        <v>0</v>
      </c>
      <c r="AF2077" s="81">
        <v>0</v>
      </c>
      <c r="AG2077" s="86" t="s">
        <v>6240</v>
      </c>
      <c r="AH2077" s="81" t="b">
        <v>0</v>
      </c>
      <c r="AI2077" s="81" t="s">
        <v>6479</v>
      </c>
      <c r="AJ2077" s="81"/>
      <c r="AK2077" s="86" t="s">
        <v>6240</v>
      </c>
      <c r="AL2077" s="81" t="b">
        <v>0</v>
      </c>
      <c r="AM2077" s="81">
        <v>0</v>
      </c>
      <c r="AN2077" s="86" t="s">
        <v>6240</v>
      </c>
      <c r="AO2077" s="86" t="s">
        <v>6506</v>
      </c>
      <c r="AP2077" s="81" t="b">
        <v>0</v>
      </c>
      <c r="AQ2077" s="86" t="s">
        <v>5760</v>
      </c>
      <c r="AR2077" s="81" t="s">
        <v>179</v>
      </c>
      <c r="AS2077" s="81">
        <v>0</v>
      </c>
      <c r="AT2077" s="81">
        <v>0</v>
      </c>
      <c r="AU2077" s="81"/>
      <c r="AV2077" s="81"/>
      <c r="AW2077" s="81"/>
      <c r="AX2077" s="81"/>
      <c r="AY2077" s="81"/>
      <c r="AZ2077" s="81"/>
      <c r="BA2077" s="81"/>
      <c r="BB2077" s="81"/>
    </row>
    <row r="2078" spans="1:54" x14ac:dyDescent="0.35">
      <c r="A2078" s="66" t="s">
        <v>1269</v>
      </c>
      <c r="B2078" s="66" t="s">
        <v>1269</v>
      </c>
      <c r="C2078" s="67"/>
      <c r="D2078" s="68"/>
      <c r="E2078" s="69"/>
      <c r="F2078" s="70"/>
      <c r="G2078" s="67"/>
      <c r="H2078" s="71"/>
      <c r="I2078" s="72"/>
      <c r="J2078" s="72"/>
      <c r="K2078" s="36"/>
      <c r="L2078" s="79"/>
      <c r="M2078" s="79"/>
      <c r="N2078" s="74"/>
      <c r="O2078" s="81" t="s">
        <v>179</v>
      </c>
      <c r="P2078" s="83">
        <v>44462.677453703705</v>
      </c>
      <c r="Q2078" s="81" t="s">
        <v>2477</v>
      </c>
      <c r="R2078" s="81"/>
      <c r="S2078" s="81"/>
      <c r="T2078" s="81"/>
      <c r="U2078" s="81"/>
      <c r="V2078" s="84" t="str">
        <f>HYPERLINK("https://pbs.twimg.com/profile_images/378800000705328795/304bfd91ee90011498fd092cc79a423e_normal.jpeg")</f>
        <v>https://pbs.twimg.com/profile_images/378800000705328795/304bfd91ee90011498fd092cc79a423e_normal.jpeg</v>
      </c>
      <c r="W2078" s="83">
        <v>44462.677453703705</v>
      </c>
      <c r="X2078" s="89">
        <v>44462</v>
      </c>
      <c r="Y2078" s="86" t="s">
        <v>4098</v>
      </c>
      <c r="Z2078" s="84" t="str">
        <f>HYPERLINK("https://twitter.com/pos_indonesia/status/1441073758173753360")</f>
        <v>https://twitter.com/pos_indonesia/status/1441073758173753360</v>
      </c>
      <c r="AA2078" s="81"/>
      <c r="AB2078" s="81"/>
      <c r="AC2078" s="86" t="s">
        <v>5761</v>
      </c>
      <c r="AD2078" s="81"/>
      <c r="AE2078" s="81" t="b">
        <v>0</v>
      </c>
      <c r="AF2078" s="81">
        <v>0</v>
      </c>
      <c r="AG2078" s="86" t="s">
        <v>6240</v>
      </c>
      <c r="AH2078" s="81" t="b">
        <v>0</v>
      </c>
      <c r="AI2078" s="81" t="s">
        <v>6479</v>
      </c>
      <c r="AJ2078" s="81"/>
      <c r="AK2078" s="86" t="s">
        <v>6240</v>
      </c>
      <c r="AL2078" s="81" t="b">
        <v>0</v>
      </c>
      <c r="AM2078" s="81">
        <v>0</v>
      </c>
      <c r="AN2078" s="86" t="s">
        <v>6240</v>
      </c>
      <c r="AO2078" s="86" t="s">
        <v>6506</v>
      </c>
      <c r="AP2078" s="81" t="b">
        <v>0</v>
      </c>
      <c r="AQ2078" s="86" t="s">
        <v>5761</v>
      </c>
      <c r="AR2078" s="81" t="s">
        <v>179</v>
      </c>
      <c r="AS2078" s="81">
        <v>0</v>
      </c>
      <c r="AT2078" s="81">
        <v>0</v>
      </c>
      <c r="AU2078" s="81"/>
      <c r="AV2078" s="81"/>
      <c r="AW2078" s="81"/>
      <c r="AX2078" s="81"/>
      <c r="AY2078" s="81"/>
      <c r="AZ2078" s="81"/>
      <c r="BA2078" s="81"/>
      <c r="BB2078" s="81"/>
    </row>
    <row r="2079" spans="1:54" x14ac:dyDescent="0.35">
      <c r="A2079" s="66" t="s">
        <v>1269</v>
      </c>
      <c r="B2079" s="66" t="s">
        <v>1269</v>
      </c>
      <c r="C2079" s="67"/>
      <c r="D2079" s="68"/>
      <c r="E2079" s="69"/>
      <c r="F2079" s="70"/>
      <c r="G2079" s="67"/>
      <c r="H2079" s="71"/>
      <c r="I2079" s="72"/>
      <c r="J2079" s="72"/>
      <c r="K2079" s="36"/>
      <c r="L2079" s="79"/>
      <c r="M2079" s="79"/>
      <c r="N2079" s="74"/>
      <c r="O2079" s="81" t="s">
        <v>179</v>
      </c>
      <c r="P2079" s="83">
        <v>44462.698252314818</v>
      </c>
      <c r="Q2079" s="81" t="s">
        <v>2478</v>
      </c>
      <c r="R2079" s="81"/>
      <c r="S2079" s="81"/>
      <c r="T2079" s="81"/>
      <c r="U2079" s="81"/>
      <c r="V2079" s="84" t="str">
        <f>HYPERLINK("https://pbs.twimg.com/profile_images/378800000705328795/304bfd91ee90011498fd092cc79a423e_normal.jpeg")</f>
        <v>https://pbs.twimg.com/profile_images/378800000705328795/304bfd91ee90011498fd092cc79a423e_normal.jpeg</v>
      </c>
      <c r="W2079" s="83">
        <v>44462.698252314818</v>
      </c>
      <c r="X2079" s="89">
        <v>44462</v>
      </c>
      <c r="Y2079" s="86" t="s">
        <v>4124</v>
      </c>
      <c r="Z2079" s="84" t="str">
        <f>HYPERLINK("https://twitter.com/pos_indonesia/status/1441081295426101250")</f>
        <v>https://twitter.com/pos_indonesia/status/1441081295426101250</v>
      </c>
      <c r="AA2079" s="81"/>
      <c r="AB2079" s="81"/>
      <c r="AC2079" s="86" t="s">
        <v>5762</v>
      </c>
      <c r="AD2079" s="81"/>
      <c r="AE2079" s="81" t="b">
        <v>0</v>
      </c>
      <c r="AF2079" s="81">
        <v>0</v>
      </c>
      <c r="AG2079" s="86" t="s">
        <v>6240</v>
      </c>
      <c r="AH2079" s="81" t="b">
        <v>0</v>
      </c>
      <c r="AI2079" s="81" t="s">
        <v>6479</v>
      </c>
      <c r="AJ2079" s="81"/>
      <c r="AK2079" s="86" t="s">
        <v>6240</v>
      </c>
      <c r="AL2079" s="81" t="b">
        <v>0</v>
      </c>
      <c r="AM2079" s="81">
        <v>0</v>
      </c>
      <c r="AN2079" s="86" t="s">
        <v>6240</v>
      </c>
      <c r="AO2079" s="86" t="s">
        <v>6506</v>
      </c>
      <c r="AP2079" s="81" t="b">
        <v>0</v>
      </c>
      <c r="AQ2079" s="86" t="s">
        <v>5762</v>
      </c>
      <c r="AR2079" s="81" t="s">
        <v>179</v>
      </c>
      <c r="AS2079" s="81">
        <v>0</v>
      </c>
      <c r="AT2079" s="81">
        <v>0</v>
      </c>
      <c r="AU2079" s="81"/>
      <c r="AV2079" s="81"/>
      <c r="AW2079" s="81"/>
      <c r="AX2079" s="81"/>
      <c r="AY2079" s="81"/>
      <c r="AZ2079" s="81"/>
      <c r="BA2079" s="81"/>
      <c r="BB2079" s="81"/>
    </row>
    <row r="2080" spans="1:54" x14ac:dyDescent="0.35">
      <c r="A2080" s="66" t="s">
        <v>1269</v>
      </c>
      <c r="B2080" s="66" t="s">
        <v>1269</v>
      </c>
      <c r="C2080" s="67"/>
      <c r="D2080" s="68"/>
      <c r="E2080" s="69"/>
      <c r="F2080" s="70"/>
      <c r="G2080" s="67"/>
      <c r="H2080" s="71"/>
      <c r="I2080" s="72"/>
      <c r="J2080" s="72"/>
      <c r="K2080" s="36"/>
      <c r="L2080" s="79"/>
      <c r="M2080" s="79"/>
      <c r="N2080" s="74"/>
      <c r="O2080" s="81" t="s">
        <v>179</v>
      </c>
      <c r="P2080" s="83">
        <v>44462.719108796293</v>
      </c>
      <c r="Q2080" s="81" t="s">
        <v>2479</v>
      </c>
      <c r="R2080" s="81"/>
      <c r="S2080" s="81"/>
      <c r="T2080" s="81"/>
      <c r="U2080" s="81"/>
      <c r="V2080" s="84" t="str">
        <f>HYPERLINK("https://pbs.twimg.com/profile_images/378800000705328795/304bfd91ee90011498fd092cc79a423e_normal.jpeg")</f>
        <v>https://pbs.twimg.com/profile_images/378800000705328795/304bfd91ee90011498fd092cc79a423e_normal.jpeg</v>
      </c>
      <c r="W2080" s="83">
        <v>44462.719108796293</v>
      </c>
      <c r="X2080" s="89">
        <v>44462</v>
      </c>
      <c r="Y2080" s="86" t="s">
        <v>4141</v>
      </c>
      <c r="Z2080" s="84" t="str">
        <f>HYPERLINK("https://twitter.com/pos_indonesia/status/1441088852727189508")</f>
        <v>https://twitter.com/pos_indonesia/status/1441088852727189508</v>
      </c>
      <c r="AA2080" s="81"/>
      <c r="AB2080" s="81"/>
      <c r="AC2080" s="86" t="s">
        <v>5763</v>
      </c>
      <c r="AD2080" s="81"/>
      <c r="AE2080" s="81" t="b">
        <v>0</v>
      </c>
      <c r="AF2080" s="81">
        <v>0</v>
      </c>
      <c r="AG2080" s="86" t="s">
        <v>6240</v>
      </c>
      <c r="AH2080" s="81" t="b">
        <v>0</v>
      </c>
      <c r="AI2080" s="81" t="s">
        <v>6479</v>
      </c>
      <c r="AJ2080" s="81"/>
      <c r="AK2080" s="86" t="s">
        <v>6240</v>
      </c>
      <c r="AL2080" s="81" t="b">
        <v>0</v>
      </c>
      <c r="AM2080" s="81">
        <v>0</v>
      </c>
      <c r="AN2080" s="86" t="s">
        <v>6240</v>
      </c>
      <c r="AO2080" s="86" t="s">
        <v>6506</v>
      </c>
      <c r="AP2080" s="81" t="b">
        <v>0</v>
      </c>
      <c r="AQ2080" s="86" t="s">
        <v>5763</v>
      </c>
      <c r="AR2080" s="81" t="s">
        <v>179</v>
      </c>
      <c r="AS2080" s="81">
        <v>0</v>
      </c>
      <c r="AT2080" s="81">
        <v>0</v>
      </c>
      <c r="AU2080" s="81"/>
      <c r="AV2080" s="81"/>
      <c r="AW2080" s="81"/>
      <c r="AX2080" s="81"/>
      <c r="AY2080" s="81"/>
      <c r="AZ2080" s="81"/>
      <c r="BA2080" s="81"/>
      <c r="BB2080" s="81"/>
    </row>
    <row r="2081" spans="1:54" x14ac:dyDescent="0.35">
      <c r="A2081" s="66" t="s">
        <v>1269</v>
      </c>
      <c r="B2081" s="66" t="s">
        <v>1269</v>
      </c>
      <c r="C2081" s="67"/>
      <c r="D2081" s="68"/>
      <c r="E2081" s="69"/>
      <c r="F2081" s="70"/>
      <c r="G2081" s="67"/>
      <c r="H2081" s="71"/>
      <c r="I2081" s="72"/>
      <c r="J2081" s="72"/>
      <c r="K2081" s="36"/>
      <c r="L2081" s="79"/>
      <c r="M2081" s="79"/>
      <c r="N2081" s="74"/>
      <c r="O2081" s="81" t="s">
        <v>179</v>
      </c>
      <c r="P2081" s="83">
        <v>44462.739930555559</v>
      </c>
      <c r="Q2081" s="81" t="s">
        <v>2480</v>
      </c>
      <c r="R2081" s="81"/>
      <c r="S2081" s="81"/>
      <c r="T2081" s="81"/>
      <c r="U2081" s="81"/>
      <c r="V2081" s="84" t="str">
        <f>HYPERLINK("https://pbs.twimg.com/profile_images/378800000705328795/304bfd91ee90011498fd092cc79a423e_normal.jpeg")</f>
        <v>https://pbs.twimg.com/profile_images/378800000705328795/304bfd91ee90011498fd092cc79a423e_normal.jpeg</v>
      </c>
      <c r="W2081" s="83">
        <v>44462.739930555559</v>
      </c>
      <c r="X2081" s="89">
        <v>44462</v>
      </c>
      <c r="Y2081" s="86" t="s">
        <v>4101</v>
      </c>
      <c r="Z2081" s="84" t="str">
        <f>HYPERLINK("https://twitter.com/pos_indonesia/status/1441096397667778570")</f>
        <v>https://twitter.com/pos_indonesia/status/1441096397667778570</v>
      </c>
      <c r="AA2081" s="81"/>
      <c r="AB2081" s="81"/>
      <c r="AC2081" s="86" t="s">
        <v>5764</v>
      </c>
      <c r="AD2081" s="81"/>
      <c r="AE2081" s="81" t="b">
        <v>0</v>
      </c>
      <c r="AF2081" s="81">
        <v>0</v>
      </c>
      <c r="AG2081" s="86" t="s">
        <v>6240</v>
      </c>
      <c r="AH2081" s="81" t="b">
        <v>0</v>
      </c>
      <c r="AI2081" s="81" t="s">
        <v>6478</v>
      </c>
      <c r="AJ2081" s="81"/>
      <c r="AK2081" s="86" t="s">
        <v>6240</v>
      </c>
      <c r="AL2081" s="81" t="b">
        <v>0</v>
      </c>
      <c r="AM2081" s="81">
        <v>0</v>
      </c>
      <c r="AN2081" s="86" t="s">
        <v>6240</v>
      </c>
      <c r="AO2081" s="86" t="s">
        <v>6506</v>
      </c>
      <c r="AP2081" s="81" t="b">
        <v>0</v>
      </c>
      <c r="AQ2081" s="86" t="s">
        <v>5764</v>
      </c>
      <c r="AR2081" s="81" t="s">
        <v>179</v>
      </c>
      <c r="AS2081" s="81">
        <v>0</v>
      </c>
      <c r="AT2081" s="81">
        <v>0</v>
      </c>
      <c r="AU2081" s="81"/>
      <c r="AV2081" s="81"/>
      <c r="AW2081" s="81"/>
      <c r="AX2081" s="81"/>
      <c r="AY2081" s="81"/>
      <c r="AZ2081" s="81"/>
      <c r="BA2081" s="81"/>
      <c r="BB2081" s="81"/>
    </row>
    <row r="2082" spans="1:54" x14ac:dyDescent="0.35">
      <c r="A2082" s="66" t="s">
        <v>1269</v>
      </c>
      <c r="B2082" s="66" t="s">
        <v>1269</v>
      </c>
      <c r="C2082" s="67"/>
      <c r="D2082" s="68"/>
      <c r="E2082" s="69"/>
      <c r="F2082" s="70"/>
      <c r="G2082" s="67"/>
      <c r="H2082" s="71"/>
      <c r="I2082" s="72"/>
      <c r="J2082" s="72"/>
      <c r="K2082" s="36"/>
      <c r="L2082" s="79"/>
      <c r="M2082" s="79"/>
      <c r="N2082" s="74"/>
      <c r="O2082" s="81" t="s">
        <v>179</v>
      </c>
      <c r="P2082" s="83">
        <v>44462.760775462964</v>
      </c>
      <c r="Q2082" s="81" t="s">
        <v>2420</v>
      </c>
      <c r="R2082" s="81"/>
      <c r="S2082" s="81"/>
      <c r="T2082" s="81"/>
      <c r="U2082" s="81"/>
      <c r="V2082" s="84" t="str">
        <f>HYPERLINK("https://pbs.twimg.com/profile_images/378800000705328795/304bfd91ee90011498fd092cc79a423e_normal.jpeg")</f>
        <v>https://pbs.twimg.com/profile_images/378800000705328795/304bfd91ee90011498fd092cc79a423e_normal.jpeg</v>
      </c>
      <c r="W2082" s="83">
        <v>44462.760775462964</v>
      </c>
      <c r="X2082" s="89">
        <v>44462</v>
      </c>
      <c r="Y2082" s="86" t="s">
        <v>4056</v>
      </c>
      <c r="Z2082" s="84" t="str">
        <f>HYPERLINK("https://twitter.com/pos_indonesia/status/1441103953312108544")</f>
        <v>https://twitter.com/pos_indonesia/status/1441103953312108544</v>
      </c>
      <c r="AA2082" s="81"/>
      <c r="AB2082" s="81"/>
      <c r="AC2082" s="86" t="s">
        <v>5765</v>
      </c>
      <c r="AD2082" s="81"/>
      <c r="AE2082" s="81" t="b">
        <v>0</v>
      </c>
      <c r="AF2082" s="81">
        <v>0</v>
      </c>
      <c r="AG2082" s="86" t="s">
        <v>6240</v>
      </c>
      <c r="AH2082" s="81" t="b">
        <v>0</v>
      </c>
      <c r="AI2082" s="81" t="s">
        <v>6479</v>
      </c>
      <c r="AJ2082" s="81"/>
      <c r="AK2082" s="86" t="s">
        <v>6240</v>
      </c>
      <c r="AL2082" s="81" t="b">
        <v>0</v>
      </c>
      <c r="AM2082" s="81">
        <v>0</v>
      </c>
      <c r="AN2082" s="86" t="s">
        <v>6240</v>
      </c>
      <c r="AO2082" s="86" t="s">
        <v>6506</v>
      </c>
      <c r="AP2082" s="81" t="b">
        <v>0</v>
      </c>
      <c r="AQ2082" s="86" t="s">
        <v>5765</v>
      </c>
      <c r="AR2082" s="81" t="s">
        <v>179</v>
      </c>
      <c r="AS2082" s="81">
        <v>0</v>
      </c>
      <c r="AT2082" s="81">
        <v>0</v>
      </c>
      <c r="AU2082" s="81"/>
      <c r="AV2082" s="81"/>
      <c r="AW2082" s="81"/>
      <c r="AX2082" s="81"/>
      <c r="AY2082" s="81"/>
      <c r="AZ2082" s="81"/>
      <c r="BA2082" s="81"/>
      <c r="BB2082" s="81"/>
    </row>
    <row r="2083" spans="1:54" x14ac:dyDescent="0.35">
      <c r="A2083" s="66" t="s">
        <v>1269</v>
      </c>
      <c r="B2083" s="66" t="s">
        <v>1269</v>
      </c>
      <c r="C2083" s="67"/>
      <c r="D2083" s="68"/>
      <c r="E2083" s="69"/>
      <c r="F2083" s="70"/>
      <c r="G2083" s="67"/>
      <c r="H2083" s="71"/>
      <c r="I2083" s="72"/>
      <c r="J2083" s="72"/>
      <c r="K2083" s="36"/>
      <c r="L2083" s="79"/>
      <c r="M2083" s="79"/>
      <c r="N2083" s="74"/>
      <c r="O2083" s="81" t="s">
        <v>179</v>
      </c>
      <c r="P2083" s="83">
        <v>44462.781574074077</v>
      </c>
      <c r="Q2083" s="81" t="s">
        <v>2464</v>
      </c>
      <c r="R2083" s="81"/>
      <c r="S2083" s="81"/>
      <c r="T2083" s="81"/>
      <c r="U2083" s="81"/>
      <c r="V2083" s="84" t="str">
        <f>HYPERLINK("https://pbs.twimg.com/profile_images/378800000705328795/304bfd91ee90011498fd092cc79a423e_normal.jpeg")</f>
        <v>https://pbs.twimg.com/profile_images/378800000705328795/304bfd91ee90011498fd092cc79a423e_normal.jpeg</v>
      </c>
      <c r="W2083" s="83">
        <v>44462.781574074077</v>
      </c>
      <c r="X2083" s="89">
        <v>44462</v>
      </c>
      <c r="Y2083" s="86" t="s">
        <v>4057</v>
      </c>
      <c r="Z2083" s="84" t="str">
        <f>HYPERLINK("https://twitter.com/pos_indonesia/status/1441111491827015686")</f>
        <v>https://twitter.com/pos_indonesia/status/1441111491827015686</v>
      </c>
      <c r="AA2083" s="81"/>
      <c r="AB2083" s="81"/>
      <c r="AC2083" s="86" t="s">
        <v>5766</v>
      </c>
      <c r="AD2083" s="81"/>
      <c r="AE2083" s="81" t="b">
        <v>0</v>
      </c>
      <c r="AF2083" s="81">
        <v>0</v>
      </c>
      <c r="AG2083" s="86" t="s">
        <v>6240</v>
      </c>
      <c r="AH2083" s="81" t="b">
        <v>0</v>
      </c>
      <c r="AI2083" s="81" t="s">
        <v>6479</v>
      </c>
      <c r="AJ2083" s="81"/>
      <c r="AK2083" s="86" t="s">
        <v>6240</v>
      </c>
      <c r="AL2083" s="81" t="b">
        <v>0</v>
      </c>
      <c r="AM2083" s="81">
        <v>0</v>
      </c>
      <c r="AN2083" s="86" t="s">
        <v>6240</v>
      </c>
      <c r="AO2083" s="86" t="s">
        <v>6506</v>
      </c>
      <c r="AP2083" s="81" t="b">
        <v>0</v>
      </c>
      <c r="AQ2083" s="86" t="s">
        <v>5766</v>
      </c>
      <c r="AR2083" s="81" t="s">
        <v>179</v>
      </c>
      <c r="AS2083" s="81">
        <v>0</v>
      </c>
      <c r="AT2083" s="81">
        <v>0</v>
      </c>
      <c r="AU2083" s="81"/>
      <c r="AV2083" s="81"/>
      <c r="AW2083" s="81"/>
      <c r="AX2083" s="81"/>
      <c r="AY2083" s="81"/>
      <c r="AZ2083" s="81"/>
      <c r="BA2083" s="81"/>
      <c r="BB2083" s="81"/>
    </row>
    <row r="2084" spans="1:54" x14ac:dyDescent="0.35">
      <c r="A2084" s="66" t="s">
        <v>1269</v>
      </c>
      <c r="B2084" s="66" t="s">
        <v>1269</v>
      </c>
      <c r="C2084" s="67"/>
      <c r="D2084" s="68"/>
      <c r="E2084" s="69"/>
      <c r="F2084" s="70"/>
      <c r="G2084" s="67"/>
      <c r="H2084" s="71"/>
      <c r="I2084" s="72"/>
      <c r="J2084" s="72"/>
      <c r="K2084" s="36"/>
      <c r="L2084" s="79"/>
      <c r="M2084" s="79"/>
      <c r="N2084" s="74"/>
      <c r="O2084" s="81" t="s">
        <v>179</v>
      </c>
      <c r="P2084" s="83">
        <v>44462.802418981482</v>
      </c>
      <c r="Q2084" s="81" t="s">
        <v>2481</v>
      </c>
      <c r="R2084" s="81"/>
      <c r="S2084" s="81"/>
      <c r="T2084" s="81"/>
      <c r="U2084" s="81"/>
      <c r="V2084" s="84" t="str">
        <f>HYPERLINK("https://pbs.twimg.com/profile_images/378800000705328795/304bfd91ee90011498fd092cc79a423e_normal.jpeg")</f>
        <v>https://pbs.twimg.com/profile_images/378800000705328795/304bfd91ee90011498fd092cc79a423e_normal.jpeg</v>
      </c>
      <c r="W2084" s="83">
        <v>44462.802418981482</v>
      </c>
      <c r="X2084" s="89">
        <v>44462</v>
      </c>
      <c r="Y2084" s="86" t="s">
        <v>4156</v>
      </c>
      <c r="Z2084" s="84" t="str">
        <f>HYPERLINK("https://twitter.com/pos_indonesia/status/1441119046167003139")</f>
        <v>https://twitter.com/pos_indonesia/status/1441119046167003139</v>
      </c>
      <c r="AA2084" s="81"/>
      <c r="AB2084" s="81"/>
      <c r="AC2084" s="86" t="s">
        <v>5767</v>
      </c>
      <c r="AD2084" s="81"/>
      <c r="AE2084" s="81" t="b">
        <v>0</v>
      </c>
      <c r="AF2084" s="81">
        <v>0</v>
      </c>
      <c r="AG2084" s="86" t="s">
        <v>6240</v>
      </c>
      <c r="AH2084" s="81" t="b">
        <v>0</v>
      </c>
      <c r="AI2084" s="81" t="s">
        <v>6479</v>
      </c>
      <c r="AJ2084" s="81"/>
      <c r="AK2084" s="86" t="s">
        <v>6240</v>
      </c>
      <c r="AL2084" s="81" t="b">
        <v>0</v>
      </c>
      <c r="AM2084" s="81">
        <v>0</v>
      </c>
      <c r="AN2084" s="86" t="s">
        <v>6240</v>
      </c>
      <c r="AO2084" s="86" t="s">
        <v>6506</v>
      </c>
      <c r="AP2084" s="81" t="b">
        <v>0</v>
      </c>
      <c r="AQ2084" s="86" t="s">
        <v>5767</v>
      </c>
      <c r="AR2084" s="81" t="s">
        <v>179</v>
      </c>
      <c r="AS2084" s="81">
        <v>0</v>
      </c>
      <c r="AT2084" s="81">
        <v>0</v>
      </c>
      <c r="AU2084" s="81"/>
      <c r="AV2084" s="81"/>
      <c r="AW2084" s="81"/>
      <c r="AX2084" s="81"/>
      <c r="AY2084" s="81"/>
      <c r="AZ2084" s="81"/>
      <c r="BA2084" s="81"/>
      <c r="BB2084" s="81"/>
    </row>
    <row r="2085" spans="1:54" x14ac:dyDescent="0.35">
      <c r="A2085" s="66" t="s">
        <v>1269</v>
      </c>
      <c r="B2085" s="66" t="s">
        <v>1269</v>
      </c>
      <c r="C2085" s="67"/>
      <c r="D2085" s="68"/>
      <c r="E2085" s="69"/>
      <c r="F2085" s="70"/>
      <c r="G2085" s="67"/>
      <c r="H2085" s="71"/>
      <c r="I2085" s="72"/>
      <c r="J2085" s="72"/>
      <c r="K2085" s="36"/>
      <c r="L2085" s="79"/>
      <c r="M2085" s="79"/>
      <c r="N2085" s="74"/>
      <c r="O2085" s="81" t="s">
        <v>179</v>
      </c>
      <c r="P2085" s="83">
        <v>44462.823252314818</v>
      </c>
      <c r="Q2085" s="81" t="s">
        <v>2482</v>
      </c>
      <c r="R2085" s="81"/>
      <c r="S2085" s="81"/>
      <c r="T2085" s="81"/>
      <c r="U2085" s="81"/>
      <c r="V2085" s="84" t="str">
        <f>HYPERLINK("https://pbs.twimg.com/profile_images/378800000705328795/304bfd91ee90011498fd092cc79a423e_normal.jpeg")</f>
        <v>https://pbs.twimg.com/profile_images/378800000705328795/304bfd91ee90011498fd092cc79a423e_normal.jpeg</v>
      </c>
      <c r="W2085" s="83">
        <v>44462.823252314818</v>
      </c>
      <c r="X2085" s="89">
        <v>44462</v>
      </c>
      <c r="Y2085" s="86" t="s">
        <v>4059</v>
      </c>
      <c r="Z2085" s="84" t="str">
        <f>HYPERLINK("https://twitter.com/pos_indonesia/status/1441126593900920836")</f>
        <v>https://twitter.com/pos_indonesia/status/1441126593900920836</v>
      </c>
      <c r="AA2085" s="81"/>
      <c r="AB2085" s="81"/>
      <c r="AC2085" s="86" t="s">
        <v>5768</v>
      </c>
      <c r="AD2085" s="81"/>
      <c r="AE2085" s="81" t="b">
        <v>0</v>
      </c>
      <c r="AF2085" s="81">
        <v>0</v>
      </c>
      <c r="AG2085" s="86" t="s">
        <v>6240</v>
      </c>
      <c r="AH2085" s="81" t="b">
        <v>0</v>
      </c>
      <c r="AI2085" s="81" t="s">
        <v>6479</v>
      </c>
      <c r="AJ2085" s="81"/>
      <c r="AK2085" s="86" t="s">
        <v>6240</v>
      </c>
      <c r="AL2085" s="81" t="b">
        <v>0</v>
      </c>
      <c r="AM2085" s="81">
        <v>0</v>
      </c>
      <c r="AN2085" s="86" t="s">
        <v>6240</v>
      </c>
      <c r="AO2085" s="86" t="s">
        <v>6506</v>
      </c>
      <c r="AP2085" s="81" t="b">
        <v>0</v>
      </c>
      <c r="AQ2085" s="86" t="s">
        <v>5768</v>
      </c>
      <c r="AR2085" s="81" t="s">
        <v>179</v>
      </c>
      <c r="AS2085" s="81">
        <v>0</v>
      </c>
      <c r="AT2085" s="81">
        <v>0</v>
      </c>
      <c r="AU2085" s="81"/>
      <c r="AV2085" s="81"/>
      <c r="AW2085" s="81"/>
      <c r="AX2085" s="81"/>
      <c r="AY2085" s="81"/>
      <c r="AZ2085" s="81"/>
      <c r="BA2085" s="81"/>
      <c r="BB2085" s="81"/>
    </row>
    <row r="2086" spans="1:54" x14ac:dyDescent="0.35">
      <c r="A2086" s="66" t="s">
        <v>1269</v>
      </c>
      <c r="B2086" s="66" t="s">
        <v>1269</v>
      </c>
      <c r="C2086" s="67"/>
      <c r="D2086" s="68"/>
      <c r="E2086" s="69"/>
      <c r="F2086" s="70"/>
      <c r="G2086" s="67"/>
      <c r="H2086" s="71"/>
      <c r="I2086" s="72"/>
      <c r="J2086" s="72"/>
      <c r="K2086" s="36"/>
      <c r="L2086" s="79"/>
      <c r="M2086" s="79"/>
      <c r="N2086" s="74"/>
      <c r="O2086" s="81" t="s">
        <v>179</v>
      </c>
      <c r="P2086" s="83">
        <v>44462.84412037037</v>
      </c>
      <c r="Q2086" s="81" t="s">
        <v>2483</v>
      </c>
      <c r="R2086" s="81"/>
      <c r="S2086" s="81"/>
      <c r="T2086" s="81"/>
      <c r="U2086" s="81"/>
      <c r="V2086" s="84" t="str">
        <f>HYPERLINK("https://pbs.twimg.com/profile_images/378800000705328795/304bfd91ee90011498fd092cc79a423e_normal.jpeg")</f>
        <v>https://pbs.twimg.com/profile_images/378800000705328795/304bfd91ee90011498fd092cc79a423e_normal.jpeg</v>
      </c>
      <c r="W2086" s="83">
        <v>44462.84412037037</v>
      </c>
      <c r="X2086" s="89">
        <v>44462</v>
      </c>
      <c r="Y2086" s="86" t="s">
        <v>4060</v>
      </c>
      <c r="Z2086" s="84" t="str">
        <f>HYPERLINK("https://twitter.com/pos_indonesia/status/1441134154897244169")</f>
        <v>https://twitter.com/pos_indonesia/status/1441134154897244169</v>
      </c>
      <c r="AA2086" s="81"/>
      <c r="AB2086" s="81"/>
      <c r="AC2086" s="86" t="s">
        <v>5769</v>
      </c>
      <c r="AD2086" s="81"/>
      <c r="AE2086" s="81" t="b">
        <v>0</v>
      </c>
      <c r="AF2086" s="81">
        <v>0</v>
      </c>
      <c r="AG2086" s="86" t="s">
        <v>6240</v>
      </c>
      <c r="AH2086" s="81" t="b">
        <v>0</v>
      </c>
      <c r="AI2086" s="81" t="s">
        <v>6479</v>
      </c>
      <c r="AJ2086" s="81"/>
      <c r="AK2086" s="86" t="s">
        <v>6240</v>
      </c>
      <c r="AL2086" s="81" t="b">
        <v>0</v>
      </c>
      <c r="AM2086" s="81">
        <v>0</v>
      </c>
      <c r="AN2086" s="86" t="s">
        <v>6240</v>
      </c>
      <c r="AO2086" s="86" t="s">
        <v>6506</v>
      </c>
      <c r="AP2086" s="81" t="b">
        <v>0</v>
      </c>
      <c r="AQ2086" s="86" t="s">
        <v>5769</v>
      </c>
      <c r="AR2086" s="81" t="s">
        <v>179</v>
      </c>
      <c r="AS2086" s="81">
        <v>0</v>
      </c>
      <c r="AT2086" s="81">
        <v>0</v>
      </c>
      <c r="AU2086" s="81"/>
      <c r="AV2086" s="81"/>
      <c r="AW2086" s="81"/>
      <c r="AX2086" s="81"/>
      <c r="AY2086" s="81"/>
      <c r="AZ2086" s="81"/>
      <c r="BA2086" s="81"/>
      <c r="BB2086" s="81"/>
    </row>
    <row r="2087" spans="1:54" x14ac:dyDescent="0.35">
      <c r="A2087" s="66" t="s">
        <v>1269</v>
      </c>
      <c r="B2087" s="66" t="s">
        <v>1269</v>
      </c>
      <c r="C2087" s="67"/>
      <c r="D2087" s="68"/>
      <c r="E2087" s="69"/>
      <c r="F2087" s="70"/>
      <c r="G2087" s="67"/>
      <c r="H2087" s="71"/>
      <c r="I2087" s="72"/>
      <c r="J2087" s="72"/>
      <c r="K2087" s="36"/>
      <c r="L2087" s="79"/>
      <c r="M2087" s="79"/>
      <c r="N2087" s="74"/>
      <c r="O2087" s="81" t="s">
        <v>179</v>
      </c>
      <c r="P2087" s="83">
        <v>44462.864942129629</v>
      </c>
      <c r="Q2087" s="81" t="s">
        <v>2404</v>
      </c>
      <c r="R2087" s="81"/>
      <c r="S2087" s="81"/>
      <c r="T2087" s="81"/>
      <c r="U2087" s="81"/>
      <c r="V2087" s="84" t="str">
        <f>HYPERLINK("https://pbs.twimg.com/profile_images/378800000705328795/304bfd91ee90011498fd092cc79a423e_normal.jpeg")</f>
        <v>https://pbs.twimg.com/profile_images/378800000705328795/304bfd91ee90011498fd092cc79a423e_normal.jpeg</v>
      </c>
      <c r="W2087" s="83">
        <v>44462.864942129629</v>
      </c>
      <c r="X2087" s="89">
        <v>44462</v>
      </c>
      <c r="Y2087" s="86" t="s">
        <v>4142</v>
      </c>
      <c r="Z2087" s="84" t="str">
        <f>HYPERLINK("https://twitter.com/pos_indonesia/status/1441141701804904455")</f>
        <v>https://twitter.com/pos_indonesia/status/1441141701804904455</v>
      </c>
      <c r="AA2087" s="81"/>
      <c r="AB2087" s="81"/>
      <c r="AC2087" s="86" t="s">
        <v>5770</v>
      </c>
      <c r="AD2087" s="81"/>
      <c r="AE2087" s="81" t="b">
        <v>0</v>
      </c>
      <c r="AF2087" s="81">
        <v>0</v>
      </c>
      <c r="AG2087" s="86" t="s">
        <v>6240</v>
      </c>
      <c r="AH2087" s="81" t="b">
        <v>0</v>
      </c>
      <c r="AI2087" s="81" t="s">
        <v>6479</v>
      </c>
      <c r="AJ2087" s="81"/>
      <c r="AK2087" s="86" t="s">
        <v>6240</v>
      </c>
      <c r="AL2087" s="81" t="b">
        <v>0</v>
      </c>
      <c r="AM2087" s="81">
        <v>0</v>
      </c>
      <c r="AN2087" s="86" t="s">
        <v>6240</v>
      </c>
      <c r="AO2087" s="86" t="s">
        <v>6506</v>
      </c>
      <c r="AP2087" s="81" t="b">
        <v>0</v>
      </c>
      <c r="AQ2087" s="86" t="s">
        <v>5770</v>
      </c>
      <c r="AR2087" s="81" t="s">
        <v>179</v>
      </c>
      <c r="AS2087" s="81">
        <v>0</v>
      </c>
      <c r="AT2087" s="81">
        <v>0</v>
      </c>
      <c r="AU2087" s="81"/>
      <c r="AV2087" s="81"/>
      <c r="AW2087" s="81"/>
      <c r="AX2087" s="81"/>
      <c r="AY2087" s="81"/>
      <c r="AZ2087" s="81"/>
      <c r="BA2087" s="81"/>
      <c r="BB2087" s="81"/>
    </row>
    <row r="2088" spans="1:54" x14ac:dyDescent="0.35">
      <c r="A2088" s="66" t="s">
        <v>1269</v>
      </c>
      <c r="B2088" s="66" t="s">
        <v>1269</v>
      </c>
      <c r="C2088" s="67"/>
      <c r="D2088" s="68"/>
      <c r="E2088" s="69"/>
      <c r="F2088" s="70"/>
      <c r="G2088" s="67"/>
      <c r="H2088" s="71"/>
      <c r="I2088" s="72"/>
      <c r="J2088" s="72"/>
      <c r="K2088" s="36"/>
      <c r="L2088" s="79"/>
      <c r="M2088" s="79"/>
      <c r="N2088" s="74"/>
      <c r="O2088" s="81" t="s">
        <v>179</v>
      </c>
      <c r="P2088" s="83">
        <v>44462.906585648147</v>
      </c>
      <c r="Q2088" s="81" t="s">
        <v>2484</v>
      </c>
      <c r="R2088" s="81"/>
      <c r="S2088" s="81"/>
      <c r="T2088" s="81"/>
      <c r="U2088" s="81"/>
      <c r="V2088" s="84" t="str">
        <f>HYPERLINK("https://pbs.twimg.com/profile_images/378800000705328795/304bfd91ee90011498fd092cc79a423e_normal.jpeg")</f>
        <v>https://pbs.twimg.com/profile_images/378800000705328795/304bfd91ee90011498fd092cc79a423e_normal.jpeg</v>
      </c>
      <c r="W2088" s="83">
        <v>44462.906585648147</v>
      </c>
      <c r="X2088" s="89">
        <v>44462</v>
      </c>
      <c r="Y2088" s="86" t="s">
        <v>4063</v>
      </c>
      <c r="Z2088" s="84" t="str">
        <f>HYPERLINK("https://twitter.com/pos_indonesia/status/1441156793548238848")</f>
        <v>https://twitter.com/pos_indonesia/status/1441156793548238848</v>
      </c>
      <c r="AA2088" s="81"/>
      <c r="AB2088" s="81"/>
      <c r="AC2088" s="86" t="s">
        <v>5771</v>
      </c>
      <c r="AD2088" s="81"/>
      <c r="AE2088" s="81" t="b">
        <v>0</v>
      </c>
      <c r="AF2088" s="81">
        <v>0</v>
      </c>
      <c r="AG2088" s="86" t="s">
        <v>6240</v>
      </c>
      <c r="AH2088" s="81" t="b">
        <v>0</v>
      </c>
      <c r="AI2088" s="81" t="s">
        <v>6479</v>
      </c>
      <c r="AJ2088" s="81"/>
      <c r="AK2088" s="86" t="s">
        <v>6240</v>
      </c>
      <c r="AL2088" s="81" t="b">
        <v>0</v>
      </c>
      <c r="AM2088" s="81">
        <v>0</v>
      </c>
      <c r="AN2088" s="86" t="s">
        <v>6240</v>
      </c>
      <c r="AO2088" s="86" t="s">
        <v>6506</v>
      </c>
      <c r="AP2088" s="81" t="b">
        <v>0</v>
      </c>
      <c r="AQ2088" s="86" t="s">
        <v>5771</v>
      </c>
      <c r="AR2088" s="81" t="s">
        <v>179</v>
      </c>
      <c r="AS2088" s="81">
        <v>0</v>
      </c>
      <c r="AT2088" s="81">
        <v>0</v>
      </c>
      <c r="AU2088" s="81"/>
      <c r="AV2088" s="81"/>
      <c r="AW2088" s="81"/>
      <c r="AX2088" s="81"/>
      <c r="AY2088" s="81"/>
      <c r="AZ2088" s="81"/>
      <c r="BA2088" s="81"/>
      <c r="BB2088" s="81"/>
    </row>
    <row r="2089" spans="1:54" x14ac:dyDescent="0.35">
      <c r="A2089" s="66" t="s">
        <v>1269</v>
      </c>
      <c r="B2089" s="66" t="s">
        <v>1269</v>
      </c>
      <c r="C2089" s="67"/>
      <c r="D2089" s="68"/>
      <c r="E2089" s="69"/>
      <c r="F2089" s="70"/>
      <c r="G2089" s="67"/>
      <c r="H2089" s="71"/>
      <c r="I2089" s="72"/>
      <c r="J2089" s="72"/>
      <c r="K2089" s="36"/>
      <c r="L2089" s="79"/>
      <c r="M2089" s="79"/>
      <c r="N2089" s="74"/>
      <c r="O2089" s="81" t="s">
        <v>179</v>
      </c>
      <c r="P2089" s="83">
        <v>44462.927442129629</v>
      </c>
      <c r="Q2089" s="81" t="s">
        <v>2338</v>
      </c>
      <c r="R2089" s="81"/>
      <c r="S2089" s="81"/>
      <c r="T2089" s="81"/>
      <c r="U2089" s="81"/>
      <c r="V2089" s="84" t="str">
        <f>HYPERLINK("https://pbs.twimg.com/profile_images/378800000705328795/304bfd91ee90011498fd092cc79a423e_normal.jpeg")</f>
        <v>https://pbs.twimg.com/profile_images/378800000705328795/304bfd91ee90011498fd092cc79a423e_normal.jpeg</v>
      </c>
      <c r="W2089" s="83">
        <v>44462.927442129629</v>
      </c>
      <c r="X2089" s="89">
        <v>44462</v>
      </c>
      <c r="Y2089" s="86" t="s">
        <v>4064</v>
      </c>
      <c r="Z2089" s="84" t="str">
        <f>HYPERLINK("https://twitter.com/pos_indonesia/status/1441164352384471048")</f>
        <v>https://twitter.com/pos_indonesia/status/1441164352384471048</v>
      </c>
      <c r="AA2089" s="81"/>
      <c r="AB2089" s="81"/>
      <c r="AC2089" s="86" t="s">
        <v>5772</v>
      </c>
      <c r="AD2089" s="81"/>
      <c r="AE2089" s="81" t="b">
        <v>0</v>
      </c>
      <c r="AF2089" s="81">
        <v>0</v>
      </c>
      <c r="AG2089" s="86" t="s">
        <v>6240</v>
      </c>
      <c r="AH2089" s="81" t="b">
        <v>0</v>
      </c>
      <c r="AI2089" s="81" t="s">
        <v>6479</v>
      </c>
      <c r="AJ2089" s="81"/>
      <c r="AK2089" s="86" t="s">
        <v>6240</v>
      </c>
      <c r="AL2089" s="81" t="b">
        <v>0</v>
      </c>
      <c r="AM2089" s="81">
        <v>0</v>
      </c>
      <c r="AN2089" s="86" t="s">
        <v>6240</v>
      </c>
      <c r="AO2089" s="86" t="s">
        <v>6506</v>
      </c>
      <c r="AP2089" s="81" t="b">
        <v>0</v>
      </c>
      <c r="AQ2089" s="86" t="s">
        <v>5772</v>
      </c>
      <c r="AR2089" s="81" t="s">
        <v>179</v>
      </c>
      <c r="AS2089" s="81">
        <v>0</v>
      </c>
      <c r="AT2089" s="81">
        <v>0</v>
      </c>
      <c r="AU2089" s="81"/>
      <c r="AV2089" s="81"/>
      <c r="AW2089" s="81"/>
      <c r="AX2089" s="81"/>
      <c r="AY2089" s="81"/>
      <c r="AZ2089" s="81"/>
      <c r="BA2089" s="81"/>
      <c r="BB2089" s="81"/>
    </row>
    <row r="2090" spans="1:54" x14ac:dyDescent="0.35">
      <c r="A2090" s="66" t="s">
        <v>1269</v>
      </c>
      <c r="B2090" s="66" t="s">
        <v>1269</v>
      </c>
      <c r="C2090" s="67"/>
      <c r="D2090" s="68"/>
      <c r="E2090" s="69"/>
      <c r="F2090" s="70"/>
      <c r="G2090" s="67"/>
      <c r="H2090" s="71"/>
      <c r="I2090" s="72"/>
      <c r="J2090" s="72"/>
      <c r="K2090" s="36"/>
      <c r="L2090" s="79"/>
      <c r="M2090" s="79"/>
      <c r="N2090" s="74"/>
      <c r="O2090" s="81" t="s">
        <v>179</v>
      </c>
      <c r="P2090" s="83">
        <v>44462.948252314818</v>
      </c>
      <c r="Q2090" s="81" t="s">
        <v>2309</v>
      </c>
      <c r="R2090" s="81"/>
      <c r="S2090" s="81"/>
      <c r="T2090" s="81"/>
      <c r="U2090" s="81"/>
      <c r="V2090" s="84" t="str">
        <f>HYPERLINK("https://pbs.twimg.com/profile_images/378800000705328795/304bfd91ee90011498fd092cc79a423e_normal.jpeg")</f>
        <v>https://pbs.twimg.com/profile_images/378800000705328795/304bfd91ee90011498fd092cc79a423e_normal.jpeg</v>
      </c>
      <c r="W2090" s="83">
        <v>44462.948252314818</v>
      </c>
      <c r="X2090" s="89">
        <v>44462</v>
      </c>
      <c r="Y2090" s="86" t="s">
        <v>4065</v>
      </c>
      <c r="Z2090" s="84" t="str">
        <f>HYPERLINK("https://twitter.com/pos_indonesia/status/1441171891088072706")</f>
        <v>https://twitter.com/pos_indonesia/status/1441171891088072706</v>
      </c>
      <c r="AA2090" s="81"/>
      <c r="AB2090" s="81"/>
      <c r="AC2090" s="86" t="s">
        <v>5773</v>
      </c>
      <c r="AD2090" s="81"/>
      <c r="AE2090" s="81" t="b">
        <v>0</v>
      </c>
      <c r="AF2090" s="81">
        <v>0</v>
      </c>
      <c r="AG2090" s="86" t="s">
        <v>6240</v>
      </c>
      <c r="AH2090" s="81" t="b">
        <v>0</v>
      </c>
      <c r="AI2090" s="81" t="s">
        <v>6479</v>
      </c>
      <c r="AJ2090" s="81"/>
      <c r="AK2090" s="86" t="s">
        <v>6240</v>
      </c>
      <c r="AL2090" s="81" t="b">
        <v>0</v>
      </c>
      <c r="AM2090" s="81">
        <v>0</v>
      </c>
      <c r="AN2090" s="86" t="s">
        <v>6240</v>
      </c>
      <c r="AO2090" s="86" t="s">
        <v>6506</v>
      </c>
      <c r="AP2090" s="81" t="b">
        <v>0</v>
      </c>
      <c r="AQ2090" s="86" t="s">
        <v>5773</v>
      </c>
      <c r="AR2090" s="81" t="s">
        <v>179</v>
      </c>
      <c r="AS2090" s="81">
        <v>0</v>
      </c>
      <c r="AT2090" s="81">
        <v>0</v>
      </c>
      <c r="AU2090" s="81"/>
      <c r="AV2090" s="81"/>
      <c r="AW2090" s="81"/>
      <c r="AX2090" s="81"/>
      <c r="AY2090" s="81"/>
      <c r="AZ2090" s="81"/>
      <c r="BA2090" s="81"/>
      <c r="BB2090" s="81"/>
    </row>
    <row r="2091" spans="1:54" x14ac:dyDescent="0.35">
      <c r="A2091" s="66" t="s">
        <v>1269</v>
      </c>
      <c r="B2091" s="66" t="s">
        <v>1269</v>
      </c>
      <c r="C2091" s="67"/>
      <c r="D2091" s="68"/>
      <c r="E2091" s="69"/>
      <c r="F2091" s="70"/>
      <c r="G2091" s="67"/>
      <c r="H2091" s="71"/>
      <c r="I2091" s="72"/>
      <c r="J2091" s="72"/>
      <c r="K2091" s="36"/>
      <c r="L2091" s="79"/>
      <c r="M2091" s="79"/>
      <c r="N2091" s="74"/>
      <c r="O2091" s="81" t="s">
        <v>179</v>
      </c>
      <c r="P2091" s="83">
        <v>44462.969155092593</v>
      </c>
      <c r="Q2091" s="81" t="s">
        <v>2485</v>
      </c>
      <c r="R2091" s="81"/>
      <c r="S2091" s="81"/>
      <c r="T2091" s="81"/>
      <c r="U2091" s="81"/>
      <c r="V2091" s="84" t="str">
        <f>HYPERLINK("https://pbs.twimg.com/profile_images/378800000705328795/304bfd91ee90011498fd092cc79a423e_normal.jpeg")</f>
        <v>https://pbs.twimg.com/profile_images/378800000705328795/304bfd91ee90011498fd092cc79a423e_normal.jpeg</v>
      </c>
      <c r="W2091" s="83">
        <v>44462.969155092593</v>
      </c>
      <c r="X2091" s="89">
        <v>44462</v>
      </c>
      <c r="Y2091" s="86" t="s">
        <v>4130</v>
      </c>
      <c r="Z2091" s="84" t="str">
        <f>HYPERLINK("https://twitter.com/pos_indonesia/status/1441179466663804928")</f>
        <v>https://twitter.com/pos_indonesia/status/1441179466663804928</v>
      </c>
      <c r="AA2091" s="81"/>
      <c r="AB2091" s="81"/>
      <c r="AC2091" s="86" t="s">
        <v>5774</v>
      </c>
      <c r="AD2091" s="81"/>
      <c r="AE2091" s="81" t="b">
        <v>0</v>
      </c>
      <c r="AF2091" s="81">
        <v>0</v>
      </c>
      <c r="AG2091" s="86" t="s">
        <v>6240</v>
      </c>
      <c r="AH2091" s="81" t="b">
        <v>0</v>
      </c>
      <c r="AI2091" s="81" t="s">
        <v>6479</v>
      </c>
      <c r="AJ2091" s="81"/>
      <c r="AK2091" s="86" t="s">
        <v>6240</v>
      </c>
      <c r="AL2091" s="81" t="b">
        <v>0</v>
      </c>
      <c r="AM2091" s="81">
        <v>0</v>
      </c>
      <c r="AN2091" s="86" t="s">
        <v>6240</v>
      </c>
      <c r="AO2091" s="86" t="s">
        <v>6506</v>
      </c>
      <c r="AP2091" s="81" t="b">
        <v>0</v>
      </c>
      <c r="AQ2091" s="86" t="s">
        <v>5774</v>
      </c>
      <c r="AR2091" s="81" t="s">
        <v>179</v>
      </c>
      <c r="AS2091" s="81">
        <v>0</v>
      </c>
      <c r="AT2091" s="81">
        <v>0</v>
      </c>
      <c r="AU2091" s="81"/>
      <c r="AV2091" s="81"/>
      <c r="AW2091" s="81"/>
      <c r="AX2091" s="81"/>
      <c r="AY2091" s="81"/>
      <c r="AZ2091" s="81"/>
      <c r="BA2091" s="81"/>
      <c r="BB2091" s="81"/>
    </row>
    <row r="2092" spans="1:54" x14ac:dyDescent="0.35">
      <c r="A2092" s="66" t="s">
        <v>1269</v>
      </c>
      <c r="B2092" s="66" t="s">
        <v>1269</v>
      </c>
      <c r="C2092" s="67"/>
      <c r="D2092" s="68"/>
      <c r="E2092" s="69"/>
      <c r="F2092" s="70"/>
      <c r="G2092" s="67"/>
      <c r="H2092" s="71"/>
      <c r="I2092" s="72"/>
      <c r="J2092" s="72"/>
      <c r="K2092" s="36"/>
      <c r="L2092" s="79"/>
      <c r="M2092" s="79"/>
      <c r="N2092" s="74"/>
      <c r="O2092" s="81" t="s">
        <v>179</v>
      </c>
      <c r="P2092" s="83">
        <v>44462.989930555559</v>
      </c>
      <c r="Q2092" s="81" t="s">
        <v>2443</v>
      </c>
      <c r="R2092" s="81"/>
      <c r="S2092" s="81"/>
      <c r="T2092" s="81"/>
      <c r="U2092" s="81"/>
      <c r="V2092" s="84" t="str">
        <f>HYPERLINK("https://pbs.twimg.com/profile_images/378800000705328795/304bfd91ee90011498fd092cc79a423e_normal.jpeg")</f>
        <v>https://pbs.twimg.com/profile_images/378800000705328795/304bfd91ee90011498fd092cc79a423e_normal.jpeg</v>
      </c>
      <c r="W2092" s="83">
        <v>44462.989930555559</v>
      </c>
      <c r="X2092" s="89">
        <v>44462</v>
      </c>
      <c r="Y2092" s="86" t="s">
        <v>4150</v>
      </c>
      <c r="Z2092" s="84" t="str">
        <f>HYPERLINK("https://twitter.com/pos_indonesia/status/1441186995611394052")</f>
        <v>https://twitter.com/pos_indonesia/status/1441186995611394052</v>
      </c>
      <c r="AA2092" s="81"/>
      <c r="AB2092" s="81"/>
      <c r="AC2092" s="86" t="s">
        <v>5775</v>
      </c>
      <c r="AD2092" s="81"/>
      <c r="AE2092" s="81" t="b">
        <v>0</v>
      </c>
      <c r="AF2092" s="81">
        <v>0</v>
      </c>
      <c r="AG2092" s="86" t="s">
        <v>6240</v>
      </c>
      <c r="AH2092" s="81" t="b">
        <v>0</v>
      </c>
      <c r="AI2092" s="81" t="s">
        <v>6479</v>
      </c>
      <c r="AJ2092" s="81"/>
      <c r="AK2092" s="86" t="s">
        <v>6240</v>
      </c>
      <c r="AL2092" s="81" t="b">
        <v>0</v>
      </c>
      <c r="AM2092" s="81">
        <v>0</v>
      </c>
      <c r="AN2092" s="86" t="s">
        <v>6240</v>
      </c>
      <c r="AO2092" s="86" t="s">
        <v>6506</v>
      </c>
      <c r="AP2092" s="81" t="b">
        <v>0</v>
      </c>
      <c r="AQ2092" s="86" t="s">
        <v>5775</v>
      </c>
      <c r="AR2092" s="81" t="s">
        <v>179</v>
      </c>
      <c r="AS2092" s="81">
        <v>0</v>
      </c>
      <c r="AT2092" s="81">
        <v>0</v>
      </c>
      <c r="AU2092" s="81"/>
      <c r="AV2092" s="81"/>
      <c r="AW2092" s="81"/>
      <c r="AX2092" s="81"/>
      <c r="AY2092" s="81"/>
      <c r="AZ2092" s="81"/>
      <c r="BA2092" s="81"/>
      <c r="BB2092" s="81"/>
    </row>
    <row r="2093" spans="1:54" x14ac:dyDescent="0.35">
      <c r="A2093" s="66" t="s">
        <v>1269</v>
      </c>
      <c r="B2093" s="66" t="s">
        <v>1269</v>
      </c>
      <c r="C2093" s="67"/>
      <c r="D2093" s="68"/>
      <c r="E2093" s="69"/>
      <c r="F2093" s="70"/>
      <c r="G2093" s="67"/>
      <c r="H2093" s="71"/>
      <c r="I2093" s="72"/>
      <c r="J2093" s="72"/>
      <c r="K2093" s="36"/>
      <c r="L2093" s="79"/>
      <c r="M2093" s="79"/>
      <c r="N2093" s="74"/>
      <c r="O2093" s="81" t="s">
        <v>179</v>
      </c>
      <c r="P2093" s="83">
        <v>44463.010810185187</v>
      </c>
      <c r="Q2093" s="81" t="s">
        <v>2486</v>
      </c>
      <c r="R2093" s="81"/>
      <c r="S2093" s="81"/>
      <c r="T2093" s="81"/>
      <c r="U2093" s="81"/>
      <c r="V2093" s="84" t="str">
        <f>HYPERLINK("https://pbs.twimg.com/profile_images/378800000705328795/304bfd91ee90011498fd092cc79a423e_normal.jpeg")</f>
        <v>https://pbs.twimg.com/profile_images/378800000705328795/304bfd91ee90011498fd092cc79a423e_normal.jpeg</v>
      </c>
      <c r="W2093" s="83">
        <v>44463.010810185187</v>
      </c>
      <c r="X2093" s="89">
        <v>44463</v>
      </c>
      <c r="Y2093" s="86" t="s">
        <v>4068</v>
      </c>
      <c r="Z2093" s="84" t="str">
        <f>HYPERLINK("https://twitter.com/pos_indonesia/status/1441194562572021764")</f>
        <v>https://twitter.com/pos_indonesia/status/1441194562572021764</v>
      </c>
      <c r="AA2093" s="81"/>
      <c r="AB2093" s="81"/>
      <c r="AC2093" s="86" t="s">
        <v>5776</v>
      </c>
      <c r="AD2093" s="81"/>
      <c r="AE2093" s="81" t="b">
        <v>0</v>
      </c>
      <c r="AF2093" s="81">
        <v>0</v>
      </c>
      <c r="AG2093" s="86" t="s">
        <v>6240</v>
      </c>
      <c r="AH2093" s="81" t="b">
        <v>0</v>
      </c>
      <c r="AI2093" s="81" t="s">
        <v>6479</v>
      </c>
      <c r="AJ2093" s="81"/>
      <c r="AK2093" s="86" t="s">
        <v>6240</v>
      </c>
      <c r="AL2093" s="81" t="b">
        <v>0</v>
      </c>
      <c r="AM2093" s="81">
        <v>0</v>
      </c>
      <c r="AN2093" s="86" t="s">
        <v>6240</v>
      </c>
      <c r="AO2093" s="86" t="s">
        <v>6506</v>
      </c>
      <c r="AP2093" s="81" t="b">
        <v>0</v>
      </c>
      <c r="AQ2093" s="86" t="s">
        <v>5776</v>
      </c>
      <c r="AR2093" s="81" t="s">
        <v>179</v>
      </c>
      <c r="AS2093" s="81">
        <v>0</v>
      </c>
      <c r="AT2093" s="81">
        <v>0</v>
      </c>
      <c r="AU2093" s="81"/>
      <c r="AV2093" s="81"/>
      <c r="AW2093" s="81"/>
      <c r="AX2093" s="81"/>
      <c r="AY2093" s="81"/>
      <c r="AZ2093" s="81"/>
      <c r="BA2093" s="81"/>
      <c r="BB2093" s="81"/>
    </row>
    <row r="2094" spans="1:54" x14ac:dyDescent="0.35">
      <c r="A2094" s="66" t="s">
        <v>1269</v>
      </c>
      <c r="B2094" s="66" t="s">
        <v>1269</v>
      </c>
      <c r="C2094" s="67"/>
      <c r="D2094" s="68"/>
      <c r="E2094" s="69"/>
      <c r="F2094" s="70"/>
      <c r="G2094" s="67"/>
      <c r="H2094" s="71"/>
      <c r="I2094" s="72"/>
      <c r="J2094" s="72"/>
      <c r="K2094" s="36"/>
      <c r="L2094" s="79"/>
      <c r="M2094" s="79"/>
      <c r="N2094" s="74"/>
      <c r="O2094" s="81" t="s">
        <v>179</v>
      </c>
      <c r="P2094" s="83">
        <v>44463.031597222223</v>
      </c>
      <c r="Q2094" s="81" t="s">
        <v>2397</v>
      </c>
      <c r="R2094" s="81"/>
      <c r="S2094" s="81"/>
      <c r="T2094" s="81"/>
      <c r="U2094" s="81"/>
      <c r="V2094" s="84" t="str">
        <f>HYPERLINK("https://pbs.twimg.com/profile_images/378800000705328795/304bfd91ee90011498fd092cc79a423e_normal.jpeg")</f>
        <v>https://pbs.twimg.com/profile_images/378800000705328795/304bfd91ee90011498fd092cc79a423e_normal.jpeg</v>
      </c>
      <c r="W2094" s="83">
        <v>44463.031597222223</v>
      </c>
      <c r="X2094" s="89">
        <v>44463</v>
      </c>
      <c r="Y2094" s="86" t="s">
        <v>4132</v>
      </c>
      <c r="Z2094" s="84" t="str">
        <f>HYPERLINK("https://twitter.com/pos_indonesia/status/1441202094250151950")</f>
        <v>https://twitter.com/pos_indonesia/status/1441202094250151950</v>
      </c>
      <c r="AA2094" s="81"/>
      <c r="AB2094" s="81"/>
      <c r="AC2094" s="86" t="s">
        <v>5777</v>
      </c>
      <c r="AD2094" s="81"/>
      <c r="AE2094" s="81" t="b">
        <v>0</v>
      </c>
      <c r="AF2094" s="81">
        <v>0</v>
      </c>
      <c r="AG2094" s="86" t="s">
        <v>6240</v>
      </c>
      <c r="AH2094" s="81" t="b">
        <v>0</v>
      </c>
      <c r="AI2094" s="81" t="s">
        <v>6479</v>
      </c>
      <c r="AJ2094" s="81"/>
      <c r="AK2094" s="86" t="s">
        <v>6240</v>
      </c>
      <c r="AL2094" s="81" t="b">
        <v>0</v>
      </c>
      <c r="AM2094" s="81">
        <v>0</v>
      </c>
      <c r="AN2094" s="86" t="s">
        <v>6240</v>
      </c>
      <c r="AO2094" s="86" t="s">
        <v>6506</v>
      </c>
      <c r="AP2094" s="81" t="b">
        <v>0</v>
      </c>
      <c r="AQ2094" s="86" t="s">
        <v>5777</v>
      </c>
      <c r="AR2094" s="81" t="s">
        <v>179</v>
      </c>
      <c r="AS2094" s="81">
        <v>0</v>
      </c>
      <c r="AT2094" s="81">
        <v>0</v>
      </c>
      <c r="AU2094" s="81"/>
      <c r="AV2094" s="81"/>
      <c r="AW2094" s="81"/>
      <c r="AX2094" s="81"/>
      <c r="AY2094" s="81"/>
      <c r="AZ2094" s="81"/>
      <c r="BA2094" s="81"/>
      <c r="BB2094" s="81"/>
    </row>
    <row r="2095" spans="1:54" x14ac:dyDescent="0.35">
      <c r="A2095" s="66" t="s">
        <v>1269</v>
      </c>
      <c r="B2095" s="66" t="s">
        <v>1269</v>
      </c>
      <c r="C2095" s="67"/>
      <c r="D2095" s="68"/>
      <c r="E2095" s="69"/>
      <c r="F2095" s="70"/>
      <c r="G2095" s="67"/>
      <c r="H2095" s="71"/>
      <c r="I2095" s="72"/>
      <c r="J2095" s="72"/>
      <c r="K2095" s="36"/>
      <c r="L2095" s="79"/>
      <c r="M2095" s="79"/>
      <c r="N2095" s="74"/>
      <c r="O2095" s="81" t="s">
        <v>179</v>
      </c>
      <c r="P2095" s="83">
        <v>44463.052465277775</v>
      </c>
      <c r="Q2095" s="81" t="s">
        <v>2324</v>
      </c>
      <c r="R2095" s="81"/>
      <c r="S2095" s="81"/>
      <c r="T2095" s="81"/>
      <c r="U2095" s="81"/>
      <c r="V2095" s="84" t="str">
        <f>HYPERLINK("https://pbs.twimg.com/profile_images/378800000705328795/304bfd91ee90011498fd092cc79a423e_normal.jpeg")</f>
        <v>https://pbs.twimg.com/profile_images/378800000705328795/304bfd91ee90011498fd092cc79a423e_normal.jpeg</v>
      </c>
      <c r="W2095" s="83">
        <v>44463.052465277775</v>
      </c>
      <c r="X2095" s="89">
        <v>44463</v>
      </c>
      <c r="Y2095" s="86" t="s">
        <v>4070</v>
      </c>
      <c r="Z2095" s="84" t="str">
        <f>HYPERLINK("https://twitter.com/pos_indonesia/status/1441209658161590276")</f>
        <v>https://twitter.com/pos_indonesia/status/1441209658161590276</v>
      </c>
      <c r="AA2095" s="81"/>
      <c r="AB2095" s="81"/>
      <c r="AC2095" s="86" t="s">
        <v>5778</v>
      </c>
      <c r="AD2095" s="81"/>
      <c r="AE2095" s="81" t="b">
        <v>0</v>
      </c>
      <c r="AF2095" s="81">
        <v>0</v>
      </c>
      <c r="AG2095" s="86" t="s">
        <v>6240</v>
      </c>
      <c r="AH2095" s="81" t="b">
        <v>0</v>
      </c>
      <c r="AI2095" s="81" t="s">
        <v>6479</v>
      </c>
      <c r="AJ2095" s="81"/>
      <c r="AK2095" s="86" t="s">
        <v>6240</v>
      </c>
      <c r="AL2095" s="81" t="b">
        <v>0</v>
      </c>
      <c r="AM2095" s="81">
        <v>0</v>
      </c>
      <c r="AN2095" s="86" t="s">
        <v>6240</v>
      </c>
      <c r="AO2095" s="86" t="s">
        <v>6506</v>
      </c>
      <c r="AP2095" s="81" t="b">
        <v>0</v>
      </c>
      <c r="AQ2095" s="86" t="s">
        <v>5778</v>
      </c>
      <c r="AR2095" s="81" t="s">
        <v>179</v>
      </c>
      <c r="AS2095" s="81">
        <v>0</v>
      </c>
      <c r="AT2095" s="81">
        <v>0</v>
      </c>
      <c r="AU2095" s="81"/>
      <c r="AV2095" s="81"/>
      <c r="AW2095" s="81"/>
      <c r="AX2095" s="81"/>
      <c r="AY2095" s="81"/>
      <c r="AZ2095" s="81"/>
      <c r="BA2095" s="81"/>
      <c r="BB2095" s="81"/>
    </row>
    <row r="2096" spans="1:54" x14ac:dyDescent="0.35">
      <c r="A2096" s="66" t="s">
        <v>1269</v>
      </c>
      <c r="B2096" s="66" t="s">
        <v>1269</v>
      </c>
      <c r="C2096" s="67"/>
      <c r="D2096" s="68"/>
      <c r="E2096" s="69"/>
      <c r="F2096" s="70"/>
      <c r="G2096" s="67"/>
      <c r="H2096" s="71"/>
      <c r="I2096" s="72"/>
      <c r="J2096" s="72"/>
      <c r="K2096" s="36"/>
      <c r="L2096" s="79"/>
      <c r="M2096" s="79"/>
      <c r="N2096" s="74"/>
      <c r="O2096" s="81" t="s">
        <v>179</v>
      </c>
      <c r="P2096" s="83">
        <v>44463.073252314818</v>
      </c>
      <c r="Q2096" s="81" t="s">
        <v>2487</v>
      </c>
      <c r="R2096" s="81"/>
      <c r="S2096" s="81"/>
      <c r="T2096" s="81"/>
      <c r="U2096" s="81"/>
      <c r="V2096" s="84" t="str">
        <f>HYPERLINK("https://pbs.twimg.com/profile_images/378800000705328795/304bfd91ee90011498fd092cc79a423e_normal.jpeg")</f>
        <v>https://pbs.twimg.com/profile_images/378800000705328795/304bfd91ee90011498fd092cc79a423e_normal.jpeg</v>
      </c>
      <c r="W2096" s="83">
        <v>44463.073252314818</v>
      </c>
      <c r="X2096" s="89">
        <v>44463</v>
      </c>
      <c r="Y2096" s="86" t="s">
        <v>4071</v>
      </c>
      <c r="Z2096" s="84" t="str">
        <f>HYPERLINK("https://twitter.com/pos_indonesia/status/1441217190980505608")</f>
        <v>https://twitter.com/pos_indonesia/status/1441217190980505608</v>
      </c>
      <c r="AA2096" s="81"/>
      <c r="AB2096" s="81"/>
      <c r="AC2096" s="86" t="s">
        <v>5779</v>
      </c>
      <c r="AD2096" s="81"/>
      <c r="AE2096" s="81" t="b">
        <v>0</v>
      </c>
      <c r="AF2096" s="81">
        <v>0</v>
      </c>
      <c r="AG2096" s="86" t="s">
        <v>6240</v>
      </c>
      <c r="AH2096" s="81" t="b">
        <v>0</v>
      </c>
      <c r="AI2096" s="81" t="s">
        <v>6479</v>
      </c>
      <c r="AJ2096" s="81"/>
      <c r="AK2096" s="86" t="s">
        <v>6240</v>
      </c>
      <c r="AL2096" s="81" t="b">
        <v>0</v>
      </c>
      <c r="AM2096" s="81">
        <v>0</v>
      </c>
      <c r="AN2096" s="86" t="s">
        <v>6240</v>
      </c>
      <c r="AO2096" s="86" t="s">
        <v>6506</v>
      </c>
      <c r="AP2096" s="81" t="b">
        <v>0</v>
      </c>
      <c r="AQ2096" s="86" t="s">
        <v>5779</v>
      </c>
      <c r="AR2096" s="81" t="s">
        <v>179</v>
      </c>
      <c r="AS2096" s="81">
        <v>0</v>
      </c>
      <c r="AT2096" s="81">
        <v>0</v>
      </c>
      <c r="AU2096" s="81"/>
      <c r="AV2096" s="81"/>
      <c r="AW2096" s="81"/>
      <c r="AX2096" s="81"/>
      <c r="AY2096" s="81"/>
      <c r="AZ2096" s="81"/>
      <c r="BA2096" s="81"/>
      <c r="BB2096" s="81"/>
    </row>
    <row r="2097" spans="1:54" x14ac:dyDescent="0.35">
      <c r="A2097" s="66" t="s">
        <v>1269</v>
      </c>
      <c r="B2097" s="66" t="s">
        <v>1269</v>
      </c>
      <c r="C2097" s="67"/>
      <c r="D2097" s="68"/>
      <c r="E2097" s="69"/>
      <c r="F2097" s="70"/>
      <c r="G2097" s="67"/>
      <c r="H2097" s="71"/>
      <c r="I2097" s="72"/>
      <c r="J2097" s="72"/>
      <c r="K2097" s="36"/>
      <c r="L2097" s="79"/>
      <c r="M2097" s="79"/>
      <c r="N2097" s="74"/>
      <c r="O2097" s="81" t="s">
        <v>179</v>
      </c>
      <c r="P2097" s="83">
        <v>44463.094155092593</v>
      </c>
      <c r="Q2097" s="81" t="s">
        <v>2472</v>
      </c>
      <c r="R2097" s="81"/>
      <c r="S2097" s="81"/>
      <c r="T2097" s="81"/>
      <c r="U2097" s="81"/>
      <c r="V2097" s="84" t="str">
        <f>HYPERLINK("https://pbs.twimg.com/profile_images/378800000705328795/304bfd91ee90011498fd092cc79a423e_normal.jpeg")</f>
        <v>https://pbs.twimg.com/profile_images/378800000705328795/304bfd91ee90011498fd092cc79a423e_normal.jpeg</v>
      </c>
      <c r="W2097" s="83">
        <v>44463.094155092593</v>
      </c>
      <c r="X2097" s="89">
        <v>44463</v>
      </c>
      <c r="Y2097" s="86" t="s">
        <v>4133</v>
      </c>
      <c r="Z2097" s="84" t="str">
        <f>HYPERLINK("https://twitter.com/pos_indonesia/status/1441224765474099208")</f>
        <v>https://twitter.com/pos_indonesia/status/1441224765474099208</v>
      </c>
      <c r="AA2097" s="81"/>
      <c r="AB2097" s="81"/>
      <c r="AC2097" s="86" t="s">
        <v>5780</v>
      </c>
      <c r="AD2097" s="81"/>
      <c r="AE2097" s="81" t="b">
        <v>0</v>
      </c>
      <c r="AF2097" s="81">
        <v>0</v>
      </c>
      <c r="AG2097" s="86" t="s">
        <v>6240</v>
      </c>
      <c r="AH2097" s="81" t="b">
        <v>0</v>
      </c>
      <c r="AI2097" s="81" t="s">
        <v>6479</v>
      </c>
      <c r="AJ2097" s="81"/>
      <c r="AK2097" s="86" t="s">
        <v>6240</v>
      </c>
      <c r="AL2097" s="81" t="b">
        <v>0</v>
      </c>
      <c r="AM2097" s="81">
        <v>0</v>
      </c>
      <c r="AN2097" s="86" t="s">
        <v>6240</v>
      </c>
      <c r="AO2097" s="86" t="s">
        <v>6506</v>
      </c>
      <c r="AP2097" s="81" t="b">
        <v>0</v>
      </c>
      <c r="AQ2097" s="86" t="s">
        <v>5780</v>
      </c>
      <c r="AR2097" s="81" t="s">
        <v>179</v>
      </c>
      <c r="AS2097" s="81">
        <v>0</v>
      </c>
      <c r="AT2097" s="81">
        <v>0</v>
      </c>
      <c r="AU2097" s="81"/>
      <c r="AV2097" s="81"/>
      <c r="AW2097" s="81"/>
      <c r="AX2097" s="81"/>
      <c r="AY2097" s="81"/>
      <c r="AZ2097" s="81"/>
      <c r="BA2097" s="81"/>
      <c r="BB2097" s="81"/>
    </row>
    <row r="2098" spans="1:54" x14ac:dyDescent="0.35">
      <c r="A2098" s="66" t="s">
        <v>1269</v>
      </c>
      <c r="B2098" s="66" t="s">
        <v>1269</v>
      </c>
      <c r="C2098" s="67"/>
      <c r="D2098" s="68"/>
      <c r="E2098" s="69"/>
      <c r="F2098" s="70"/>
      <c r="G2098" s="67"/>
      <c r="H2098" s="71"/>
      <c r="I2098" s="72"/>
      <c r="J2098" s="72"/>
      <c r="K2098" s="36"/>
      <c r="L2098" s="79"/>
      <c r="M2098" s="79"/>
      <c r="N2098" s="74"/>
      <c r="O2098" s="81" t="s">
        <v>179</v>
      </c>
      <c r="P2098" s="83">
        <v>44463.114930555559</v>
      </c>
      <c r="Q2098" s="81" t="s">
        <v>2317</v>
      </c>
      <c r="R2098" s="84" t="str">
        <f>HYPERLINK("http://www.paketonlinestore.com")</f>
        <v>http://www.paketonlinestore.com</v>
      </c>
      <c r="S2098" s="81" t="s">
        <v>2654</v>
      </c>
      <c r="T2098" s="81"/>
      <c r="U2098" s="81"/>
      <c r="V2098" s="84" t="str">
        <f>HYPERLINK("https://pbs.twimg.com/profile_images/378800000705328795/304bfd91ee90011498fd092cc79a423e_normal.jpeg")</f>
        <v>https://pbs.twimg.com/profile_images/378800000705328795/304bfd91ee90011498fd092cc79a423e_normal.jpeg</v>
      </c>
      <c r="W2098" s="83">
        <v>44463.114930555559</v>
      </c>
      <c r="X2098" s="89">
        <v>44463</v>
      </c>
      <c r="Y2098" s="86" t="s">
        <v>4073</v>
      </c>
      <c r="Z2098" s="84" t="str">
        <f>HYPERLINK("https://twitter.com/pos_indonesia/status/1441232293637414919")</f>
        <v>https://twitter.com/pos_indonesia/status/1441232293637414919</v>
      </c>
      <c r="AA2098" s="81"/>
      <c r="AB2098" s="81"/>
      <c r="AC2098" s="86" t="s">
        <v>5781</v>
      </c>
      <c r="AD2098" s="81"/>
      <c r="AE2098" s="81" t="b">
        <v>0</v>
      </c>
      <c r="AF2098" s="81">
        <v>0</v>
      </c>
      <c r="AG2098" s="86" t="s">
        <v>6240</v>
      </c>
      <c r="AH2098" s="81" t="b">
        <v>0</v>
      </c>
      <c r="AI2098" s="81" t="s">
        <v>6478</v>
      </c>
      <c r="AJ2098" s="81"/>
      <c r="AK2098" s="86" t="s">
        <v>6240</v>
      </c>
      <c r="AL2098" s="81" t="b">
        <v>0</v>
      </c>
      <c r="AM2098" s="81">
        <v>0</v>
      </c>
      <c r="AN2098" s="86" t="s">
        <v>6240</v>
      </c>
      <c r="AO2098" s="86" t="s">
        <v>6506</v>
      </c>
      <c r="AP2098" s="81" t="b">
        <v>0</v>
      </c>
      <c r="AQ2098" s="86" t="s">
        <v>5781</v>
      </c>
      <c r="AR2098" s="81" t="s">
        <v>179</v>
      </c>
      <c r="AS2098" s="81">
        <v>0</v>
      </c>
      <c r="AT2098" s="81">
        <v>0</v>
      </c>
      <c r="AU2098" s="81"/>
      <c r="AV2098" s="81"/>
      <c r="AW2098" s="81"/>
      <c r="AX2098" s="81"/>
      <c r="AY2098" s="81"/>
      <c r="AZ2098" s="81"/>
      <c r="BA2098" s="81"/>
      <c r="BB2098" s="81"/>
    </row>
    <row r="2099" spans="1:54" x14ac:dyDescent="0.35">
      <c r="A2099" s="66" t="s">
        <v>1269</v>
      </c>
      <c r="B2099" s="66" t="s">
        <v>1269</v>
      </c>
      <c r="C2099" s="67"/>
      <c r="D2099" s="68"/>
      <c r="E2099" s="69"/>
      <c r="F2099" s="70"/>
      <c r="G2099" s="67"/>
      <c r="H2099" s="71"/>
      <c r="I2099" s="72"/>
      <c r="J2099" s="72"/>
      <c r="K2099" s="36"/>
      <c r="L2099" s="79"/>
      <c r="M2099" s="79"/>
      <c r="N2099" s="74"/>
      <c r="O2099" s="81" t="s">
        <v>179</v>
      </c>
      <c r="P2099" s="83">
        <v>44463.135810185187</v>
      </c>
      <c r="Q2099" s="81" t="s">
        <v>2334</v>
      </c>
      <c r="R2099" s="81"/>
      <c r="S2099" s="81"/>
      <c r="T2099" s="81"/>
      <c r="U2099" s="81"/>
      <c r="V2099" s="84" t="str">
        <f>HYPERLINK("https://pbs.twimg.com/profile_images/378800000705328795/304bfd91ee90011498fd092cc79a423e_normal.jpeg")</f>
        <v>https://pbs.twimg.com/profile_images/378800000705328795/304bfd91ee90011498fd092cc79a423e_normal.jpeg</v>
      </c>
      <c r="W2099" s="83">
        <v>44463.135810185187</v>
      </c>
      <c r="X2099" s="89">
        <v>44463</v>
      </c>
      <c r="Y2099" s="86" t="s">
        <v>4157</v>
      </c>
      <c r="Z2099" s="84" t="str">
        <f>HYPERLINK("https://twitter.com/pos_indonesia/status/1441239859956355072")</f>
        <v>https://twitter.com/pos_indonesia/status/1441239859956355072</v>
      </c>
      <c r="AA2099" s="81"/>
      <c r="AB2099" s="81"/>
      <c r="AC2099" s="86" t="s">
        <v>5782</v>
      </c>
      <c r="AD2099" s="81"/>
      <c r="AE2099" s="81" t="b">
        <v>0</v>
      </c>
      <c r="AF2099" s="81">
        <v>0</v>
      </c>
      <c r="AG2099" s="86" t="s">
        <v>6240</v>
      </c>
      <c r="AH2099" s="81" t="b">
        <v>0</v>
      </c>
      <c r="AI2099" s="81" t="s">
        <v>6479</v>
      </c>
      <c r="AJ2099" s="81"/>
      <c r="AK2099" s="86" t="s">
        <v>6240</v>
      </c>
      <c r="AL2099" s="81" t="b">
        <v>0</v>
      </c>
      <c r="AM2099" s="81">
        <v>0</v>
      </c>
      <c r="AN2099" s="86" t="s">
        <v>6240</v>
      </c>
      <c r="AO2099" s="86" t="s">
        <v>6506</v>
      </c>
      <c r="AP2099" s="81" t="b">
        <v>0</v>
      </c>
      <c r="AQ2099" s="86" t="s">
        <v>5782</v>
      </c>
      <c r="AR2099" s="81" t="s">
        <v>179</v>
      </c>
      <c r="AS2099" s="81">
        <v>0</v>
      </c>
      <c r="AT2099" s="81">
        <v>0</v>
      </c>
      <c r="AU2099" s="81"/>
      <c r="AV2099" s="81"/>
      <c r="AW2099" s="81"/>
      <c r="AX2099" s="81"/>
      <c r="AY2099" s="81"/>
      <c r="AZ2099" s="81"/>
      <c r="BA2099" s="81"/>
      <c r="BB2099" s="81"/>
    </row>
    <row r="2100" spans="1:54" x14ac:dyDescent="0.35">
      <c r="A2100" s="66" t="s">
        <v>1269</v>
      </c>
      <c r="B2100" s="66" t="s">
        <v>1269</v>
      </c>
      <c r="C2100" s="67"/>
      <c r="D2100" s="68"/>
      <c r="E2100" s="69"/>
      <c r="F2100" s="70"/>
      <c r="G2100" s="67"/>
      <c r="H2100" s="71"/>
      <c r="I2100" s="72"/>
      <c r="J2100" s="72"/>
      <c r="K2100" s="36"/>
      <c r="L2100" s="79"/>
      <c r="M2100" s="79"/>
      <c r="N2100" s="74"/>
      <c r="O2100" s="81" t="s">
        <v>179</v>
      </c>
      <c r="P2100" s="83">
        <v>44463.156585648147</v>
      </c>
      <c r="Q2100" s="81" t="s">
        <v>2488</v>
      </c>
      <c r="R2100" s="81"/>
      <c r="S2100" s="81"/>
      <c r="T2100" s="81"/>
      <c r="U2100" s="81"/>
      <c r="V2100" s="84" t="str">
        <f>HYPERLINK("https://pbs.twimg.com/profile_images/378800000705328795/304bfd91ee90011498fd092cc79a423e_normal.jpeg")</f>
        <v>https://pbs.twimg.com/profile_images/378800000705328795/304bfd91ee90011498fd092cc79a423e_normal.jpeg</v>
      </c>
      <c r="W2100" s="83">
        <v>44463.156585648147</v>
      </c>
      <c r="X2100" s="89">
        <v>44463</v>
      </c>
      <c r="Y2100" s="86" t="s">
        <v>4110</v>
      </c>
      <c r="Z2100" s="84" t="str">
        <f>HYPERLINK("https://twitter.com/pos_indonesia/status/1441247390846046208")</f>
        <v>https://twitter.com/pos_indonesia/status/1441247390846046208</v>
      </c>
      <c r="AA2100" s="81"/>
      <c r="AB2100" s="81"/>
      <c r="AC2100" s="86" t="s">
        <v>5783</v>
      </c>
      <c r="AD2100" s="81"/>
      <c r="AE2100" s="81" t="b">
        <v>0</v>
      </c>
      <c r="AF2100" s="81">
        <v>0</v>
      </c>
      <c r="AG2100" s="86" t="s">
        <v>6240</v>
      </c>
      <c r="AH2100" s="81" t="b">
        <v>0</v>
      </c>
      <c r="AI2100" s="81" t="s">
        <v>6479</v>
      </c>
      <c r="AJ2100" s="81"/>
      <c r="AK2100" s="86" t="s">
        <v>6240</v>
      </c>
      <c r="AL2100" s="81" t="b">
        <v>0</v>
      </c>
      <c r="AM2100" s="81">
        <v>0</v>
      </c>
      <c r="AN2100" s="86" t="s">
        <v>6240</v>
      </c>
      <c r="AO2100" s="86" t="s">
        <v>6506</v>
      </c>
      <c r="AP2100" s="81" t="b">
        <v>0</v>
      </c>
      <c r="AQ2100" s="86" t="s">
        <v>5783</v>
      </c>
      <c r="AR2100" s="81" t="s">
        <v>179</v>
      </c>
      <c r="AS2100" s="81">
        <v>0</v>
      </c>
      <c r="AT2100" s="81">
        <v>0</v>
      </c>
      <c r="AU2100" s="81"/>
      <c r="AV2100" s="81"/>
      <c r="AW2100" s="81"/>
      <c r="AX2100" s="81"/>
      <c r="AY2100" s="81"/>
      <c r="AZ2100" s="81"/>
      <c r="BA2100" s="81"/>
      <c r="BB2100" s="81"/>
    </row>
    <row r="2101" spans="1:54" x14ac:dyDescent="0.35">
      <c r="A2101" s="66" t="s">
        <v>1269</v>
      </c>
      <c r="B2101" s="66" t="s">
        <v>1269</v>
      </c>
      <c r="C2101" s="67"/>
      <c r="D2101" s="68"/>
      <c r="E2101" s="69"/>
      <c r="F2101" s="70"/>
      <c r="G2101" s="67"/>
      <c r="H2101" s="71"/>
      <c r="I2101" s="72"/>
      <c r="J2101" s="72"/>
      <c r="K2101" s="36"/>
      <c r="L2101" s="79"/>
      <c r="M2101" s="79"/>
      <c r="N2101" s="74"/>
      <c r="O2101" s="81" t="s">
        <v>179</v>
      </c>
      <c r="P2101" s="83">
        <v>44463.177476851852</v>
      </c>
      <c r="Q2101" s="81" t="s">
        <v>2489</v>
      </c>
      <c r="R2101" s="81"/>
      <c r="S2101" s="81"/>
      <c r="T2101" s="81"/>
      <c r="U2101" s="81"/>
      <c r="V2101" s="84" t="str">
        <f>HYPERLINK("https://pbs.twimg.com/profile_images/378800000705328795/304bfd91ee90011498fd092cc79a423e_normal.jpeg")</f>
        <v>https://pbs.twimg.com/profile_images/378800000705328795/304bfd91ee90011498fd092cc79a423e_normal.jpeg</v>
      </c>
      <c r="W2101" s="83">
        <v>44463.177476851852</v>
      </c>
      <c r="X2101" s="89">
        <v>44463</v>
      </c>
      <c r="Y2101" s="86" t="s">
        <v>4076</v>
      </c>
      <c r="Z2101" s="84" t="str">
        <f>HYPERLINK("https://twitter.com/pos_indonesia/status/1441254962575536129")</f>
        <v>https://twitter.com/pos_indonesia/status/1441254962575536129</v>
      </c>
      <c r="AA2101" s="81"/>
      <c r="AB2101" s="81"/>
      <c r="AC2101" s="86" t="s">
        <v>5784</v>
      </c>
      <c r="AD2101" s="81"/>
      <c r="AE2101" s="81" t="b">
        <v>0</v>
      </c>
      <c r="AF2101" s="81">
        <v>0</v>
      </c>
      <c r="AG2101" s="86" t="s">
        <v>6240</v>
      </c>
      <c r="AH2101" s="81" t="b">
        <v>0</v>
      </c>
      <c r="AI2101" s="81" t="s">
        <v>6479</v>
      </c>
      <c r="AJ2101" s="81"/>
      <c r="AK2101" s="86" t="s">
        <v>6240</v>
      </c>
      <c r="AL2101" s="81" t="b">
        <v>0</v>
      </c>
      <c r="AM2101" s="81">
        <v>0</v>
      </c>
      <c r="AN2101" s="86" t="s">
        <v>6240</v>
      </c>
      <c r="AO2101" s="86" t="s">
        <v>6506</v>
      </c>
      <c r="AP2101" s="81" t="b">
        <v>0</v>
      </c>
      <c r="AQ2101" s="86" t="s">
        <v>5784</v>
      </c>
      <c r="AR2101" s="81" t="s">
        <v>179</v>
      </c>
      <c r="AS2101" s="81">
        <v>0</v>
      </c>
      <c r="AT2101" s="81">
        <v>0</v>
      </c>
      <c r="AU2101" s="81"/>
      <c r="AV2101" s="81"/>
      <c r="AW2101" s="81"/>
      <c r="AX2101" s="81"/>
      <c r="AY2101" s="81"/>
      <c r="AZ2101" s="81"/>
      <c r="BA2101" s="81"/>
      <c r="BB2101" s="81"/>
    </row>
    <row r="2102" spans="1:54" x14ac:dyDescent="0.35">
      <c r="A2102" s="66" t="s">
        <v>1269</v>
      </c>
      <c r="B2102" s="66" t="s">
        <v>1269</v>
      </c>
      <c r="C2102" s="67"/>
      <c r="D2102" s="68"/>
      <c r="E2102" s="69"/>
      <c r="F2102" s="70"/>
      <c r="G2102" s="67"/>
      <c r="H2102" s="71"/>
      <c r="I2102" s="72"/>
      <c r="J2102" s="72"/>
      <c r="K2102" s="36"/>
      <c r="L2102" s="79"/>
      <c r="M2102" s="79"/>
      <c r="N2102" s="74"/>
      <c r="O2102" s="81" t="s">
        <v>179</v>
      </c>
      <c r="P2102" s="83">
        <v>44463.198252314818</v>
      </c>
      <c r="Q2102" s="81" t="s">
        <v>2320</v>
      </c>
      <c r="R2102" s="81"/>
      <c r="S2102" s="81"/>
      <c r="T2102" s="81"/>
      <c r="U2102" s="81"/>
      <c r="V2102" s="84" t="str">
        <f>HYPERLINK("https://pbs.twimg.com/profile_images/378800000705328795/304bfd91ee90011498fd092cc79a423e_normal.jpeg")</f>
        <v>https://pbs.twimg.com/profile_images/378800000705328795/304bfd91ee90011498fd092cc79a423e_normal.jpeg</v>
      </c>
      <c r="W2102" s="83">
        <v>44463.198252314818</v>
      </c>
      <c r="X2102" s="89">
        <v>44463</v>
      </c>
      <c r="Y2102" s="86" t="s">
        <v>4077</v>
      </c>
      <c r="Z2102" s="84" t="str">
        <f>HYPERLINK("https://twitter.com/pos_indonesia/status/1441262489467908098")</f>
        <v>https://twitter.com/pos_indonesia/status/1441262489467908098</v>
      </c>
      <c r="AA2102" s="81"/>
      <c r="AB2102" s="81"/>
      <c r="AC2102" s="86" t="s">
        <v>5785</v>
      </c>
      <c r="AD2102" s="81"/>
      <c r="AE2102" s="81" t="b">
        <v>0</v>
      </c>
      <c r="AF2102" s="81">
        <v>0</v>
      </c>
      <c r="AG2102" s="86" t="s">
        <v>6240</v>
      </c>
      <c r="AH2102" s="81" t="b">
        <v>0</v>
      </c>
      <c r="AI2102" s="81" t="s">
        <v>6479</v>
      </c>
      <c r="AJ2102" s="81"/>
      <c r="AK2102" s="86" t="s">
        <v>6240</v>
      </c>
      <c r="AL2102" s="81" t="b">
        <v>0</v>
      </c>
      <c r="AM2102" s="81">
        <v>0</v>
      </c>
      <c r="AN2102" s="86" t="s">
        <v>6240</v>
      </c>
      <c r="AO2102" s="86" t="s">
        <v>6506</v>
      </c>
      <c r="AP2102" s="81" t="b">
        <v>0</v>
      </c>
      <c r="AQ2102" s="86" t="s">
        <v>5785</v>
      </c>
      <c r="AR2102" s="81" t="s">
        <v>179</v>
      </c>
      <c r="AS2102" s="81">
        <v>0</v>
      </c>
      <c r="AT2102" s="81">
        <v>0</v>
      </c>
      <c r="AU2102" s="81"/>
      <c r="AV2102" s="81"/>
      <c r="AW2102" s="81"/>
      <c r="AX2102" s="81"/>
      <c r="AY2102" s="81"/>
      <c r="AZ2102" s="81"/>
      <c r="BA2102" s="81"/>
      <c r="BB2102" s="81"/>
    </row>
    <row r="2103" spans="1:54" x14ac:dyDescent="0.35">
      <c r="A2103" s="66" t="s">
        <v>1269</v>
      </c>
      <c r="B2103" s="66" t="s">
        <v>1269</v>
      </c>
      <c r="C2103" s="67"/>
      <c r="D2103" s="68"/>
      <c r="E2103" s="69"/>
      <c r="F2103" s="70"/>
      <c r="G2103" s="67"/>
      <c r="H2103" s="71"/>
      <c r="I2103" s="72"/>
      <c r="J2103" s="72"/>
      <c r="K2103" s="36"/>
      <c r="L2103" s="79"/>
      <c r="M2103" s="79"/>
      <c r="N2103" s="74"/>
      <c r="O2103" s="81" t="s">
        <v>179</v>
      </c>
      <c r="P2103" s="83">
        <v>44463.219143518516</v>
      </c>
      <c r="Q2103" s="81" t="s">
        <v>2402</v>
      </c>
      <c r="R2103" s="81"/>
      <c r="S2103" s="81"/>
      <c r="T2103" s="81"/>
      <c r="U2103" s="81"/>
      <c r="V2103" s="84" t="str">
        <f>HYPERLINK("https://pbs.twimg.com/profile_images/378800000705328795/304bfd91ee90011498fd092cc79a423e_normal.jpeg")</f>
        <v>https://pbs.twimg.com/profile_images/378800000705328795/304bfd91ee90011498fd092cc79a423e_normal.jpeg</v>
      </c>
      <c r="W2103" s="83">
        <v>44463.219143518516</v>
      </c>
      <c r="X2103" s="89">
        <v>44463</v>
      </c>
      <c r="Y2103" s="86" t="s">
        <v>4078</v>
      </c>
      <c r="Z2103" s="84" t="str">
        <f>HYPERLINK("https://twitter.com/pos_indonesia/status/1441270061189132295")</f>
        <v>https://twitter.com/pos_indonesia/status/1441270061189132295</v>
      </c>
      <c r="AA2103" s="81"/>
      <c r="AB2103" s="81"/>
      <c r="AC2103" s="86" t="s">
        <v>5786</v>
      </c>
      <c r="AD2103" s="81"/>
      <c r="AE2103" s="81" t="b">
        <v>0</v>
      </c>
      <c r="AF2103" s="81">
        <v>0</v>
      </c>
      <c r="AG2103" s="86" t="s">
        <v>6240</v>
      </c>
      <c r="AH2103" s="81" t="b">
        <v>0</v>
      </c>
      <c r="AI2103" s="81" t="s">
        <v>6479</v>
      </c>
      <c r="AJ2103" s="81"/>
      <c r="AK2103" s="86" t="s">
        <v>6240</v>
      </c>
      <c r="AL2103" s="81" t="b">
        <v>0</v>
      </c>
      <c r="AM2103" s="81">
        <v>0</v>
      </c>
      <c r="AN2103" s="86" t="s">
        <v>6240</v>
      </c>
      <c r="AO2103" s="86" t="s">
        <v>6506</v>
      </c>
      <c r="AP2103" s="81" t="b">
        <v>0</v>
      </c>
      <c r="AQ2103" s="86" t="s">
        <v>5786</v>
      </c>
      <c r="AR2103" s="81" t="s">
        <v>179</v>
      </c>
      <c r="AS2103" s="81">
        <v>0</v>
      </c>
      <c r="AT2103" s="81">
        <v>0</v>
      </c>
      <c r="AU2103" s="81"/>
      <c r="AV2103" s="81"/>
      <c r="AW2103" s="81"/>
      <c r="AX2103" s="81"/>
      <c r="AY2103" s="81"/>
      <c r="AZ2103" s="81"/>
      <c r="BA2103" s="81"/>
      <c r="BB2103" s="81"/>
    </row>
    <row r="2104" spans="1:54" x14ac:dyDescent="0.35">
      <c r="A2104" s="66" t="s">
        <v>1269</v>
      </c>
      <c r="B2104" s="66" t="s">
        <v>1269</v>
      </c>
      <c r="C2104" s="67"/>
      <c r="D2104" s="68"/>
      <c r="E2104" s="69"/>
      <c r="F2104" s="70"/>
      <c r="G2104" s="67"/>
      <c r="H2104" s="71"/>
      <c r="I2104" s="72"/>
      <c r="J2104" s="72"/>
      <c r="K2104" s="36"/>
      <c r="L2104" s="79"/>
      <c r="M2104" s="79"/>
      <c r="N2104" s="74"/>
      <c r="O2104" s="81" t="s">
        <v>179</v>
      </c>
      <c r="P2104" s="83">
        <v>44463.239930555559</v>
      </c>
      <c r="Q2104" s="81" t="s">
        <v>2490</v>
      </c>
      <c r="R2104" s="81"/>
      <c r="S2104" s="81"/>
      <c r="T2104" s="81"/>
      <c r="U2104" s="81"/>
      <c r="V2104" s="84" t="str">
        <f>HYPERLINK("https://pbs.twimg.com/profile_images/378800000705328795/304bfd91ee90011498fd092cc79a423e_normal.jpeg")</f>
        <v>https://pbs.twimg.com/profile_images/378800000705328795/304bfd91ee90011498fd092cc79a423e_normal.jpeg</v>
      </c>
      <c r="W2104" s="83">
        <v>44463.239930555559</v>
      </c>
      <c r="X2104" s="89">
        <v>44463</v>
      </c>
      <c r="Y2104" s="86" t="s">
        <v>4134</v>
      </c>
      <c r="Z2104" s="84" t="str">
        <f>HYPERLINK("https://twitter.com/pos_indonesia/status/1441277593043365890")</f>
        <v>https://twitter.com/pos_indonesia/status/1441277593043365890</v>
      </c>
      <c r="AA2104" s="81"/>
      <c r="AB2104" s="81"/>
      <c r="AC2104" s="86" t="s">
        <v>5787</v>
      </c>
      <c r="AD2104" s="81"/>
      <c r="AE2104" s="81" t="b">
        <v>0</v>
      </c>
      <c r="AF2104" s="81">
        <v>0</v>
      </c>
      <c r="AG2104" s="86" t="s">
        <v>6240</v>
      </c>
      <c r="AH2104" s="81" t="b">
        <v>0</v>
      </c>
      <c r="AI2104" s="81" t="s">
        <v>6479</v>
      </c>
      <c r="AJ2104" s="81"/>
      <c r="AK2104" s="86" t="s">
        <v>6240</v>
      </c>
      <c r="AL2104" s="81" t="b">
        <v>0</v>
      </c>
      <c r="AM2104" s="81">
        <v>0</v>
      </c>
      <c r="AN2104" s="86" t="s">
        <v>6240</v>
      </c>
      <c r="AO2104" s="86" t="s">
        <v>6506</v>
      </c>
      <c r="AP2104" s="81" t="b">
        <v>0</v>
      </c>
      <c r="AQ2104" s="86" t="s">
        <v>5787</v>
      </c>
      <c r="AR2104" s="81" t="s">
        <v>179</v>
      </c>
      <c r="AS2104" s="81">
        <v>0</v>
      </c>
      <c r="AT2104" s="81">
        <v>0</v>
      </c>
      <c r="AU2104" s="81"/>
      <c r="AV2104" s="81"/>
      <c r="AW2104" s="81"/>
      <c r="AX2104" s="81"/>
      <c r="AY2104" s="81"/>
      <c r="AZ2104" s="81"/>
      <c r="BA2104" s="81"/>
      <c r="BB2104" s="81"/>
    </row>
    <row r="2105" spans="1:54" x14ac:dyDescent="0.35">
      <c r="A2105" s="66" t="s">
        <v>1269</v>
      </c>
      <c r="B2105" s="66" t="s">
        <v>1269</v>
      </c>
      <c r="C2105" s="67"/>
      <c r="D2105" s="68"/>
      <c r="E2105" s="69"/>
      <c r="F2105" s="70"/>
      <c r="G2105" s="67"/>
      <c r="H2105" s="71"/>
      <c r="I2105" s="72"/>
      <c r="J2105" s="72"/>
      <c r="K2105" s="36"/>
      <c r="L2105" s="79"/>
      <c r="M2105" s="79"/>
      <c r="N2105" s="74"/>
      <c r="O2105" s="81" t="s">
        <v>179</v>
      </c>
      <c r="P2105" s="83">
        <v>44463.281585648147</v>
      </c>
      <c r="Q2105" s="81" t="s">
        <v>2491</v>
      </c>
      <c r="R2105" s="81"/>
      <c r="S2105" s="81"/>
      <c r="T2105" s="81"/>
      <c r="U2105" s="81"/>
      <c r="V2105" s="84" t="str">
        <f>HYPERLINK("https://pbs.twimg.com/profile_images/378800000705328795/304bfd91ee90011498fd092cc79a423e_normal.jpeg")</f>
        <v>https://pbs.twimg.com/profile_images/378800000705328795/304bfd91ee90011498fd092cc79a423e_normal.jpeg</v>
      </c>
      <c r="W2105" s="83">
        <v>44463.281585648147</v>
      </c>
      <c r="X2105" s="89">
        <v>44463</v>
      </c>
      <c r="Y2105" s="86" t="s">
        <v>4081</v>
      </c>
      <c r="Z2105" s="84" t="str">
        <f>HYPERLINK("https://twitter.com/pos_indonesia/status/1441292688880377862")</f>
        <v>https://twitter.com/pos_indonesia/status/1441292688880377862</v>
      </c>
      <c r="AA2105" s="81"/>
      <c r="AB2105" s="81"/>
      <c r="AC2105" s="86" t="s">
        <v>5788</v>
      </c>
      <c r="AD2105" s="81"/>
      <c r="AE2105" s="81" t="b">
        <v>0</v>
      </c>
      <c r="AF2105" s="81">
        <v>0</v>
      </c>
      <c r="AG2105" s="86" t="s">
        <v>6240</v>
      </c>
      <c r="AH2105" s="81" t="b">
        <v>0</v>
      </c>
      <c r="AI2105" s="81" t="s">
        <v>6479</v>
      </c>
      <c r="AJ2105" s="81"/>
      <c r="AK2105" s="86" t="s">
        <v>6240</v>
      </c>
      <c r="AL2105" s="81" t="b">
        <v>0</v>
      </c>
      <c r="AM2105" s="81">
        <v>0</v>
      </c>
      <c r="AN2105" s="86" t="s">
        <v>6240</v>
      </c>
      <c r="AO2105" s="86" t="s">
        <v>6506</v>
      </c>
      <c r="AP2105" s="81" t="b">
        <v>0</v>
      </c>
      <c r="AQ2105" s="86" t="s">
        <v>5788</v>
      </c>
      <c r="AR2105" s="81" t="s">
        <v>179</v>
      </c>
      <c r="AS2105" s="81">
        <v>0</v>
      </c>
      <c r="AT2105" s="81">
        <v>0</v>
      </c>
      <c r="AU2105" s="81"/>
      <c r="AV2105" s="81"/>
      <c r="AW2105" s="81"/>
      <c r="AX2105" s="81"/>
      <c r="AY2105" s="81"/>
      <c r="AZ2105" s="81"/>
      <c r="BA2105" s="81"/>
      <c r="BB2105" s="81"/>
    </row>
    <row r="2106" spans="1:54" x14ac:dyDescent="0.35">
      <c r="A2106" s="66" t="s">
        <v>1269</v>
      </c>
      <c r="B2106" s="66" t="s">
        <v>1269</v>
      </c>
      <c r="C2106" s="67"/>
      <c r="D2106" s="68"/>
      <c r="E2106" s="69"/>
      <c r="F2106" s="70"/>
      <c r="G2106" s="67"/>
      <c r="H2106" s="71"/>
      <c r="I2106" s="72"/>
      <c r="J2106" s="72"/>
      <c r="K2106" s="36"/>
      <c r="L2106" s="79"/>
      <c r="M2106" s="79"/>
      <c r="N2106" s="74"/>
      <c r="O2106" s="81" t="s">
        <v>179</v>
      </c>
      <c r="P2106" s="83">
        <v>44463.302465277775</v>
      </c>
      <c r="Q2106" s="81" t="s">
        <v>2469</v>
      </c>
      <c r="R2106" s="81"/>
      <c r="S2106" s="81"/>
      <c r="T2106" s="81"/>
      <c r="U2106" s="81"/>
      <c r="V2106" s="84" t="str">
        <f>HYPERLINK("https://pbs.twimg.com/profile_images/378800000705328795/304bfd91ee90011498fd092cc79a423e_normal.jpeg")</f>
        <v>https://pbs.twimg.com/profile_images/378800000705328795/304bfd91ee90011498fd092cc79a423e_normal.jpeg</v>
      </c>
      <c r="W2106" s="83">
        <v>44463.302465277775</v>
      </c>
      <c r="X2106" s="89">
        <v>44463</v>
      </c>
      <c r="Y2106" s="86" t="s">
        <v>4082</v>
      </c>
      <c r="Z2106" s="84" t="str">
        <f>HYPERLINK("https://twitter.com/pos_indonesia/status/1441300255140560903")</f>
        <v>https://twitter.com/pos_indonesia/status/1441300255140560903</v>
      </c>
      <c r="AA2106" s="81"/>
      <c r="AB2106" s="81"/>
      <c r="AC2106" s="86" t="s">
        <v>5789</v>
      </c>
      <c r="AD2106" s="81"/>
      <c r="AE2106" s="81" t="b">
        <v>0</v>
      </c>
      <c r="AF2106" s="81">
        <v>1</v>
      </c>
      <c r="AG2106" s="86" t="s">
        <v>6240</v>
      </c>
      <c r="AH2106" s="81" t="b">
        <v>0</v>
      </c>
      <c r="AI2106" s="81" t="s">
        <v>6479</v>
      </c>
      <c r="AJ2106" s="81"/>
      <c r="AK2106" s="86" t="s">
        <v>6240</v>
      </c>
      <c r="AL2106" s="81" t="b">
        <v>0</v>
      </c>
      <c r="AM2106" s="81">
        <v>0</v>
      </c>
      <c r="AN2106" s="86" t="s">
        <v>6240</v>
      </c>
      <c r="AO2106" s="86" t="s">
        <v>6506</v>
      </c>
      <c r="AP2106" s="81" t="b">
        <v>0</v>
      </c>
      <c r="AQ2106" s="86" t="s">
        <v>5789</v>
      </c>
      <c r="AR2106" s="81" t="s">
        <v>179</v>
      </c>
      <c r="AS2106" s="81">
        <v>0</v>
      </c>
      <c r="AT2106" s="81">
        <v>0</v>
      </c>
      <c r="AU2106" s="81"/>
      <c r="AV2106" s="81"/>
      <c r="AW2106" s="81"/>
      <c r="AX2106" s="81"/>
      <c r="AY2106" s="81"/>
      <c r="AZ2106" s="81"/>
      <c r="BA2106" s="81"/>
      <c r="BB2106" s="81"/>
    </row>
    <row r="2107" spans="1:54" x14ac:dyDescent="0.35">
      <c r="A2107" s="66" t="s">
        <v>1269</v>
      </c>
      <c r="B2107" s="66" t="s">
        <v>1269</v>
      </c>
      <c r="C2107" s="67"/>
      <c r="D2107" s="68"/>
      <c r="E2107" s="69"/>
      <c r="F2107" s="70"/>
      <c r="G2107" s="67"/>
      <c r="H2107" s="71"/>
      <c r="I2107" s="72"/>
      <c r="J2107" s="72"/>
      <c r="K2107" s="36"/>
      <c r="L2107" s="79"/>
      <c r="M2107" s="79"/>
      <c r="N2107" s="74"/>
      <c r="O2107" s="81" t="s">
        <v>179</v>
      </c>
      <c r="P2107" s="83">
        <v>44463.323252314818</v>
      </c>
      <c r="Q2107" s="81" t="s">
        <v>2492</v>
      </c>
      <c r="R2107" s="81"/>
      <c r="S2107" s="81"/>
      <c r="T2107" s="81"/>
      <c r="U2107" s="81"/>
      <c r="V2107" s="84" t="str">
        <f>HYPERLINK("https://pbs.twimg.com/profile_images/378800000705328795/304bfd91ee90011498fd092cc79a423e_normal.jpeg")</f>
        <v>https://pbs.twimg.com/profile_images/378800000705328795/304bfd91ee90011498fd092cc79a423e_normal.jpeg</v>
      </c>
      <c r="W2107" s="83">
        <v>44463.323252314818</v>
      </c>
      <c r="X2107" s="89">
        <v>44463</v>
      </c>
      <c r="Y2107" s="86" t="s">
        <v>4083</v>
      </c>
      <c r="Z2107" s="84" t="str">
        <f>HYPERLINK("https://twitter.com/pos_indonesia/status/1441307787066109952")</f>
        <v>https://twitter.com/pos_indonesia/status/1441307787066109952</v>
      </c>
      <c r="AA2107" s="81"/>
      <c r="AB2107" s="81"/>
      <c r="AC2107" s="86" t="s">
        <v>5790</v>
      </c>
      <c r="AD2107" s="81"/>
      <c r="AE2107" s="81" t="b">
        <v>0</v>
      </c>
      <c r="AF2107" s="81">
        <v>0</v>
      </c>
      <c r="AG2107" s="86" t="s">
        <v>6240</v>
      </c>
      <c r="AH2107" s="81" t="b">
        <v>0</v>
      </c>
      <c r="AI2107" s="81" t="s">
        <v>6479</v>
      </c>
      <c r="AJ2107" s="81"/>
      <c r="AK2107" s="86" t="s">
        <v>6240</v>
      </c>
      <c r="AL2107" s="81" t="b">
        <v>0</v>
      </c>
      <c r="AM2107" s="81">
        <v>0</v>
      </c>
      <c r="AN2107" s="86" t="s">
        <v>6240</v>
      </c>
      <c r="AO2107" s="86" t="s">
        <v>6506</v>
      </c>
      <c r="AP2107" s="81" t="b">
        <v>0</v>
      </c>
      <c r="AQ2107" s="86" t="s">
        <v>5790</v>
      </c>
      <c r="AR2107" s="81" t="s">
        <v>179</v>
      </c>
      <c r="AS2107" s="81">
        <v>0</v>
      </c>
      <c r="AT2107" s="81">
        <v>0</v>
      </c>
      <c r="AU2107" s="81"/>
      <c r="AV2107" s="81"/>
      <c r="AW2107" s="81"/>
      <c r="AX2107" s="81"/>
      <c r="AY2107" s="81"/>
      <c r="AZ2107" s="81"/>
      <c r="BA2107" s="81"/>
      <c r="BB2107" s="81"/>
    </row>
    <row r="2108" spans="1:54" x14ac:dyDescent="0.35">
      <c r="A2108" s="66" t="s">
        <v>1269</v>
      </c>
      <c r="B2108" s="66" t="s">
        <v>1269</v>
      </c>
      <c r="C2108" s="67"/>
      <c r="D2108" s="68"/>
      <c r="E2108" s="69"/>
      <c r="F2108" s="70"/>
      <c r="G2108" s="67"/>
      <c r="H2108" s="71"/>
      <c r="I2108" s="72"/>
      <c r="J2108" s="72"/>
      <c r="K2108" s="36"/>
      <c r="L2108" s="79"/>
      <c r="M2108" s="79"/>
      <c r="N2108" s="74"/>
      <c r="O2108" s="81" t="s">
        <v>179</v>
      </c>
      <c r="P2108" s="83">
        <v>44463.344155092593</v>
      </c>
      <c r="Q2108" s="81" t="s">
        <v>2493</v>
      </c>
      <c r="R2108" s="81"/>
      <c r="S2108" s="81"/>
      <c r="T2108" s="81"/>
      <c r="U2108" s="81"/>
      <c r="V2108" s="84" t="str">
        <f>HYPERLINK("https://pbs.twimg.com/profile_images/378800000705328795/304bfd91ee90011498fd092cc79a423e_normal.jpeg")</f>
        <v>https://pbs.twimg.com/profile_images/378800000705328795/304bfd91ee90011498fd092cc79a423e_normal.jpeg</v>
      </c>
      <c r="W2108" s="83">
        <v>44463.344155092593</v>
      </c>
      <c r="X2108" s="89">
        <v>44463</v>
      </c>
      <c r="Y2108" s="86" t="s">
        <v>4084</v>
      </c>
      <c r="Z2108" s="84" t="str">
        <f>HYPERLINK("https://twitter.com/pos_indonesia/status/1441315364109832192")</f>
        <v>https://twitter.com/pos_indonesia/status/1441315364109832192</v>
      </c>
      <c r="AA2108" s="81"/>
      <c r="AB2108" s="81"/>
      <c r="AC2108" s="86" t="s">
        <v>5791</v>
      </c>
      <c r="AD2108" s="81"/>
      <c r="AE2108" s="81" t="b">
        <v>0</v>
      </c>
      <c r="AF2108" s="81">
        <v>0</v>
      </c>
      <c r="AG2108" s="86" t="s">
        <v>6240</v>
      </c>
      <c r="AH2108" s="81" t="b">
        <v>0</v>
      </c>
      <c r="AI2108" s="81" t="s">
        <v>6479</v>
      </c>
      <c r="AJ2108" s="81"/>
      <c r="AK2108" s="86" t="s">
        <v>6240</v>
      </c>
      <c r="AL2108" s="81" t="b">
        <v>0</v>
      </c>
      <c r="AM2108" s="81">
        <v>0</v>
      </c>
      <c r="AN2108" s="86" t="s">
        <v>6240</v>
      </c>
      <c r="AO2108" s="86" t="s">
        <v>6506</v>
      </c>
      <c r="AP2108" s="81" t="b">
        <v>0</v>
      </c>
      <c r="AQ2108" s="86" t="s">
        <v>5791</v>
      </c>
      <c r="AR2108" s="81" t="s">
        <v>179</v>
      </c>
      <c r="AS2108" s="81">
        <v>0</v>
      </c>
      <c r="AT2108" s="81">
        <v>0</v>
      </c>
      <c r="AU2108" s="81"/>
      <c r="AV2108" s="81"/>
      <c r="AW2108" s="81"/>
      <c r="AX2108" s="81"/>
      <c r="AY2108" s="81"/>
      <c r="AZ2108" s="81"/>
      <c r="BA2108" s="81"/>
      <c r="BB2108" s="81"/>
    </row>
    <row r="2109" spans="1:54" x14ac:dyDescent="0.35">
      <c r="A2109" s="66" t="s">
        <v>1269</v>
      </c>
      <c r="B2109" s="66" t="s">
        <v>1269</v>
      </c>
      <c r="C2109" s="67"/>
      <c r="D2109" s="68"/>
      <c r="E2109" s="69"/>
      <c r="F2109" s="70"/>
      <c r="G2109" s="67"/>
      <c r="H2109" s="71"/>
      <c r="I2109" s="72"/>
      <c r="J2109" s="72"/>
      <c r="K2109" s="36"/>
      <c r="L2109" s="79"/>
      <c r="M2109" s="79"/>
      <c r="N2109" s="74"/>
      <c r="O2109" s="81" t="s">
        <v>179</v>
      </c>
      <c r="P2109" s="83">
        <v>44463.364942129629</v>
      </c>
      <c r="Q2109" s="81" t="s">
        <v>2368</v>
      </c>
      <c r="R2109" s="81"/>
      <c r="S2109" s="81"/>
      <c r="T2109" s="81"/>
      <c r="U2109" s="81"/>
      <c r="V2109" s="84" t="str">
        <f>HYPERLINK("https://pbs.twimg.com/profile_images/378800000705328795/304bfd91ee90011498fd092cc79a423e_normal.jpeg")</f>
        <v>https://pbs.twimg.com/profile_images/378800000705328795/304bfd91ee90011498fd092cc79a423e_normal.jpeg</v>
      </c>
      <c r="W2109" s="83">
        <v>44463.364942129629</v>
      </c>
      <c r="X2109" s="89">
        <v>44463</v>
      </c>
      <c r="Y2109" s="86" t="s">
        <v>4147</v>
      </c>
      <c r="Z2109" s="84" t="str">
        <f>HYPERLINK("https://twitter.com/pos_indonesia/status/1441322894559092736")</f>
        <v>https://twitter.com/pos_indonesia/status/1441322894559092736</v>
      </c>
      <c r="AA2109" s="81"/>
      <c r="AB2109" s="81"/>
      <c r="AC2109" s="86" t="s">
        <v>5792</v>
      </c>
      <c r="AD2109" s="81"/>
      <c r="AE2109" s="81" t="b">
        <v>0</v>
      </c>
      <c r="AF2109" s="81">
        <v>0</v>
      </c>
      <c r="AG2109" s="86" t="s">
        <v>6240</v>
      </c>
      <c r="AH2109" s="81" t="b">
        <v>0</v>
      </c>
      <c r="AI2109" s="81" t="s">
        <v>6479</v>
      </c>
      <c r="AJ2109" s="81"/>
      <c r="AK2109" s="86" t="s">
        <v>6240</v>
      </c>
      <c r="AL2109" s="81" t="b">
        <v>0</v>
      </c>
      <c r="AM2109" s="81">
        <v>0</v>
      </c>
      <c r="AN2109" s="86" t="s">
        <v>6240</v>
      </c>
      <c r="AO2109" s="86" t="s">
        <v>6506</v>
      </c>
      <c r="AP2109" s="81" t="b">
        <v>0</v>
      </c>
      <c r="AQ2109" s="86" t="s">
        <v>5792</v>
      </c>
      <c r="AR2109" s="81" t="s">
        <v>179</v>
      </c>
      <c r="AS2109" s="81">
        <v>0</v>
      </c>
      <c r="AT2109" s="81">
        <v>0</v>
      </c>
      <c r="AU2109" s="81"/>
      <c r="AV2109" s="81"/>
      <c r="AW2109" s="81"/>
      <c r="AX2109" s="81"/>
      <c r="AY2109" s="81"/>
      <c r="AZ2109" s="81"/>
      <c r="BA2109" s="81"/>
      <c r="BB2109" s="81"/>
    </row>
    <row r="2110" spans="1:54" x14ac:dyDescent="0.35">
      <c r="A2110" s="66" t="s">
        <v>1269</v>
      </c>
      <c r="B2110" s="66" t="s">
        <v>1269</v>
      </c>
      <c r="C2110" s="67"/>
      <c r="D2110" s="68"/>
      <c r="E2110" s="69"/>
      <c r="F2110" s="70"/>
      <c r="G2110" s="67"/>
      <c r="H2110" s="71"/>
      <c r="I2110" s="72"/>
      <c r="J2110" s="72"/>
      <c r="K2110" s="36"/>
      <c r="L2110" s="79"/>
      <c r="M2110" s="79"/>
      <c r="N2110" s="74"/>
      <c r="O2110" s="81" t="s">
        <v>179</v>
      </c>
      <c r="P2110" s="83">
        <v>44463.385798611111</v>
      </c>
      <c r="Q2110" s="81" t="s">
        <v>2494</v>
      </c>
      <c r="R2110" s="81"/>
      <c r="S2110" s="81"/>
      <c r="T2110" s="81"/>
      <c r="U2110" s="81"/>
      <c r="V2110" s="84" t="str">
        <f>HYPERLINK("https://pbs.twimg.com/profile_images/378800000705328795/304bfd91ee90011498fd092cc79a423e_normal.jpeg")</f>
        <v>https://pbs.twimg.com/profile_images/378800000705328795/304bfd91ee90011498fd092cc79a423e_normal.jpeg</v>
      </c>
      <c r="W2110" s="83">
        <v>44463.385798611111</v>
      </c>
      <c r="X2110" s="89">
        <v>44463</v>
      </c>
      <c r="Y2110" s="86" t="s">
        <v>4085</v>
      </c>
      <c r="Z2110" s="84" t="str">
        <f>HYPERLINK("https://twitter.com/pos_indonesia/status/1441330455404376072")</f>
        <v>https://twitter.com/pos_indonesia/status/1441330455404376072</v>
      </c>
      <c r="AA2110" s="81"/>
      <c r="AB2110" s="81"/>
      <c r="AC2110" s="86" t="s">
        <v>5793</v>
      </c>
      <c r="AD2110" s="81"/>
      <c r="AE2110" s="81" t="b">
        <v>0</v>
      </c>
      <c r="AF2110" s="81">
        <v>0</v>
      </c>
      <c r="AG2110" s="86" t="s">
        <v>6240</v>
      </c>
      <c r="AH2110" s="81" t="b">
        <v>0</v>
      </c>
      <c r="AI2110" s="81" t="s">
        <v>6479</v>
      </c>
      <c r="AJ2110" s="81"/>
      <c r="AK2110" s="86" t="s">
        <v>6240</v>
      </c>
      <c r="AL2110" s="81" t="b">
        <v>0</v>
      </c>
      <c r="AM2110" s="81">
        <v>0</v>
      </c>
      <c r="AN2110" s="86" t="s">
        <v>6240</v>
      </c>
      <c r="AO2110" s="86" t="s">
        <v>6506</v>
      </c>
      <c r="AP2110" s="81" t="b">
        <v>0</v>
      </c>
      <c r="AQ2110" s="86" t="s">
        <v>5793</v>
      </c>
      <c r="AR2110" s="81" t="s">
        <v>179</v>
      </c>
      <c r="AS2110" s="81">
        <v>0</v>
      </c>
      <c r="AT2110" s="81">
        <v>0</v>
      </c>
      <c r="AU2110" s="81"/>
      <c r="AV2110" s="81"/>
      <c r="AW2110" s="81"/>
      <c r="AX2110" s="81"/>
      <c r="AY2110" s="81"/>
      <c r="AZ2110" s="81"/>
      <c r="BA2110" s="81"/>
      <c r="BB2110" s="81"/>
    </row>
    <row r="2111" spans="1:54" x14ac:dyDescent="0.35">
      <c r="A2111" s="66" t="s">
        <v>1269</v>
      </c>
      <c r="B2111" s="66" t="s">
        <v>1269</v>
      </c>
      <c r="C2111" s="67"/>
      <c r="D2111" s="68"/>
      <c r="E2111" s="69"/>
      <c r="F2111" s="70"/>
      <c r="G2111" s="67"/>
      <c r="H2111" s="71"/>
      <c r="I2111" s="72"/>
      <c r="J2111" s="72"/>
      <c r="K2111" s="36"/>
      <c r="L2111" s="79"/>
      <c r="M2111" s="79"/>
      <c r="N2111" s="74"/>
      <c r="O2111" s="81" t="s">
        <v>179</v>
      </c>
      <c r="P2111" s="83">
        <v>44463.406585648147</v>
      </c>
      <c r="Q2111" s="81" t="s">
        <v>2372</v>
      </c>
      <c r="R2111" s="81"/>
      <c r="S2111" s="81"/>
      <c r="T2111" s="81"/>
      <c r="U2111" s="81"/>
      <c r="V2111" s="84" t="str">
        <f>HYPERLINK("https://pbs.twimg.com/profile_images/378800000705328795/304bfd91ee90011498fd092cc79a423e_normal.jpeg")</f>
        <v>https://pbs.twimg.com/profile_images/378800000705328795/304bfd91ee90011498fd092cc79a423e_normal.jpeg</v>
      </c>
      <c r="W2111" s="83">
        <v>44463.406585648147</v>
      </c>
      <c r="X2111" s="89">
        <v>44463</v>
      </c>
      <c r="Y2111" s="86" t="s">
        <v>4086</v>
      </c>
      <c r="Z2111" s="84" t="str">
        <f>HYPERLINK("https://twitter.com/pos_indonesia/status/1441337986663157762")</f>
        <v>https://twitter.com/pos_indonesia/status/1441337986663157762</v>
      </c>
      <c r="AA2111" s="81"/>
      <c r="AB2111" s="81"/>
      <c r="AC2111" s="86" t="s">
        <v>5794</v>
      </c>
      <c r="AD2111" s="81"/>
      <c r="AE2111" s="81" t="b">
        <v>0</v>
      </c>
      <c r="AF2111" s="81">
        <v>0</v>
      </c>
      <c r="AG2111" s="86" t="s">
        <v>6240</v>
      </c>
      <c r="AH2111" s="81" t="b">
        <v>0</v>
      </c>
      <c r="AI2111" s="81" t="s">
        <v>6479</v>
      </c>
      <c r="AJ2111" s="81"/>
      <c r="AK2111" s="86" t="s">
        <v>6240</v>
      </c>
      <c r="AL2111" s="81" t="b">
        <v>0</v>
      </c>
      <c r="AM2111" s="81">
        <v>0</v>
      </c>
      <c r="AN2111" s="86" t="s">
        <v>6240</v>
      </c>
      <c r="AO2111" s="86" t="s">
        <v>6506</v>
      </c>
      <c r="AP2111" s="81" t="b">
        <v>0</v>
      </c>
      <c r="AQ2111" s="86" t="s">
        <v>5794</v>
      </c>
      <c r="AR2111" s="81" t="s">
        <v>179</v>
      </c>
      <c r="AS2111" s="81">
        <v>0</v>
      </c>
      <c r="AT2111" s="81">
        <v>0</v>
      </c>
      <c r="AU2111" s="81"/>
      <c r="AV2111" s="81"/>
      <c r="AW2111" s="81"/>
      <c r="AX2111" s="81"/>
      <c r="AY2111" s="81"/>
      <c r="AZ2111" s="81"/>
      <c r="BA2111" s="81"/>
      <c r="BB2111" s="81"/>
    </row>
    <row r="2112" spans="1:54" x14ac:dyDescent="0.35">
      <c r="A2112" s="66" t="s">
        <v>1269</v>
      </c>
      <c r="B2112" s="66" t="s">
        <v>1269</v>
      </c>
      <c r="C2112" s="67"/>
      <c r="D2112" s="68"/>
      <c r="E2112" s="69"/>
      <c r="F2112" s="70"/>
      <c r="G2112" s="67"/>
      <c r="H2112" s="71"/>
      <c r="I2112" s="72"/>
      <c r="J2112" s="72"/>
      <c r="K2112" s="36"/>
      <c r="L2112" s="79"/>
      <c r="M2112" s="79"/>
      <c r="N2112" s="74"/>
      <c r="O2112" s="81" t="s">
        <v>179</v>
      </c>
      <c r="P2112" s="83">
        <v>44463.427476851852</v>
      </c>
      <c r="Q2112" s="81" t="s">
        <v>2434</v>
      </c>
      <c r="R2112" s="81"/>
      <c r="S2112" s="81"/>
      <c r="T2112" s="81"/>
      <c r="U2112" s="81"/>
      <c r="V2112" s="84" t="str">
        <f>HYPERLINK("https://pbs.twimg.com/profile_images/378800000705328795/304bfd91ee90011498fd092cc79a423e_normal.jpeg")</f>
        <v>https://pbs.twimg.com/profile_images/378800000705328795/304bfd91ee90011498fd092cc79a423e_normal.jpeg</v>
      </c>
      <c r="W2112" s="83">
        <v>44463.427476851852</v>
      </c>
      <c r="X2112" s="89">
        <v>44463</v>
      </c>
      <c r="Y2112" s="86" t="s">
        <v>4114</v>
      </c>
      <c r="Z2112" s="84" t="str">
        <f>HYPERLINK("https://twitter.com/pos_indonesia/status/1441345558438809609")</f>
        <v>https://twitter.com/pos_indonesia/status/1441345558438809609</v>
      </c>
      <c r="AA2112" s="81"/>
      <c r="AB2112" s="81"/>
      <c r="AC2112" s="86" t="s">
        <v>5795</v>
      </c>
      <c r="AD2112" s="81"/>
      <c r="AE2112" s="81" t="b">
        <v>0</v>
      </c>
      <c r="AF2112" s="81">
        <v>0</v>
      </c>
      <c r="AG2112" s="86" t="s">
        <v>6240</v>
      </c>
      <c r="AH2112" s="81" t="b">
        <v>0</v>
      </c>
      <c r="AI2112" s="81" t="s">
        <v>6479</v>
      </c>
      <c r="AJ2112" s="81"/>
      <c r="AK2112" s="86" t="s">
        <v>6240</v>
      </c>
      <c r="AL2112" s="81" t="b">
        <v>0</v>
      </c>
      <c r="AM2112" s="81">
        <v>0</v>
      </c>
      <c r="AN2112" s="86" t="s">
        <v>6240</v>
      </c>
      <c r="AO2112" s="86" t="s">
        <v>6506</v>
      </c>
      <c r="AP2112" s="81" t="b">
        <v>0</v>
      </c>
      <c r="AQ2112" s="86" t="s">
        <v>5795</v>
      </c>
      <c r="AR2112" s="81" t="s">
        <v>179</v>
      </c>
      <c r="AS2112" s="81">
        <v>0</v>
      </c>
      <c r="AT2112" s="81">
        <v>0</v>
      </c>
      <c r="AU2112" s="81"/>
      <c r="AV2112" s="81"/>
      <c r="AW2112" s="81"/>
      <c r="AX2112" s="81"/>
      <c r="AY2112" s="81"/>
      <c r="AZ2112" s="81"/>
      <c r="BA2112" s="81"/>
      <c r="BB2112" s="81"/>
    </row>
    <row r="2113" spans="1:54" x14ac:dyDescent="0.35">
      <c r="A2113" s="66" t="s">
        <v>1269</v>
      </c>
      <c r="B2113" s="66" t="s">
        <v>1269</v>
      </c>
      <c r="C2113" s="67"/>
      <c r="D2113" s="68"/>
      <c r="E2113" s="69"/>
      <c r="F2113" s="70"/>
      <c r="G2113" s="67"/>
      <c r="H2113" s="71"/>
      <c r="I2113" s="72"/>
      <c r="J2113" s="72"/>
      <c r="K2113" s="36"/>
      <c r="L2113" s="79"/>
      <c r="M2113" s="79"/>
      <c r="N2113" s="74"/>
      <c r="O2113" s="81" t="s">
        <v>179</v>
      </c>
      <c r="P2113" s="83">
        <v>44463.448252314818</v>
      </c>
      <c r="Q2113" s="81" t="s">
        <v>2495</v>
      </c>
      <c r="R2113" s="81"/>
      <c r="S2113" s="81"/>
      <c r="T2113" s="81"/>
      <c r="U2113" s="81"/>
      <c r="V2113" s="84" t="str">
        <f>HYPERLINK("https://pbs.twimg.com/profile_images/378800000705328795/304bfd91ee90011498fd092cc79a423e_normal.jpeg")</f>
        <v>https://pbs.twimg.com/profile_images/378800000705328795/304bfd91ee90011498fd092cc79a423e_normal.jpeg</v>
      </c>
      <c r="W2113" s="83">
        <v>44463.448252314818</v>
      </c>
      <c r="X2113" s="89">
        <v>44463</v>
      </c>
      <c r="Y2113" s="86" t="s">
        <v>4088</v>
      </c>
      <c r="Z2113" s="84" t="str">
        <f>HYPERLINK("https://twitter.com/pos_indonesia/status/1441353087248068621")</f>
        <v>https://twitter.com/pos_indonesia/status/1441353087248068621</v>
      </c>
      <c r="AA2113" s="81"/>
      <c r="AB2113" s="81"/>
      <c r="AC2113" s="86" t="s">
        <v>5796</v>
      </c>
      <c r="AD2113" s="81"/>
      <c r="AE2113" s="81" t="b">
        <v>0</v>
      </c>
      <c r="AF2113" s="81">
        <v>0</v>
      </c>
      <c r="AG2113" s="86" t="s">
        <v>6240</v>
      </c>
      <c r="AH2113" s="81" t="b">
        <v>0</v>
      </c>
      <c r="AI2113" s="81" t="s">
        <v>6479</v>
      </c>
      <c r="AJ2113" s="81"/>
      <c r="AK2113" s="86" t="s">
        <v>6240</v>
      </c>
      <c r="AL2113" s="81" t="b">
        <v>0</v>
      </c>
      <c r="AM2113" s="81">
        <v>0</v>
      </c>
      <c r="AN2113" s="86" t="s">
        <v>6240</v>
      </c>
      <c r="AO2113" s="86" t="s">
        <v>6506</v>
      </c>
      <c r="AP2113" s="81" t="b">
        <v>0</v>
      </c>
      <c r="AQ2113" s="86" t="s">
        <v>5796</v>
      </c>
      <c r="AR2113" s="81" t="s">
        <v>179</v>
      </c>
      <c r="AS2113" s="81">
        <v>0</v>
      </c>
      <c r="AT2113" s="81">
        <v>0</v>
      </c>
      <c r="AU2113" s="81"/>
      <c r="AV2113" s="81"/>
      <c r="AW2113" s="81"/>
      <c r="AX2113" s="81"/>
      <c r="AY2113" s="81"/>
      <c r="AZ2113" s="81"/>
      <c r="BA2113" s="81"/>
      <c r="BB2113" s="81"/>
    </row>
    <row r="2114" spans="1:54" x14ac:dyDescent="0.35">
      <c r="A2114" s="66" t="s">
        <v>1269</v>
      </c>
      <c r="B2114" s="66" t="s">
        <v>1269</v>
      </c>
      <c r="C2114" s="67"/>
      <c r="D2114" s="68"/>
      <c r="E2114" s="69"/>
      <c r="F2114" s="70"/>
      <c r="G2114" s="67"/>
      <c r="H2114" s="71"/>
      <c r="I2114" s="72"/>
      <c r="J2114" s="72"/>
      <c r="K2114" s="36"/>
      <c r="L2114" s="79"/>
      <c r="M2114" s="79"/>
      <c r="N2114" s="74"/>
      <c r="O2114" s="81" t="s">
        <v>179</v>
      </c>
      <c r="P2114" s="83">
        <v>44463.469143518516</v>
      </c>
      <c r="Q2114" s="81" t="s">
        <v>2496</v>
      </c>
      <c r="R2114" s="81"/>
      <c r="S2114" s="81"/>
      <c r="T2114" s="81"/>
      <c r="U2114" s="81"/>
      <c r="V2114" s="84" t="str">
        <f>HYPERLINK("https://pbs.twimg.com/profile_images/378800000705328795/304bfd91ee90011498fd092cc79a423e_normal.jpeg")</f>
        <v>https://pbs.twimg.com/profile_images/378800000705328795/304bfd91ee90011498fd092cc79a423e_normal.jpeg</v>
      </c>
      <c r="W2114" s="83">
        <v>44463.469143518516</v>
      </c>
      <c r="X2114" s="89">
        <v>44463</v>
      </c>
      <c r="Y2114" s="86" t="s">
        <v>4115</v>
      </c>
      <c r="Z2114" s="84" t="str">
        <f>HYPERLINK("https://twitter.com/pos_indonesia/status/1441360658679828486")</f>
        <v>https://twitter.com/pos_indonesia/status/1441360658679828486</v>
      </c>
      <c r="AA2114" s="81"/>
      <c r="AB2114" s="81"/>
      <c r="AC2114" s="86" t="s">
        <v>5797</v>
      </c>
      <c r="AD2114" s="81"/>
      <c r="AE2114" s="81" t="b">
        <v>0</v>
      </c>
      <c r="AF2114" s="81">
        <v>0</v>
      </c>
      <c r="AG2114" s="86" t="s">
        <v>6240</v>
      </c>
      <c r="AH2114" s="81" t="b">
        <v>0</v>
      </c>
      <c r="AI2114" s="81" t="s">
        <v>6478</v>
      </c>
      <c r="AJ2114" s="81"/>
      <c r="AK2114" s="86" t="s">
        <v>6240</v>
      </c>
      <c r="AL2114" s="81" t="b">
        <v>0</v>
      </c>
      <c r="AM2114" s="81">
        <v>0</v>
      </c>
      <c r="AN2114" s="86" t="s">
        <v>6240</v>
      </c>
      <c r="AO2114" s="86" t="s">
        <v>6506</v>
      </c>
      <c r="AP2114" s="81" t="b">
        <v>0</v>
      </c>
      <c r="AQ2114" s="86" t="s">
        <v>5797</v>
      </c>
      <c r="AR2114" s="81" t="s">
        <v>179</v>
      </c>
      <c r="AS2114" s="81">
        <v>0</v>
      </c>
      <c r="AT2114" s="81">
        <v>0</v>
      </c>
      <c r="AU2114" s="81"/>
      <c r="AV2114" s="81"/>
      <c r="AW2114" s="81"/>
      <c r="AX2114" s="81"/>
      <c r="AY2114" s="81"/>
      <c r="AZ2114" s="81"/>
      <c r="BA2114" s="81"/>
      <c r="BB2114" s="81"/>
    </row>
    <row r="2115" spans="1:54" x14ac:dyDescent="0.35">
      <c r="A2115" s="66" t="s">
        <v>1269</v>
      </c>
      <c r="B2115" s="66" t="s">
        <v>1269</v>
      </c>
      <c r="C2115" s="67"/>
      <c r="D2115" s="68"/>
      <c r="E2115" s="69"/>
      <c r="F2115" s="70"/>
      <c r="G2115" s="67"/>
      <c r="H2115" s="71"/>
      <c r="I2115" s="72"/>
      <c r="J2115" s="72"/>
      <c r="K2115" s="36"/>
      <c r="L2115" s="79"/>
      <c r="M2115" s="79"/>
      <c r="N2115" s="74"/>
      <c r="O2115" s="81" t="s">
        <v>179</v>
      </c>
      <c r="P2115" s="83">
        <v>44463.489918981482</v>
      </c>
      <c r="Q2115" s="81" t="s">
        <v>2497</v>
      </c>
      <c r="R2115" s="81"/>
      <c r="S2115" s="81"/>
      <c r="T2115" s="81"/>
      <c r="U2115" s="81"/>
      <c r="V2115" s="84" t="str">
        <f>HYPERLINK("https://pbs.twimg.com/profile_images/378800000705328795/304bfd91ee90011498fd092cc79a423e_normal.jpeg")</f>
        <v>https://pbs.twimg.com/profile_images/378800000705328795/304bfd91ee90011498fd092cc79a423e_normal.jpeg</v>
      </c>
      <c r="W2115" s="83">
        <v>44463.489918981482</v>
      </c>
      <c r="X2115" s="89">
        <v>44463</v>
      </c>
      <c r="Y2115" s="86" t="s">
        <v>4090</v>
      </c>
      <c r="Z2115" s="84" t="str">
        <f>HYPERLINK("https://twitter.com/pos_indonesia/status/1441368187853946881")</f>
        <v>https://twitter.com/pos_indonesia/status/1441368187853946881</v>
      </c>
      <c r="AA2115" s="81"/>
      <c r="AB2115" s="81"/>
      <c r="AC2115" s="86" t="s">
        <v>5798</v>
      </c>
      <c r="AD2115" s="81"/>
      <c r="AE2115" s="81" t="b">
        <v>0</v>
      </c>
      <c r="AF2115" s="81">
        <v>0</v>
      </c>
      <c r="AG2115" s="86" t="s">
        <v>6240</v>
      </c>
      <c r="AH2115" s="81" t="b">
        <v>0</v>
      </c>
      <c r="AI2115" s="81" t="s">
        <v>6479</v>
      </c>
      <c r="AJ2115" s="81"/>
      <c r="AK2115" s="86" t="s">
        <v>6240</v>
      </c>
      <c r="AL2115" s="81" t="b">
        <v>0</v>
      </c>
      <c r="AM2115" s="81">
        <v>0</v>
      </c>
      <c r="AN2115" s="86" t="s">
        <v>6240</v>
      </c>
      <c r="AO2115" s="86" t="s">
        <v>6506</v>
      </c>
      <c r="AP2115" s="81" t="b">
        <v>0</v>
      </c>
      <c r="AQ2115" s="86" t="s">
        <v>5798</v>
      </c>
      <c r="AR2115" s="81" t="s">
        <v>179</v>
      </c>
      <c r="AS2115" s="81">
        <v>0</v>
      </c>
      <c r="AT2115" s="81">
        <v>0</v>
      </c>
      <c r="AU2115" s="81"/>
      <c r="AV2115" s="81"/>
      <c r="AW2115" s="81"/>
      <c r="AX2115" s="81"/>
      <c r="AY2115" s="81"/>
      <c r="AZ2115" s="81"/>
      <c r="BA2115" s="81"/>
      <c r="BB2115" s="81"/>
    </row>
    <row r="2116" spans="1:54" x14ac:dyDescent="0.35">
      <c r="A2116" s="66" t="s">
        <v>1269</v>
      </c>
      <c r="B2116" s="66" t="s">
        <v>1269</v>
      </c>
      <c r="C2116" s="67"/>
      <c r="D2116" s="68"/>
      <c r="E2116" s="69"/>
      <c r="F2116" s="70"/>
      <c r="G2116" s="67"/>
      <c r="H2116" s="71"/>
      <c r="I2116" s="72"/>
      <c r="J2116" s="72"/>
      <c r="K2116" s="36"/>
      <c r="L2116" s="79"/>
      <c r="M2116" s="79"/>
      <c r="N2116" s="74"/>
      <c r="O2116" s="81" t="s">
        <v>179</v>
      </c>
      <c r="P2116" s="83">
        <v>44463.510821759257</v>
      </c>
      <c r="Q2116" s="81" t="s">
        <v>2498</v>
      </c>
      <c r="R2116" s="81"/>
      <c r="S2116" s="81"/>
      <c r="T2116" s="81"/>
      <c r="U2116" s="81"/>
      <c r="V2116" s="84" t="str">
        <f>HYPERLINK("https://pbs.twimg.com/profile_images/378800000705328795/304bfd91ee90011498fd092cc79a423e_normal.jpeg")</f>
        <v>https://pbs.twimg.com/profile_images/378800000705328795/304bfd91ee90011498fd092cc79a423e_normal.jpeg</v>
      </c>
      <c r="W2116" s="83">
        <v>44463.510821759257</v>
      </c>
      <c r="X2116" s="89">
        <v>44463</v>
      </c>
      <c r="Y2116" s="86" t="s">
        <v>4148</v>
      </c>
      <c r="Z2116" s="84" t="str">
        <f>HYPERLINK("https://twitter.com/pos_indonesia/status/1441375759268921359")</f>
        <v>https://twitter.com/pos_indonesia/status/1441375759268921359</v>
      </c>
      <c r="AA2116" s="81"/>
      <c r="AB2116" s="81"/>
      <c r="AC2116" s="86" t="s">
        <v>5799</v>
      </c>
      <c r="AD2116" s="81"/>
      <c r="AE2116" s="81" t="b">
        <v>0</v>
      </c>
      <c r="AF2116" s="81">
        <v>0</v>
      </c>
      <c r="AG2116" s="86" t="s">
        <v>6240</v>
      </c>
      <c r="AH2116" s="81" t="b">
        <v>0</v>
      </c>
      <c r="AI2116" s="81" t="s">
        <v>6479</v>
      </c>
      <c r="AJ2116" s="81"/>
      <c r="AK2116" s="86" t="s">
        <v>6240</v>
      </c>
      <c r="AL2116" s="81" t="b">
        <v>0</v>
      </c>
      <c r="AM2116" s="81">
        <v>0</v>
      </c>
      <c r="AN2116" s="86" t="s">
        <v>6240</v>
      </c>
      <c r="AO2116" s="86" t="s">
        <v>6506</v>
      </c>
      <c r="AP2116" s="81" t="b">
        <v>0</v>
      </c>
      <c r="AQ2116" s="86" t="s">
        <v>5799</v>
      </c>
      <c r="AR2116" s="81" t="s">
        <v>179</v>
      </c>
      <c r="AS2116" s="81">
        <v>0</v>
      </c>
      <c r="AT2116" s="81">
        <v>0</v>
      </c>
      <c r="AU2116" s="81"/>
      <c r="AV2116" s="81"/>
      <c r="AW2116" s="81"/>
      <c r="AX2116" s="81"/>
      <c r="AY2116" s="81"/>
      <c r="AZ2116" s="81"/>
      <c r="BA2116" s="81"/>
      <c r="BB2116" s="81"/>
    </row>
    <row r="2117" spans="1:54" x14ac:dyDescent="0.35">
      <c r="A2117" s="66" t="s">
        <v>1269</v>
      </c>
      <c r="B2117" s="66" t="s">
        <v>1269</v>
      </c>
      <c r="C2117" s="67"/>
      <c r="D2117" s="68"/>
      <c r="E2117" s="69"/>
      <c r="F2117" s="70"/>
      <c r="G2117" s="67"/>
      <c r="H2117" s="71"/>
      <c r="I2117" s="72"/>
      <c r="J2117" s="72"/>
      <c r="K2117" s="36"/>
      <c r="L2117" s="79"/>
      <c r="M2117" s="79"/>
      <c r="N2117" s="74"/>
      <c r="O2117" s="81" t="s">
        <v>179</v>
      </c>
      <c r="P2117" s="83">
        <v>44463.531585648147</v>
      </c>
      <c r="Q2117" s="81" t="s">
        <v>2499</v>
      </c>
      <c r="R2117" s="81"/>
      <c r="S2117" s="81"/>
      <c r="T2117" s="81"/>
      <c r="U2117" s="81"/>
      <c r="V2117" s="84" t="str">
        <f>HYPERLINK("https://pbs.twimg.com/profile_images/378800000705328795/304bfd91ee90011498fd092cc79a423e_normal.jpeg")</f>
        <v>https://pbs.twimg.com/profile_images/378800000705328795/304bfd91ee90011498fd092cc79a423e_normal.jpeg</v>
      </c>
      <c r="W2117" s="83">
        <v>44463.531585648147</v>
      </c>
      <c r="X2117" s="89">
        <v>44463</v>
      </c>
      <c r="Y2117" s="86" t="s">
        <v>4092</v>
      </c>
      <c r="Z2117" s="84" t="str">
        <f>HYPERLINK("https://twitter.com/pos_indonesia/status/1441383285267918859")</f>
        <v>https://twitter.com/pos_indonesia/status/1441383285267918859</v>
      </c>
      <c r="AA2117" s="81"/>
      <c r="AB2117" s="81"/>
      <c r="AC2117" s="86" t="s">
        <v>5800</v>
      </c>
      <c r="AD2117" s="81"/>
      <c r="AE2117" s="81" t="b">
        <v>0</v>
      </c>
      <c r="AF2117" s="81">
        <v>0</v>
      </c>
      <c r="AG2117" s="86" t="s">
        <v>6240</v>
      </c>
      <c r="AH2117" s="81" t="b">
        <v>0</v>
      </c>
      <c r="AI2117" s="81" t="s">
        <v>6479</v>
      </c>
      <c r="AJ2117" s="81"/>
      <c r="AK2117" s="86" t="s">
        <v>6240</v>
      </c>
      <c r="AL2117" s="81" t="b">
        <v>0</v>
      </c>
      <c r="AM2117" s="81">
        <v>0</v>
      </c>
      <c r="AN2117" s="86" t="s">
        <v>6240</v>
      </c>
      <c r="AO2117" s="86" t="s">
        <v>6506</v>
      </c>
      <c r="AP2117" s="81" t="b">
        <v>0</v>
      </c>
      <c r="AQ2117" s="86" t="s">
        <v>5800</v>
      </c>
      <c r="AR2117" s="81" t="s">
        <v>179</v>
      </c>
      <c r="AS2117" s="81">
        <v>0</v>
      </c>
      <c r="AT2117" s="81">
        <v>0</v>
      </c>
      <c r="AU2117" s="81"/>
      <c r="AV2117" s="81"/>
      <c r="AW2117" s="81"/>
      <c r="AX2117" s="81"/>
      <c r="AY2117" s="81"/>
      <c r="AZ2117" s="81"/>
      <c r="BA2117" s="81"/>
      <c r="BB2117" s="81"/>
    </row>
    <row r="2118" spans="1:54" x14ac:dyDescent="0.35">
      <c r="A2118" s="66" t="s">
        <v>1269</v>
      </c>
      <c r="B2118" s="66" t="s">
        <v>1269</v>
      </c>
      <c r="C2118" s="67"/>
      <c r="D2118" s="68"/>
      <c r="E2118" s="69"/>
      <c r="F2118" s="70"/>
      <c r="G2118" s="67"/>
      <c r="H2118" s="71"/>
      <c r="I2118" s="72"/>
      <c r="J2118" s="72"/>
      <c r="K2118" s="36"/>
      <c r="L2118" s="79"/>
      <c r="M2118" s="79"/>
      <c r="N2118" s="74"/>
      <c r="O2118" s="81" t="s">
        <v>179</v>
      </c>
      <c r="P2118" s="83">
        <v>44463.552465277775</v>
      </c>
      <c r="Q2118" s="81" t="s">
        <v>2500</v>
      </c>
      <c r="R2118" s="81"/>
      <c r="S2118" s="81"/>
      <c r="T2118" s="81"/>
      <c r="U2118" s="81"/>
      <c r="V2118" s="84" t="str">
        <f>HYPERLINK("https://pbs.twimg.com/profile_images/378800000705328795/304bfd91ee90011498fd092cc79a423e_normal.jpeg")</f>
        <v>https://pbs.twimg.com/profile_images/378800000705328795/304bfd91ee90011498fd092cc79a423e_normal.jpeg</v>
      </c>
      <c r="W2118" s="83">
        <v>44463.552465277775</v>
      </c>
      <c r="X2118" s="89">
        <v>44463</v>
      </c>
      <c r="Y2118" s="86" t="s">
        <v>4140</v>
      </c>
      <c r="Z2118" s="84" t="str">
        <f>HYPERLINK("https://twitter.com/pos_indonesia/status/1441390849930104837")</f>
        <v>https://twitter.com/pos_indonesia/status/1441390849930104837</v>
      </c>
      <c r="AA2118" s="81"/>
      <c r="AB2118" s="81"/>
      <c r="AC2118" s="86" t="s">
        <v>5801</v>
      </c>
      <c r="AD2118" s="81"/>
      <c r="AE2118" s="81" t="b">
        <v>0</v>
      </c>
      <c r="AF2118" s="81">
        <v>0</v>
      </c>
      <c r="AG2118" s="86" t="s">
        <v>6240</v>
      </c>
      <c r="AH2118" s="81" t="b">
        <v>0</v>
      </c>
      <c r="AI2118" s="81" t="s">
        <v>6479</v>
      </c>
      <c r="AJ2118" s="81"/>
      <c r="AK2118" s="86" t="s">
        <v>6240</v>
      </c>
      <c r="AL2118" s="81" t="b">
        <v>0</v>
      </c>
      <c r="AM2118" s="81">
        <v>0</v>
      </c>
      <c r="AN2118" s="86" t="s">
        <v>6240</v>
      </c>
      <c r="AO2118" s="86" t="s">
        <v>6506</v>
      </c>
      <c r="AP2118" s="81" t="b">
        <v>0</v>
      </c>
      <c r="AQ2118" s="86" t="s">
        <v>5801</v>
      </c>
      <c r="AR2118" s="81" t="s">
        <v>179</v>
      </c>
      <c r="AS2118" s="81">
        <v>0</v>
      </c>
      <c r="AT2118" s="81">
        <v>0</v>
      </c>
      <c r="AU2118" s="81"/>
      <c r="AV2118" s="81"/>
      <c r="AW2118" s="81"/>
      <c r="AX2118" s="81"/>
      <c r="AY2118" s="81"/>
      <c r="AZ2118" s="81"/>
      <c r="BA2118" s="81"/>
      <c r="BB2118" s="81"/>
    </row>
    <row r="2119" spans="1:54" x14ac:dyDescent="0.35">
      <c r="A2119" s="66" t="s">
        <v>1269</v>
      </c>
      <c r="B2119" s="66" t="s">
        <v>1269</v>
      </c>
      <c r="C2119" s="67"/>
      <c r="D2119" s="68"/>
      <c r="E2119" s="69"/>
      <c r="F2119" s="70"/>
      <c r="G2119" s="67"/>
      <c r="H2119" s="71"/>
      <c r="I2119" s="72"/>
      <c r="J2119" s="72"/>
      <c r="K2119" s="36"/>
      <c r="L2119" s="79"/>
      <c r="M2119" s="79"/>
      <c r="N2119" s="74"/>
      <c r="O2119" s="81" t="s">
        <v>179</v>
      </c>
      <c r="P2119" s="83">
        <v>44463.573252314818</v>
      </c>
      <c r="Q2119" s="81" t="s">
        <v>2344</v>
      </c>
      <c r="R2119" s="81"/>
      <c r="S2119" s="81"/>
      <c r="T2119" s="81"/>
      <c r="U2119" s="81"/>
      <c r="V2119" s="84" t="str">
        <f>HYPERLINK("https://pbs.twimg.com/profile_images/378800000705328795/304bfd91ee90011498fd092cc79a423e_normal.jpeg")</f>
        <v>https://pbs.twimg.com/profile_images/378800000705328795/304bfd91ee90011498fd092cc79a423e_normal.jpeg</v>
      </c>
      <c r="W2119" s="83">
        <v>44463.573252314818</v>
      </c>
      <c r="X2119" s="89">
        <v>44463</v>
      </c>
      <c r="Y2119" s="86" t="s">
        <v>4119</v>
      </c>
      <c r="Z2119" s="84" t="str">
        <f>HYPERLINK("https://twitter.com/pos_indonesia/status/1441398386633019393")</f>
        <v>https://twitter.com/pos_indonesia/status/1441398386633019393</v>
      </c>
      <c r="AA2119" s="81"/>
      <c r="AB2119" s="81"/>
      <c r="AC2119" s="86" t="s">
        <v>5802</v>
      </c>
      <c r="AD2119" s="81"/>
      <c r="AE2119" s="81" t="b">
        <v>0</v>
      </c>
      <c r="AF2119" s="81">
        <v>0</v>
      </c>
      <c r="AG2119" s="86" t="s">
        <v>6240</v>
      </c>
      <c r="AH2119" s="81" t="b">
        <v>0</v>
      </c>
      <c r="AI2119" s="81" t="s">
        <v>6479</v>
      </c>
      <c r="AJ2119" s="81"/>
      <c r="AK2119" s="86" t="s">
        <v>6240</v>
      </c>
      <c r="AL2119" s="81" t="b">
        <v>0</v>
      </c>
      <c r="AM2119" s="81">
        <v>0</v>
      </c>
      <c r="AN2119" s="86" t="s">
        <v>6240</v>
      </c>
      <c r="AO2119" s="86" t="s">
        <v>6506</v>
      </c>
      <c r="AP2119" s="81" t="b">
        <v>0</v>
      </c>
      <c r="AQ2119" s="86" t="s">
        <v>5802</v>
      </c>
      <c r="AR2119" s="81" t="s">
        <v>179</v>
      </c>
      <c r="AS2119" s="81">
        <v>0</v>
      </c>
      <c r="AT2119" s="81">
        <v>0</v>
      </c>
      <c r="AU2119" s="81"/>
      <c r="AV2119" s="81"/>
      <c r="AW2119" s="81"/>
      <c r="AX2119" s="81"/>
      <c r="AY2119" s="81"/>
      <c r="AZ2119" s="81"/>
      <c r="BA2119" s="81"/>
      <c r="BB2119" s="81"/>
    </row>
    <row r="2120" spans="1:54" x14ac:dyDescent="0.35">
      <c r="A2120" s="66" t="s">
        <v>1269</v>
      </c>
      <c r="B2120" s="66" t="s">
        <v>1269</v>
      </c>
      <c r="C2120" s="67"/>
      <c r="D2120" s="68"/>
      <c r="E2120" s="69"/>
      <c r="F2120" s="70"/>
      <c r="G2120" s="67"/>
      <c r="H2120" s="71"/>
      <c r="I2120" s="72"/>
      <c r="J2120" s="72"/>
      <c r="K2120" s="36"/>
      <c r="L2120" s="79"/>
      <c r="M2120" s="79"/>
      <c r="N2120" s="74"/>
      <c r="O2120" s="81" t="s">
        <v>179</v>
      </c>
      <c r="P2120" s="83">
        <v>44463.594166666669</v>
      </c>
      <c r="Q2120" s="81" t="s">
        <v>2501</v>
      </c>
      <c r="R2120" s="81"/>
      <c r="S2120" s="81"/>
      <c r="T2120" s="81"/>
      <c r="U2120" s="81"/>
      <c r="V2120" s="84" t="str">
        <f>HYPERLINK("https://pbs.twimg.com/profile_images/378800000705328795/304bfd91ee90011498fd092cc79a423e_normal.jpeg")</f>
        <v>https://pbs.twimg.com/profile_images/378800000705328795/304bfd91ee90011498fd092cc79a423e_normal.jpeg</v>
      </c>
      <c r="W2120" s="83">
        <v>44463.594166666669</v>
      </c>
      <c r="X2120" s="89">
        <v>44463</v>
      </c>
      <c r="Y2120" s="86" t="s">
        <v>4158</v>
      </c>
      <c r="Z2120" s="84" t="str">
        <f>HYPERLINK("https://twitter.com/pos_indonesia/status/1441405964515565572")</f>
        <v>https://twitter.com/pos_indonesia/status/1441405964515565572</v>
      </c>
      <c r="AA2120" s="81"/>
      <c r="AB2120" s="81"/>
      <c r="AC2120" s="86" t="s">
        <v>5803</v>
      </c>
      <c r="AD2120" s="81"/>
      <c r="AE2120" s="81" t="b">
        <v>0</v>
      </c>
      <c r="AF2120" s="81">
        <v>0</v>
      </c>
      <c r="AG2120" s="86" t="s">
        <v>6240</v>
      </c>
      <c r="AH2120" s="81" t="b">
        <v>0</v>
      </c>
      <c r="AI2120" s="81" t="s">
        <v>6479</v>
      </c>
      <c r="AJ2120" s="81"/>
      <c r="AK2120" s="86" t="s">
        <v>6240</v>
      </c>
      <c r="AL2120" s="81" t="b">
        <v>0</v>
      </c>
      <c r="AM2120" s="81">
        <v>0</v>
      </c>
      <c r="AN2120" s="86" t="s">
        <v>6240</v>
      </c>
      <c r="AO2120" s="86" t="s">
        <v>6506</v>
      </c>
      <c r="AP2120" s="81" t="b">
        <v>0</v>
      </c>
      <c r="AQ2120" s="86" t="s">
        <v>5803</v>
      </c>
      <c r="AR2120" s="81" t="s">
        <v>179</v>
      </c>
      <c r="AS2120" s="81">
        <v>0</v>
      </c>
      <c r="AT2120" s="81">
        <v>0</v>
      </c>
      <c r="AU2120" s="81"/>
      <c r="AV2120" s="81"/>
      <c r="AW2120" s="81"/>
      <c r="AX2120" s="81"/>
      <c r="AY2120" s="81"/>
      <c r="AZ2120" s="81"/>
      <c r="BA2120" s="81"/>
      <c r="BB2120" s="81"/>
    </row>
    <row r="2121" spans="1:54" x14ac:dyDescent="0.35">
      <c r="A2121" s="66" t="s">
        <v>1269</v>
      </c>
      <c r="B2121" s="66" t="s">
        <v>1269</v>
      </c>
      <c r="C2121" s="67"/>
      <c r="D2121" s="68"/>
      <c r="E2121" s="69"/>
      <c r="F2121" s="70"/>
      <c r="G2121" s="67"/>
      <c r="H2121" s="71"/>
      <c r="I2121" s="72"/>
      <c r="J2121" s="72"/>
      <c r="K2121" s="36"/>
      <c r="L2121" s="79"/>
      <c r="M2121" s="79"/>
      <c r="N2121" s="74"/>
      <c r="O2121" s="81" t="s">
        <v>179</v>
      </c>
      <c r="P2121" s="83">
        <v>44463.614930555559</v>
      </c>
      <c r="Q2121" s="81" t="s">
        <v>2502</v>
      </c>
      <c r="R2121" s="81"/>
      <c r="S2121" s="81"/>
      <c r="T2121" s="81"/>
      <c r="U2121" s="81"/>
      <c r="V2121" s="84" t="str">
        <f>HYPERLINK("https://pbs.twimg.com/profile_images/378800000705328795/304bfd91ee90011498fd092cc79a423e_normal.jpeg")</f>
        <v>https://pbs.twimg.com/profile_images/378800000705328795/304bfd91ee90011498fd092cc79a423e_normal.jpeg</v>
      </c>
      <c r="W2121" s="83">
        <v>44463.614930555559</v>
      </c>
      <c r="X2121" s="89">
        <v>44463</v>
      </c>
      <c r="Y2121" s="86" t="s">
        <v>4095</v>
      </c>
      <c r="Z2121" s="84" t="str">
        <f>HYPERLINK("https://twitter.com/pos_indonesia/status/1441413489839378443")</f>
        <v>https://twitter.com/pos_indonesia/status/1441413489839378443</v>
      </c>
      <c r="AA2121" s="81"/>
      <c r="AB2121" s="81"/>
      <c r="AC2121" s="86" t="s">
        <v>5804</v>
      </c>
      <c r="AD2121" s="81"/>
      <c r="AE2121" s="81" t="b">
        <v>0</v>
      </c>
      <c r="AF2121" s="81">
        <v>0</v>
      </c>
      <c r="AG2121" s="86" t="s">
        <v>6240</v>
      </c>
      <c r="AH2121" s="81" t="b">
        <v>0</v>
      </c>
      <c r="AI2121" s="81" t="s">
        <v>6479</v>
      </c>
      <c r="AJ2121" s="81"/>
      <c r="AK2121" s="86" t="s">
        <v>6240</v>
      </c>
      <c r="AL2121" s="81" t="b">
        <v>0</v>
      </c>
      <c r="AM2121" s="81">
        <v>0</v>
      </c>
      <c r="AN2121" s="86" t="s">
        <v>6240</v>
      </c>
      <c r="AO2121" s="86" t="s">
        <v>6506</v>
      </c>
      <c r="AP2121" s="81" t="b">
        <v>0</v>
      </c>
      <c r="AQ2121" s="86" t="s">
        <v>5804</v>
      </c>
      <c r="AR2121" s="81" t="s">
        <v>179</v>
      </c>
      <c r="AS2121" s="81">
        <v>0</v>
      </c>
      <c r="AT2121" s="81">
        <v>0</v>
      </c>
      <c r="AU2121" s="81"/>
      <c r="AV2121" s="81"/>
      <c r="AW2121" s="81"/>
      <c r="AX2121" s="81"/>
      <c r="AY2121" s="81"/>
      <c r="AZ2121" s="81"/>
      <c r="BA2121" s="81"/>
      <c r="BB2121" s="81"/>
    </row>
    <row r="2122" spans="1:54" x14ac:dyDescent="0.35">
      <c r="A2122" s="66" t="s">
        <v>1269</v>
      </c>
      <c r="B2122" s="66" t="s">
        <v>1269</v>
      </c>
      <c r="C2122" s="67"/>
      <c r="D2122" s="68"/>
      <c r="E2122" s="69"/>
      <c r="F2122" s="70"/>
      <c r="G2122" s="67"/>
      <c r="H2122" s="71"/>
      <c r="I2122" s="72"/>
      <c r="J2122" s="72"/>
      <c r="K2122" s="36"/>
      <c r="L2122" s="79"/>
      <c r="M2122" s="79"/>
      <c r="N2122" s="74"/>
      <c r="O2122" s="81" t="s">
        <v>179</v>
      </c>
      <c r="P2122" s="83">
        <v>44463.635763888888</v>
      </c>
      <c r="Q2122" s="81" t="s">
        <v>2409</v>
      </c>
      <c r="R2122" s="81"/>
      <c r="S2122" s="81"/>
      <c r="T2122" s="81"/>
      <c r="U2122" s="81"/>
      <c r="V2122" s="84" t="str">
        <f>HYPERLINK("https://pbs.twimg.com/profile_images/378800000705328795/304bfd91ee90011498fd092cc79a423e_normal.jpeg")</f>
        <v>https://pbs.twimg.com/profile_images/378800000705328795/304bfd91ee90011498fd092cc79a423e_normal.jpeg</v>
      </c>
      <c r="W2122" s="83">
        <v>44463.635763888888</v>
      </c>
      <c r="X2122" s="89">
        <v>44463</v>
      </c>
      <c r="Y2122" s="86" t="s">
        <v>4096</v>
      </c>
      <c r="Z2122" s="84" t="str">
        <f>HYPERLINK("https://twitter.com/pos_indonesia/status/1441421040140255232")</f>
        <v>https://twitter.com/pos_indonesia/status/1441421040140255232</v>
      </c>
      <c r="AA2122" s="81"/>
      <c r="AB2122" s="81"/>
      <c r="AC2122" s="86" t="s">
        <v>5805</v>
      </c>
      <c r="AD2122" s="81"/>
      <c r="AE2122" s="81" t="b">
        <v>0</v>
      </c>
      <c r="AF2122" s="81">
        <v>0</v>
      </c>
      <c r="AG2122" s="86" t="s">
        <v>6240</v>
      </c>
      <c r="AH2122" s="81" t="b">
        <v>0</v>
      </c>
      <c r="AI2122" s="81" t="s">
        <v>6479</v>
      </c>
      <c r="AJ2122" s="81"/>
      <c r="AK2122" s="86" t="s">
        <v>6240</v>
      </c>
      <c r="AL2122" s="81" t="b">
        <v>0</v>
      </c>
      <c r="AM2122" s="81">
        <v>0</v>
      </c>
      <c r="AN2122" s="86" t="s">
        <v>6240</v>
      </c>
      <c r="AO2122" s="86" t="s">
        <v>6506</v>
      </c>
      <c r="AP2122" s="81" t="b">
        <v>0</v>
      </c>
      <c r="AQ2122" s="86" t="s">
        <v>5805</v>
      </c>
      <c r="AR2122" s="81" t="s">
        <v>179</v>
      </c>
      <c r="AS2122" s="81">
        <v>0</v>
      </c>
      <c r="AT2122" s="81">
        <v>0</v>
      </c>
      <c r="AU2122" s="81"/>
      <c r="AV2122" s="81"/>
      <c r="AW2122" s="81"/>
      <c r="AX2122" s="81"/>
      <c r="AY2122" s="81"/>
      <c r="AZ2122" s="81"/>
      <c r="BA2122" s="81"/>
      <c r="BB2122" s="81"/>
    </row>
    <row r="2123" spans="1:54" x14ac:dyDescent="0.35">
      <c r="A2123" s="66" t="s">
        <v>1269</v>
      </c>
      <c r="B2123" s="66" t="s">
        <v>1269</v>
      </c>
      <c r="C2123" s="67"/>
      <c r="D2123" s="68"/>
      <c r="E2123" s="69"/>
      <c r="F2123" s="70"/>
      <c r="G2123" s="67"/>
      <c r="H2123" s="71"/>
      <c r="I2123" s="72"/>
      <c r="J2123" s="72"/>
      <c r="K2123" s="36"/>
      <c r="L2123" s="79"/>
      <c r="M2123" s="79"/>
      <c r="N2123" s="74"/>
      <c r="O2123" s="81" t="s">
        <v>179</v>
      </c>
      <c r="P2123" s="83">
        <v>44463.656585648147</v>
      </c>
      <c r="Q2123" s="81" t="s">
        <v>2503</v>
      </c>
      <c r="R2123" s="81"/>
      <c r="S2123" s="81"/>
      <c r="T2123" s="81"/>
      <c r="U2123" s="81"/>
      <c r="V2123" s="84" t="str">
        <f>HYPERLINK("https://pbs.twimg.com/profile_images/378800000705328795/304bfd91ee90011498fd092cc79a423e_normal.jpeg")</f>
        <v>https://pbs.twimg.com/profile_images/378800000705328795/304bfd91ee90011498fd092cc79a423e_normal.jpeg</v>
      </c>
      <c r="W2123" s="83">
        <v>44463.656585648147</v>
      </c>
      <c r="X2123" s="89">
        <v>44463</v>
      </c>
      <c r="Y2123" s="86" t="s">
        <v>4122</v>
      </c>
      <c r="Z2123" s="84" t="str">
        <f>HYPERLINK("https://twitter.com/pos_indonesia/status/1441428582857728010")</f>
        <v>https://twitter.com/pos_indonesia/status/1441428582857728010</v>
      </c>
      <c r="AA2123" s="81"/>
      <c r="AB2123" s="81"/>
      <c r="AC2123" s="86" t="s">
        <v>5806</v>
      </c>
      <c r="AD2123" s="81"/>
      <c r="AE2123" s="81" t="b">
        <v>0</v>
      </c>
      <c r="AF2123" s="81">
        <v>0</v>
      </c>
      <c r="AG2123" s="86" t="s">
        <v>6240</v>
      </c>
      <c r="AH2123" s="81" t="b">
        <v>0</v>
      </c>
      <c r="AI2123" s="81" t="s">
        <v>6479</v>
      </c>
      <c r="AJ2123" s="81"/>
      <c r="AK2123" s="86" t="s">
        <v>6240</v>
      </c>
      <c r="AL2123" s="81" t="b">
        <v>0</v>
      </c>
      <c r="AM2123" s="81">
        <v>0</v>
      </c>
      <c r="AN2123" s="86" t="s">
        <v>6240</v>
      </c>
      <c r="AO2123" s="86" t="s">
        <v>6506</v>
      </c>
      <c r="AP2123" s="81" t="b">
        <v>0</v>
      </c>
      <c r="AQ2123" s="86" t="s">
        <v>5806</v>
      </c>
      <c r="AR2123" s="81" t="s">
        <v>179</v>
      </c>
      <c r="AS2123" s="81">
        <v>0</v>
      </c>
      <c r="AT2123" s="81">
        <v>0</v>
      </c>
      <c r="AU2123" s="81"/>
      <c r="AV2123" s="81"/>
      <c r="AW2123" s="81"/>
      <c r="AX2123" s="81"/>
      <c r="AY2123" s="81"/>
      <c r="AZ2123" s="81"/>
      <c r="BA2123" s="81"/>
      <c r="BB2123" s="81"/>
    </row>
    <row r="2124" spans="1:54" x14ac:dyDescent="0.35">
      <c r="A2124" s="66" t="s">
        <v>1269</v>
      </c>
      <c r="B2124" s="66" t="s">
        <v>1269</v>
      </c>
      <c r="C2124" s="67"/>
      <c r="D2124" s="68"/>
      <c r="E2124" s="69"/>
      <c r="F2124" s="70"/>
      <c r="G2124" s="67"/>
      <c r="H2124" s="71"/>
      <c r="I2124" s="72"/>
      <c r="J2124" s="72"/>
      <c r="K2124" s="36"/>
      <c r="L2124" s="79"/>
      <c r="M2124" s="79"/>
      <c r="N2124" s="74"/>
      <c r="O2124" s="81" t="s">
        <v>179</v>
      </c>
      <c r="P2124" s="83">
        <v>44463.698275462964</v>
      </c>
      <c r="Q2124" s="81" t="s">
        <v>2504</v>
      </c>
      <c r="R2124" s="81"/>
      <c r="S2124" s="81"/>
      <c r="T2124" s="81"/>
      <c r="U2124" s="81"/>
      <c r="V2124" s="84" t="str">
        <f>HYPERLINK("https://pbs.twimg.com/profile_images/378800000705328795/304bfd91ee90011498fd092cc79a423e_normal.jpeg")</f>
        <v>https://pbs.twimg.com/profile_images/378800000705328795/304bfd91ee90011498fd092cc79a423e_normal.jpeg</v>
      </c>
      <c r="W2124" s="83">
        <v>44463.698275462964</v>
      </c>
      <c r="X2124" s="89">
        <v>44463</v>
      </c>
      <c r="Y2124" s="86" t="s">
        <v>4159</v>
      </c>
      <c r="Z2124" s="84" t="str">
        <f>HYPERLINK("https://twitter.com/pos_indonesia/status/1441443693488062468")</f>
        <v>https://twitter.com/pos_indonesia/status/1441443693488062468</v>
      </c>
      <c r="AA2124" s="81"/>
      <c r="AB2124" s="81"/>
      <c r="AC2124" s="86" t="s">
        <v>5807</v>
      </c>
      <c r="AD2124" s="81"/>
      <c r="AE2124" s="81" t="b">
        <v>0</v>
      </c>
      <c r="AF2124" s="81">
        <v>0</v>
      </c>
      <c r="AG2124" s="86" t="s">
        <v>6240</v>
      </c>
      <c r="AH2124" s="81" t="b">
        <v>0</v>
      </c>
      <c r="AI2124" s="81" t="s">
        <v>6479</v>
      </c>
      <c r="AJ2124" s="81"/>
      <c r="AK2124" s="86" t="s">
        <v>6240</v>
      </c>
      <c r="AL2124" s="81" t="b">
        <v>0</v>
      </c>
      <c r="AM2124" s="81">
        <v>0</v>
      </c>
      <c r="AN2124" s="86" t="s">
        <v>6240</v>
      </c>
      <c r="AO2124" s="86" t="s">
        <v>6506</v>
      </c>
      <c r="AP2124" s="81" t="b">
        <v>0</v>
      </c>
      <c r="AQ2124" s="86" t="s">
        <v>5807</v>
      </c>
      <c r="AR2124" s="81" t="s">
        <v>179</v>
      </c>
      <c r="AS2124" s="81">
        <v>0</v>
      </c>
      <c r="AT2124" s="81">
        <v>0</v>
      </c>
      <c r="AU2124" s="81"/>
      <c r="AV2124" s="81"/>
      <c r="AW2124" s="81"/>
      <c r="AX2124" s="81"/>
      <c r="AY2124" s="81"/>
      <c r="AZ2124" s="81"/>
      <c r="BA2124" s="81"/>
      <c r="BB2124" s="81"/>
    </row>
    <row r="2125" spans="1:54" x14ac:dyDescent="0.35">
      <c r="A2125" s="66" t="s">
        <v>1269</v>
      </c>
      <c r="B2125" s="66" t="s">
        <v>1269</v>
      </c>
      <c r="C2125" s="67"/>
      <c r="D2125" s="68"/>
      <c r="E2125" s="69"/>
      <c r="F2125" s="70"/>
      <c r="G2125" s="67"/>
      <c r="H2125" s="71"/>
      <c r="I2125" s="72"/>
      <c r="J2125" s="72"/>
      <c r="K2125" s="36"/>
      <c r="L2125" s="79"/>
      <c r="M2125" s="79"/>
      <c r="N2125" s="74"/>
      <c r="O2125" s="81" t="s">
        <v>179</v>
      </c>
      <c r="P2125" s="83">
        <v>44463.719085648147</v>
      </c>
      <c r="Q2125" s="81" t="s">
        <v>2295</v>
      </c>
      <c r="R2125" s="81"/>
      <c r="S2125" s="81"/>
      <c r="T2125" s="81"/>
      <c r="U2125" s="81"/>
      <c r="V2125" s="84" t="str">
        <f>HYPERLINK("https://pbs.twimg.com/profile_images/378800000705328795/304bfd91ee90011498fd092cc79a423e_normal.jpeg")</f>
        <v>https://pbs.twimg.com/profile_images/378800000705328795/304bfd91ee90011498fd092cc79a423e_normal.jpeg</v>
      </c>
      <c r="W2125" s="83">
        <v>44463.719085648147</v>
      </c>
      <c r="X2125" s="89">
        <v>44463</v>
      </c>
      <c r="Y2125" s="86" t="s">
        <v>4125</v>
      </c>
      <c r="Z2125" s="84" t="str">
        <f>HYPERLINK("https://twitter.com/pos_indonesia/status/1441451232934043648")</f>
        <v>https://twitter.com/pos_indonesia/status/1441451232934043648</v>
      </c>
      <c r="AA2125" s="81"/>
      <c r="AB2125" s="81"/>
      <c r="AC2125" s="86" t="s">
        <v>5808</v>
      </c>
      <c r="AD2125" s="81"/>
      <c r="AE2125" s="81" t="b">
        <v>0</v>
      </c>
      <c r="AF2125" s="81">
        <v>0</v>
      </c>
      <c r="AG2125" s="86" t="s">
        <v>6240</v>
      </c>
      <c r="AH2125" s="81" t="b">
        <v>0</v>
      </c>
      <c r="AI2125" s="81" t="s">
        <v>6479</v>
      </c>
      <c r="AJ2125" s="81"/>
      <c r="AK2125" s="86" t="s">
        <v>6240</v>
      </c>
      <c r="AL2125" s="81" t="b">
        <v>0</v>
      </c>
      <c r="AM2125" s="81">
        <v>0</v>
      </c>
      <c r="AN2125" s="86" t="s">
        <v>6240</v>
      </c>
      <c r="AO2125" s="86" t="s">
        <v>6506</v>
      </c>
      <c r="AP2125" s="81" t="b">
        <v>0</v>
      </c>
      <c r="AQ2125" s="86" t="s">
        <v>5808</v>
      </c>
      <c r="AR2125" s="81" t="s">
        <v>179</v>
      </c>
      <c r="AS2125" s="81">
        <v>0</v>
      </c>
      <c r="AT2125" s="81">
        <v>0</v>
      </c>
      <c r="AU2125" s="81"/>
      <c r="AV2125" s="81"/>
      <c r="AW2125" s="81"/>
      <c r="AX2125" s="81"/>
      <c r="AY2125" s="81"/>
      <c r="AZ2125" s="81"/>
      <c r="BA2125" s="81"/>
      <c r="BB2125" s="81"/>
    </row>
    <row r="2126" spans="1:54" x14ac:dyDescent="0.35">
      <c r="A2126" s="66" t="s">
        <v>1269</v>
      </c>
      <c r="B2126" s="66" t="s">
        <v>1269</v>
      </c>
      <c r="C2126" s="67"/>
      <c r="D2126" s="68"/>
      <c r="E2126" s="69"/>
      <c r="F2126" s="70"/>
      <c r="G2126" s="67"/>
      <c r="H2126" s="71"/>
      <c r="I2126" s="72"/>
      <c r="J2126" s="72"/>
      <c r="K2126" s="36"/>
      <c r="L2126" s="79"/>
      <c r="M2126" s="79"/>
      <c r="N2126" s="74"/>
      <c r="O2126" s="81" t="s">
        <v>179</v>
      </c>
      <c r="P2126" s="83">
        <v>44463.760740740741</v>
      </c>
      <c r="Q2126" s="81" t="s">
        <v>2416</v>
      </c>
      <c r="R2126" s="81"/>
      <c r="S2126" s="81"/>
      <c r="T2126" s="81"/>
      <c r="U2126" s="81"/>
      <c r="V2126" s="84" t="str">
        <f>HYPERLINK("https://pbs.twimg.com/profile_images/378800000705328795/304bfd91ee90011498fd092cc79a423e_normal.jpeg")</f>
        <v>https://pbs.twimg.com/profile_images/378800000705328795/304bfd91ee90011498fd092cc79a423e_normal.jpeg</v>
      </c>
      <c r="W2126" s="83">
        <v>44463.760740740741</v>
      </c>
      <c r="X2126" s="89">
        <v>44463</v>
      </c>
      <c r="Y2126" s="86" t="s">
        <v>4160</v>
      </c>
      <c r="Z2126" s="84" t="str">
        <f>HYPERLINK("https://twitter.com/pos_indonesia/status/1441466329911808002")</f>
        <v>https://twitter.com/pos_indonesia/status/1441466329911808002</v>
      </c>
      <c r="AA2126" s="81"/>
      <c r="AB2126" s="81"/>
      <c r="AC2126" s="86" t="s">
        <v>5809</v>
      </c>
      <c r="AD2126" s="81"/>
      <c r="AE2126" s="81" t="b">
        <v>0</v>
      </c>
      <c r="AF2126" s="81">
        <v>0</v>
      </c>
      <c r="AG2126" s="86" t="s">
        <v>6240</v>
      </c>
      <c r="AH2126" s="81" t="b">
        <v>0</v>
      </c>
      <c r="AI2126" s="81" t="s">
        <v>6479</v>
      </c>
      <c r="AJ2126" s="81"/>
      <c r="AK2126" s="86" t="s">
        <v>6240</v>
      </c>
      <c r="AL2126" s="81" t="b">
        <v>0</v>
      </c>
      <c r="AM2126" s="81">
        <v>0</v>
      </c>
      <c r="AN2126" s="86" t="s">
        <v>6240</v>
      </c>
      <c r="AO2126" s="86" t="s">
        <v>6506</v>
      </c>
      <c r="AP2126" s="81" t="b">
        <v>0</v>
      </c>
      <c r="AQ2126" s="86" t="s">
        <v>5809</v>
      </c>
      <c r="AR2126" s="81" t="s">
        <v>179</v>
      </c>
      <c r="AS2126" s="81">
        <v>0</v>
      </c>
      <c r="AT2126" s="81">
        <v>0</v>
      </c>
      <c r="AU2126" s="81"/>
      <c r="AV2126" s="81"/>
      <c r="AW2126" s="81"/>
      <c r="AX2126" s="81"/>
      <c r="AY2126" s="81"/>
      <c r="AZ2126" s="81"/>
      <c r="BA2126" s="81"/>
      <c r="BB2126" s="81"/>
    </row>
    <row r="2127" spans="1:54" x14ac:dyDescent="0.35">
      <c r="A2127" s="66" t="s">
        <v>1269</v>
      </c>
      <c r="B2127" s="66" t="s">
        <v>1269</v>
      </c>
      <c r="C2127" s="67"/>
      <c r="D2127" s="68"/>
      <c r="E2127" s="69"/>
      <c r="F2127" s="70"/>
      <c r="G2127" s="67"/>
      <c r="H2127" s="71"/>
      <c r="I2127" s="72"/>
      <c r="J2127" s="72"/>
      <c r="K2127" s="36"/>
      <c r="L2127" s="79"/>
      <c r="M2127" s="79"/>
      <c r="N2127" s="74"/>
      <c r="O2127" s="81" t="s">
        <v>179</v>
      </c>
      <c r="P2127" s="83">
        <v>44463.78162037037</v>
      </c>
      <c r="Q2127" s="81" t="s">
        <v>2505</v>
      </c>
      <c r="R2127" s="84" t="str">
        <f>HYPERLINK("http://www.paketonlinestore.com")</f>
        <v>http://www.paketonlinestore.com</v>
      </c>
      <c r="S2127" s="81" t="s">
        <v>2654</v>
      </c>
      <c r="T2127" s="81"/>
      <c r="U2127" s="81"/>
      <c r="V2127" s="84" t="str">
        <f>HYPERLINK("https://pbs.twimg.com/profile_images/378800000705328795/304bfd91ee90011498fd092cc79a423e_normal.jpeg")</f>
        <v>https://pbs.twimg.com/profile_images/378800000705328795/304bfd91ee90011498fd092cc79a423e_normal.jpeg</v>
      </c>
      <c r="W2127" s="83">
        <v>44463.78162037037</v>
      </c>
      <c r="X2127" s="89">
        <v>44463</v>
      </c>
      <c r="Y2127" s="86" t="s">
        <v>4161</v>
      </c>
      <c r="Z2127" s="84" t="str">
        <f>HYPERLINK("https://twitter.com/pos_indonesia/status/1441473893194080269")</f>
        <v>https://twitter.com/pos_indonesia/status/1441473893194080269</v>
      </c>
      <c r="AA2127" s="81"/>
      <c r="AB2127" s="81"/>
      <c r="AC2127" s="86" t="s">
        <v>5810</v>
      </c>
      <c r="AD2127" s="81"/>
      <c r="AE2127" s="81" t="b">
        <v>0</v>
      </c>
      <c r="AF2127" s="81">
        <v>0</v>
      </c>
      <c r="AG2127" s="86" t="s">
        <v>6240</v>
      </c>
      <c r="AH2127" s="81" t="b">
        <v>0</v>
      </c>
      <c r="AI2127" s="81" t="s">
        <v>6478</v>
      </c>
      <c r="AJ2127" s="81"/>
      <c r="AK2127" s="86" t="s">
        <v>6240</v>
      </c>
      <c r="AL2127" s="81" t="b">
        <v>0</v>
      </c>
      <c r="AM2127" s="81">
        <v>0</v>
      </c>
      <c r="AN2127" s="86" t="s">
        <v>6240</v>
      </c>
      <c r="AO2127" s="86" t="s">
        <v>6506</v>
      </c>
      <c r="AP2127" s="81" t="b">
        <v>0</v>
      </c>
      <c r="AQ2127" s="86" t="s">
        <v>5810</v>
      </c>
      <c r="AR2127" s="81" t="s">
        <v>179</v>
      </c>
      <c r="AS2127" s="81">
        <v>0</v>
      </c>
      <c r="AT2127" s="81">
        <v>0</v>
      </c>
      <c r="AU2127" s="81"/>
      <c r="AV2127" s="81"/>
      <c r="AW2127" s="81"/>
      <c r="AX2127" s="81"/>
      <c r="AY2127" s="81"/>
      <c r="AZ2127" s="81"/>
      <c r="BA2127" s="81"/>
      <c r="BB2127" s="81"/>
    </row>
    <row r="2128" spans="1:54" x14ac:dyDescent="0.35">
      <c r="A2128" s="66" t="s">
        <v>1269</v>
      </c>
      <c r="B2128" s="66" t="s">
        <v>1269</v>
      </c>
      <c r="C2128" s="67"/>
      <c r="D2128" s="68"/>
      <c r="E2128" s="69"/>
      <c r="F2128" s="70"/>
      <c r="G2128" s="67"/>
      <c r="H2128" s="71"/>
      <c r="I2128" s="72"/>
      <c r="J2128" s="72"/>
      <c r="K2128" s="36"/>
      <c r="L2128" s="79"/>
      <c r="M2128" s="79"/>
      <c r="N2128" s="74"/>
      <c r="O2128" s="81" t="s">
        <v>179</v>
      </c>
      <c r="P2128" s="83">
        <v>44463.802407407406</v>
      </c>
      <c r="Q2128" s="81" t="s">
        <v>2423</v>
      </c>
      <c r="R2128" s="81"/>
      <c r="S2128" s="81"/>
      <c r="T2128" s="81"/>
      <c r="U2128" s="81"/>
      <c r="V2128" s="84" t="str">
        <f>HYPERLINK("https://pbs.twimg.com/profile_images/378800000705328795/304bfd91ee90011498fd092cc79a423e_normal.jpeg")</f>
        <v>https://pbs.twimg.com/profile_images/378800000705328795/304bfd91ee90011498fd092cc79a423e_normal.jpeg</v>
      </c>
      <c r="W2128" s="83">
        <v>44463.802407407406</v>
      </c>
      <c r="X2128" s="89">
        <v>44463</v>
      </c>
      <c r="Y2128" s="86" t="s">
        <v>4162</v>
      </c>
      <c r="Z2128" s="84" t="str">
        <f>HYPERLINK("https://twitter.com/pos_indonesia/status/1441481429481758721")</f>
        <v>https://twitter.com/pos_indonesia/status/1441481429481758721</v>
      </c>
      <c r="AA2128" s="81"/>
      <c r="AB2128" s="81"/>
      <c r="AC2128" s="86" t="s">
        <v>5811</v>
      </c>
      <c r="AD2128" s="81"/>
      <c r="AE2128" s="81" t="b">
        <v>0</v>
      </c>
      <c r="AF2128" s="81">
        <v>0</v>
      </c>
      <c r="AG2128" s="86" t="s">
        <v>6240</v>
      </c>
      <c r="AH2128" s="81" t="b">
        <v>0</v>
      </c>
      <c r="AI2128" s="81" t="s">
        <v>6479</v>
      </c>
      <c r="AJ2128" s="81"/>
      <c r="AK2128" s="86" t="s">
        <v>6240</v>
      </c>
      <c r="AL2128" s="81" t="b">
        <v>0</v>
      </c>
      <c r="AM2128" s="81">
        <v>0</v>
      </c>
      <c r="AN2128" s="86" t="s">
        <v>6240</v>
      </c>
      <c r="AO2128" s="86" t="s">
        <v>6506</v>
      </c>
      <c r="AP2128" s="81" t="b">
        <v>0</v>
      </c>
      <c r="AQ2128" s="86" t="s">
        <v>5811</v>
      </c>
      <c r="AR2128" s="81" t="s">
        <v>179</v>
      </c>
      <c r="AS2128" s="81">
        <v>0</v>
      </c>
      <c r="AT2128" s="81">
        <v>0</v>
      </c>
      <c r="AU2128" s="81"/>
      <c r="AV2128" s="81"/>
      <c r="AW2128" s="81"/>
      <c r="AX2128" s="81"/>
      <c r="AY2128" s="81"/>
      <c r="AZ2128" s="81"/>
      <c r="BA2128" s="81"/>
      <c r="BB2128" s="81"/>
    </row>
    <row r="2129" spans="1:54" x14ac:dyDescent="0.35">
      <c r="A2129" s="66" t="s">
        <v>1269</v>
      </c>
      <c r="B2129" s="66" t="s">
        <v>1269</v>
      </c>
      <c r="C2129" s="67"/>
      <c r="D2129" s="68"/>
      <c r="E2129" s="69"/>
      <c r="F2129" s="70"/>
      <c r="G2129" s="67"/>
      <c r="H2129" s="71"/>
      <c r="I2129" s="72"/>
      <c r="J2129" s="72"/>
      <c r="K2129" s="36"/>
      <c r="L2129" s="79"/>
      <c r="M2129" s="79"/>
      <c r="N2129" s="74"/>
      <c r="O2129" s="81" t="s">
        <v>179</v>
      </c>
      <c r="P2129" s="83">
        <v>44463.823263888888</v>
      </c>
      <c r="Q2129" s="81" t="s">
        <v>2506</v>
      </c>
      <c r="R2129" s="81"/>
      <c r="S2129" s="81"/>
      <c r="T2129" s="81"/>
      <c r="U2129" s="81"/>
      <c r="V2129" s="84" t="str">
        <f>HYPERLINK("https://pbs.twimg.com/profile_images/378800000705328795/304bfd91ee90011498fd092cc79a423e_normal.jpeg")</f>
        <v>https://pbs.twimg.com/profile_images/378800000705328795/304bfd91ee90011498fd092cc79a423e_normal.jpeg</v>
      </c>
      <c r="W2129" s="83">
        <v>44463.823263888888</v>
      </c>
      <c r="X2129" s="89">
        <v>44463</v>
      </c>
      <c r="Y2129" s="86" t="s">
        <v>4163</v>
      </c>
      <c r="Z2129" s="84" t="str">
        <f>HYPERLINK("https://twitter.com/pos_indonesia/status/1441488984924770304")</f>
        <v>https://twitter.com/pos_indonesia/status/1441488984924770304</v>
      </c>
      <c r="AA2129" s="81"/>
      <c r="AB2129" s="81"/>
      <c r="AC2129" s="86" t="s">
        <v>5812</v>
      </c>
      <c r="AD2129" s="81"/>
      <c r="AE2129" s="81" t="b">
        <v>0</v>
      </c>
      <c r="AF2129" s="81">
        <v>0</v>
      </c>
      <c r="AG2129" s="86" t="s">
        <v>6240</v>
      </c>
      <c r="AH2129" s="81" t="b">
        <v>0</v>
      </c>
      <c r="AI2129" s="81" t="s">
        <v>6479</v>
      </c>
      <c r="AJ2129" s="81"/>
      <c r="AK2129" s="86" t="s">
        <v>6240</v>
      </c>
      <c r="AL2129" s="81" t="b">
        <v>0</v>
      </c>
      <c r="AM2129" s="81">
        <v>0</v>
      </c>
      <c r="AN2129" s="86" t="s">
        <v>6240</v>
      </c>
      <c r="AO2129" s="86" t="s">
        <v>6506</v>
      </c>
      <c r="AP2129" s="81" t="b">
        <v>0</v>
      </c>
      <c r="AQ2129" s="86" t="s">
        <v>5812</v>
      </c>
      <c r="AR2129" s="81" t="s">
        <v>179</v>
      </c>
      <c r="AS2129" s="81">
        <v>0</v>
      </c>
      <c r="AT2129" s="81">
        <v>0</v>
      </c>
      <c r="AU2129" s="81"/>
      <c r="AV2129" s="81"/>
      <c r="AW2129" s="81"/>
      <c r="AX2129" s="81"/>
      <c r="AY2129" s="81"/>
      <c r="AZ2129" s="81"/>
      <c r="BA2129" s="81"/>
      <c r="BB2129" s="81"/>
    </row>
    <row r="2130" spans="1:54" x14ac:dyDescent="0.35">
      <c r="A2130" s="66" t="s">
        <v>1269</v>
      </c>
      <c r="B2130" s="66" t="s">
        <v>1269</v>
      </c>
      <c r="C2130" s="67"/>
      <c r="D2130" s="68"/>
      <c r="E2130" s="69"/>
      <c r="F2130" s="70"/>
      <c r="G2130" s="67"/>
      <c r="H2130" s="71"/>
      <c r="I2130" s="72"/>
      <c r="J2130" s="72"/>
      <c r="K2130" s="36"/>
      <c r="L2130" s="79"/>
      <c r="M2130" s="79"/>
      <c r="N2130" s="74"/>
      <c r="O2130" s="81" t="s">
        <v>179</v>
      </c>
      <c r="P2130" s="83">
        <v>44463.844085648147</v>
      </c>
      <c r="Q2130" s="81" t="s">
        <v>2507</v>
      </c>
      <c r="R2130" s="81"/>
      <c r="S2130" s="81"/>
      <c r="T2130" s="81"/>
      <c r="U2130" s="81"/>
      <c r="V2130" s="84" t="str">
        <f>HYPERLINK("https://pbs.twimg.com/profile_images/378800000705328795/304bfd91ee90011498fd092cc79a423e_normal.jpeg")</f>
        <v>https://pbs.twimg.com/profile_images/378800000705328795/304bfd91ee90011498fd092cc79a423e_normal.jpeg</v>
      </c>
      <c r="W2130" s="83">
        <v>44463.844085648147</v>
      </c>
      <c r="X2130" s="89">
        <v>44463</v>
      </c>
      <c r="Y2130" s="86" t="s">
        <v>4164</v>
      </c>
      <c r="Z2130" s="84" t="str">
        <f>HYPERLINK("https://twitter.com/pos_indonesia/status/1441496532377767942")</f>
        <v>https://twitter.com/pos_indonesia/status/1441496532377767942</v>
      </c>
      <c r="AA2130" s="81"/>
      <c r="AB2130" s="81"/>
      <c r="AC2130" s="86" t="s">
        <v>5813</v>
      </c>
      <c r="AD2130" s="81"/>
      <c r="AE2130" s="81" t="b">
        <v>0</v>
      </c>
      <c r="AF2130" s="81">
        <v>0</v>
      </c>
      <c r="AG2130" s="86" t="s">
        <v>6240</v>
      </c>
      <c r="AH2130" s="81" t="b">
        <v>0</v>
      </c>
      <c r="AI2130" s="81" t="s">
        <v>6479</v>
      </c>
      <c r="AJ2130" s="81"/>
      <c r="AK2130" s="86" t="s">
        <v>6240</v>
      </c>
      <c r="AL2130" s="81" t="b">
        <v>0</v>
      </c>
      <c r="AM2130" s="81">
        <v>0</v>
      </c>
      <c r="AN2130" s="86" t="s">
        <v>6240</v>
      </c>
      <c r="AO2130" s="86" t="s">
        <v>6506</v>
      </c>
      <c r="AP2130" s="81" t="b">
        <v>0</v>
      </c>
      <c r="AQ2130" s="86" t="s">
        <v>5813</v>
      </c>
      <c r="AR2130" s="81" t="s">
        <v>179</v>
      </c>
      <c r="AS2130" s="81">
        <v>0</v>
      </c>
      <c r="AT2130" s="81">
        <v>0</v>
      </c>
      <c r="AU2130" s="81"/>
      <c r="AV2130" s="81"/>
      <c r="AW2130" s="81"/>
      <c r="AX2130" s="81"/>
      <c r="AY2130" s="81"/>
      <c r="AZ2130" s="81"/>
      <c r="BA2130" s="81"/>
      <c r="BB2130" s="81"/>
    </row>
    <row r="2131" spans="1:54" x14ac:dyDescent="0.35">
      <c r="A2131" s="66" t="s">
        <v>1269</v>
      </c>
      <c r="B2131" s="66" t="s">
        <v>1269</v>
      </c>
      <c r="C2131" s="67"/>
      <c r="D2131" s="68"/>
      <c r="E2131" s="69"/>
      <c r="F2131" s="70"/>
      <c r="G2131" s="67"/>
      <c r="H2131" s="71"/>
      <c r="I2131" s="72"/>
      <c r="J2131" s="72"/>
      <c r="K2131" s="36"/>
      <c r="L2131" s="79"/>
      <c r="M2131" s="79"/>
      <c r="N2131" s="74"/>
      <c r="O2131" s="81" t="s">
        <v>179</v>
      </c>
      <c r="P2131" s="83">
        <v>44463.864976851852</v>
      </c>
      <c r="Q2131" s="81" t="s">
        <v>2508</v>
      </c>
      <c r="R2131" s="81"/>
      <c r="S2131" s="81"/>
      <c r="T2131" s="81"/>
      <c r="U2131" s="81"/>
      <c r="V2131" s="84" t="str">
        <f>HYPERLINK("https://pbs.twimg.com/profile_images/378800000705328795/304bfd91ee90011498fd092cc79a423e_normal.jpeg")</f>
        <v>https://pbs.twimg.com/profile_images/378800000705328795/304bfd91ee90011498fd092cc79a423e_normal.jpeg</v>
      </c>
      <c r="W2131" s="83">
        <v>44463.864976851852</v>
      </c>
      <c r="X2131" s="89">
        <v>44463</v>
      </c>
      <c r="Y2131" s="86" t="s">
        <v>4165</v>
      </c>
      <c r="Z2131" s="84" t="str">
        <f>HYPERLINK("https://twitter.com/pos_indonesia/status/1441504102790275073")</f>
        <v>https://twitter.com/pos_indonesia/status/1441504102790275073</v>
      </c>
      <c r="AA2131" s="81"/>
      <c r="AB2131" s="81"/>
      <c r="AC2131" s="86" t="s">
        <v>5814</v>
      </c>
      <c r="AD2131" s="81"/>
      <c r="AE2131" s="81" t="b">
        <v>0</v>
      </c>
      <c r="AF2131" s="81">
        <v>0</v>
      </c>
      <c r="AG2131" s="86" t="s">
        <v>6240</v>
      </c>
      <c r="AH2131" s="81" t="b">
        <v>0</v>
      </c>
      <c r="AI2131" s="81" t="s">
        <v>6479</v>
      </c>
      <c r="AJ2131" s="81"/>
      <c r="AK2131" s="86" t="s">
        <v>6240</v>
      </c>
      <c r="AL2131" s="81" t="b">
        <v>0</v>
      </c>
      <c r="AM2131" s="81">
        <v>0</v>
      </c>
      <c r="AN2131" s="86" t="s">
        <v>6240</v>
      </c>
      <c r="AO2131" s="86" t="s">
        <v>6506</v>
      </c>
      <c r="AP2131" s="81" t="b">
        <v>0</v>
      </c>
      <c r="AQ2131" s="86" t="s">
        <v>5814</v>
      </c>
      <c r="AR2131" s="81" t="s">
        <v>179</v>
      </c>
      <c r="AS2131" s="81">
        <v>0</v>
      </c>
      <c r="AT2131" s="81">
        <v>0</v>
      </c>
      <c r="AU2131" s="81"/>
      <c r="AV2131" s="81"/>
      <c r="AW2131" s="81"/>
      <c r="AX2131" s="81"/>
      <c r="AY2131" s="81"/>
      <c r="AZ2131" s="81"/>
      <c r="BA2131" s="81"/>
      <c r="BB2131" s="81"/>
    </row>
    <row r="2132" spans="1:54" x14ac:dyDescent="0.35">
      <c r="A2132" s="66" t="s">
        <v>1269</v>
      </c>
      <c r="B2132" s="66" t="s">
        <v>1269</v>
      </c>
      <c r="C2132" s="67"/>
      <c r="D2132" s="68"/>
      <c r="E2132" s="69"/>
      <c r="F2132" s="70"/>
      <c r="G2132" s="67"/>
      <c r="H2132" s="71"/>
      <c r="I2132" s="72"/>
      <c r="J2132" s="72"/>
      <c r="K2132" s="36"/>
      <c r="L2132" s="79"/>
      <c r="M2132" s="79"/>
      <c r="N2132" s="74"/>
      <c r="O2132" s="81" t="s">
        <v>179</v>
      </c>
      <c r="P2132" s="83">
        <v>44463.885752314818</v>
      </c>
      <c r="Q2132" s="81" t="s">
        <v>2509</v>
      </c>
      <c r="R2132" s="81"/>
      <c r="S2132" s="81"/>
      <c r="T2132" s="81"/>
      <c r="U2132" s="81"/>
      <c r="V2132" s="84" t="str">
        <f>HYPERLINK("https://pbs.twimg.com/profile_images/378800000705328795/304bfd91ee90011498fd092cc79a423e_normal.jpeg")</f>
        <v>https://pbs.twimg.com/profile_images/378800000705328795/304bfd91ee90011498fd092cc79a423e_normal.jpeg</v>
      </c>
      <c r="W2132" s="83">
        <v>44463.885752314818</v>
      </c>
      <c r="X2132" s="89">
        <v>44463</v>
      </c>
      <c r="Y2132" s="86" t="s">
        <v>4062</v>
      </c>
      <c r="Z2132" s="84" t="str">
        <f>HYPERLINK("https://twitter.com/pos_indonesia/status/1441511629682667521")</f>
        <v>https://twitter.com/pos_indonesia/status/1441511629682667521</v>
      </c>
      <c r="AA2132" s="81"/>
      <c r="AB2132" s="81"/>
      <c r="AC2132" s="86" t="s">
        <v>5815</v>
      </c>
      <c r="AD2132" s="81"/>
      <c r="AE2132" s="81" t="b">
        <v>0</v>
      </c>
      <c r="AF2132" s="81">
        <v>1</v>
      </c>
      <c r="AG2132" s="86" t="s">
        <v>6240</v>
      </c>
      <c r="AH2132" s="81" t="b">
        <v>0</v>
      </c>
      <c r="AI2132" s="81" t="s">
        <v>6479</v>
      </c>
      <c r="AJ2132" s="81"/>
      <c r="AK2132" s="86" t="s">
        <v>6240</v>
      </c>
      <c r="AL2132" s="81" t="b">
        <v>0</v>
      </c>
      <c r="AM2132" s="81">
        <v>0</v>
      </c>
      <c r="AN2132" s="86" t="s">
        <v>6240</v>
      </c>
      <c r="AO2132" s="86" t="s">
        <v>6506</v>
      </c>
      <c r="AP2132" s="81" t="b">
        <v>0</v>
      </c>
      <c r="AQ2132" s="86" t="s">
        <v>5815</v>
      </c>
      <c r="AR2132" s="81" t="s">
        <v>179</v>
      </c>
      <c r="AS2132" s="81">
        <v>0</v>
      </c>
      <c r="AT2132" s="81">
        <v>0</v>
      </c>
      <c r="AU2132" s="81"/>
      <c r="AV2132" s="81"/>
      <c r="AW2132" s="81"/>
      <c r="AX2132" s="81"/>
      <c r="AY2132" s="81"/>
      <c r="AZ2132" s="81"/>
      <c r="BA2132" s="81"/>
      <c r="BB2132" s="81"/>
    </row>
    <row r="2133" spans="1:54" x14ac:dyDescent="0.35">
      <c r="A2133" s="66" t="s">
        <v>1269</v>
      </c>
      <c r="B2133" s="66" t="s">
        <v>1269</v>
      </c>
      <c r="C2133" s="67"/>
      <c r="D2133" s="68"/>
      <c r="E2133" s="69"/>
      <c r="F2133" s="70"/>
      <c r="G2133" s="67"/>
      <c r="H2133" s="71"/>
      <c r="I2133" s="72"/>
      <c r="J2133" s="72"/>
      <c r="K2133" s="36"/>
      <c r="L2133" s="79"/>
      <c r="M2133" s="79"/>
      <c r="N2133" s="74"/>
      <c r="O2133" s="81" t="s">
        <v>179</v>
      </c>
      <c r="P2133" s="83">
        <v>44463.906585648147</v>
      </c>
      <c r="Q2133" s="81" t="s">
        <v>2510</v>
      </c>
      <c r="R2133" s="81"/>
      <c r="S2133" s="81"/>
      <c r="T2133" s="81"/>
      <c r="U2133" s="81"/>
      <c r="V2133" s="84" t="str">
        <f>HYPERLINK("https://pbs.twimg.com/profile_images/378800000705328795/304bfd91ee90011498fd092cc79a423e_normal.jpeg")</f>
        <v>https://pbs.twimg.com/profile_images/378800000705328795/304bfd91ee90011498fd092cc79a423e_normal.jpeg</v>
      </c>
      <c r="W2133" s="83">
        <v>44463.906585648147</v>
      </c>
      <c r="X2133" s="89">
        <v>44463</v>
      </c>
      <c r="Y2133" s="86" t="s">
        <v>4063</v>
      </c>
      <c r="Z2133" s="84" t="str">
        <f>HYPERLINK("https://twitter.com/pos_indonesia/status/1441519181988446209")</f>
        <v>https://twitter.com/pos_indonesia/status/1441519181988446209</v>
      </c>
      <c r="AA2133" s="81"/>
      <c r="AB2133" s="81"/>
      <c r="AC2133" s="86" t="s">
        <v>5816</v>
      </c>
      <c r="AD2133" s="81"/>
      <c r="AE2133" s="81" t="b">
        <v>0</v>
      </c>
      <c r="AF2133" s="81">
        <v>0</v>
      </c>
      <c r="AG2133" s="86" t="s">
        <v>6240</v>
      </c>
      <c r="AH2133" s="81" t="b">
        <v>0</v>
      </c>
      <c r="AI2133" s="81" t="s">
        <v>6479</v>
      </c>
      <c r="AJ2133" s="81"/>
      <c r="AK2133" s="86" t="s">
        <v>6240</v>
      </c>
      <c r="AL2133" s="81" t="b">
        <v>0</v>
      </c>
      <c r="AM2133" s="81">
        <v>0</v>
      </c>
      <c r="AN2133" s="86" t="s">
        <v>6240</v>
      </c>
      <c r="AO2133" s="86" t="s">
        <v>6506</v>
      </c>
      <c r="AP2133" s="81" t="b">
        <v>0</v>
      </c>
      <c r="AQ2133" s="86" t="s">
        <v>5816</v>
      </c>
      <c r="AR2133" s="81" t="s">
        <v>179</v>
      </c>
      <c r="AS2133" s="81">
        <v>0</v>
      </c>
      <c r="AT2133" s="81">
        <v>0</v>
      </c>
      <c r="AU2133" s="81"/>
      <c r="AV2133" s="81"/>
      <c r="AW2133" s="81"/>
      <c r="AX2133" s="81"/>
      <c r="AY2133" s="81"/>
      <c r="AZ2133" s="81"/>
      <c r="BA2133" s="81"/>
      <c r="BB2133" s="81"/>
    </row>
    <row r="2134" spans="1:54" x14ac:dyDescent="0.35">
      <c r="A2134" s="66" t="s">
        <v>1269</v>
      </c>
      <c r="B2134" s="66" t="s">
        <v>1269</v>
      </c>
      <c r="C2134" s="67"/>
      <c r="D2134" s="68"/>
      <c r="E2134" s="69"/>
      <c r="F2134" s="70"/>
      <c r="G2134" s="67"/>
      <c r="H2134" s="71"/>
      <c r="I2134" s="72"/>
      <c r="J2134" s="72"/>
      <c r="K2134" s="36"/>
      <c r="L2134" s="79"/>
      <c r="M2134" s="79"/>
      <c r="N2134" s="74"/>
      <c r="O2134" s="81" t="s">
        <v>179</v>
      </c>
      <c r="P2134" s="83">
        <v>44463.927407407406</v>
      </c>
      <c r="Q2134" s="81" t="s">
        <v>2511</v>
      </c>
      <c r="R2134" s="81"/>
      <c r="S2134" s="81"/>
      <c r="T2134" s="86" t="s">
        <v>2753</v>
      </c>
      <c r="U2134" s="81"/>
      <c r="V2134" s="84" t="str">
        <f>HYPERLINK("https://pbs.twimg.com/profile_images/378800000705328795/304bfd91ee90011498fd092cc79a423e_normal.jpeg")</f>
        <v>https://pbs.twimg.com/profile_images/378800000705328795/304bfd91ee90011498fd092cc79a423e_normal.jpeg</v>
      </c>
      <c r="W2134" s="83">
        <v>44463.927407407406</v>
      </c>
      <c r="X2134" s="89">
        <v>44463</v>
      </c>
      <c r="Y2134" s="86" t="s">
        <v>4166</v>
      </c>
      <c r="Z2134" s="84" t="str">
        <f>HYPERLINK("https://twitter.com/pos_indonesia/status/1441526726966661120")</f>
        <v>https://twitter.com/pos_indonesia/status/1441526726966661120</v>
      </c>
      <c r="AA2134" s="81"/>
      <c r="AB2134" s="81"/>
      <c r="AC2134" s="86" t="s">
        <v>5817</v>
      </c>
      <c r="AD2134" s="81"/>
      <c r="AE2134" s="81" t="b">
        <v>0</v>
      </c>
      <c r="AF2134" s="81">
        <v>0</v>
      </c>
      <c r="AG2134" s="86" t="s">
        <v>6240</v>
      </c>
      <c r="AH2134" s="81" t="b">
        <v>0</v>
      </c>
      <c r="AI2134" s="81" t="s">
        <v>6479</v>
      </c>
      <c r="AJ2134" s="81"/>
      <c r="AK2134" s="86" t="s">
        <v>6240</v>
      </c>
      <c r="AL2134" s="81" t="b">
        <v>0</v>
      </c>
      <c r="AM2134" s="81">
        <v>0</v>
      </c>
      <c r="AN2134" s="86" t="s">
        <v>6240</v>
      </c>
      <c r="AO2134" s="86" t="s">
        <v>6506</v>
      </c>
      <c r="AP2134" s="81" t="b">
        <v>0</v>
      </c>
      <c r="AQ2134" s="86" t="s">
        <v>5817</v>
      </c>
      <c r="AR2134" s="81" t="s">
        <v>179</v>
      </c>
      <c r="AS2134" s="81">
        <v>0</v>
      </c>
      <c r="AT2134" s="81">
        <v>0</v>
      </c>
      <c r="AU2134" s="81"/>
      <c r="AV2134" s="81"/>
      <c r="AW2134" s="81"/>
      <c r="AX2134" s="81"/>
      <c r="AY2134" s="81"/>
      <c r="AZ2134" s="81"/>
      <c r="BA2134" s="81"/>
      <c r="BB2134" s="81"/>
    </row>
    <row r="2135" spans="1:54" x14ac:dyDescent="0.35">
      <c r="A2135" s="66" t="s">
        <v>1269</v>
      </c>
      <c r="B2135" s="66" t="s">
        <v>1269</v>
      </c>
      <c r="C2135" s="67"/>
      <c r="D2135" s="68"/>
      <c r="E2135" s="69"/>
      <c r="F2135" s="70"/>
      <c r="G2135" s="67"/>
      <c r="H2135" s="71"/>
      <c r="I2135" s="72"/>
      <c r="J2135" s="72"/>
      <c r="K2135" s="36"/>
      <c r="L2135" s="79"/>
      <c r="M2135" s="79"/>
      <c r="N2135" s="74"/>
      <c r="O2135" s="81" t="s">
        <v>179</v>
      </c>
      <c r="P2135" s="83">
        <v>44463.969143518516</v>
      </c>
      <c r="Q2135" s="81" t="s">
        <v>2381</v>
      </c>
      <c r="R2135" s="81"/>
      <c r="S2135" s="81"/>
      <c r="T2135" s="81"/>
      <c r="U2135" s="81"/>
      <c r="V2135" s="84" t="str">
        <f>HYPERLINK("https://pbs.twimg.com/profile_images/378800000705328795/304bfd91ee90011498fd092cc79a423e_normal.jpeg")</f>
        <v>https://pbs.twimg.com/profile_images/378800000705328795/304bfd91ee90011498fd092cc79a423e_normal.jpeg</v>
      </c>
      <c r="W2135" s="83">
        <v>44463.969143518516</v>
      </c>
      <c r="X2135" s="89">
        <v>44463</v>
      </c>
      <c r="Y2135" s="86" t="s">
        <v>4066</v>
      </c>
      <c r="Z2135" s="84" t="str">
        <f>HYPERLINK("https://twitter.com/pos_indonesia/status/1441541849068425220")</f>
        <v>https://twitter.com/pos_indonesia/status/1441541849068425220</v>
      </c>
      <c r="AA2135" s="81"/>
      <c r="AB2135" s="81"/>
      <c r="AC2135" s="86" t="s">
        <v>5818</v>
      </c>
      <c r="AD2135" s="81"/>
      <c r="AE2135" s="81" t="b">
        <v>0</v>
      </c>
      <c r="AF2135" s="81">
        <v>1</v>
      </c>
      <c r="AG2135" s="86" t="s">
        <v>6240</v>
      </c>
      <c r="AH2135" s="81" t="b">
        <v>0</v>
      </c>
      <c r="AI2135" s="81" t="s">
        <v>6479</v>
      </c>
      <c r="AJ2135" s="81"/>
      <c r="AK2135" s="86" t="s">
        <v>6240</v>
      </c>
      <c r="AL2135" s="81" t="b">
        <v>0</v>
      </c>
      <c r="AM2135" s="81">
        <v>0</v>
      </c>
      <c r="AN2135" s="86" t="s">
        <v>6240</v>
      </c>
      <c r="AO2135" s="86" t="s">
        <v>6506</v>
      </c>
      <c r="AP2135" s="81" t="b">
        <v>0</v>
      </c>
      <c r="AQ2135" s="86" t="s">
        <v>5818</v>
      </c>
      <c r="AR2135" s="81" t="s">
        <v>179</v>
      </c>
      <c r="AS2135" s="81">
        <v>0</v>
      </c>
      <c r="AT2135" s="81">
        <v>0</v>
      </c>
      <c r="AU2135" s="81"/>
      <c r="AV2135" s="81"/>
      <c r="AW2135" s="81"/>
      <c r="AX2135" s="81"/>
      <c r="AY2135" s="81"/>
      <c r="AZ2135" s="81"/>
      <c r="BA2135" s="81"/>
      <c r="BB2135" s="81"/>
    </row>
    <row r="2136" spans="1:54" x14ac:dyDescent="0.35">
      <c r="A2136" s="66" t="s">
        <v>1269</v>
      </c>
      <c r="B2136" s="66" t="s">
        <v>1269</v>
      </c>
      <c r="C2136" s="67"/>
      <c r="D2136" s="68"/>
      <c r="E2136" s="69"/>
      <c r="F2136" s="70"/>
      <c r="G2136" s="67"/>
      <c r="H2136" s="71"/>
      <c r="I2136" s="72"/>
      <c r="J2136" s="72"/>
      <c r="K2136" s="36"/>
      <c r="L2136" s="79"/>
      <c r="M2136" s="79"/>
      <c r="N2136" s="74"/>
      <c r="O2136" s="81" t="s">
        <v>179</v>
      </c>
      <c r="P2136" s="83">
        <v>44464.010787037034</v>
      </c>
      <c r="Q2136" s="81" t="s">
        <v>2481</v>
      </c>
      <c r="R2136" s="81"/>
      <c r="S2136" s="81"/>
      <c r="T2136" s="81"/>
      <c r="U2136" s="81"/>
      <c r="V2136" s="84" t="str">
        <f>HYPERLINK("https://pbs.twimg.com/profile_images/378800000705328795/304bfd91ee90011498fd092cc79a423e_normal.jpeg")</f>
        <v>https://pbs.twimg.com/profile_images/378800000705328795/304bfd91ee90011498fd092cc79a423e_normal.jpeg</v>
      </c>
      <c r="W2136" s="83">
        <v>44464.010787037034</v>
      </c>
      <c r="X2136" s="89">
        <v>44464</v>
      </c>
      <c r="Y2136" s="86" t="s">
        <v>4167</v>
      </c>
      <c r="Z2136" s="84" t="str">
        <f>HYPERLINK("https://twitter.com/pos_indonesia/status/1441556940916551687")</f>
        <v>https://twitter.com/pos_indonesia/status/1441556940916551687</v>
      </c>
      <c r="AA2136" s="81"/>
      <c r="AB2136" s="81"/>
      <c r="AC2136" s="86" t="s">
        <v>5819</v>
      </c>
      <c r="AD2136" s="81"/>
      <c r="AE2136" s="81" t="b">
        <v>0</v>
      </c>
      <c r="AF2136" s="81">
        <v>1</v>
      </c>
      <c r="AG2136" s="86" t="s">
        <v>6240</v>
      </c>
      <c r="AH2136" s="81" t="b">
        <v>0</v>
      </c>
      <c r="AI2136" s="81" t="s">
        <v>6479</v>
      </c>
      <c r="AJ2136" s="81"/>
      <c r="AK2136" s="86" t="s">
        <v>6240</v>
      </c>
      <c r="AL2136" s="81" t="b">
        <v>0</v>
      </c>
      <c r="AM2136" s="81">
        <v>0</v>
      </c>
      <c r="AN2136" s="86" t="s">
        <v>6240</v>
      </c>
      <c r="AO2136" s="86" t="s">
        <v>6506</v>
      </c>
      <c r="AP2136" s="81" t="b">
        <v>0</v>
      </c>
      <c r="AQ2136" s="86" t="s">
        <v>5819</v>
      </c>
      <c r="AR2136" s="81" t="s">
        <v>179</v>
      </c>
      <c r="AS2136" s="81">
        <v>0</v>
      </c>
      <c r="AT2136" s="81">
        <v>0</v>
      </c>
      <c r="AU2136" s="81"/>
      <c r="AV2136" s="81"/>
      <c r="AW2136" s="81"/>
      <c r="AX2136" s="81"/>
      <c r="AY2136" s="81"/>
      <c r="AZ2136" s="81"/>
      <c r="BA2136" s="81"/>
      <c r="BB2136" s="81"/>
    </row>
    <row r="2137" spans="1:54" x14ac:dyDescent="0.35">
      <c r="A2137" s="66" t="s">
        <v>1269</v>
      </c>
      <c r="B2137" s="66" t="s">
        <v>1269</v>
      </c>
      <c r="C2137" s="67"/>
      <c r="D2137" s="68"/>
      <c r="E2137" s="69"/>
      <c r="F2137" s="70"/>
      <c r="G2137" s="67"/>
      <c r="H2137" s="71"/>
      <c r="I2137" s="72"/>
      <c r="J2137" s="72"/>
      <c r="K2137" s="36"/>
      <c r="L2137" s="79"/>
      <c r="M2137" s="79"/>
      <c r="N2137" s="74"/>
      <c r="O2137" s="81" t="s">
        <v>179</v>
      </c>
      <c r="P2137" s="83">
        <v>44464.03162037037</v>
      </c>
      <c r="Q2137" s="81" t="s">
        <v>2512</v>
      </c>
      <c r="R2137" s="81"/>
      <c r="S2137" s="81"/>
      <c r="T2137" s="81"/>
      <c r="U2137" s="81"/>
      <c r="V2137" s="84" t="str">
        <f>HYPERLINK("https://pbs.twimg.com/profile_images/378800000705328795/304bfd91ee90011498fd092cc79a423e_normal.jpeg")</f>
        <v>https://pbs.twimg.com/profile_images/378800000705328795/304bfd91ee90011498fd092cc79a423e_normal.jpeg</v>
      </c>
      <c r="W2137" s="83">
        <v>44464.03162037037</v>
      </c>
      <c r="X2137" s="89">
        <v>44464</v>
      </c>
      <c r="Y2137" s="86" t="s">
        <v>4168</v>
      </c>
      <c r="Z2137" s="84" t="str">
        <f>HYPERLINK("https://twitter.com/pos_indonesia/status/1441564490579910658")</f>
        <v>https://twitter.com/pos_indonesia/status/1441564490579910658</v>
      </c>
      <c r="AA2137" s="81"/>
      <c r="AB2137" s="81"/>
      <c r="AC2137" s="86" t="s">
        <v>5820</v>
      </c>
      <c r="AD2137" s="81"/>
      <c r="AE2137" s="81" t="b">
        <v>0</v>
      </c>
      <c r="AF2137" s="81">
        <v>0</v>
      </c>
      <c r="AG2137" s="86" t="s">
        <v>6240</v>
      </c>
      <c r="AH2137" s="81" t="b">
        <v>0</v>
      </c>
      <c r="AI2137" s="81" t="s">
        <v>6479</v>
      </c>
      <c r="AJ2137" s="81"/>
      <c r="AK2137" s="86" t="s">
        <v>6240</v>
      </c>
      <c r="AL2137" s="81" t="b">
        <v>0</v>
      </c>
      <c r="AM2137" s="81">
        <v>0</v>
      </c>
      <c r="AN2137" s="86" t="s">
        <v>6240</v>
      </c>
      <c r="AO2137" s="86" t="s">
        <v>6506</v>
      </c>
      <c r="AP2137" s="81" t="b">
        <v>0</v>
      </c>
      <c r="AQ2137" s="86" t="s">
        <v>5820</v>
      </c>
      <c r="AR2137" s="81" t="s">
        <v>179</v>
      </c>
      <c r="AS2137" s="81">
        <v>0</v>
      </c>
      <c r="AT2137" s="81">
        <v>0</v>
      </c>
      <c r="AU2137" s="81"/>
      <c r="AV2137" s="81"/>
      <c r="AW2137" s="81"/>
      <c r="AX2137" s="81"/>
      <c r="AY2137" s="81"/>
      <c r="AZ2137" s="81"/>
      <c r="BA2137" s="81"/>
      <c r="BB2137" s="81"/>
    </row>
    <row r="2138" spans="1:54" x14ac:dyDescent="0.35">
      <c r="A2138" s="66" t="s">
        <v>1269</v>
      </c>
      <c r="B2138" s="66" t="s">
        <v>1269</v>
      </c>
      <c r="C2138" s="67"/>
      <c r="D2138" s="68"/>
      <c r="E2138" s="69"/>
      <c r="F2138" s="70"/>
      <c r="G2138" s="67"/>
      <c r="H2138" s="71"/>
      <c r="I2138" s="72"/>
      <c r="J2138" s="72"/>
      <c r="K2138" s="36"/>
      <c r="L2138" s="79"/>
      <c r="M2138" s="79"/>
      <c r="N2138" s="74"/>
      <c r="O2138" s="81" t="s">
        <v>179</v>
      </c>
      <c r="P2138" s="83">
        <v>44464.052453703705</v>
      </c>
      <c r="Q2138" s="81" t="s">
        <v>2513</v>
      </c>
      <c r="R2138" s="81"/>
      <c r="S2138" s="81"/>
      <c r="T2138" s="81"/>
      <c r="U2138" s="81"/>
      <c r="V2138" s="84" t="str">
        <f>HYPERLINK("https://pbs.twimg.com/profile_images/378800000705328795/304bfd91ee90011498fd092cc79a423e_normal.jpeg")</f>
        <v>https://pbs.twimg.com/profile_images/378800000705328795/304bfd91ee90011498fd092cc79a423e_normal.jpeg</v>
      </c>
      <c r="W2138" s="83">
        <v>44464.052453703705</v>
      </c>
      <c r="X2138" s="89">
        <v>44464</v>
      </c>
      <c r="Y2138" s="86" t="s">
        <v>4169</v>
      </c>
      <c r="Z2138" s="84" t="str">
        <f>HYPERLINK("https://twitter.com/pos_indonesia/status/1441572040134168586")</f>
        <v>https://twitter.com/pos_indonesia/status/1441572040134168586</v>
      </c>
      <c r="AA2138" s="81"/>
      <c r="AB2138" s="81"/>
      <c r="AC2138" s="86" t="s">
        <v>5821</v>
      </c>
      <c r="AD2138" s="81"/>
      <c r="AE2138" s="81" t="b">
        <v>0</v>
      </c>
      <c r="AF2138" s="81">
        <v>0</v>
      </c>
      <c r="AG2138" s="86" t="s">
        <v>6240</v>
      </c>
      <c r="AH2138" s="81" t="b">
        <v>0</v>
      </c>
      <c r="AI2138" s="81" t="s">
        <v>6479</v>
      </c>
      <c r="AJ2138" s="81"/>
      <c r="AK2138" s="86" t="s">
        <v>6240</v>
      </c>
      <c r="AL2138" s="81" t="b">
        <v>0</v>
      </c>
      <c r="AM2138" s="81">
        <v>0</v>
      </c>
      <c r="AN2138" s="86" t="s">
        <v>6240</v>
      </c>
      <c r="AO2138" s="86" t="s">
        <v>6506</v>
      </c>
      <c r="AP2138" s="81" t="b">
        <v>0</v>
      </c>
      <c r="AQ2138" s="86" t="s">
        <v>5821</v>
      </c>
      <c r="AR2138" s="81" t="s">
        <v>179</v>
      </c>
      <c r="AS2138" s="81">
        <v>0</v>
      </c>
      <c r="AT2138" s="81">
        <v>0</v>
      </c>
      <c r="AU2138" s="81"/>
      <c r="AV2138" s="81"/>
      <c r="AW2138" s="81"/>
      <c r="AX2138" s="81"/>
      <c r="AY2138" s="81"/>
      <c r="AZ2138" s="81"/>
      <c r="BA2138" s="81"/>
      <c r="BB2138" s="81"/>
    </row>
    <row r="2139" spans="1:54" x14ac:dyDescent="0.35">
      <c r="A2139" s="66" t="s">
        <v>1269</v>
      </c>
      <c r="B2139" s="66" t="s">
        <v>1269</v>
      </c>
      <c r="C2139" s="67"/>
      <c r="D2139" s="68"/>
      <c r="E2139" s="69"/>
      <c r="F2139" s="70"/>
      <c r="G2139" s="67"/>
      <c r="H2139" s="71"/>
      <c r="I2139" s="72"/>
      <c r="J2139" s="72"/>
      <c r="K2139" s="36"/>
      <c r="L2139" s="79"/>
      <c r="M2139" s="79"/>
      <c r="N2139" s="74"/>
      <c r="O2139" s="81" t="s">
        <v>179</v>
      </c>
      <c r="P2139" s="83">
        <v>44464.073263888888</v>
      </c>
      <c r="Q2139" s="81" t="s">
        <v>2514</v>
      </c>
      <c r="R2139" s="81"/>
      <c r="S2139" s="81"/>
      <c r="T2139" s="81"/>
      <c r="U2139" s="81"/>
      <c r="V2139" s="84" t="str">
        <f>HYPERLINK("https://pbs.twimg.com/profile_images/378800000705328795/304bfd91ee90011498fd092cc79a423e_normal.jpeg")</f>
        <v>https://pbs.twimg.com/profile_images/378800000705328795/304bfd91ee90011498fd092cc79a423e_normal.jpeg</v>
      </c>
      <c r="W2139" s="83">
        <v>44464.073263888888</v>
      </c>
      <c r="X2139" s="89">
        <v>44464</v>
      </c>
      <c r="Y2139" s="86" t="s">
        <v>4144</v>
      </c>
      <c r="Z2139" s="84" t="str">
        <f>HYPERLINK("https://twitter.com/pos_indonesia/status/1441579584546242571")</f>
        <v>https://twitter.com/pos_indonesia/status/1441579584546242571</v>
      </c>
      <c r="AA2139" s="81"/>
      <c r="AB2139" s="81"/>
      <c r="AC2139" s="86" t="s">
        <v>5822</v>
      </c>
      <c r="AD2139" s="81"/>
      <c r="AE2139" s="81" t="b">
        <v>0</v>
      </c>
      <c r="AF2139" s="81">
        <v>0</v>
      </c>
      <c r="AG2139" s="86" t="s">
        <v>6240</v>
      </c>
      <c r="AH2139" s="81" t="b">
        <v>0</v>
      </c>
      <c r="AI2139" s="81" t="s">
        <v>6479</v>
      </c>
      <c r="AJ2139" s="81"/>
      <c r="AK2139" s="86" t="s">
        <v>6240</v>
      </c>
      <c r="AL2139" s="81" t="b">
        <v>0</v>
      </c>
      <c r="AM2139" s="81">
        <v>0</v>
      </c>
      <c r="AN2139" s="86" t="s">
        <v>6240</v>
      </c>
      <c r="AO2139" s="86" t="s">
        <v>6506</v>
      </c>
      <c r="AP2139" s="81" t="b">
        <v>0</v>
      </c>
      <c r="AQ2139" s="86" t="s">
        <v>5822</v>
      </c>
      <c r="AR2139" s="81" t="s">
        <v>179</v>
      </c>
      <c r="AS2139" s="81">
        <v>0</v>
      </c>
      <c r="AT2139" s="81">
        <v>0</v>
      </c>
      <c r="AU2139" s="81"/>
      <c r="AV2139" s="81"/>
      <c r="AW2139" s="81"/>
      <c r="AX2139" s="81"/>
      <c r="AY2139" s="81"/>
      <c r="AZ2139" s="81"/>
      <c r="BA2139" s="81"/>
      <c r="BB2139" s="81"/>
    </row>
    <row r="2140" spans="1:54" x14ac:dyDescent="0.35">
      <c r="A2140" s="66" t="s">
        <v>1269</v>
      </c>
      <c r="B2140" s="66" t="s">
        <v>1269</v>
      </c>
      <c r="C2140" s="67"/>
      <c r="D2140" s="68"/>
      <c r="E2140" s="69"/>
      <c r="F2140" s="70"/>
      <c r="G2140" s="67"/>
      <c r="H2140" s="71"/>
      <c r="I2140" s="72"/>
      <c r="J2140" s="72"/>
      <c r="K2140" s="36"/>
      <c r="L2140" s="79"/>
      <c r="M2140" s="79"/>
      <c r="N2140" s="74"/>
      <c r="O2140" s="81" t="s">
        <v>179</v>
      </c>
      <c r="P2140" s="83">
        <v>44464.09412037037</v>
      </c>
      <c r="Q2140" s="81" t="s">
        <v>2401</v>
      </c>
      <c r="R2140" s="81"/>
      <c r="S2140" s="81"/>
      <c r="T2140" s="81"/>
      <c r="U2140" s="81"/>
      <c r="V2140" s="84" t="str">
        <f>HYPERLINK("https://pbs.twimg.com/profile_images/378800000705328795/304bfd91ee90011498fd092cc79a423e_normal.jpeg")</f>
        <v>https://pbs.twimg.com/profile_images/378800000705328795/304bfd91ee90011498fd092cc79a423e_normal.jpeg</v>
      </c>
      <c r="W2140" s="83">
        <v>44464.09412037037</v>
      </c>
      <c r="X2140" s="89">
        <v>44464</v>
      </c>
      <c r="Y2140" s="86" t="s">
        <v>4170</v>
      </c>
      <c r="Z2140" s="84" t="str">
        <f>HYPERLINK("https://twitter.com/pos_indonesia/status/1441587142472265735")</f>
        <v>https://twitter.com/pos_indonesia/status/1441587142472265735</v>
      </c>
      <c r="AA2140" s="81"/>
      <c r="AB2140" s="81"/>
      <c r="AC2140" s="86" t="s">
        <v>5823</v>
      </c>
      <c r="AD2140" s="81"/>
      <c r="AE2140" s="81" t="b">
        <v>0</v>
      </c>
      <c r="AF2140" s="81">
        <v>0</v>
      </c>
      <c r="AG2140" s="86" t="s">
        <v>6240</v>
      </c>
      <c r="AH2140" s="81" t="b">
        <v>0</v>
      </c>
      <c r="AI2140" s="81" t="s">
        <v>6479</v>
      </c>
      <c r="AJ2140" s="81"/>
      <c r="AK2140" s="86" t="s">
        <v>6240</v>
      </c>
      <c r="AL2140" s="81" t="b">
        <v>0</v>
      </c>
      <c r="AM2140" s="81">
        <v>0</v>
      </c>
      <c r="AN2140" s="86" t="s">
        <v>6240</v>
      </c>
      <c r="AO2140" s="86" t="s">
        <v>6506</v>
      </c>
      <c r="AP2140" s="81" t="b">
        <v>0</v>
      </c>
      <c r="AQ2140" s="86" t="s">
        <v>5823</v>
      </c>
      <c r="AR2140" s="81" t="s">
        <v>179</v>
      </c>
      <c r="AS2140" s="81">
        <v>0</v>
      </c>
      <c r="AT2140" s="81">
        <v>0</v>
      </c>
      <c r="AU2140" s="81"/>
      <c r="AV2140" s="81"/>
      <c r="AW2140" s="81"/>
      <c r="AX2140" s="81"/>
      <c r="AY2140" s="81"/>
      <c r="AZ2140" s="81"/>
      <c r="BA2140" s="81"/>
      <c r="BB2140" s="81"/>
    </row>
    <row r="2141" spans="1:54" x14ac:dyDescent="0.35">
      <c r="A2141" s="66" t="s">
        <v>1269</v>
      </c>
      <c r="B2141" s="66" t="s">
        <v>1269</v>
      </c>
      <c r="C2141" s="67"/>
      <c r="D2141" s="68"/>
      <c r="E2141" s="69"/>
      <c r="F2141" s="70"/>
      <c r="G2141" s="67"/>
      <c r="H2141" s="71"/>
      <c r="I2141" s="72"/>
      <c r="J2141" s="72"/>
      <c r="K2141" s="36"/>
      <c r="L2141" s="79"/>
      <c r="M2141" s="79"/>
      <c r="N2141" s="74"/>
      <c r="O2141" s="81" t="s">
        <v>179</v>
      </c>
      <c r="P2141" s="83">
        <v>44464.114953703705</v>
      </c>
      <c r="Q2141" s="81" t="s">
        <v>2458</v>
      </c>
      <c r="R2141" s="81"/>
      <c r="S2141" s="81"/>
      <c r="T2141" s="81"/>
      <c r="U2141" s="81"/>
      <c r="V2141" s="84" t="str">
        <f>HYPERLINK("https://pbs.twimg.com/profile_images/378800000705328795/304bfd91ee90011498fd092cc79a423e_normal.jpeg")</f>
        <v>https://pbs.twimg.com/profile_images/378800000705328795/304bfd91ee90011498fd092cc79a423e_normal.jpeg</v>
      </c>
      <c r="W2141" s="83">
        <v>44464.114953703705</v>
      </c>
      <c r="X2141" s="89">
        <v>44464</v>
      </c>
      <c r="Y2141" s="86" t="s">
        <v>4171</v>
      </c>
      <c r="Z2141" s="84" t="str">
        <f>HYPERLINK("https://twitter.com/pos_indonesia/status/1441594690067783694")</f>
        <v>https://twitter.com/pos_indonesia/status/1441594690067783694</v>
      </c>
      <c r="AA2141" s="81"/>
      <c r="AB2141" s="81"/>
      <c r="AC2141" s="86" t="s">
        <v>5824</v>
      </c>
      <c r="AD2141" s="81"/>
      <c r="AE2141" s="81" t="b">
        <v>0</v>
      </c>
      <c r="AF2141" s="81">
        <v>0</v>
      </c>
      <c r="AG2141" s="86" t="s">
        <v>6240</v>
      </c>
      <c r="AH2141" s="81" t="b">
        <v>0</v>
      </c>
      <c r="AI2141" s="81" t="s">
        <v>6479</v>
      </c>
      <c r="AJ2141" s="81"/>
      <c r="AK2141" s="86" t="s">
        <v>6240</v>
      </c>
      <c r="AL2141" s="81" t="b">
        <v>0</v>
      </c>
      <c r="AM2141" s="81">
        <v>0</v>
      </c>
      <c r="AN2141" s="86" t="s">
        <v>6240</v>
      </c>
      <c r="AO2141" s="86" t="s">
        <v>6506</v>
      </c>
      <c r="AP2141" s="81" t="b">
        <v>0</v>
      </c>
      <c r="AQ2141" s="86" t="s">
        <v>5824</v>
      </c>
      <c r="AR2141" s="81" t="s">
        <v>179</v>
      </c>
      <c r="AS2141" s="81">
        <v>0</v>
      </c>
      <c r="AT2141" s="81">
        <v>0</v>
      </c>
      <c r="AU2141" s="81"/>
      <c r="AV2141" s="81"/>
      <c r="AW2141" s="81"/>
      <c r="AX2141" s="81"/>
      <c r="AY2141" s="81"/>
      <c r="AZ2141" s="81"/>
      <c r="BA2141" s="81"/>
      <c r="BB2141" s="81"/>
    </row>
    <row r="2142" spans="1:54" x14ac:dyDescent="0.35">
      <c r="A2142" s="66" t="s">
        <v>1269</v>
      </c>
      <c r="B2142" s="66" t="s">
        <v>1269</v>
      </c>
      <c r="C2142" s="67"/>
      <c r="D2142" s="68"/>
      <c r="E2142" s="69"/>
      <c r="F2142" s="70"/>
      <c r="G2142" s="67"/>
      <c r="H2142" s="71"/>
      <c r="I2142" s="72"/>
      <c r="J2142" s="72"/>
      <c r="K2142" s="36"/>
      <c r="L2142" s="79"/>
      <c r="M2142" s="79"/>
      <c r="N2142" s="74"/>
      <c r="O2142" s="81" t="s">
        <v>179</v>
      </c>
      <c r="P2142" s="83">
        <v>44464.135775462964</v>
      </c>
      <c r="Q2142" s="81" t="s">
        <v>2305</v>
      </c>
      <c r="R2142" s="81"/>
      <c r="S2142" s="81"/>
      <c r="T2142" s="81"/>
      <c r="U2142" s="81"/>
      <c r="V2142" s="84" t="str">
        <f>HYPERLINK("https://pbs.twimg.com/profile_images/378800000705328795/304bfd91ee90011498fd092cc79a423e_normal.jpeg")</f>
        <v>https://pbs.twimg.com/profile_images/378800000705328795/304bfd91ee90011498fd092cc79a423e_normal.jpeg</v>
      </c>
      <c r="W2142" s="83">
        <v>44464.135775462964</v>
      </c>
      <c r="X2142" s="89">
        <v>44464</v>
      </c>
      <c r="Y2142" s="86" t="s">
        <v>4172</v>
      </c>
      <c r="Z2142" s="84" t="str">
        <f>HYPERLINK("https://twitter.com/pos_indonesia/status/1441602237441064963")</f>
        <v>https://twitter.com/pos_indonesia/status/1441602237441064963</v>
      </c>
      <c r="AA2142" s="81"/>
      <c r="AB2142" s="81"/>
      <c r="AC2142" s="86" t="s">
        <v>5825</v>
      </c>
      <c r="AD2142" s="81"/>
      <c r="AE2142" s="81" t="b">
        <v>0</v>
      </c>
      <c r="AF2142" s="81">
        <v>0</v>
      </c>
      <c r="AG2142" s="86" t="s">
        <v>6240</v>
      </c>
      <c r="AH2142" s="81" t="b">
        <v>0</v>
      </c>
      <c r="AI2142" s="81" t="s">
        <v>6479</v>
      </c>
      <c r="AJ2142" s="81"/>
      <c r="AK2142" s="86" t="s">
        <v>6240</v>
      </c>
      <c r="AL2142" s="81" t="b">
        <v>0</v>
      </c>
      <c r="AM2142" s="81">
        <v>0</v>
      </c>
      <c r="AN2142" s="86" t="s">
        <v>6240</v>
      </c>
      <c r="AO2142" s="86" t="s">
        <v>6506</v>
      </c>
      <c r="AP2142" s="81" t="b">
        <v>0</v>
      </c>
      <c r="AQ2142" s="86" t="s">
        <v>5825</v>
      </c>
      <c r="AR2142" s="81" t="s">
        <v>179</v>
      </c>
      <c r="AS2142" s="81">
        <v>0</v>
      </c>
      <c r="AT2142" s="81">
        <v>0</v>
      </c>
      <c r="AU2142" s="81"/>
      <c r="AV2142" s="81"/>
      <c r="AW2142" s="81"/>
      <c r="AX2142" s="81"/>
      <c r="AY2142" s="81"/>
      <c r="AZ2142" s="81"/>
      <c r="BA2142" s="81"/>
      <c r="BB2142" s="81"/>
    </row>
    <row r="2143" spans="1:54" x14ac:dyDescent="0.35">
      <c r="A2143" s="66" t="s">
        <v>1269</v>
      </c>
      <c r="B2143" s="66" t="s">
        <v>1269</v>
      </c>
      <c r="C2143" s="67"/>
      <c r="D2143" s="68"/>
      <c r="E2143" s="69"/>
      <c r="F2143" s="70"/>
      <c r="G2143" s="67"/>
      <c r="H2143" s="71"/>
      <c r="I2143" s="72"/>
      <c r="J2143" s="72"/>
      <c r="K2143" s="36"/>
      <c r="L2143" s="79"/>
      <c r="M2143" s="79"/>
      <c r="N2143" s="74"/>
      <c r="O2143" s="81" t="s">
        <v>179</v>
      </c>
      <c r="P2143" s="83">
        <v>44464.156597222223</v>
      </c>
      <c r="Q2143" s="81" t="s">
        <v>2380</v>
      </c>
      <c r="R2143" s="81"/>
      <c r="S2143" s="81"/>
      <c r="T2143" s="81"/>
      <c r="U2143" s="81"/>
      <c r="V2143" s="84" t="str">
        <f>HYPERLINK("https://pbs.twimg.com/profile_images/378800000705328795/304bfd91ee90011498fd092cc79a423e_normal.jpeg")</f>
        <v>https://pbs.twimg.com/profile_images/378800000705328795/304bfd91ee90011498fd092cc79a423e_normal.jpeg</v>
      </c>
      <c r="W2143" s="83">
        <v>44464.156597222223</v>
      </c>
      <c r="X2143" s="89">
        <v>44464</v>
      </c>
      <c r="Y2143" s="86" t="s">
        <v>4075</v>
      </c>
      <c r="Z2143" s="84" t="str">
        <f>HYPERLINK("https://twitter.com/pos_indonesia/status/1441609783702798344")</f>
        <v>https://twitter.com/pos_indonesia/status/1441609783702798344</v>
      </c>
      <c r="AA2143" s="81"/>
      <c r="AB2143" s="81"/>
      <c r="AC2143" s="86" t="s">
        <v>5826</v>
      </c>
      <c r="AD2143" s="81"/>
      <c r="AE2143" s="81" t="b">
        <v>0</v>
      </c>
      <c r="AF2143" s="81">
        <v>0</v>
      </c>
      <c r="AG2143" s="86" t="s">
        <v>6240</v>
      </c>
      <c r="AH2143" s="81" t="b">
        <v>0</v>
      </c>
      <c r="AI2143" s="81" t="s">
        <v>6479</v>
      </c>
      <c r="AJ2143" s="81"/>
      <c r="AK2143" s="86" t="s">
        <v>6240</v>
      </c>
      <c r="AL2143" s="81" t="b">
        <v>0</v>
      </c>
      <c r="AM2143" s="81">
        <v>0</v>
      </c>
      <c r="AN2143" s="86" t="s">
        <v>6240</v>
      </c>
      <c r="AO2143" s="86" t="s">
        <v>6506</v>
      </c>
      <c r="AP2143" s="81" t="b">
        <v>0</v>
      </c>
      <c r="AQ2143" s="86" t="s">
        <v>5826</v>
      </c>
      <c r="AR2143" s="81" t="s">
        <v>179</v>
      </c>
      <c r="AS2143" s="81">
        <v>0</v>
      </c>
      <c r="AT2143" s="81">
        <v>0</v>
      </c>
      <c r="AU2143" s="81"/>
      <c r="AV2143" s="81"/>
      <c r="AW2143" s="81"/>
      <c r="AX2143" s="81"/>
      <c r="AY2143" s="81"/>
      <c r="AZ2143" s="81"/>
      <c r="BA2143" s="81"/>
      <c r="BB2143" s="81"/>
    </row>
    <row r="2144" spans="1:54" x14ac:dyDescent="0.35">
      <c r="A2144" s="66" t="s">
        <v>1269</v>
      </c>
      <c r="B2144" s="66" t="s">
        <v>1269</v>
      </c>
      <c r="C2144" s="67"/>
      <c r="D2144" s="68"/>
      <c r="E2144" s="69"/>
      <c r="F2144" s="70"/>
      <c r="G2144" s="67"/>
      <c r="H2144" s="71"/>
      <c r="I2144" s="72"/>
      <c r="J2144" s="72"/>
      <c r="K2144" s="36"/>
      <c r="L2144" s="79"/>
      <c r="M2144" s="79"/>
      <c r="N2144" s="74"/>
      <c r="O2144" s="81" t="s">
        <v>179</v>
      </c>
      <c r="P2144" s="83">
        <v>44464.177442129629</v>
      </c>
      <c r="Q2144" s="81" t="s">
        <v>2406</v>
      </c>
      <c r="R2144" s="81"/>
      <c r="S2144" s="81"/>
      <c r="T2144" s="81"/>
      <c r="U2144" s="81"/>
      <c r="V2144" s="84" t="str">
        <f>HYPERLINK("https://pbs.twimg.com/profile_images/378800000705328795/304bfd91ee90011498fd092cc79a423e_normal.jpeg")</f>
        <v>https://pbs.twimg.com/profile_images/378800000705328795/304bfd91ee90011498fd092cc79a423e_normal.jpeg</v>
      </c>
      <c r="W2144" s="83">
        <v>44464.177442129629</v>
      </c>
      <c r="X2144" s="89">
        <v>44464</v>
      </c>
      <c r="Y2144" s="86" t="s">
        <v>4173</v>
      </c>
      <c r="Z2144" s="84" t="str">
        <f>HYPERLINK("https://twitter.com/pos_indonesia/status/1441617334746030081")</f>
        <v>https://twitter.com/pos_indonesia/status/1441617334746030081</v>
      </c>
      <c r="AA2144" s="81"/>
      <c r="AB2144" s="81"/>
      <c r="AC2144" s="86" t="s">
        <v>5827</v>
      </c>
      <c r="AD2144" s="81"/>
      <c r="AE2144" s="81" t="b">
        <v>0</v>
      </c>
      <c r="AF2144" s="81">
        <v>0</v>
      </c>
      <c r="AG2144" s="86" t="s">
        <v>6240</v>
      </c>
      <c r="AH2144" s="81" t="b">
        <v>0</v>
      </c>
      <c r="AI2144" s="81" t="s">
        <v>6479</v>
      </c>
      <c r="AJ2144" s="81"/>
      <c r="AK2144" s="86" t="s">
        <v>6240</v>
      </c>
      <c r="AL2144" s="81" t="b">
        <v>0</v>
      </c>
      <c r="AM2144" s="81">
        <v>0</v>
      </c>
      <c r="AN2144" s="86" t="s">
        <v>6240</v>
      </c>
      <c r="AO2144" s="86" t="s">
        <v>6506</v>
      </c>
      <c r="AP2144" s="81" t="b">
        <v>0</v>
      </c>
      <c r="AQ2144" s="86" t="s">
        <v>5827</v>
      </c>
      <c r="AR2144" s="81" t="s">
        <v>179</v>
      </c>
      <c r="AS2144" s="81">
        <v>0</v>
      </c>
      <c r="AT2144" s="81">
        <v>0</v>
      </c>
      <c r="AU2144" s="81"/>
      <c r="AV2144" s="81"/>
      <c r="AW2144" s="81"/>
      <c r="AX2144" s="81"/>
      <c r="AY2144" s="81"/>
      <c r="AZ2144" s="81"/>
      <c r="BA2144" s="81"/>
      <c r="BB2144" s="81"/>
    </row>
    <row r="2145" spans="1:54" x14ac:dyDescent="0.35">
      <c r="A2145" s="66" t="s">
        <v>1269</v>
      </c>
      <c r="B2145" s="66" t="s">
        <v>1269</v>
      </c>
      <c r="C2145" s="67"/>
      <c r="D2145" s="68"/>
      <c r="E2145" s="69"/>
      <c r="F2145" s="70"/>
      <c r="G2145" s="67"/>
      <c r="H2145" s="71"/>
      <c r="I2145" s="72"/>
      <c r="J2145" s="72"/>
      <c r="K2145" s="36"/>
      <c r="L2145" s="79"/>
      <c r="M2145" s="79"/>
      <c r="N2145" s="74"/>
      <c r="O2145" s="81" t="s">
        <v>179</v>
      </c>
      <c r="P2145" s="83">
        <v>44464.198287037034</v>
      </c>
      <c r="Q2145" s="81" t="s">
        <v>2515</v>
      </c>
      <c r="R2145" s="81"/>
      <c r="S2145" s="81"/>
      <c r="T2145" s="81"/>
      <c r="U2145" s="81"/>
      <c r="V2145" s="84" t="str">
        <f>HYPERLINK("https://pbs.twimg.com/profile_images/378800000705328795/304bfd91ee90011498fd092cc79a423e_normal.jpeg")</f>
        <v>https://pbs.twimg.com/profile_images/378800000705328795/304bfd91ee90011498fd092cc79a423e_normal.jpeg</v>
      </c>
      <c r="W2145" s="83">
        <v>44464.198287037034</v>
      </c>
      <c r="X2145" s="89">
        <v>44464</v>
      </c>
      <c r="Y2145" s="86" t="s">
        <v>4174</v>
      </c>
      <c r="Z2145" s="84" t="str">
        <f>HYPERLINK("https://twitter.com/pos_indonesia/status/1441624891195752450")</f>
        <v>https://twitter.com/pos_indonesia/status/1441624891195752450</v>
      </c>
      <c r="AA2145" s="81"/>
      <c r="AB2145" s="81"/>
      <c r="AC2145" s="86" t="s">
        <v>5828</v>
      </c>
      <c r="AD2145" s="81"/>
      <c r="AE2145" s="81" t="b">
        <v>0</v>
      </c>
      <c r="AF2145" s="81">
        <v>0</v>
      </c>
      <c r="AG2145" s="86" t="s">
        <v>6240</v>
      </c>
      <c r="AH2145" s="81" t="b">
        <v>0</v>
      </c>
      <c r="AI2145" s="81" t="s">
        <v>6479</v>
      </c>
      <c r="AJ2145" s="81"/>
      <c r="AK2145" s="86" t="s">
        <v>6240</v>
      </c>
      <c r="AL2145" s="81" t="b">
        <v>0</v>
      </c>
      <c r="AM2145" s="81">
        <v>0</v>
      </c>
      <c r="AN2145" s="86" t="s">
        <v>6240</v>
      </c>
      <c r="AO2145" s="86" t="s">
        <v>6506</v>
      </c>
      <c r="AP2145" s="81" t="b">
        <v>0</v>
      </c>
      <c r="AQ2145" s="86" t="s">
        <v>5828</v>
      </c>
      <c r="AR2145" s="81" t="s">
        <v>179</v>
      </c>
      <c r="AS2145" s="81">
        <v>0</v>
      </c>
      <c r="AT2145" s="81">
        <v>0</v>
      </c>
      <c r="AU2145" s="81"/>
      <c r="AV2145" s="81"/>
      <c r="AW2145" s="81"/>
      <c r="AX2145" s="81"/>
      <c r="AY2145" s="81"/>
      <c r="AZ2145" s="81"/>
      <c r="BA2145" s="81"/>
      <c r="BB2145" s="81"/>
    </row>
    <row r="2146" spans="1:54" x14ac:dyDescent="0.35">
      <c r="A2146" s="66" t="s">
        <v>1269</v>
      </c>
      <c r="B2146" s="66" t="s">
        <v>1269</v>
      </c>
      <c r="C2146" s="67"/>
      <c r="D2146" s="68"/>
      <c r="E2146" s="69"/>
      <c r="F2146" s="70"/>
      <c r="G2146" s="67"/>
      <c r="H2146" s="71"/>
      <c r="I2146" s="72"/>
      <c r="J2146" s="72"/>
      <c r="K2146" s="36"/>
      <c r="L2146" s="79"/>
      <c r="M2146" s="79"/>
      <c r="N2146" s="74"/>
      <c r="O2146" s="81" t="s">
        <v>179</v>
      </c>
      <c r="P2146" s="83">
        <v>44464.219131944446</v>
      </c>
      <c r="Q2146" s="81" t="s">
        <v>2516</v>
      </c>
      <c r="R2146" s="81"/>
      <c r="S2146" s="81"/>
      <c r="T2146" s="81"/>
      <c r="U2146" s="81"/>
      <c r="V2146" s="84" t="str">
        <f>HYPERLINK("https://pbs.twimg.com/profile_images/378800000705328795/304bfd91ee90011498fd092cc79a423e_normal.jpeg")</f>
        <v>https://pbs.twimg.com/profile_images/378800000705328795/304bfd91ee90011498fd092cc79a423e_normal.jpeg</v>
      </c>
      <c r="W2146" s="83">
        <v>44464.219131944446</v>
      </c>
      <c r="X2146" s="89">
        <v>44464</v>
      </c>
      <c r="Y2146" s="86" t="s">
        <v>4111</v>
      </c>
      <c r="Z2146" s="84" t="str">
        <f>HYPERLINK("https://twitter.com/pos_indonesia/status/1441632444906545161")</f>
        <v>https://twitter.com/pos_indonesia/status/1441632444906545161</v>
      </c>
      <c r="AA2146" s="81"/>
      <c r="AB2146" s="81"/>
      <c r="AC2146" s="86" t="s">
        <v>5829</v>
      </c>
      <c r="AD2146" s="81"/>
      <c r="AE2146" s="81" t="b">
        <v>0</v>
      </c>
      <c r="AF2146" s="81">
        <v>0</v>
      </c>
      <c r="AG2146" s="86" t="s">
        <v>6240</v>
      </c>
      <c r="AH2146" s="81" t="b">
        <v>0</v>
      </c>
      <c r="AI2146" s="81" t="s">
        <v>6479</v>
      </c>
      <c r="AJ2146" s="81"/>
      <c r="AK2146" s="86" t="s">
        <v>6240</v>
      </c>
      <c r="AL2146" s="81" t="b">
        <v>0</v>
      </c>
      <c r="AM2146" s="81">
        <v>0</v>
      </c>
      <c r="AN2146" s="86" t="s">
        <v>6240</v>
      </c>
      <c r="AO2146" s="86" t="s">
        <v>6506</v>
      </c>
      <c r="AP2146" s="81" t="b">
        <v>0</v>
      </c>
      <c r="AQ2146" s="86" t="s">
        <v>5829</v>
      </c>
      <c r="AR2146" s="81" t="s">
        <v>179</v>
      </c>
      <c r="AS2146" s="81">
        <v>0</v>
      </c>
      <c r="AT2146" s="81">
        <v>0</v>
      </c>
      <c r="AU2146" s="81"/>
      <c r="AV2146" s="81"/>
      <c r="AW2146" s="81"/>
      <c r="AX2146" s="81"/>
      <c r="AY2146" s="81"/>
      <c r="AZ2146" s="81"/>
      <c r="BA2146" s="81"/>
      <c r="BB2146" s="81"/>
    </row>
    <row r="2147" spans="1:54" x14ac:dyDescent="0.35">
      <c r="A2147" s="66" t="s">
        <v>1269</v>
      </c>
      <c r="B2147" s="66" t="s">
        <v>1269</v>
      </c>
      <c r="C2147" s="67"/>
      <c r="D2147" s="68"/>
      <c r="E2147" s="69"/>
      <c r="F2147" s="70"/>
      <c r="G2147" s="67"/>
      <c r="H2147" s="71"/>
      <c r="I2147" s="72"/>
      <c r="J2147" s="72"/>
      <c r="K2147" s="36"/>
      <c r="L2147" s="79"/>
      <c r="M2147" s="79"/>
      <c r="N2147" s="74"/>
      <c r="O2147" s="81" t="s">
        <v>179</v>
      </c>
      <c r="P2147" s="83">
        <v>44464.239942129629</v>
      </c>
      <c r="Q2147" s="81" t="s">
        <v>2517</v>
      </c>
      <c r="R2147" s="81"/>
      <c r="S2147" s="81"/>
      <c r="T2147" s="81"/>
      <c r="U2147" s="81"/>
      <c r="V2147" s="84" t="str">
        <f>HYPERLINK("https://pbs.twimg.com/profile_images/378800000705328795/304bfd91ee90011498fd092cc79a423e_normal.jpeg")</f>
        <v>https://pbs.twimg.com/profile_images/378800000705328795/304bfd91ee90011498fd092cc79a423e_normal.jpeg</v>
      </c>
      <c r="W2147" s="83">
        <v>44464.239942129629</v>
      </c>
      <c r="X2147" s="89">
        <v>44464</v>
      </c>
      <c r="Y2147" s="86" t="s">
        <v>4175</v>
      </c>
      <c r="Z2147" s="84" t="str">
        <f>HYPERLINK("https://twitter.com/pos_indonesia/status/1441639985451470849")</f>
        <v>https://twitter.com/pos_indonesia/status/1441639985451470849</v>
      </c>
      <c r="AA2147" s="81"/>
      <c r="AB2147" s="81"/>
      <c r="AC2147" s="86" t="s">
        <v>5830</v>
      </c>
      <c r="AD2147" s="81"/>
      <c r="AE2147" s="81" t="b">
        <v>0</v>
      </c>
      <c r="AF2147" s="81">
        <v>0</v>
      </c>
      <c r="AG2147" s="86" t="s">
        <v>6240</v>
      </c>
      <c r="AH2147" s="81" t="b">
        <v>0</v>
      </c>
      <c r="AI2147" s="81" t="s">
        <v>6479</v>
      </c>
      <c r="AJ2147" s="81"/>
      <c r="AK2147" s="86" t="s">
        <v>6240</v>
      </c>
      <c r="AL2147" s="81" t="b">
        <v>0</v>
      </c>
      <c r="AM2147" s="81">
        <v>0</v>
      </c>
      <c r="AN2147" s="86" t="s">
        <v>6240</v>
      </c>
      <c r="AO2147" s="86" t="s">
        <v>6506</v>
      </c>
      <c r="AP2147" s="81" t="b">
        <v>0</v>
      </c>
      <c r="AQ2147" s="86" t="s">
        <v>5830</v>
      </c>
      <c r="AR2147" s="81" t="s">
        <v>179</v>
      </c>
      <c r="AS2147" s="81">
        <v>0</v>
      </c>
      <c r="AT2147" s="81">
        <v>0</v>
      </c>
      <c r="AU2147" s="81"/>
      <c r="AV2147" s="81"/>
      <c r="AW2147" s="81"/>
      <c r="AX2147" s="81"/>
      <c r="AY2147" s="81"/>
      <c r="AZ2147" s="81"/>
      <c r="BA2147" s="81"/>
      <c r="BB2147" s="81"/>
    </row>
    <row r="2148" spans="1:54" x14ac:dyDescent="0.35">
      <c r="A2148" s="66" t="s">
        <v>1269</v>
      </c>
      <c r="B2148" s="66" t="s">
        <v>1269</v>
      </c>
      <c r="C2148" s="67"/>
      <c r="D2148" s="68"/>
      <c r="E2148" s="69"/>
      <c r="F2148" s="70"/>
      <c r="G2148" s="67"/>
      <c r="H2148" s="71"/>
      <c r="I2148" s="72"/>
      <c r="J2148" s="72"/>
      <c r="K2148" s="36"/>
      <c r="L2148" s="79"/>
      <c r="M2148" s="79"/>
      <c r="N2148" s="74"/>
      <c r="O2148" s="81" t="s">
        <v>179</v>
      </c>
      <c r="P2148" s="83">
        <v>44464.260775462964</v>
      </c>
      <c r="Q2148" s="81" t="s">
        <v>2389</v>
      </c>
      <c r="R2148" s="81"/>
      <c r="S2148" s="81"/>
      <c r="T2148" s="81"/>
      <c r="U2148" s="81"/>
      <c r="V2148" s="84" t="str">
        <f>HYPERLINK("https://pbs.twimg.com/profile_images/378800000705328795/304bfd91ee90011498fd092cc79a423e_normal.jpeg")</f>
        <v>https://pbs.twimg.com/profile_images/378800000705328795/304bfd91ee90011498fd092cc79a423e_normal.jpeg</v>
      </c>
      <c r="W2148" s="83">
        <v>44464.260775462964</v>
      </c>
      <c r="X2148" s="89">
        <v>44464</v>
      </c>
      <c r="Y2148" s="86" t="s">
        <v>4176</v>
      </c>
      <c r="Z2148" s="84" t="str">
        <f>HYPERLINK("https://twitter.com/pos_indonesia/status/1441647535651573762")</f>
        <v>https://twitter.com/pos_indonesia/status/1441647535651573762</v>
      </c>
      <c r="AA2148" s="81"/>
      <c r="AB2148" s="81"/>
      <c r="AC2148" s="86" t="s">
        <v>5831</v>
      </c>
      <c r="AD2148" s="81"/>
      <c r="AE2148" s="81" t="b">
        <v>0</v>
      </c>
      <c r="AF2148" s="81">
        <v>0</v>
      </c>
      <c r="AG2148" s="86" t="s">
        <v>6240</v>
      </c>
      <c r="AH2148" s="81" t="b">
        <v>0</v>
      </c>
      <c r="AI2148" s="81" t="s">
        <v>6479</v>
      </c>
      <c r="AJ2148" s="81"/>
      <c r="AK2148" s="86" t="s">
        <v>6240</v>
      </c>
      <c r="AL2148" s="81" t="b">
        <v>0</v>
      </c>
      <c r="AM2148" s="81">
        <v>0</v>
      </c>
      <c r="AN2148" s="86" t="s">
        <v>6240</v>
      </c>
      <c r="AO2148" s="86" t="s">
        <v>6506</v>
      </c>
      <c r="AP2148" s="81" t="b">
        <v>0</v>
      </c>
      <c r="AQ2148" s="86" t="s">
        <v>5831</v>
      </c>
      <c r="AR2148" s="81" t="s">
        <v>179</v>
      </c>
      <c r="AS2148" s="81">
        <v>0</v>
      </c>
      <c r="AT2148" s="81">
        <v>0</v>
      </c>
      <c r="AU2148" s="81"/>
      <c r="AV2148" s="81"/>
      <c r="AW2148" s="81"/>
      <c r="AX2148" s="81"/>
      <c r="AY2148" s="81"/>
      <c r="AZ2148" s="81"/>
      <c r="BA2148" s="81"/>
      <c r="BB2148" s="81"/>
    </row>
    <row r="2149" spans="1:54" x14ac:dyDescent="0.35">
      <c r="A2149" s="66" t="s">
        <v>1269</v>
      </c>
      <c r="B2149" s="66" t="s">
        <v>1269</v>
      </c>
      <c r="C2149" s="67"/>
      <c r="D2149" s="68"/>
      <c r="E2149" s="69"/>
      <c r="F2149" s="70"/>
      <c r="G2149" s="67"/>
      <c r="H2149" s="71"/>
      <c r="I2149" s="72"/>
      <c r="J2149" s="72"/>
      <c r="K2149" s="36"/>
      <c r="L2149" s="79"/>
      <c r="M2149" s="79"/>
      <c r="N2149" s="74"/>
      <c r="O2149" s="81" t="s">
        <v>179</v>
      </c>
      <c r="P2149" s="83">
        <v>44464.281608796293</v>
      </c>
      <c r="Q2149" s="81" t="s">
        <v>2317</v>
      </c>
      <c r="R2149" s="84" t="str">
        <f>HYPERLINK("http://www.paketonlinestore.com")</f>
        <v>http://www.paketonlinestore.com</v>
      </c>
      <c r="S2149" s="81" t="s">
        <v>2654</v>
      </c>
      <c r="T2149" s="81"/>
      <c r="U2149" s="81"/>
      <c r="V2149" s="84" t="str">
        <f>HYPERLINK("https://pbs.twimg.com/profile_images/378800000705328795/304bfd91ee90011498fd092cc79a423e_normal.jpeg")</f>
        <v>https://pbs.twimg.com/profile_images/378800000705328795/304bfd91ee90011498fd092cc79a423e_normal.jpeg</v>
      </c>
      <c r="W2149" s="83">
        <v>44464.281608796293</v>
      </c>
      <c r="X2149" s="89">
        <v>44464</v>
      </c>
      <c r="Y2149" s="86" t="s">
        <v>3952</v>
      </c>
      <c r="Z2149" s="84" t="str">
        <f>HYPERLINK("https://twitter.com/pos_indonesia/status/1441655083838545927")</f>
        <v>https://twitter.com/pos_indonesia/status/1441655083838545927</v>
      </c>
      <c r="AA2149" s="81"/>
      <c r="AB2149" s="81"/>
      <c r="AC2149" s="86" t="s">
        <v>5832</v>
      </c>
      <c r="AD2149" s="81"/>
      <c r="AE2149" s="81" t="b">
        <v>0</v>
      </c>
      <c r="AF2149" s="81">
        <v>0</v>
      </c>
      <c r="AG2149" s="86" t="s">
        <v>6240</v>
      </c>
      <c r="AH2149" s="81" t="b">
        <v>0</v>
      </c>
      <c r="AI2149" s="81" t="s">
        <v>6478</v>
      </c>
      <c r="AJ2149" s="81"/>
      <c r="AK2149" s="86" t="s">
        <v>6240</v>
      </c>
      <c r="AL2149" s="81" t="b">
        <v>0</v>
      </c>
      <c r="AM2149" s="81">
        <v>0</v>
      </c>
      <c r="AN2149" s="86" t="s">
        <v>6240</v>
      </c>
      <c r="AO2149" s="86" t="s">
        <v>6506</v>
      </c>
      <c r="AP2149" s="81" t="b">
        <v>0</v>
      </c>
      <c r="AQ2149" s="86" t="s">
        <v>5832</v>
      </c>
      <c r="AR2149" s="81" t="s">
        <v>179</v>
      </c>
      <c r="AS2149" s="81">
        <v>0</v>
      </c>
      <c r="AT2149" s="81">
        <v>0</v>
      </c>
      <c r="AU2149" s="81"/>
      <c r="AV2149" s="81"/>
      <c r="AW2149" s="81"/>
      <c r="AX2149" s="81"/>
      <c r="AY2149" s="81"/>
      <c r="AZ2149" s="81"/>
      <c r="BA2149" s="81"/>
      <c r="BB2149" s="81"/>
    </row>
    <row r="2150" spans="1:54" x14ac:dyDescent="0.35">
      <c r="A2150" s="66" t="s">
        <v>1269</v>
      </c>
      <c r="B2150" s="66" t="s">
        <v>1269</v>
      </c>
      <c r="C2150" s="67"/>
      <c r="D2150" s="68"/>
      <c r="E2150" s="69"/>
      <c r="F2150" s="70"/>
      <c r="G2150" s="67"/>
      <c r="H2150" s="71"/>
      <c r="I2150" s="72"/>
      <c r="J2150" s="72"/>
      <c r="K2150" s="36"/>
      <c r="L2150" s="79"/>
      <c r="M2150" s="79"/>
      <c r="N2150" s="74"/>
      <c r="O2150" s="81" t="s">
        <v>179</v>
      </c>
      <c r="P2150" s="83">
        <v>44464.302453703705</v>
      </c>
      <c r="Q2150" s="81" t="s">
        <v>2344</v>
      </c>
      <c r="R2150" s="81"/>
      <c r="S2150" s="81"/>
      <c r="T2150" s="81"/>
      <c r="U2150" s="81"/>
      <c r="V2150" s="84" t="str">
        <f>HYPERLINK("https://pbs.twimg.com/profile_images/378800000705328795/304bfd91ee90011498fd092cc79a423e_normal.jpeg")</f>
        <v>https://pbs.twimg.com/profile_images/378800000705328795/304bfd91ee90011498fd092cc79a423e_normal.jpeg</v>
      </c>
      <c r="W2150" s="83">
        <v>44464.302453703705</v>
      </c>
      <c r="X2150" s="89">
        <v>44464</v>
      </c>
      <c r="Y2150" s="86" t="s">
        <v>3628</v>
      </c>
      <c r="Z2150" s="84" t="str">
        <f>HYPERLINK("https://twitter.com/pos_indonesia/status/1441662637943578626")</f>
        <v>https://twitter.com/pos_indonesia/status/1441662637943578626</v>
      </c>
      <c r="AA2150" s="81"/>
      <c r="AB2150" s="81"/>
      <c r="AC2150" s="86" t="s">
        <v>5833</v>
      </c>
      <c r="AD2150" s="81"/>
      <c r="AE2150" s="81" t="b">
        <v>0</v>
      </c>
      <c r="AF2150" s="81">
        <v>0</v>
      </c>
      <c r="AG2150" s="86" t="s">
        <v>6240</v>
      </c>
      <c r="AH2150" s="81" t="b">
        <v>0</v>
      </c>
      <c r="AI2150" s="81" t="s">
        <v>6479</v>
      </c>
      <c r="AJ2150" s="81"/>
      <c r="AK2150" s="86" t="s">
        <v>6240</v>
      </c>
      <c r="AL2150" s="81" t="b">
        <v>0</v>
      </c>
      <c r="AM2150" s="81">
        <v>0</v>
      </c>
      <c r="AN2150" s="86" t="s">
        <v>6240</v>
      </c>
      <c r="AO2150" s="86" t="s">
        <v>6506</v>
      </c>
      <c r="AP2150" s="81" t="b">
        <v>0</v>
      </c>
      <c r="AQ2150" s="86" t="s">
        <v>5833</v>
      </c>
      <c r="AR2150" s="81" t="s">
        <v>179</v>
      </c>
      <c r="AS2150" s="81">
        <v>0</v>
      </c>
      <c r="AT2150" s="81">
        <v>0</v>
      </c>
      <c r="AU2150" s="81"/>
      <c r="AV2150" s="81"/>
      <c r="AW2150" s="81"/>
      <c r="AX2150" s="81"/>
      <c r="AY2150" s="81"/>
      <c r="AZ2150" s="81"/>
      <c r="BA2150" s="81"/>
      <c r="BB2150" s="81"/>
    </row>
    <row r="2151" spans="1:54" x14ac:dyDescent="0.35">
      <c r="A2151" s="66" t="s">
        <v>1269</v>
      </c>
      <c r="B2151" s="66" t="s">
        <v>1269</v>
      </c>
      <c r="C2151" s="67"/>
      <c r="D2151" s="68"/>
      <c r="E2151" s="69"/>
      <c r="F2151" s="70"/>
      <c r="G2151" s="67"/>
      <c r="H2151" s="71"/>
      <c r="I2151" s="72"/>
      <c r="J2151" s="72"/>
      <c r="K2151" s="36"/>
      <c r="L2151" s="79"/>
      <c r="M2151" s="79"/>
      <c r="N2151" s="74"/>
      <c r="O2151" s="81" t="s">
        <v>179</v>
      </c>
      <c r="P2151" s="83">
        <v>44464.323287037034</v>
      </c>
      <c r="Q2151" s="81" t="s">
        <v>2297</v>
      </c>
      <c r="R2151" s="81"/>
      <c r="S2151" s="81"/>
      <c r="T2151" s="81"/>
      <c r="U2151" s="81"/>
      <c r="V2151" s="84" t="str">
        <f>HYPERLINK("https://pbs.twimg.com/profile_images/378800000705328795/304bfd91ee90011498fd092cc79a423e_normal.jpeg")</f>
        <v>https://pbs.twimg.com/profile_images/378800000705328795/304bfd91ee90011498fd092cc79a423e_normal.jpeg</v>
      </c>
      <c r="W2151" s="83">
        <v>44464.323287037034</v>
      </c>
      <c r="X2151" s="89">
        <v>44464</v>
      </c>
      <c r="Y2151" s="86" t="s">
        <v>4177</v>
      </c>
      <c r="Z2151" s="84" t="str">
        <f>HYPERLINK("https://twitter.com/pos_indonesia/status/1441670189444075522")</f>
        <v>https://twitter.com/pos_indonesia/status/1441670189444075522</v>
      </c>
      <c r="AA2151" s="81"/>
      <c r="AB2151" s="81"/>
      <c r="AC2151" s="86" t="s">
        <v>5834</v>
      </c>
      <c r="AD2151" s="81"/>
      <c r="AE2151" s="81" t="b">
        <v>0</v>
      </c>
      <c r="AF2151" s="81">
        <v>0</v>
      </c>
      <c r="AG2151" s="86" t="s">
        <v>6240</v>
      </c>
      <c r="AH2151" s="81" t="b">
        <v>0</v>
      </c>
      <c r="AI2151" s="81" t="s">
        <v>6479</v>
      </c>
      <c r="AJ2151" s="81"/>
      <c r="AK2151" s="86" t="s">
        <v>6240</v>
      </c>
      <c r="AL2151" s="81" t="b">
        <v>0</v>
      </c>
      <c r="AM2151" s="81">
        <v>0</v>
      </c>
      <c r="AN2151" s="86" t="s">
        <v>6240</v>
      </c>
      <c r="AO2151" s="86" t="s">
        <v>6506</v>
      </c>
      <c r="AP2151" s="81" t="b">
        <v>0</v>
      </c>
      <c r="AQ2151" s="86" t="s">
        <v>5834</v>
      </c>
      <c r="AR2151" s="81" t="s">
        <v>179</v>
      </c>
      <c r="AS2151" s="81">
        <v>0</v>
      </c>
      <c r="AT2151" s="81">
        <v>0</v>
      </c>
      <c r="AU2151" s="81"/>
      <c r="AV2151" s="81"/>
      <c r="AW2151" s="81"/>
      <c r="AX2151" s="81"/>
      <c r="AY2151" s="81"/>
      <c r="AZ2151" s="81"/>
      <c r="BA2151" s="81"/>
      <c r="BB2151" s="81"/>
    </row>
    <row r="2152" spans="1:54" x14ac:dyDescent="0.35">
      <c r="A2152" s="66" t="s">
        <v>1269</v>
      </c>
      <c r="B2152" s="66" t="s">
        <v>1269</v>
      </c>
      <c r="C2152" s="67"/>
      <c r="D2152" s="68"/>
      <c r="E2152" s="69"/>
      <c r="F2152" s="70"/>
      <c r="G2152" s="67"/>
      <c r="H2152" s="71"/>
      <c r="I2152" s="72"/>
      <c r="J2152" s="72"/>
      <c r="K2152" s="36"/>
      <c r="L2152" s="79"/>
      <c r="M2152" s="79"/>
      <c r="N2152" s="74"/>
      <c r="O2152" s="81" t="s">
        <v>179</v>
      </c>
      <c r="P2152" s="83">
        <v>44464.344108796293</v>
      </c>
      <c r="Q2152" s="81" t="s">
        <v>2393</v>
      </c>
      <c r="R2152" s="81"/>
      <c r="S2152" s="81"/>
      <c r="T2152" s="81"/>
      <c r="U2152" s="81"/>
      <c r="V2152" s="84" t="str">
        <f>HYPERLINK("https://pbs.twimg.com/profile_images/378800000705328795/304bfd91ee90011498fd092cc79a423e_normal.jpeg")</f>
        <v>https://pbs.twimg.com/profile_images/378800000705328795/304bfd91ee90011498fd092cc79a423e_normal.jpeg</v>
      </c>
      <c r="W2152" s="83">
        <v>44464.344108796293</v>
      </c>
      <c r="X2152" s="89">
        <v>44464</v>
      </c>
      <c r="Y2152" s="86" t="s">
        <v>4178</v>
      </c>
      <c r="Z2152" s="84" t="str">
        <f>HYPERLINK("https://twitter.com/pos_indonesia/status/1441677735831609345")</f>
        <v>https://twitter.com/pos_indonesia/status/1441677735831609345</v>
      </c>
      <c r="AA2152" s="81"/>
      <c r="AB2152" s="81"/>
      <c r="AC2152" s="86" t="s">
        <v>5835</v>
      </c>
      <c r="AD2152" s="81"/>
      <c r="AE2152" s="81" t="b">
        <v>0</v>
      </c>
      <c r="AF2152" s="81">
        <v>0</v>
      </c>
      <c r="AG2152" s="86" t="s">
        <v>6240</v>
      </c>
      <c r="AH2152" s="81" t="b">
        <v>0</v>
      </c>
      <c r="AI2152" s="81" t="s">
        <v>6479</v>
      </c>
      <c r="AJ2152" s="81"/>
      <c r="AK2152" s="86" t="s">
        <v>6240</v>
      </c>
      <c r="AL2152" s="81" t="b">
        <v>0</v>
      </c>
      <c r="AM2152" s="81">
        <v>0</v>
      </c>
      <c r="AN2152" s="86" t="s">
        <v>6240</v>
      </c>
      <c r="AO2152" s="86" t="s">
        <v>6506</v>
      </c>
      <c r="AP2152" s="81" t="b">
        <v>0</v>
      </c>
      <c r="AQ2152" s="86" t="s">
        <v>5835</v>
      </c>
      <c r="AR2152" s="81" t="s">
        <v>179</v>
      </c>
      <c r="AS2152" s="81">
        <v>0</v>
      </c>
      <c r="AT2152" s="81">
        <v>0</v>
      </c>
      <c r="AU2152" s="81"/>
      <c r="AV2152" s="81"/>
      <c r="AW2152" s="81"/>
      <c r="AX2152" s="81"/>
      <c r="AY2152" s="81"/>
      <c r="AZ2152" s="81"/>
      <c r="BA2152" s="81"/>
      <c r="BB2152" s="81"/>
    </row>
    <row r="2153" spans="1:54" x14ac:dyDescent="0.35">
      <c r="A2153" s="66" t="s">
        <v>1269</v>
      </c>
      <c r="B2153" s="66" t="s">
        <v>1269</v>
      </c>
      <c r="C2153" s="67"/>
      <c r="D2153" s="68"/>
      <c r="E2153" s="69"/>
      <c r="F2153" s="70"/>
      <c r="G2153" s="67"/>
      <c r="H2153" s="71"/>
      <c r="I2153" s="72"/>
      <c r="J2153" s="72"/>
      <c r="K2153" s="36"/>
      <c r="L2153" s="79"/>
      <c r="M2153" s="79"/>
      <c r="N2153" s="74"/>
      <c r="O2153" s="81" t="s">
        <v>179</v>
      </c>
      <c r="P2153" s="83">
        <v>44464.364965277775</v>
      </c>
      <c r="Q2153" s="81" t="s">
        <v>2500</v>
      </c>
      <c r="R2153" s="81"/>
      <c r="S2153" s="81"/>
      <c r="T2153" s="81"/>
      <c r="U2153" s="81"/>
      <c r="V2153" s="84" t="str">
        <f>HYPERLINK("https://pbs.twimg.com/profile_images/378800000705328795/304bfd91ee90011498fd092cc79a423e_normal.jpeg")</f>
        <v>https://pbs.twimg.com/profile_images/378800000705328795/304bfd91ee90011498fd092cc79a423e_normal.jpeg</v>
      </c>
      <c r="W2153" s="83">
        <v>44464.364965277775</v>
      </c>
      <c r="X2153" s="89">
        <v>44464</v>
      </c>
      <c r="Y2153" s="86" t="s">
        <v>4179</v>
      </c>
      <c r="Z2153" s="84" t="str">
        <f>HYPERLINK("https://twitter.com/pos_indonesia/status/1441685290490335238")</f>
        <v>https://twitter.com/pos_indonesia/status/1441685290490335238</v>
      </c>
      <c r="AA2153" s="81"/>
      <c r="AB2153" s="81"/>
      <c r="AC2153" s="86" t="s">
        <v>5836</v>
      </c>
      <c r="AD2153" s="81"/>
      <c r="AE2153" s="81" t="b">
        <v>0</v>
      </c>
      <c r="AF2153" s="81">
        <v>0</v>
      </c>
      <c r="AG2153" s="86" t="s">
        <v>6240</v>
      </c>
      <c r="AH2153" s="81" t="b">
        <v>0</v>
      </c>
      <c r="AI2153" s="81" t="s">
        <v>6479</v>
      </c>
      <c r="AJ2153" s="81"/>
      <c r="AK2153" s="86" t="s">
        <v>6240</v>
      </c>
      <c r="AL2153" s="81" t="b">
        <v>0</v>
      </c>
      <c r="AM2153" s="81">
        <v>0</v>
      </c>
      <c r="AN2153" s="86" t="s">
        <v>6240</v>
      </c>
      <c r="AO2153" s="86" t="s">
        <v>6506</v>
      </c>
      <c r="AP2153" s="81" t="b">
        <v>0</v>
      </c>
      <c r="AQ2153" s="86" t="s">
        <v>5836</v>
      </c>
      <c r="AR2153" s="81" t="s">
        <v>179</v>
      </c>
      <c r="AS2153" s="81">
        <v>0</v>
      </c>
      <c r="AT2153" s="81">
        <v>0</v>
      </c>
      <c r="AU2153" s="81"/>
      <c r="AV2153" s="81"/>
      <c r="AW2153" s="81"/>
      <c r="AX2153" s="81"/>
      <c r="AY2153" s="81"/>
      <c r="AZ2153" s="81"/>
      <c r="BA2153" s="81"/>
      <c r="BB2153" s="81"/>
    </row>
    <row r="2154" spans="1:54" x14ac:dyDescent="0.35">
      <c r="A2154" s="66" t="s">
        <v>1269</v>
      </c>
      <c r="B2154" s="66" t="s">
        <v>1269</v>
      </c>
      <c r="C2154" s="67"/>
      <c r="D2154" s="68"/>
      <c r="E2154" s="69"/>
      <c r="F2154" s="70"/>
      <c r="G2154" s="67"/>
      <c r="H2154" s="71"/>
      <c r="I2154" s="72"/>
      <c r="J2154" s="72"/>
      <c r="K2154" s="36"/>
      <c r="L2154" s="79"/>
      <c r="M2154" s="79"/>
      <c r="N2154" s="74"/>
      <c r="O2154" s="81" t="s">
        <v>179</v>
      </c>
      <c r="P2154" s="83">
        <v>44464.385787037034</v>
      </c>
      <c r="Q2154" s="81" t="s">
        <v>2490</v>
      </c>
      <c r="R2154" s="81"/>
      <c r="S2154" s="81"/>
      <c r="T2154" s="81"/>
      <c r="U2154" s="81"/>
      <c r="V2154" s="84" t="str">
        <f>HYPERLINK("https://pbs.twimg.com/profile_images/378800000705328795/304bfd91ee90011498fd092cc79a423e_normal.jpeg")</f>
        <v>https://pbs.twimg.com/profile_images/378800000705328795/304bfd91ee90011498fd092cc79a423e_normal.jpeg</v>
      </c>
      <c r="W2154" s="83">
        <v>44464.385787037034</v>
      </c>
      <c r="X2154" s="89">
        <v>44464</v>
      </c>
      <c r="Y2154" s="86" t="s">
        <v>4153</v>
      </c>
      <c r="Z2154" s="84" t="str">
        <f>HYPERLINK("https://twitter.com/pos_indonesia/status/1441692838106828813")</f>
        <v>https://twitter.com/pos_indonesia/status/1441692838106828813</v>
      </c>
      <c r="AA2154" s="81"/>
      <c r="AB2154" s="81"/>
      <c r="AC2154" s="86" t="s">
        <v>5837</v>
      </c>
      <c r="AD2154" s="81"/>
      <c r="AE2154" s="81" t="b">
        <v>0</v>
      </c>
      <c r="AF2154" s="81">
        <v>0</v>
      </c>
      <c r="AG2154" s="86" t="s">
        <v>6240</v>
      </c>
      <c r="AH2154" s="81" t="b">
        <v>0</v>
      </c>
      <c r="AI2154" s="81" t="s">
        <v>6479</v>
      </c>
      <c r="AJ2154" s="81"/>
      <c r="AK2154" s="86" t="s">
        <v>6240</v>
      </c>
      <c r="AL2154" s="81" t="b">
        <v>0</v>
      </c>
      <c r="AM2154" s="81">
        <v>0</v>
      </c>
      <c r="AN2154" s="86" t="s">
        <v>6240</v>
      </c>
      <c r="AO2154" s="86" t="s">
        <v>6506</v>
      </c>
      <c r="AP2154" s="81" t="b">
        <v>0</v>
      </c>
      <c r="AQ2154" s="86" t="s">
        <v>5837</v>
      </c>
      <c r="AR2154" s="81" t="s">
        <v>179</v>
      </c>
      <c r="AS2154" s="81">
        <v>0</v>
      </c>
      <c r="AT2154" s="81">
        <v>0</v>
      </c>
      <c r="AU2154" s="81"/>
      <c r="AV2154" s="81"/>
      <c r="AW2154" s="81"/>
      <c r="AX2154" s="81"/>
      <c r="AY2154" s="81"/>
      <c r="AZ2154" s="81"/>
      <c r="BA2154" s="81"/>
      <c r="BB2154" s="81"/>
    </row>
    <row r="2155" spans="1:54" x14ac:dyDescent="0.35">
      <c r="A2155" s="66" t="s">
        <v>1269</v>
      </c>
      <c r="B2155" s="66" t="s">
        <v>1269</v>
      </c>
      <c r="C2155" s="67"/>
      <c r="D2155" s="68"/>
      <c r="E2155" s="69"/>
      <c r="F2155" s="70"/>
      <c r="G2155" s="67"/>
      <c r="H2155" s="71"/>
      <c r="I2155" s="72"/>
      <c r="J2155" s="72"/>
      <c r="K2155" s="36"/>
      <c r="L2155" s="79"/>
      <c r="M2155" s="79"/>
      <c r="N2155" s="74"/>
      <c r="O2155" s="81" t="s">
        <v>179</v>
      </c>
      <c r="P2155" s="83">
        <v>44464.406597222223</v>
      </c>
      <c r="Q2155" s="81" t="s">
        <v>2518</v>
      </c>
      <c r="R2155" s="81"/>
      <c r="S2155" s="81"/>
      <c r="T2155" s="81"/>
      <c r="U2155" s="81"/>
      <c r="V2155" s="84" t="str">
        <f>HYPERLINK("https://pbs.twimg.com/profile_images/378800000705328795/304bfd91ee90011498fd092cc79a423e_normal.jpeg")</f>
        <v>https://pbs.twimg.com/profile_images/378800000705328795/304bfd91ee90011498fd092cc79a423e_normal.jpeg</v>
      </c>
      <c r="W2155" s="83">
        <v>44464.406597222223</v>
      </c>
      <c r="X2155" s="89">
        <v>44464</v>
      </c>
      <c r="Y2155" s="86" t="s">
        <v>4180</v>
      </c>
      <c r="Z2155" s="84" t="str">
        <f>HYPERLINK("https://twitter.com/pos_indonesia/status/1441700379478007809")</f>
        <v>https://twitter.com/pos_indonesia/status/1441700379478007809</v>
      </c>
      <c r="AA2155" s="81"/>
      <c r="AB2155" s="81"/>
      <c r="AC2155" s="86" t="s">
        <v>5838</v>
      </c>
      <c r="AD2155" s="81"/>
      <c r="AE2155" s="81" t="b">
        <v>0</v>
      </c>
      <c r="AF2155" s="81">
        <v>0</v>
      </c>
      <c r="AG2155" s="86" t="s">
        <v>6240</v>
      </c>
      <c r="AH2155" s="81" t="b">
        <v>0</v>
      </c>
      <c r="AI2155" s="81" t="s">
        <v>6479</v>
      </c>
      <c r="AJ2155" s="81"/>
      <c r="AK2155" s="86" t="s">
        <v>6240</v>
      </c>
      <c r="AL2155" s="81" t="b">
        <v>0</v>
      </c>
      <c r="AM2155" s="81">
        <v>0</v>
      </c>
      <c r="AN2155" s="86" t="s">
        <v>6240</v>
      </c>
      <c r="AO2155" s="86" t="s">
        <v>6506</v>
      </c>
      <c r="AP2155" s="81" t="b">
        <v>0</v>
      </c>
      <c r="AQ2155" s="86" t="s">
        <v>5838</v>
      </c>
      <c r="AR2155" s="81" t="s">
        <v>179</v>
      </c>
      <c r="AS2155" s="81">
        <v>0</v>
      </c>
      <c r="AT2155" s="81">
        <v>0</v>
      </c>
      <c r="AU2155" s="81"/>
      <c r="AV2155" s="81"/>
      <c r="AW2155" s="81"/>
      <c r="AX2155" s="81"/>
      <c r="AY2155" s="81"/>
      <c r="AZ2155" s="81"/>
      <c r="BA2155" s="81"/>
      <c r="BB2155" s="81"/>
    </row>
    <row r="2156" spans="1:54" x14ac:dyDescent="0.35">
      <c r="A2156" s="66" t="s">
        <v>1269</v>
      </c>
      <c r="B2156" s="66" t="s">
        <v>1269</v>
      </c>
      <c r="C2156" s="67"/>
      <c r="D2156" s="68"/>
      <c r="E2156" s="69"/>
      <c r="F2156" s="70"/>
      <c r="G2156" s="67"/>
      <c r="H2156" s="71"/>
      <c r="I2156" s="72"/>
      <c r="J2156" s="72"/>
      <c r="K2156" s="36"/>
      <c r="L2156" s="79"/>
      <c r="M2156" s="79"/>
      <c r="N2156" s="74"/>
      <c r="O2156" s="81" t="s">
        <v>179</v>
      </c>
      <c r="P2156" s="83">
        <v>44464.427453703705</v>
      </c>
      <c r="Q2156" s="81" t="s">
        <v>2398</v>
      </c>
      <c r="R2156" s="81"/>
      <c r="S2156" s="81"/>
      <c r="T2156" s="81"/>
      <c r="U2156" s="81"/>
      <c r="V2156" s="84" t="str">
        <f>HYPERLINK("https://pbs.twimg.com/profile_images/378800000705328795/304bfd91ee90011498fd092cc79a423e_normal.jpeg")</f>
        <v>https://pbs.twimg.com/profile_images/378800000705328795/304bfd91ee90011498fd092cc79a423e_normal.jpeg</v>
      </c>
      <c r="W2156" s="83">
        <v>44464.427453703705</v>
      </c>
      <c r="X2156" s="89">
        <v>44464</v>
      </c>
      <c r="Y2156" s="86" t="s">
        <v>4181</v>
      </c>
      <c r="Z2156" s="84" t="str">
        <f>HYPERLINK("https://twitter.com/pos_indonesia/status/1441707935952867332")</f>
        <v>https://twitter.com/pos_indonesia/status/1441707935952867332</v>
      </c>
      <c r="AA2156" s="81"/>
      <c r="AB2156" s="81"/>
      <c r="AC2156" s="86" t="s">
        <v>5839</v>
      </c>
      <c r="AD2156" s="81"/>
      <c r="AE2156" s="81" t="b">
        <v>0</v>
      </c>
      <c r="AF2156" s="81">
        <v>0</v>
      </c>
      <c r="AG2156" s="86" t="s">
        <v>6240</v>
      </c>
      <c r="AH2156" s="81" t="b">
        <v>0</v>
      </c>
      <c r="AI2156" s="81" t="s">
        <v>6479</v>
      </c>
      <c r="AJ2156" s="81"/>
      <c r="AK2156" s="86" t="s">
        <v>6240</v>
      </c>
      <c r="AL2156" s="81" t="b">
        <v>0</v>
      </c>
      <c r="AM2156" s="81">
        <v>0</v>
      </c>
      <c r="AN2156" s="86" t="s">
        <v>6240</v>
      </c>
      <c r="AO2156" s="86" t="s">
        <v>6506</v>
      </c>
      <c r="AP2156" s="81" t="b">
        <v>0</v>
      </c>
      <c r="AQ2156" s="86" t="s">
        <v>5839</v>
      </c>
      <c r="AR2156" s="81" t="s">
        <v>179</v>
      </c>
      <c r="AS2156" s="81">
        <v>0</v>
      </c>
      <c r="AT2156" s="81">
        <v>0</v>
      </c>
      <c r="AU2156" s="81"/>
      <c r="AV2156" s="81"/>
      <c r="AW2156" s="81"/>
      <c r="AX2156" s="81"/>
      <c r="AY2156" s="81"/>
      <c r="AZ2156" s="81"/>
      <c r="BA2156" s="81"/>
      <c r="BB2156" s="81"/>
    </row>
    <row r="2157" spans="1:54" x14ac:dyDescent="0.35">
      <c r="A2157" s="66" t="s">
        <v>1269</v>
      </c>
      <c r="B2157" s="66" t="s">
        <v>1269</v>
      </c>
      <c r="C2157" s="67"/>
      <c r="D2157" s="68"/>
      <c r="E2157" s="69"/>
      <c r="F2157" s="70"/>
      <c r="G2157" s="67"/>
      <c r="H2157" s="71"/>
      <c r="I2157" s="72"/>
      <c r="J2157" s="72"/>
      <c r="K2157" s="36"/>
      <c r="L2157" s="79"/>
      <c r="M2157" s="79"/>
      <c r="N2157" s="74"/>
      <c r="O2157" s="81" t="s">
        <v>179</v>
      </c>
      <c r="P2157" s="83">
        <v>44464.448275462964</v>
      </c>
      <c r="Q2157" s="81" t="s">
        <v>2350</v>
      </c>
      <c r="R2157" s="81"/>
      <c r="S2157" s="81"/>
      <c r="T2157" s="81"/>
      <c r="U2157" s="81"/>
      <c r="V2157" s="84" t="str">
        <f>HYPERLINK("https://pbs.twimg.com/profile_images/378800000705328795/304bfd91ee90011498fd092cc79a423e_normal.jpeg")</f>
        <v>https://pbs.twimg.com/profile_images/378800000705328795/304bfd91ee90011498fd092cc79a423e_normal.jpeg</v>
      </c>
      <c r="W2157" s="83">
        <v>44464.448275462964</v>
      </c>
      <c r="X2157" s="89">
        <v>44464</v>
      </c>
      <c r="Y2157" s="86" t="s">
        <v>4182</v>
      </c>
      <c r="Z2157" s="84" t="str">
        <f>HYPERLINK("https://twitter.com/pos_indonesia/status/1441715483837755400")</f>
        <v>https://twitter.com/pos_indonesia/status/1441715483837755400</v>
      </c>
      <c r="AA2157" s="81"/>
      <c r="AB2157" s="81"/>
      <c r="AC2157" s="86" t="s">
        <v>5840</v>
      </c>
      <c r="AD2157" s="81"/>
      <c r="AE2157" s="81" t="b">
        <v>0</v>
      </c>
      <c r="AF2157" s="81">
        <v>0</v>
      </c>
      <c r="AG2157" s="86" t="s">
        <v>6240</v>
      </c>
      <c r="AH2157" s="81" t="b">
        <v>0</v>
      </c>
      <c r="AI2157" s="81" t="s">
        <v>6479</v>
      </c>
      <c r="AJ2157" s="81"/>
      <c r="AK2157" s="86" t="s">
        <v>6240</v>
      </c>
      <c r="AL2157" s="81" t="b">
        <v>0</v>
      </c>
      <c r="AM2157" s="81">
        <v>0</v>
      </c>
      <c r="AN2157" s="86" t="s">
        <v>6240</v>
      </c>
      <c r="AO2157" s="86" t="s">
        <v>6506</v>
      </c>
      <c r="AP2157" s="81" t="b">
        <v>0</v>
      </c>
      <c r="AQ2157" s="86" t="s">
        <v>5840</v>
      </c>
      <c r="AR2157" s="81" t="s">
        <v>179</v>
      </c>
      <c r="AS2157" s="81">
        <v>0</v>
      </c>
      <c r="AT2157" s="81">
        <v>0</v>
      </c>
      <c r="AU2157" s="81"/>
      <c r="AV2157" s="81"/>
      <c r="AW2157" s="81"/>
      <c r="AX2157" s="81"/>
      <c r="AY2157" s="81"/>
      <c r="AZ2157" s="81"/>
      <c r="BA2157" s="81"/>
      <c r="BB2157" s="81"/>
    </row>
    <row r="2158" spans="1:54" x14ac:dyDescent="0.35">
      <c r="A2158" s="66" t="s">
        <v>1269</v>
      </c>
      <c r="B2158" s="66" t="s">
        <v>1269</v>
      </c>
      <c r="C2158" s="67"/>
      <c r="D2158" s="68"/>
      <c r="E2158" s="69"/>
      <c r="F2158" s="70"/>
      <c r="G2158" s="67"/>
      <c r="H2158" s="71"/>
      <c r="I2158" s="72"/>
      <c r="J2158" s="72"/>
      <c r="K2158" s="36"/>
      <c r="L2158" s="79"/>
      <c r="M2158" s="79"/>
      <c r="N2158" s="74"/>
      <c r="O2158" s="81" t="s">
        <v>179</v>
      </c>
      <c r="P2158" s="83">
        <v>44464.469131944446</v>
      </c>
      <c r="Q2158" s="81" t="s">
        <v>2443</v>
      </c>
      <c r="R2158" s="81"/>
      <c r="S2158" s="81"/>
      <c r="T2158" s="81"/>
      <c r="U2158" s="81"/>
      <c r="V2158" s="84" t="str">
        <f>HYPERLINK("https://pbs.twimg.com/profile_images/378800000705328795/304bfd91ee90011498fd092cc79a423e_normal.jpeg")</f>
        <v>https://pbs.twimg.com/profile_images/378800000705328795/304bfd91ee90011498fd092cc79a423e_normal.jpeg</v>
      </c>
      <c r="W2158" s="83">
        <v>44464.469131944446</v>
      </c>
      <c r="X2158" s="89">
        <v>44464</v>
      </c>
      <c r="Y2158" s="86" t="s">
        <v>4154</v>
      </c>
      <c r="Z2158" s="84" t="str">
        <f>HYPERLINK("https://twitter.com/pos_indonesia/status/1441723041633898496")</f>
        <v>https://twitter.com/pos_indonesia/status/1441723041633898496</v>
      </c>
      <c r="AA2158" s="81"/>
      <c r="AB2158" s="81"/>
      <c r="AC2158" s="86" t="s">
        <v>5841</v>
      </c>
      <c r="AD2158" s="81"/>
      <c r="AE2158" s="81" t="b">
        <v>0</v>
      </c>
      <c r="AF2158" s="81">
        <v>0</v>
      </c>
      <c r="AG2158" s="86" t="s">
        <v>6240</v>
      </c>
      <c r="AH2158" s="81" t="b">
        <v>0</v>
      </c>
      <c r="AI2158" s="81" t="s">
        <v>6479</v>
      </c>
      <c r="AJ2158" s="81"/>
      <c r="AK2158" s="86" t="s">
        <v>6240</v>
      </c>
      <c r="AL2158" s="81" t="b">
        <v>0</v>
      </c>
      <c r="AM2158" s="81">
        <v>0</v>
      </c>
      <c r="AN2158" s="86" t="s">
        <v>6240</v>
      </c>
      <c r="AO2158" s="86" t="s">
        <v>6506</v>
      </c>
      <c r="AP2158" s="81" t="b">
        <v>0</v>
      </c>
      <c r="AQ2158" s="86" t="s">
        <v>5841</v>
      </c>
      <c r="AR2158" s="81" t="s">
        <v>179</v>
      </c>
      <c r="AS2158" s="81">
        <v>0</v>
      </c>
      <c r="AT2158" s="81">
        <v>0</v>
      </c>
      <c r="AU2158" s="81"/>
      <c r="AV2158" s="81"/>
      <c r="AW2158" s="81"/>
      <c r="AX2158" s="81"/>
      <c r="AY2158" s="81"/>
      <c r="AZ2158" s="81"/>
      <c r="BA2158" s="81"/>
      <c r="BB2158" s="81"/>
    </row>
    <row r="2159" spans="1:54" x14ac:dyDescent="0.35">
      <c r="A2159" s="66" t="s">
        <v>1269</v>
      </c>
      <c r="B2159" s="66" t="s">
        <v>1269</v>
      </c>
      <c r="C2159" s="67"/>
      <c r="D2159" s="68"/>
      <c r="E2159" s="69"/>
      <c r="F2159" s="70"/>
      <c r="G2159" s="67"/>
      <c r="H2159" s="71"/>
      <c r="I2159" s="72"/>
      <c r="J2159" s="72"/>
      <c r="K2159" s="36"/>
      <c r="L2159" s="79"/>
      <c r="M2159" s="79"/>
      <c r="N2159" s="74"/>
      <c r="O2159" s="81" t="s">
        <v>179</v>
      </c>
      <c r="P2159" s="83">
        <v>44464.489942129629</v>
      </c>
      <c r="Q2159" s="81" t="s">
        <v>2519</v>
      </c>
      <c r="R2159" s="81"/>
      <c r="S2159" s="81"/>
      <c r="T2159" s="81"/>
      <c r="U2159" s="81"/>
      <c r="V2159" s="84" t="str">
        <f>HYPERLINK("https://pbs.twimg.com/profile_images/378800000705328795/304bfd91ee90011498fd092cc79a423e_normal.jpeg")</f>
        <v>https://pbs.twimg.com/profile_images/378800000705328795/304bfd91ee90011498fd092cc79a423e_normal.jpeg</v>
      </c>
      <c r="W2159" s="83">
        <v>44464.489942129629</v>
      </c>
      <c r="X2159" s="89">
        <v>44464</v>
      </c>
      <c r="Y2159" s="86" t="s">
        <v>4183</v>
      </c>
      <c r="Z2159" s="84" t="str">
        <f>HYPERLINK("https://twitter.com/pos_indonesia/status/1441730582392627200")</f>
        <v>https://twitter.com/pos_indonesia/status/1441730582392627200</v>
      </c>
      <c r="AA2159" s="81"/>
      <c r="AB2159" s="81"/>
      <c r="AC2159" s="86" t="s">
        <v>5842</v>
      </c>
      <c r="AD2159" s="81"/>
      <c r="AE2159" s="81" t="b">
        <v>0</v>
      </c>
      <c r="AF2159" s="81">
        <v>0</v>
      </c>
      <c r="AG2159" s="86" t="s">
        <v>6240</v>
      </c>
      <c r="AH2159" s="81" t="b">
        <v>0</v>
      </c>
      <c r="AI2159" s="81" t="s">
        <v>6479</v>
      </c>
      <c r="AJ2159" s="81"/>
      <c r="AK2159" s="86" t="s">
        <v>6240</v>
      </c>
      <c r="AL2159" s="81" t="b">
        <v>0</v>
      </c>
      <c r="AM2159" s="81">
        <v>0</v>
      </c>
      <c r="AN2159" s="86" t="s">
        <v>6240</v>
      </c>
      <c r="AO2159" s="86" t="s">
        <v>6506</v>
      </c>
      <c r="AP2159" s="81" t="b">
        <v>0</v>
      </c>
      <c r="AQ2159" s="86" t="s">
        <v>5842</v>
      </c>
      <c r="AR2159" s="81" t="s">
        <v>179</v>
      </c>
      <c r="AS2159" s="81">
        <v>0</v>
      </c>
      <c r="AT2159" s="81">
        <v>0</v>
      </c>
      <c r="AU2159" s="81"/>
      <c r="AV2159" s="81"/>
      <c r="AW2159" s="81"/>
      <c r="AX2159" s="81"/>
      <c r="AY2159" s="81"/>
      <c r="AZ2159" s="81"/>
      <c r="BA2159" s="81"/>
      <c r="BB2159" s="81"/>
    </row>
    <row r="2160" spans="1:54" x14ac:dyDescent="0.35">
      <c r="A2160" s="66" t="s">
        <v>1269</v>
      </c>
      <c r="B2160" s="66" t="s">
        <v>1269</v>
      </c>
      <c r="C2160" s="67"/>
      <c r="D2160" s="68"/>
      <c r="E2160" s="69"/>
      <c r="F2160" s="70"/>
      <c r="G2160" s="67"/>
      <c r="H2160" s="71"/>
      <c r="I2160" s="72"/>
      <c r="J2160" s="72"/>
      <c r="K2160" s="36"/>
      <c r="L2160" s="79"/>
      <c r="M2160" s="79"/>
      <c r="N2160" s="74"/>
      <c r="O2160" s="81" t="s">
        <v>179</v>
      </c>
      <c r="P2160" s="83">
        <v>44464.510775462964</v>
      </c>
      <c r="Q2160" s="81" t="s">
        <v>2520</v>
      </c>
      <c r="R2160" s="81"/>
      <c r="S2160" s="81"/>
      <c r="T2160" s="81"/>
      <c r="U2160" s="81"/>
      <c r="V2160" s="84" t="str">
        <f>HYPERLINK("https://pbs.twimg.com/profile_images/378800000705328795/304bfd91ee90011498fd092cc79a423e_normal.jpeg")</f>
        <v>https://pbs.twimg.com/profile_images/378800000705328795/304bfd91ee90011498fd092cc79a423e_normal.jpeg</v>
      </c>
      <c r="W2160" s="83">
        <v>44464.510775462964</v>
      </c>
      <c r="X2160" s="89">
        <v>44464</v>
      </c>
      <c r="Y2160" s="86" t="s">
        <v>4184</v>
      </c>
      <c r="Z2160" s="84" t="str">
        <f>HYPERLINK("https://twitter.com/pos_indonesia/status/1441738133704364038")</f>
        <v>https://twitter.com/pos_indonesia/status/1441738133704364038</v>
      </c>
      <c r="AA2160" s="81"/>
      <c r="AB2160" s="81"/>
      <c r="AC2160" s="86" t="s">
        <v>5843</v>
      </c>
      <c r="AD2160" s="81"/>
      <c r="AE2160" s="81" t="b">
        <v>0</v>
      </c>
      <c r="AF2160" s="81">
        <v>0</v>
      </c>
      <c r="AG2160" s="86" t="s">
        <v>6240</v>
      </c>
      <c r="AH2160" s="81" t="b">
        <v>0</v>
      </c>
      <c r="AI2160" s="81" t="s">
        <v>6479</v>
      </c>
      <c r="AJ2160" s="81"/>
      <c r="AK2160" s="86" t="s">
        <v>6240</v>
      </c>
      <c r="AL2160" s="81" t="b">
        <v>0</v>
      </c>
      <c r="AM2160" s="81">
        <v>0</v>
      </c>
      <c r="AN2160" s="86" t="s">
        <v>6240</v>
      </c>
      <c r="AO2160" s="86" t="s">
        <v>6506</v>
      </c>
      <c r="AP2160" s="81" t="b">
        <v>0</v>
      </c>
      <c r="AQ2160" s="86" t="s">
        <v>5843</v>
      </c>
      <c r="AR2160" s="81" t="s">
        <v>179</v>
      </c>
      <c r="AS2160" s="81">
        <v>0</v>
      </c>
      <c r="AT2160" s="81">
        <v>0</v>
      </c>
      <c r="AU2160" s="81"/>
      <c r="AV2160" s="81"/>
      <c r="AW2160" s="81"/>
      <c r="AX2160" s="81"/>
      <c r="AY2160" s="81"/>
      <c r="AZ2160" s="81"/>
      <c r="BA2160" s="81"/>
      <c r="BB2160" s="81"/>
    </row>
    <row r="2161" spans="1:54" x14ac:dyDescent="0.35">
      <c r="A2161" s="66" t="s">
        <v>1269</v>
      </c>
      <c r="B2161" s="66" t="s">
        <v>1269</v>
      </c>
      <c r="C2161" s="67"/>
      <c r="D2161" s="68"/>
      <c r="E2161" s="69"/>
      <c r="F2161" s="70"/>
      <c r="G2161" s="67"/>
      <c r="H2161" s="71"/>
      <c r="I2161" s="72"/>
      <c r="J2161" s="72"/>
      <c r="K2161" s="36"/>
      <c r="L2161" s="79"/>
      <c r="M2161" s="79"/>
      <c r="N2161" s="74"/>
      <c r="O2161" s="81" t="s">
        <v>179</v>
      </c>
      <c r="P2161" s="83">
        <v>44464.53162037037</v>
      </c>
      <c r="Q2161" s="81" t="s">
        <v>2521</v>
      </c>
      <c r="R2161" s="81"/>
      <c r="S2161" s="81"/>
      <c r="T2161" s="81"/>
      <c r="U2161" s="81"/>
      <c r="V2161" s="84" t="str">
        <f>HYPERLINK("https://pbs.twimg.com/profile_images/378800000705328795/304bfd91ee90011498fd092cc79a423e_normal.jpeg")</f>
        <v>https://pbs.twimg.com/profile_images/378800000705328795/304bfd91ee90011498fd092cc79a423e_normal.jpeg</v>
      </c>
      <c r="W2161" s="83">
        <v>44464.53162037037</v>
      </c>
      <c r="X2161" s="89">
        <v>44464</v>
      </c>
      <c r="Y2161" s="86" t="s">
        <v>4185</v>
      </c>
      <c r="Z2161" s="84" t="str">
        <f>HYPERLINK("https://twitter.com/pos_indonesia/status/1441745687234813952")</f>
        <v>https://twitter.com/pos_indonesia/status/1441745687234813952</v>
      </c>
      <c r="AA2161" s="81"/>
      <c r="AB2161" s="81"/>
      <c r="AC2161" s="86" t="s">
        <v>5844</v>
      </c>
      <c r="AD2161" s="81"/>
      <c r="AE2161" s="81" t="b">
        <v>0</v>
      </c>
      <c r="AF2161" s="81">
        <v>0</v>
      </c>
      <c r="AG2161" s="86" t="s">
        <v>6240</v>
      </c>
      <c r="AH2161" s="81" t="b">
        <v>0</v>
      </c>
      <c r="AI2161" s="81" t="s">
        <v>6479</v>
      </c>
      <c r="AJ2161" s="81"/>
      <c r="AK2161" s="86" t="s">
        <v>6240</v>
      </c>
      <c r="AL2161" s="81" t="b">
        <v>0</v>
      </c>
      <c r="AM2161" s="81">
        <v>0</v>
      </c>
      <c r="AN2161" s="86" t="s">
        <v>6240</v>
      </c>
      <c r="AO2161" s="86" t="s">
        <v>6506</v>
      </c>
      <c r="AP2161" s="81" t="b">
        <v>0</v>
      </c>
      <c r="AQ2161" s="86" t="s">
        <v>5844</v>
      </c>
      <c r="AR2161" s="81" t="s">
        <v>179</v>
      </c>
      <c r="AS2161" s="81">
        <v>0</v>
      </c>
      <c r="AT2161" s="81">
        <v>0</v>
      </c>
      <c r="AU2161" s="81"/>
      <c r="AV2161" s="81"/>
      <c r="AW2161" s="81"/>
      <c r="AX2161" s="81"/>
      <c r="AY2161" s="81"/>
      <c r="AZ2161" s="81"/>
      <c r="BA2161" s="81"/>
      <c r="BB2161" s="81"/>
    </row>
    <row r="2162" spans="1:54" x14ac:dyDescent="0.35">
      <c r="A2162" s="66" t="s">
        <v>1269</v>
      </c>
      <c r="B2162" s="66" t="s">
        <v>1269</v>
      </c>
      <c r="C2162" s="67"/>
      <c r="D2162" s="68"/>
      <c r="E2162" s="69"/>
      <c r="F2162" s="70"/>
      <c r="G2162" s="67"/>
      <c r="H2162" s="71"/>
      <c r="I2162" s="72"/>
      <c r="J2162" s="72"/>
      <c r="K2162" s="36"/>
      <c r="L2162" s="79"/>
      <c r="M2162" s="79"/>
      <c r="N2162" s="74"/>
      <c r="O2162" s="81" t="s">
        <v>179</v>
      </c>
      <c r="P2162" s="83">
        <v>44464.552453703705</v>
      </c>
      <c r="Q2162" s="81" t="s">
        <v>2325</v>
      </c>
      <c r="R2162" s="81"/>
      <c r="S2162" s="81"/>
      <c r="T2162" s="81"/>
      <c r="U2162" s="81"/>
      <c r="V2162" s="84" t="str">
        <f>HYPERLINK("https://pbs.twimg.com/profile_images/378800000705328795/304bfd91ee90011498fd092cc79a423e_normal.jpeg")</f>
        <v>https://pbs.twimg.com/profile_images/378800000705328795/304bfd91ee90011498fd092cc79a423e_normal.jpeg</v>
      </c>
      <c r="W2162" s="83">
        <v>44464.552453703705</v>
      </c>
      <c r="X2162" s="89">
        <v>44464</v>
      </c>
      <c r="Y2162" s="86" t="s">
        <v>4118</v>
      </c>
      <c r="Z2162" s="84" t="str">
        <f>HYPERLINK("https://twitter.com/pos_indonesia/status/1441753234616426500")</f>
        <v>https://twitter.com/pos_indonesia/status/1441753234616426500</v>
      </c>
      <c r="AA2162" s="81"/>
      <c r="AB2162" s="81"/>
      <c r="AC2162" s="86" t="s">
        <v>5845</v>
      </c>
      <c r="AD2162" s="81"/>
      <c r="AE2162" s="81" t="b">
        <v>0</v>
      </c>
      <c r="AF2162" s="81">
        <v>0</v>
      </c>
      <c r="AG2162" s="86" t="s">
        <v>6240</v>
      </c>
      <c r="AH2162" s="81" t="b">
        <v>0</v>
      </c>
      <c r="AI2162" s="81" t="s">
        <v>6479</v>
      </c>
      <c r="AJ2162" s="81"/>
      <c r="AK2162" s="86" t="s">
        <v>6240</v>
      </c>
      <c r="AL2162" s="81" t="b">
        <v>0</v>
      </c>
      <c r="AM2162" s="81">
        <v>0</v>
      </c>
      <c r="AN2162" s="86" t="s">
        <v>6240</v>
      </c>
      <c r="AO2162" s="86" t="s">
        <v>6506</v>
      </c>
      <c r="AP2162" s="81" t="b">
        <v>0</v>
      </c>
      <c r="AQ2162" s="86" t="s">
        <v>5845</v>
      </c>
      <c r="AR2162" s="81" t="s">
        <v>179</v>
      </c>
      <c r="AS2162" s="81">
        <v>0</v>
      </c>
      <c r="AT2162" s="81">
        <v>0</v>
      </c>
      <c r="AU2162" s="81"/>
      <c r="AV2162" s="81"/>
      <c r="AW2162" s="81"/>
      <c r="AX2162" s="81"/>
      <c r="AY2162" s="81"/>
      <c r="AZ2162" s="81"/>
      <c r="BA2162" s="81"/>
      <c r="BB2162" s="81"/>
    </row>
    <row r="2163" spans="1:54" x14ac:dyDescent="0.35">
      <c r="A2163" s="66" t="s">
        <v>1269</v>
      </c>
      <c r="B2163" s="66" t="s">
        <v>1269</v>
      </c>
      <c r="C2163" s="67"/>
      <c r="D2163" s="68"/>
      <c r="E2163" s="69"/>
      <c r="F2163" s="70"/>
      <c r="G2163" s="67"/>
      <c r="H2163" s="71"/>
      <c r="I2163" s="72"/>
      <c r="J2163" s="72"/>
      <c r="K2163" s="36"/>
      <c r="L2163" s="79"/>
      <c r="M2163" s="79"/>
      <c r="N2163" s="74"/>
      <c r="O2163" s="81" t="s">
        <v>179</v>
      </c>
      <c r="P2163" s="83">
        <v>44464.573263888888</v>
      </c>
      <c r="Q2163" s="81" t="s">
        <v>2364</v>
      </c>
      <c r="R2163" s="81"/>
      <c r="S2163" s="81"/>
      <c r="T2163" s="81"/>
      <c r="U2163" s="81"/>
      <c r="V2163" s="84" t="str">
        <f>HYPERLINK("https://pbs.twimg.com/profile_images/378800000705328795/304bfd91ee90011498fd092cc79a423e_normal.jpeg")</f>
        <v>https://pbs.twimg.com/profile_images/378800000705328795/304bfd91ee90011498fd092cc79a423e_normal.jpeg</v>
      </c>
      <c r="W2163" s="83">
        <v>44464.573263888888</v>
      </c>
      <c r="X2163" s="89">
        <v>44464</v>
      </c>
      <c r="Y2163" s="86" t="s">
        <v>4093</v>
      </c>
      <c r="Z2163" s="84" t="str">
        <f>HYPERLINK("https://twitter.com/pos_indonesia/status/1441760777216483333")</f>
        <v>https://twitter.com/pos_indonesia/status/1441760777216483333</v>
      </c>
      <c r="AA2163" s="81"/>
      <c r="AB2163" s="81"/>
      <c r="AC2163" s="86" t="s">
        <v>5846</v>
      </c>
      <c r="AD2163" s="81"/>
      <c r="AE2163" s="81" t="b">
        <v>0</v>
      </c>
      <c r="AF2163" s="81">
        <v>0</v>
      </c>
      <c r="AG2163" s="86" t="s">
        <v>6240</v>
      </c>
      <c r="AH2163" s="81" t="b">
        <v>0</v>
      </c>
      <c r="AI2163" s="81" t="s">
        <v>6479</v>
      </c>
      <c r="AJ2163" s="81"/>
      <c r="AK2163" s="86" t="s">
        <v>6240</v>
      </c>
      <c r="AL2163" s="81" t="b">
        <v>0</v>
      </c>
      <c r="AM2163" s="81">
        <v>0</v>
      </c>
      <c r="AN2163" s="86" t="s">
        <v>6240</v>
      </c>
      <c r="AO2163" s="86" t="s">
        <v>6506</v>
      </c>
      <c r="AP2163" s="81" t="b">
        <v>0</v>
      </c>
      <c r="AQ2163" s="86" t="s">
        <v>5846</v>
      </c>
      <c r="AR2163" s="81" t="s">
        <v>179</v>
      </c>
      <c r="AS2163" s="81">
        <v>0</v>
      </c>
      <c r="AT2163" s="81">
        <v>0</v>
      </c>
      <c r="AU2163" s="81"/>
      <c r="AV2163" s="81"/>
      <c r="AW2163" s="81"/>
      <c r="AX2163" s="81"/>
      <c r="AY2163" s="81"/>
      <c r="AZ2163" s="81"/>
      <c r="BA2163" s="81"/>
      <c r="BB2163" s="81"/>
    </row>
    <row r="2164" spans="1:54" x14ac:dyDescent="0.35">
      <c r="A2164" s="66" t="s">
        <v>1269</v>
      </c>
      <c r="B2164" s="66" t="s">
        <v>1269</v>
      </c>
      <c r="C2164" s="67"/>
      <c r="D2164" s="68"/>
      <c r="E2164" s="69"/>
      <c r="F2164" s="70"/>
      <c r="G2164" s="67"/>
      <c r="H2164" s="71"/>
      <c r="I2164" s="72"/>
      <c r="J2164" s="72"/>
      <c r="K2164" s="36"/>
      <c r="L2164" s="79"/>
      <c r="M2164" s="79"/>
      <c r="N2164" s="74"/>
      <c r="O2164" s="81" t="s">
        <v>179</v>
      </c>
      <c r="P2164" s="83">
        <v>44464.59412037037</v>
      </c>
      <c r="Q2164" s="81" t="s">
        <v>2491</v>
      </c>
      <c r="R2164" s="81"/>
      <c r="S2164" s="81"/>
      <c r="T2164" s="81"/>
      <c r="U2164" s="81"/>
      <c r="V2164" s="84" t="str">
        <f>HYPERLINK("https://pbs.twimg.com/profile_images/378800000705328795/304bfd91ee90011498fd092cc79a423e_normal.jpeg")</f>
        <v>https://pbs.twimg.com/profile_images/378800000705328795/304bfd91ee90011498fd092cc79a423e_normal.jpeg</v>
      </c>
      <c r="W2164" s="83">
        <v>44464.59412037037</v>
      </c>
      <c r="X2164" s="89">
        <v>44464</v>
      </c>
      <c r="Y2164" s="86" t="s">
        <v>4186</v>
      </c>
      <c r="Z2164" s="84" t="str">
        <f>HYPERLINK("https://twitter.com/pos_indonesia/status/1441768336363122688")</f>
        <v>https://twitter.com/pos_indonesia/status/1441768336363122688</v>
      </c>
      <c r="AA2164" s="81"/>
      <c r="AB2164" s="81"/>
      <c r="AC2164" s="86" t="s">
        <v>5847</v>
      </c>
      <c r="AD2164" s="81"/>
      <c r="AE2164" s="81" t="b">
        <v>0</v>
      </c>
      <c r="AF2164" s="81">
        <v>0</v>
      </c>
      <c r="AG2164" s="86" t="s">
        <v>6240</v>
      </c>
      <c r="AH2164" s="81" t="b">
        <v>0</v>
      </c>
      <c r="AI2164" s="81" t="s">
        <v>6479</v>
      </c>
      <c r="AJ2164" s="81"/>
      <c r="AK2164" s="86" t="s">
        <v>6240</v>
      </c>
      <c r="AL2164" s="81" t="b">
        <v>0</v>
      </c>
      <c r="AM2164" s="81">
        <v>0</v>
      </c>
      <c r="AN2164" s="86" t="s">
        <v>6240</v>
      </c>
      <c r="AO2164" s="86" t="s">
        <v>6506</v>
      </c>
      <c r="AP2164" s="81" t="b">
        <v>0</v>
      </c>
      <c r="AQ2164" s="86" t="s">
        <v>5847</v>
      </c>
      <c r="AR2164" s="81" t="s">
        <v>179</v>
      </c>
      <c r="AS2164" s="81">
        <v>0</v>
      </c>
      <c r="AT2164" s="81">
        <v>0</v>
      </c>
      <c r="AU2164" s="81"/>
      <c r="AV2164" s="81"/>
      <c r="AW2164" s="81"/>
      <c r="AX2164" s="81"/>
      <c r="AY2164" s="81"/>
      <c r="AZ2164" s="81"/>
      <c r="BA2164" s="81"/>
      <c r="BB2164" s="81"/>
    </row>
    <row r="2165" spans="1:54" x14ac:dyDescent="0.35">
      <c r="A2165" s="66" t="s">
        <v>1269</v>
      </c>
      <c r="B2165" s="66" t="s">
        <v>1269</v>
      </c>
      <c r="C2165" s="67"/>
      <c r="D2165" s="68"/>
      <c r="E2165" s="69"/>
      <c r="F2165" s="70"/>
      <c r="G2165" s="67"/>
      <c r="H2165" s="71"/>
      <c r="I2165" s="72"/>
      <c r="J2165" s="72"/>
      <c r="K2165" s="36"/>
      <c r="L2165" s="79"/>
      <c r="M2165" s="79"/>
      <c r="N2165" s="74"/>
      <c r="O2165" s="81" t="s">
        <v>179</v>
      </c>
      <c r="P2165" s="83">
        <v>44464.614953703705</v>
      </c>
      <c r="Q2165" s="81" t="s">
        <v>2522</v>
      </c>
      <c r="R2165" s="81"/>
      <c r="S2165" s="81"/>
      <c r="T2165" s="81"/>
      <c r="U2165" s="81"/>
      <c r="V2165" s="84" t="str">
        <f>HYPERLINK("https://pbs.twimg.com/profile_images/378800000705328795/304bfd91ee90011498fd092cc79a423e_normal.jpeg")</f>
        <v>https://pbs.twimg.com/profile_images/378800000705328795/304bfd91ee90011498fd092cc79a423e_normal.jpeg</v>
      </c>
      <c r="W2165" s="83">
        <v>44464.614953703705</v>
      </c>
      <c r="X2165" s="89">
        <v>44464</v>
      </c>
      <c r="Y2165" s="86" t="s">
        <v>4187</v>
      </c>
      <c r="Z2165" s="84" t="str">
        <f>HYPERLINK("https://twitter.com/pos_indonesia/status/1441775885703528449")</f>
        <v>https://twitter.com/pos_indonesia/status/1441775885703528449</v>
      </c>
      <c r="AA2165" s="81"/>
      <c r="AB2165" s="81"/>
      <c r="AC2165" s="86" t="s">
        <v>5848</v>
      </c>
      <c r="AD2165" s="81"/>
      <c r="AE2165" s="81" t="b">
        <v>0</v>
      </c>
      <c r="AF2165" s="81">
        <v>0</v>
      </c>
      <c r="AG2165" s="86" t="s">
        <v>6240</v>
      </c>
      <c r="AH2165" s="81" t="b">
        <v>0</v>
      </c>
      <c r="AI2165" s="81" t="s">
        <v>6479</v>
      </c>
      <c r="AJ2165" s="81"/>
      <c r="AK2165" s="86" t="s">
        <v>6240</v>
      </c>
      <c r="AL2165" s="81" t="b">
        <v>0</v>
      </c>
      <c r="AM2165" s="81">
        <v>0</v>
      </c>
      <c r="AN2165" s="86" t="s">
        <v>6240</v>
      </c>
      <c r="AO2165" s="86" t="s">
        <v>6506</v>
      </c>
      <c r="AP2165" s="81" t="b">
        <v>0</v>
      </c>
      <c r="AQ2165" s="86" t="s">
        <v>5848</v>
      </c>
      <c r="AR2165" s="81" t="s">
        <v>179</v>
      </c>
      <c r="AS2165" s="81">
        <v>0</v>
      </c>
      <c r="AT2165" s="81">
        <v>0</v>
      </c>
      <c r="AU2165" s="81"/>
      <c r="AV2165" s="81"/>
      <c r="AW2165" s="81"/>
      <c r="AX2165" s="81"/>
      <c r="AY2165" s="81"/>
      <c r="AZ2165" s="81"/>
      <c r="BA2165" s="81"/>
      <c r="BB2165" s="81"/>
    </row>
    <row r="2166" spans="1:54" x14ac:dyDescent="0.35">
      <c r="A2166" s="66" t="s">
        <v>1269</v>
      </c>
      <c r="B2166" s="66" t="s">
        <v>1269</v>
      </c>
      <c r="C2166" s="67"/>
      <c r="D2166" s="68"/>
      <c r="E2166" s="69"/>
      <c r="F2166" s="70"/>
      <c r="G2166" s="67"/>
      <c r="H2166" s="71"/>
      <c r="I2166" s="72"/>
      <c r="J2166" s="72"/>
      <c r="K2166" s="36"/>
      <c r="L2166" s="79"/>
      <c r="M2166" s="79"/>
      <c r="N2166" s="74"/>
      <c r="O2166" s="81" t="s">
        <v>179</v>
      </c>
      <c r="P2166" s="83">
        <v>44464.635740740741</v>
      </c>
      <c r="Q2166" s="81" t="s">
        <v>2421</v>
      </c>
      <c r="R2166" s="81"/>
      <c r="S2166" s="81"/>
      <c r="T2166" s="81"/>
      <c r="U2166" s="81"/>
      <c r="V2166" s="84" t="str">
        <f>HYPERLINK("https://pbs.twimg.com/profile_images/378800000705328795/304bfd91ee90011498fd092cc79a423e_normal.jpeg")</f>
        <v>https://pbs.twimg.com/profile_images/378800000705328795/304bfd91ee90011498fd092cc79a423e_normal.jpeg</v>
      </c>
      <c r="W2166" s="83">
        <v>44464.635740740741</v>
      </c>
      <c r="X2166" s="89">
        <v>44464</v>
      </c>
      <c r="Y2166" s="86" t="s">
        <v>4188</v>
      </c>
      <c r="Z2166" s="84" t="str">
        <f>HYPERLINK("https://twitter.com/pos_indonesia/status/1441783419243884549")</f>
        <v>https://twitter.com/pos_indonesia/status/1441783419243884549</v>
      </c>
      <c r="AA2166" s="81"/>
      <c r="AB2166" s="81"/>
      <c r="AC2166" s="86" t="s">
        <v>5849</v>
      </c>
      <c r="AD2166" s="81"/>
      <c r="AE2166" s="81" t="b">
        <v>0</v>
      </c>
      <c r="AF2166" s="81">
        <v>0</v>
      </c>
      <c r="AG2166" s="86" t="s">
        <v>6240</v>
      </c>
      <c r="AH2166" s="81" t="b">
        <v>0</v>
      </c>
      <c r="AI2166" s="81" t="s">
        <v>6479</v>
      </c>
      <c r="AJ2166" s="81"/>
      <c r="AK2166" s="86" t="s">
        <v>6240</v>
      </c>
      <c r="AL2166" s="81" t="b">
        <v>0</v>
      </c>
      <c r="AM2166" s="81">
        <v>0</v>
      </c>
      <c r="AN2166" s="86" t="s">
        <v>6240</v>
      </c>
      <c r="AO2166" s="86" t="s">
        <v>6506</v>
      </c>
      <c r="AP2166" s="81" t="b">
        <v>0</v>
      </c>
      <c r="AQ2166" s="86" t="s">
        <v>5849</v>
      </c>
      <c r="AR2166" s="81" t="s">
        <v>179</v>
      </c>
      <c r="AS2166" s="81">
        <v>0</v>
      </c>
      <c r="AT2166" s="81">
        <v>0</v>
      </c>
      <c r="AU2166" s="81"/>
      <c r="AV2166" s="81"/>
      <c r="AW2166" s="81"/>
      <c r="AX2166" s="81"/>
      <c r="AY2166" s="81"/>
      <c r="AZ2166" s="81"/>
      <c r="BA2166" s="81"/>
      <c r="BB2166" s="81"/>
    </row>
    <row r="2167" spans="1:54" x14ac:dyDescent="0.35">
      <c r="A2167" s="66" t="s">
        <v>1269</v>
      </c>
      <c r="B2167" s="66" t="s">
        <v>1269</v>
      </c>
      <c r="C2167" s="67"/>
      <c r="D2167" s="68"/>
      <c r="E2167" s="69"/>
      <c r="F2167" s="70"/>
      <c r="G2167" s="67"/>
      <c r="H2167" s="71"/>
      <c r="I2167" s="72"/>
      <c r="J2167" s="72"/>
      <c r="K2167" s="36"/>
      <c r="L2167" s="79"/>
      <c r="M2167" s="79"/>
      <c r="N2167" s="74"/>
      <c r="O2167" s="81" t="s">
        <v>179</v>
      </c>
      <c r="P2167" s="83">
        <v>44464.656597222223</v>
      </c>
      <c r="Q2167" s="81" t="s">
        <v>2523</v>
      </c>
      <c r="R2167" s="81"/>
      <c r="S2167" s="81"/>
      <c r="T2167" s="81"/>
      <c r="U2167" s="81"/>
      <c r="V2167" s="84" t="str">
        <f>HYPERLINK("https://pbs.twimg.com/profile_images/378800000705328795/304bfd91ee90011498fd092cc79a423e_normal.jpeg")</f>
        <v>https://pbs.twimg.com/profile_images/378800000705328795/304bfd91ee90011498fd092cc79a423e_normal.jpeg</v>
      </c>
      <c r="W2167" s="83">
        <v>44464.656597222223</v>
      </c>
      <c r="X2167" s="89">
        <v>44464</v>
      </c>
      <c r="Y2167" s="86" t="s">
        <v>4189</v>
      </c>
      <c r="Z2167" s="84" t="str">
        <f>HYPERLINK("https://twitter.com/pos_indonesia/status/1441790974863163394")</f>
        <v>https://twitter.com/pos_indonesia/status/1441790974863163394</v>
      </c>
      <c r="AA2167" s="81"/>
      <c r="AB2167" s="81"/>
      <c r="AC2167" s="86" t="s">
        <v>5850</v>
      </c>
      <c r="AD2167" s="81"/>
      <c r="AE2167" s="81" t="b">
        <v>0</v>
      </c>
      <c r="AF2167" s="81">
        <v>0</v>
      </c>
      <c r="AG2167" s="86" t="s">
        <v>6240</v>
      </c>
      <c r="AH2167" s="81" t="b">
        <v>0</v>
      </c>
      <c r="AI2167" s="81" t="s">
        <v>6479</v>
      </c>
      <c r="AJ2167" s="81"/>
      <c r="AK2167" s="86" t="s">
        <v>6240</v>
      </c>
      <c r="AL2167" s="81" t="b">
        <v>0</v>
      </c>
      <c r="AM2167" s="81">
        <v>0</v>
      </c>
      <c r="AN2167" s="86" t="s">
        <v>6240</v>
      </c>
      <c r="AO2167" s="86" t="s">
        <v>6506</v>
      </c>
      <c r="AP2167" s="81" t="b">
        <v>0</v>
      </c>
      <c r="AQ2167" s="86" t="s">
        <v>5850</v>
      </c>
      <c r="AR2167" s="81" t="s">
        <v>179</v>
      </c>
      <c r="AS2167" s="81">
        <v>0</v>
      </c>
      <c r="AT2167" s="81">
        <v>0</v>
      </c>
      <c r="AU2167" s="81"/>
      <c r="AV2167" s="81"/>
      <c r="AW2167" s="81"/>
      <c r="AX2167" s="81"/>
      <c r="AY2167" s="81"/>
      <c r="AZ2167" s="81"/>
      <c r="BA2167" s="81"/>
      <c r="BB2167" s="81"/>
    </row>
    <row r="2168" spans="1:54" x14ac:dyDescent="0.35">
      <c r="A2168" s="66" t="s">
        <v>1269</v>
      </c>
      <c r="B2168" s="66" t="s">
        <v>1269</v>
      </c>
      <c r="C2168" s="67"/>
      <c r="D2168" s="68"/>
      <c r="E2168" s="69"/>
      <c r="F2168" s="70"/>
      <c r="G2168" s="67"/>
      <c r="H2168" s="71"/>
      <c r="I2168" s="72"/>
      <c r="J2168" s="72"/>
      <c r="K2168" s="36"/>
      <c r="L2168" s="79"/>
      <c r="M2168" s="79"/>
      <c r="N2168" s="74"/>
      <c r="O2168" s="81" t="s">
        <v>179</v>
      </c>
      <c r="P2168" s="83">
        <v>44464.677418981482</v>
      </c>
      <c r="Q2168" s="81" t="s">
        <v>2524</v>
      </c>
      <c r="R2168" s="81"/>
      <c r="S2168" s="81"/>
      <c r="T2168" s="81"/>
      <c r="U2168" s="81"/>
      <c r="V2168" s="84" t="str">
        <f>HYPERLINK("https://pbs.twimg.com/profile_images/378800000705328795/304bfd91ee90011498fd092cc79a423e_normal.jpeg")</f>
        <v>https://pbs.twimg.com/profile_images/378800000705328795/304bfd91ee90011498fd092cc79a423e_normal.jpeg</v>
      </c>
      <c r="W2168" s="83">
        <v>44464.677418981482</v>
      </c>
      <c r="X2168" s="89">
        <v>44464</v>
      </c>
      <c r="Y2168" s="86" t="s">
        <v>4190</v>
      </c>
      <c r="Z2168" s="84" t="str">
        <f>HYPERLINK("https://twitter.com/pos_indonesia/status/1441798522173472781")</f>
        <v>https://twitter.com/pos_indonesia/status/1441798522173472781</v>
      </c>
      <c r="AA2168" s="81"/>
      <c r="AB2168" s="81"/>
      <c r="AC2168" s="86" t="s">
        <v>5851</v>
      </c>
      <c r="AD2168" s="81"/>
      <c r="AE2168" s="81" t="b">
        <v>0</v>
      </c>
      <c r="AF2168" s="81">
        <v>0</v>
      </c>
      <c r="AG2168" s="86" t="s">
        <v>6240</v>
      </c>
      <c r="AH2168" s="81" t="b">
        <v>0</v>
      </c>
      <c r="AI2168" s="81" t="s">
        <v>6479</v>
      </c>
      <c r="AJ2168" s="81"/>
      <c r="AK2168" s="86" t="s">
        <v>6240</v>
      </c>
      <c r="AL2168" s="81" t="b">
        <v>0</v>
      </c>
      <c r="AM2168" s="81">
        <v>0</v>
      </c>
      <c r="AN2168" s="86" t="s">
        <v>6240</v>
      </c>
      <c r="AO2168" s="86" t="s">
        <v>6506</v>
      </c>
      <c r="AP2168" s="81" t="b">
        <v>0</v>
      </c>
      <c r="AQ2168" s="86" t="s">
        <v>5851</v>
      </c>
      <c r="AR2168" s="81" t="s">
        <v>179</v>
      </c>
      <c r="AS2168" s="81">
        <v>0</v>
      </c>
      <c r="AT2168" s="81">
        <v>0</v>
      </c>
      <c r="AU2168" s="81"/>
      <c r="AV2168" s="81"/>
      <c r="AW2168" s="81"/>
      <c r="AX2168" s="81"/>
      <c r="AY2168" s="81"/>
      <c r="AZ2168" s="81"/>
      <c r="BA2168" s="81"/>
      <c r="BB2168" s="81"/>
    </row>
    <row r="2169" spans="1:54" x14ac:dyDescent="0.35">
      <c r="A2169" s="66" t="s">
        <v>1269</v>
      </c>
      <c r="B2169" s="66" t="s">
        <v>1269</v>
      </c>
      <c r="C2169" s="67"/>
      <c r="D2169" s="68"/>
      <c r="E2169" s="69"/>
      <c r="F2169" s="70"/>
      <c r="G2169" s="67"/>
      <c r="H2169" s="71"/>
      <c r="I2169" s="72"/>
      <c r="J2169" s="72"/>
      <c r="K2169" s="36"/>
      <c r="L2169" s="79"/>
      <c r="M2169" s="79"/>
      <c r="N2169" s="74"/>
      <c r="O2169" s="81" t="s">
        <v>179</v>
      </c>
      <c r="P2169" s="83">
        <v>44464.698287037034</v>
      </c>
      <c r="Q2169" s="81" t="s">
        <v>2300</v>
      </c>
      <c r="R2169" s="81"/>
      <c r="S2169" s="81"/>
      <c r="T2169" s="81"/>
      <c r="U2169" s="81"/>
      <c r="V2169" s="84" t="str">
        <f>HYPERLINK("https://pbs.twimg.com/profile_images/378800000705328795/304bfd91ee90011498fd092cc79a423e_normal.jpeg")</f>
        <v>https://pbs.twimg.com/profile_images/378800000705328795/304bfd91ee90011498fd092cc79a423e_normal.jpeg</v>
      </c>
      <c r="W2169" s="83">
        <v>44464.698287037034</v>
      </c>
      <c r="X2169" s="89">
        <v>44464</v>
      </c>
      <c r="Y2169" s="86" t="s">
        <v>4191</v>
      </c>
      <c r="Z2169" s="84" t="str">
        <f>HYPERLINK("https://twitter.com/pos_indonesia/status/1441806082007977984")</f>
        <v>https://twitter.com/pos_indonesia/status/1441806082007977984</v>
      </c>
      <c r="AA2169" s="81"/>
      <c r="AB2169" s="81"/>
      <c r="AC2169" s="86" t="s">
        <v>5852</v>
      </c>
      <c r="AD2169" s="81"/>
      <c r="AE2169" s="81" t="b">
        <v>0</v>
      </c>
      <c r="AF2169" s="81">
        <v>0</v>
      </c>
      <c r="AG2169" s="86" t="s">
        <v>6240</v>
      </c>
      <c r="AH2169" s="81" t="b">
        <v>0</v>
      </c>
      <c r="AI2169" s="81" t="s">
        <v>6479</v>
      </c>
      <c r="AJ2169" s="81"/>
      <c r="AK2169" s="86" t="s">
        <v>6240</v>
      </c>
      <c r="AL2169" s="81" t="b">
        <v>0</v>
      </c>
      <c r="AM2169" s="81">
        <v>0</v>
      </c>
      <c r="AN2169" s="86" t="s">
        <v>6240</v>
      </c>
      <c r="AO2169" s="86" t="s">
        <v>6506</v>
      </c>
      <c r="AP2169" s="81" t="b">
        <v>0</v>
      </c>
      <c r="AQ2169" s="86" t="s">
        <v>5852</v>
      </c>
      <c r="AR2169" s="81" t="s">
        <v>179</v>
      </c>
      <c r="AS2169" s="81">
        <v>0</v>
      </c>
      <c r="AT2169" s="81">
        <v>0</v>
      </c>
      <c r="AU2169" s="81"/>
      <c r="AV2169" s="81"/>
      <c r="AW2169" s="81"/>
      <c r="AX2169" s="81"/>
      <c r="AY2169" s="81"/>
      <c r="AZ2169" s="81"/>
      <c r="BA2169" s="81"/>
      <c r="BB2169" s="81"/>
    </row>
    <row r="2170" spans="1:54" x14ac:dyDescent="0.35">
      <c r="A2170" s="66" t="s">
        <v>1269</v>
      </c>
      <c r="B2170" s="66" t="s">
        <v>1269</v>
      </c>
      <c r="C2170" s="67"/>
      <c r="D2170" s="68"/>
      <c r="E2170" s="69"/>
      <c r="F2170" s="70"/>
      <c r="G2170" s="67"/>
      <c r="H2170" s="71"/>
      <c r="I2170" s="72"/>
      <c r="J2170" s="72"/>
      <c r="K2170" s="36"/>
      <c r="L2170" s="79"/>
      <c r="M2170" s="79"/>
      <c r="N2170" s="74"/>
      <c r="O2170" s="81" t="s">
        <v>179</v>
      </c>
      <c r="P2170" s="83">
        <v>44464.719085648147</v>
      </c>
      <c r="Q2170" s="81" t="s">
        <v>2323</v>
      </c>
      <c r="R2170" s="81"/>
      <c r="S2170" s="81"/>
      <c r="T2170" s="81"/>
      <c r="U2170" s="81"/>
      <c r="V2170" s="84" t="str">
        <f>HYPERLINK("https://pbs.twimg.com/profile_images/378800000705328795/304bfd91ee90011498fd092cc79a423e_normal.jpeg")</f>
        <v>https://pbs.twimg.com/profile_images/378800000705328795/304bfd91ee90011498fd092cc79a423e_normal.jpeg</v>
      </c>
      <c r="W2170" s="83">
        <v>44464.719085648147</v>
      </c>
      <c r="X2170" s="89">
        <v>44464</v>
      </c>
      <c r="Y2170" s="86" t="s">
        <v>4125</v>
      </c>
      <c r="Z2170" s="84" t="str">
        <f>HYPERLINK("https://twitter.com/pos_indonesia/status/1441813622099886080")</f>
        <v>https://twitter.com/pos_indonesia/status/1441813622099886080</v>
      </c>
      <c r="AA2170" s="81"/>
      <c r="AB2170" s="81"/>
      <c r="AC2170" s="86" t="s">
        <v>5853</v>
      </c>
      <c r="AD2170" s="81"/>
      <c r="AE2170" s="81" t="b">
        <v>0</v>
      </c>
      <c r="AF2170" s="81">
        <v>0</v>
      </c>
      <c r="AG2170" s="86" t="s">
        <v>6240</v>
      </c>
      <c r="AH2170" s="81" t="b">
        <v>0</v>
      </c>
      <c r="AI2170" s="81" t="s">
        <v>6479</v>
      </c>
      <c r="AJ2170" s="81"/>
      <c r="AK2170" s="86" t="s">
        <v>6240</v>
      </c>
      <c r="AL2170" s="81" t="b">
        <v>0</v>
      </c>
      <c r="AM2170" s="81">
        <v>0</v>
      </c>
      <c r="AN2170" s="86" t="s">
        <v>6240</v>
      </c>
      <c r="AO2170" s="86" t="s">
        <v>6506</v>
      </c>
      <c r="AP2170" s="81" t="b">
        <v>0</v>
      </c>
      <c r="AQ2170" s="86" t="s">
        <v>5853</v>
      </c>
      <c r="AR2170" s="81" t="s">
        <v>179</v>
      </c>
      <c r="AS2170" s="81">
        <v>0</v>
      </c>
      <c r="AT2170" s="81">
        <v>0</v>
      </c>
      <c r="AU2170" s="81"/>
      <c r="AV2170" s="81"/>
      <c r="AW2170" s="81"/>
      <c r="AX2170" s="81"/>
      <c r="AY2170" s="81"/>
      <c r="AZ2170" s="81"/>
      <c r="BA2170" s="81"/>
      <c r="BB2170" s="81"/>
    </row>
    <row r="2171" spans="1:54" x14ac:dyDescent="0.35">
      <c r="A2171" s="66" t="s">
        <v>1269</v>
      </c>
      <c r="B2171" s="66" t="s">
        <v>1269</v>
      </c>
      <c r="C2171" s="67"/>
      <c r="D2171" s="68"/>
      <c r="E2171" s="69"/>
      <c r="F2171" s="70"/>
      <c r="G2171" s="67"/>
      <c r="H2171" s="71"/>
      <c r="I2171" s="72"/>
      <c r="J2171" s="72"/>
      <c r="K2171" s="36"/>
      <c r="L2171" s="79"/>
      <c r="M2171" s="79"/>
      <c r="N2171" s="74"/>
      <c r="O2171" s="81" t="s">
        <v>179</v>
      </c>
      <c r="P2171" s="83">
        <v>44464.739930555559</v>
      </c>
      <c r="Q2171" s="81" t="s">
        <v>2387</v>
      </c>
      <c r="R2171" s="81"/>
      <c r="S2171" s="81"/>
      <c r="T2171" s="81"/>
      <c r="U2171" s="81"/>
      <c r="V2171" s="84" t="str">
        <f>HYPERLINK("https://pbs.twimg.com/profile_images/378800000705328795/304bfd91ee90011498fd092cc79a423e_normal.jpeg")</f>
        <v>https://pbs.twimg.com/profile_images/378800000705328795/304bfd91ee90011498fd092cc79a423e_normal.jpeg</v>
      </c>
      <c r="W2171" s="83">
        <v>44464.739930555559</v>
      </c>
      <c r="X2171" s="89">
        <v>44464</v>
      </c>
      <c r="Y2171" s="86" t="s">
        <v>4101</v>
      </c>
      <c r="Z2171" s="84" t="str">
        <f>HYPERLINK("https://twitter.com/pos_indonesia/status/1441821173231222790")</f>
        <v>https://twitter.com/pos_indonesia/status/1441821173231222790</v>
      </c>
      <c r="AA2171" s="81"/>
      <c r="AB2171" s="81"/>
      <c r="AC2171" s="86" t="s">
        <v>5854</v>
      </c>
      <c r="AD2171" s="81"/>
      <c r="AE2171" s="81" t="b">
        <v>0</v>
      </c>
      <c r="AF2171" s="81">
        <v>0</v>
      </c>
      <c r="AG2171" s="86" t="s">
        <v>6240</v>
      </c>
      <c r="AH2171" s="81" t="b">
        <v>0</v>
      </c>
      <c r="AI2171" s="81" t="s">
        <v>6479</v>
      </c>
      <c r="AJ2171" s="81"/>
      <c r="AK2171" s="86" t="s">
        <v>6240</v>
      </c>
      <c r="AL2171" s="81" t="b">
        <v>0</v>
      </c>
      <c r="AM2171" s="81">
        <v>0</v>
      </c>
      <c r="AN2171" s="86" t="s">
        <v>6240</v>
      </c>
      <c r="AO2171" s="86" t="s">
        <v>6506</v>
      </c>
      <c r="AP2171" s="81" t="b">
        <v>0</v>
      </c>
      <c r="AQ2171" s="86" t="s">
        <v>5854</v>
      </c>
      <c r="AR2171" s="81" t="s">
        <v>179</v>
      </c>
      <c r="AS2171" s="81">
        <v>0</v>
      </c>
      <c r="AT2171" s="81">
        <v>0</v>
      </c>
      <c r="AU2171" s="81"/>
      <c r="AV2171" s="81"/>
      <c r="AW2171" s="81"/>
      <c r="AX2171" s="81"/>
      <c r="AY2171" s="81"/>
      <c r="AZ2171" s="81"/>
      <c r="BA2171" s="81"/>
      <c r="BB2171" s="81"/>
    </row>
    <row r="2172" spans="1:54" x14ac:dyDescent="0.35">
      <c r="A2172" s="66" t="s">
        <v>1269</v>
      </c>
      <c r="B2172" s="66" t="s">
        <v>1269</v>
      </c>
      <c r="C2172" s="67"/>
      <c r="D2172" s="68"/>
      <c r="E2172" s="69"/>
      <c r="F2172" s="70"/>
      <c r="G2172" s="67"/>
      <c r="H2172" s="71"/>
      <c r="I2172" s="72"/>
      <c r="J2172" s="72"/>
      <c r="K2172" s="36"/>
      <c r="L2172" s="79"/>
      <c r="M2172" s="79"/>
      <c r="N2172" s="74"/>
      <c r="O2172" s="81" t="s">
        <v>179</v>
      </c>
      <c r="P2172" s="83">
        <v>44464.760752314818</v>
      </c>
      <c r="Q2172" s="81" t="s">
        <v>2506</v>
      </c>
      <c r="R2172" s="81"/>
      <c r="S2172" s="81"/>
      <c r="T2172" s="81"/>
      <c r="U2172" s="81"/>
      <c r="V2172" s="84" t="str">
        <f>HYPERLINK("https://pbs.twimg.com/profile_images/378800000705328795/304bfd91ee90011498fd092cc79a423e_normal.jpeg")</f>
        <v>https://pbs.twimg.com/profile_images/378800000705328795/304bfd91ee90011498fd092cc79a423e_normal.jpeg</v>
      </c>
      <c r="W2172" s="83">
        <v>44464.760752314818</v>
      </c>
      <c r="X2172" s="89">
        <v>44464</v>
      </c>
      <c r="Y2172" s="86" t="s">
        <v>4192</v>
      </c>
      <c r="Z2172" s="84" t="str">
        <f>HYPERLINK("https://twitter.com/pos_indonesia/status/1441828721350959104")</f>
        <v>https://twitter.com/pos_indonesia/status/1441828721350959104</v>
      </c>
      <c r="AA2172" s="81"/>
      <c r="AB2172" s="81"/>
      <c r="AC2172" s="86" t="s">
        <v>5855</v>
      </c>
      <c r="AD2172" s="81"/>
      <c r="AE2172" s="81" t="b">
        <v>0</v>
      </c>
      <c r="AF2172" s="81">
        <v>0</v>
      </c>
      <c r="AG2172" s="86" t="s">
        <v>6240</v>
      </c>
      <c r="AH2172" s="81" t="b">
        <v>0</v>
      </c>
      <c r="AI2172" s="81" t="s">
        <v>6479</v>
      </c>
      <c r="AJ2172" s="81"/>
      <c r="AK2172" s="86" t="s">
        <v>6240</v>
      </c>
      <c r="AL2172" s="81" t="b">
        <v>0</v>
      </c>
      <c r="AM2172" s="81">
        <v>0</v>
      </c>
      <c r="AN2172" s="86" t="s">
        <v>6240</v>
      </c>
      <c r="AO2172" s="86" t="s">
        <v>6506</v>
      </c>
      <c r="AP2172" s="81" t="b">
        <v>0</v>
      </c>
      <c r="AQ2172" s="86" t="s">
        <v>5855</v>
      </c>
      <c r="AR2172" s="81" t="s">
        <v>179</v>
      </c>
      <c r="AS2172" s="81">
        <v>0</v>
      </c>
      <c r="AT2172" s="81">
        <v>0</v>
      </c>
      <c r="AU2172" s="81"/>
      <c r="AV2172" s="81"/>
      <c r="AW2172" s="81"/>
      <c r="AX2172" s="81"/>
      <c r="AY2172" s="81"/>
      <c r="AZ2172" s="81"/>
      <c r="BA2172" s="81"/>
      <c r="BB2172" s="81"/>
    </row>
    <row r="2173" spans="1:54" x14ac:dyDescent="0.35">
      <c r="A2173" s="66" t="s">
        <v>1269</v>
      </c>
      <c r="B2173" s="66" t="s">
        <v>1269</v>
      </c>
      <c r="C2173" s="67"/>
      <c r="D2173" s="68"/>
      <c r="E2173" s="69"/>
      <c r="F2173" s="70"/>
      <c r="G2173" s="67"/>
      <c r="H2173" s="71"/>
      <c r="I2173" s="72"/>
      <c r="J2173" s="72"/>
      <c r="K2173" s="36"/>
      <c r="L2173" s="79"/>
      <c r="M2173" s="79"/>
      <c r="N2173" s="74"/>
      <c r="O2173" s="81" t="s">
        <v>179</v>
      </c>
      <c r="P2173" s="83">
        <v>44464.781608796293</v>
      </c>
      <c r="Q2173" s="81" t="s">
        <v>2525</v>
      </c>
      <c r="R2173" s="81"/>
      <c r="S2173" s="81"/>
      <c r="T2173" s="81"/>
      <c r="U2173" s="81"/>
      <c r="V2173" s="84" t="str">
        <f>HYPERLINK("https://pbs.twimg.com/profile_images/378800000705328795/304bfd91ee90011498fd092cc79a423e_normal.jpeg")</f>
        <v>https://pbs.twimg.com/profile_images/378800000705328795/304bfd91ee90011498fd092cc79a423e_normal.jpeg</v>
      </c>
      <c r="W2173" s="83">
        <v>44464.781608796293</v>
      </c>
      <c r="X2173" s="89">
        <v>44464</v>
      </c>
      <c r="Y2173" s="86" t="s">
        <v>4193</v>
      </c>
      <c r="Z2173" s="84" t="str">
        <f>HYPERLINK("https://twitter.com/pos_indonesia/status/1441836277406461952")</f>
        <v>https://twitter.com/pos_indonesia/status/1441836277406461952</v>
      </c>
      <c r="AA2173" s="81"/>
      <c r="AB2173" s="81"/>
      <c r="AC2173" s="86" t="s">
        <v>5856</v>
      </c>
      <c r="AD2173" s="81"/>
      <c r="AE2173" s="81" t="b">
        <v>0</v>
      </c>
      <c r="AF2173" s="81">
        <v>0</v>
      </c>
      <c r="AG2173" s="86" t="s">
        <v>6240</v>
      </c>
      <c r="AH2173" s="81" t="b">
        <v>0</v>
      </c>
      <c r="AI2173" s="81" t="s">
        <v>6479</v>
      </c>
      <c r="AJ2173" s="81"/>
      <c r="AK2173" s="86" t="s">
        <v>6240</v>
      </c>
      <c r="AL2173" s="81" t="b">
        <v>0</v>
      </c>
      <c r="AM2173" s="81">
        <v>0</v>
      </c>
      <c r="AN2173" s="86" t="s">
        <v>6240</v>
      </c>
      <c r="AO2173" s="86" t="s">
        <v>6506</v>
      </c>
      <c r="AP2173" s="81" t="b">
        <v>0</v>
      </c>
      <c r="AQ2173" s="86" t="s">
        <v>5856</v>
      </c>
      <c r="AR2173" s="81" t="s">
        <v>179</v>
      </c>
      <c r="AS2173" s="81">
        <v>0</v>
      </c>
      <c r="AT2173" s="81">
        <v>0</v>
      </c>
      <c r="AU2173" s="81"/>
      <c r="AV2173" s="81"/>
      <c r="AW2173" s="81"/>
      <c r="AX2173" s="81"/>
      <c r="AY2173" s="81"/>
      <c r="AZ2173" s="81"/>
      <c r="BA2173" s="81"/>
      <c r="BB2173" s="81"/>
    </row>
    <row r="2174" spans="1:54" x14ac:dyDescent="0.35">
      <c r="A2174" s="66" t="s">
        <v>1269</v>
      </c>
      <c r="B2174" s="66" t="s">
        <v>1269</v>
      </c>
      <c r="C2174" s="67"/>
      <c r="D2174" s="68"/>
      <c r="E2174" s="69"/>
      <c r="F2174" s="70"/>
      <c r="G2174" s="67"/>
      <c r="H2174" s="71"/>
      <c r="I2174" s="72"/>
      <c r="J2174" s="72"/>
      <c r="K2174" s="36"/>
      <c r="L2174" s="79"/>
      <c r="M2174" s="79"/>
      <c r="N2174" s="74"/>
      <c r="O2174" s="81" t="s">
        <v>179</v>
      </c>
      <c r="P2174" s="83">
        <v>44464.802407407406</v>
      </c>
      <c r="Q2174" s="81" t="s">
        <v>2367</v>
      </c>
      <c r="R2174" s="81"/>
      <c r="S2174" s="81"/>
      <c r="T2174" s="81"/>
      <c r="U2174" s="81"/>
      <c r="V2174" s="84" t="str">
        <f>HYPERLINK("https://pbs.twimg.com/profile_images/378800000705328795/304bfd91ee90011498fd092cc79a423e_normal.jpeg")</f>
        <v>https://pbs.twimg.com/profile_images/378800000705328795/304bfd91ee90011498fd092cc79a423e_normal.jpeg</v>
      </c>
      <c r="W2174" s="83">
        <v>44464.802407407406</v>
      </c>
      <c r="X2174" s="89">
        <v>44464</v>
      </c>
      <c r="Y2174" s="86" t="s">
        <v>4162</v>
      </c>
      <c r="Z2174" s="84" t="str">
        <f>HYPERLINK("https://twitter.com/pos_indonesia/status/1441843816852426760")</f>
        <v>https://twitter.com/pos_indonesia/status/1441843816852426760</v>
      </c>
      <c r="AA2174" s="81"/>
      <c r="AB2174" s="81"/>
      <c r="AC2174" s="86" t="s">
        <v>5857</v>
      </c>
      <c r="AD2174" s="81"/>
      <c r="AE2174" s="81" t="b">
        <v>0</v>
      </c>
      <c r="AF2174" s="81">
        <v>0</v>
      </c>
      <c r="AG2174" s="86" t="s">
        <v>6240</v>
      </c>
      <c r="AH2174" s="81" t="b">
        <v>0</v>
      </c>
      <c r="AI2174" s="81" t="s">
        <v>6479</v>
      </c>
      <c r="AJ2174" s="81"/>
      <c r="AK2174" s="86" t="s">
        <v>6240</v>
      </c>
      <c r="AL2174" s="81" t="b">
        <v>0</v>
      </c>
      <c r="AM2174" s="81">
        <v>0</v>
      </c>
      <c r="AN2174" s="86" t="s">
        <v>6240</v>
      </c>
      <c r="AO2174" s="86" t="s">
        <v>6506</v>
      </c>
      <c r="AP2174" s="81" t="b">
        <v>0</v>
      </c>
      <c r="AQ2174" s="86" t="s">
        <v>5857</v>
      </c>
      <c r="AR2174" s="81" t="s">
        <v>179</v>
      </c>
      <c r="AS2174" s="81">
        <v>0</v>
      </c>
      <c r="AT2174" s="81">
        <v>0</v>
      </c>
      <c r="AU2174" s="81"/>
      <c r="AV2174" s="81"/>
      <c r="AW2174" s="81"/>
      <c r="AX2174" s="81"/>
      <c r="AY2174" s="81"/>
      <c r="AZ2174" s="81"/>
      <c r="BA2174" s="81"/>
      <c r="BB2174" s="81"/>
    </row>
    <row r="2175" spans="1:54" x14ac:dyDescent="0.35">
      <c r="A2175" s="66" t="s">
        <v>1269</v>
      </c>
      <c r="B2175" s="66" t="s">
        <v>1269</v>
      </c>
      <c r="C2175" s="67"/>
      <c r="D2175" s="68"/>
      <c r="E2175" s="69"/>
      <c r="F2175" s="70"/>
      <c r="G2175" s="67"/>
      <c r="H2175" s="71"/>
      <c r="I2175" s="72"/>
      <c r="J2175" s="72"/>
      <c r="K2175" s="36"/>
      <c r="L2175" s="79"/>
      <c r="M2175" s="79"/>
      <c r="N2175" s="74"/>
      <c r="O2175" s="81" t="s">
        <v>179</v>
      </c>
      <c r="P2175" s="83">
        <v>44464.823263888888</v>
      </c>
      <c r="Q2175" s="81" t="s">
        <v>2484</v>
      </c>
      <c r="R2175" s="81"/>
      <c r="S2175" s="81"/>
      <c r="T2175" s="81"/>
      <c r="U2175" s="81"/>
      <c r="V2175" s="84" t="str">
        <f>HYPERLINK("https://pbs.twimg.com/profile_images/378800000705328795/304bfd91ee90011498fd092cc79a423e_normal.jpeg")</f>
        <v>https://pbs.twimg.com/profile_images/378800000705328795/304bfd91ee90011498fd092cc79a423e_normal.jpeg</v>
      </c>
      <c r="W2175" s="83">
        <v>44464.823263888888</v>
      </c>
      <c r="X2175" s="89">
        <v>44464</v>
      </c>
      <c r="Y2175" s="86" t="s">
        <v>4163</v>
      </c>
      <c r="Z2175" s="84" t="str">
        <f>HYPERLINK("https://twitter.com/pos_indonesia/status/1441851374606553094")</f>
        <v>https://twitter.com/pos_indonesia/status/1441851374606553094</v>
      </c>
      <c r="AA2175" s="81"/>
      <c r="AB2175" s="81"/>
      <c r="AC2175" s="86" t="s">
        <v>5858</v>
      </c>
      <c r="AD2175" s="81"/>
      <c r="AE2175" s="81" t="b">
        <v>0</v>
      </c>
      <c r="AF2175" s="81">
        <v>0</v>
      </c>
      <c r="AG2175" s="86" t="s">
        <v>6240</v>
      </c>
      <c r="AH2175" s="81" t="b">
        <v>0</v>
      </c>
      <c r="AI2175" s="81" t="s">
        <v>6479</v>
      </c>
      <c r="AJ2175" s="81"/>
      <c r="AK2175" s="86" t="s">
        <v>6240</v>
      </c>
      <c r="AL2175" s="81" t="b">
        <v>0</v>
      </c>
      <c r="AM2175" s="81">
        <v>0</v>
      </c>
      <c r="AN2175" s="86" t="s">
        <v>6240</v>
      </c>
      <c r="AO2175" s="86" t="s">
        <v>6506</v>
      </c>
      <c r="AP2175" s="81" t="b">
        <v>0</v>
      </c>
      <c r="AQ2175" s="86" t="s">
        <v>5858</v>
      </c>
      <c r="AR2175" s="81" t="s">
        <v>179</v>
      </c>
      <c r="AS2175" s="81">
        <v>0</v>
      </c>
      <c r="AT2175" s="81">
        <v>0</v>
      </c>
      <c r="AU2175" s="81"/>
      <c r="AV2175" s="81"/>
      <c r="AW2175" s="81"/>
      <c r="AX2175" s="81"/>
      <c r="AY2175" s="81"/>
      <c r="AZ2175" s="81"/>
      <c r="BA2175" s="81"/>
      <c r="BB2175" s="81"/>
    </row>
    <row r="2176" spans="1:54" x14ac:dyDescent="0.35">
      <c r="A2176" s="66" t="s">
        <v>1269</v>
      </c>
      <c r="B2176" s="66" t="s">
        <v>1269</v>
      </c>
      <c r="C2176" s="67"/>
      <c r="D2176" s="68"/>
      <c r="E2176" s="69"/>
      <c r="F2176" s="70"/>
      <c r="G2176" s="67"/>
      <c r="H2176" s="71"/>
      <c r="I2176" s="72"/>
      <c r="J2176" s="72"/>
      <c r="K2176" s="36"/>
      <c r="L2176" s="79"/>
      <c r="M2176" s="79"/>
      <c r="N2176" s="74"/>
      <c r="O2176" s="81" t="s">
        <v>179</v>
      </c>
      <c r="P2176" s="83">
        <v>44464.844085648147</v>
      </c>
      <c r="Q2176" s="81" t="s">
        <v>2381</v>
      </c>
      <c r="R2176" s="81"/>
      <c r="S2176" s="81"/>
      <c r="T2176" s="81"/>
      <c r="U2176" s="81"/>
      <c r="V2176" s="84" t="str">
        <f>HYPERLINK("https://pbs.twimg.com/profile_images/378800000705328795/304bfd91ee90011498fd092cc79a423e_normal.jpeg")</f>
        <v>https://pbs.twimg.com/profile_images/378800000705328795/304bfd91ee90011498fd092cc79a423e_normal.jpeg</v>
      </c>
      <c r="W2176" s="83">
        <v>44464.844085648147</v>
      </c>
      <c r="X2176" s="89">
        <v>44464</v>
      </c>
      <c r="Y2176" s="86" t="s">
        <v>4164</v>
      </c>
      <c r="Z2176" s="84" t="str">
        <f>HYPERLINK("https://twitter.com/pos_indonesia/status/1441858917378654210")</f>
        <v>https://twitter.com/pos_indonesia/status/1441858917378654210</v>
      </c>
      <c r="AA2176" s="81"/>
      <c r="AB2176" s="81"/>
      <c r="AC2176" s="86" t="s">
        <v>5859</v>
      </c>
      <c r="AD2176" s="81"/>
      <c r="AE2176" s="81" t="b">
        <v>0</v>
      </c>
      <c r="AF2176" s="81">
        <v>1</v>
      </c>
      <c r="AG2176" s="86" t="s">
        <v>6240</v>
      </c>
      <c r="AH2176" s="81" t="b">
        <v>0</v>
      </c>
      <c r="AI2176" s="81" t="s">
        <v>6479</v>
      </c>
      <c r="AJ2176" s="81"/>
      <c r="AK2176" s="86" t="s">
        <v>6240</v>
      </c>
      <c r="AL2176" s="81" t="b">
        <v>0</v>
      </c>
      <c r="AM2176" s="81">
        <v>0</v>
      </c>
      <c r="AN2176" s="86" t="s">
        <v>6240</v>
      </c>
      <c r="AO2176" s="86" t="s">
        <v>6506</v>
      </c>
      <c r="AP2176" s="81" t="b">
        <v>0</v>
      </c>
      <c r="AQ2176" s="86" t="s">
        <v>5859</v>
      </c>
      <c r="AR2176" s="81" t="s">
        <v>179</v>
      </c>
      <c r="AS2176" s="81">
        <v>0</v>
      </c>
      <c r="AT2176" s="81">
        <v>0</v>
      </c>
      <c r="AU2176" s="81"/>
      <c r="AV2176" s="81"/>
      <c r="AW2176" s="81"/>
      <c r="AX2176" s="81"/>
      <c r="AY2176" s="81"/>
      <c r="AZ2176" s="81"/>
      <c r="BA2176" s="81"/>
      <c r="BB2176" s="81"/>
    </row>
    <row r="2177" spans="1:54" x14ac:dyDescent="0.35">
      <c r="A2177" s="66" t="s">
        <v>1269</v>
      </c>
      <c r="B2177" s="66" t="s">
        <v>1269</v>
      </c>
      <c r="C2177" s="67"/>
      <c r="D2177" s="68"/>
      <c r="E2177" s="69"/>
      <c r="F2177" s="70"/>
      <c r="G2177" s="67"/>
      <c r="H2177" s="71"/>
      <c r="I2177" s="72"/>
      <c r="J2177" s="72"/>
      <c r="K2177" s="36"/>
      <c r="L2177" s="79"/>
      <c r="M2177" s="79"/>
      <c r="N2177" s="74"/>
      <c r="O2177" s="81" t="s">
        <v>179</v>
      </c>
      <c r="P2177" s="83">
        <v>44464.864953703705</v>
      </c>
      <c r="Q2177" s="81" t="s">
        <v>2526</v>
      </c>
      <c r="R2177" s="81"/>
      <c r="S2177" s="81"/>
      <c r="T2177" s="81"/>
      <c r="U2177" s="81"/>
      <c r="V2177" s="84" t="str">
        <f>HYPERLINK("https://pbs.twimg.com/profile_images/378800000705328795/304bfd91ee90011498fd092cc79a423e_normal.jpeg")</f>
        <v>https://pbs.twimg.com/profile_images/378800000705328795/304bfd91ee90011498fd092cc79a423e_normal.jpeg</v>
      </c>
      <c r="W2177" s="83">
        <v>44464.864953703705</v>
      </c>
      <c r="X2177" s="89">
        <v>44464</v>
      </c>
      <c r="Y2177" s="86" t="s">
        <v>4127</v>
      </c>
      <c r="Z2177" s="84" t="str">
        <f>HYPERLINK("https://twitter.com/pos_indonesia/status/1441866483269718018")</f>
        <v>https://twitter.com/pos_indonesia/status/1441866483269718018</v>
      </c>
      <c r="AA2177" s="81"/>
      <c r="AB2177" s="81"/>
      <c r="AC2177" s="86" t="s">
        <v>5860</v>
      </c>
      <c r="AD2177" s="81"/>
      <c r="AE2177" s="81" t="b">
        <v>0</v>
      </c>
      <c r="AF2177" s="81">
        <v>0</v>
      </c>
      <c r="AG2177" s="86" t="s">
        <v>6240</v>
      </c>
      <c r="AH2177" s="81" t="b">
        <v>0</v>
      </c>
      <c r="AI2177" s="81" t="s">
        <v>6479</v>
      </c>
      <c r="AJ2177" s="81"/>
      <c r="AK2177" s="86" t="s">
        <v>6240</v>
      </c>
      <c r="AL2177" s="81" t="b">
        <v>0</v>
      </c>
      <c r="AM2177" s="81">
        <v>0</v>
      </c>
      <c r="AN2177" s="86" t="s">
        <v>6240</v>
      </c>
      <c r="AO2177" s="86" t="s">
        <v>6506</v>
      </c>
      <c r="AP2177" s="81" t="b">
        <v>0</v>
      </c>
      <c r="AQ2177" s="86" t="s">
        <v>5860</v>
      </c>
      <c r="AR2177" s="81" t="s">
        <v>179</v>
      </c>
      <c r="AS2177" s="81">
        <v>0</v>
      </c>
      <c r="AT2177" s="81">
        <v>0</v>
      </c>
      <c r="AU2177" s="81"/>
      <c r="AV2177" s="81"/>
      <c r="AW2177" s="81"/>
      <c r="AX2177" s="81"/>
      <c r="AY2177" s="81"/>
      <c r="AZ2177" s="81"/>
      <c r="BA2177" s="81"/>
      <c r="BB2177" s="81"/>
    </row>
    <row r="2178" spans="1:54" x14ac:dyDescent="0.35">
      <c r="A2178" s="66" t="s">
        <v>1269</v>
      </c>
      <c r="B2178" s="66" t="s">
        <v>1269</v>
      </c>
      <c r="C2178" s="67"/>
      <c r="D2178" s="68"/>
      <c r="E2178" s="69"/>
      <c r="F2178" s="70"/>
      <c r="G2178" s="67"/>
      <c r="H2178" s="71"/>
      <c r="I2178" s="72"/>
      <c r="J2178" s="72"/>
      <c r="K2178" s="36"/>
      <c r="L2178" s="79"/>
      <c r="M2178" s="79"/>
      <c r="N2178" s="74"/>
      <c r="O2178" s="81" t="s">
        <v>179</v>
      </c>
      <c r="P2178" s="83">
        <v>44464.885752314818</v>
      </c>
      <c r="Q2178" s="81" t="s">
        <v>2328</v>
      </c>
      <c r="R2178" s="81"/>
      <c r="S2178" s="81"/>
      <c r="T2178" s="81"/>
      <c r="U2178" s="81"/>
      <c r="V2178" s="84" t="str">
        <f>HYPERLINK("https://pbs.twimg.com/profile_images/378800000705328795/304bfd91ee90011498fd092cc79a423e_normal.jpeg")</f>
        <v>https://pbs.twimg.com/profile_images/378800000705328795/304bfd91ee90011498fd092cc79a423e_normal.jpeg</v>
      </c>
      <c r="W2178" s="83">
        <v>44464.885752314818</v>
      </c>
      <c r="X2178" s="89">
        <v>44464</v>
      </c>
      <c r="Y2178" s="86" t="s">
        <v>4062</v>
      </c>
      <c r="Z2178" s="84" t="str">
        <f>HYPERLINK("https://twitter.com/pos_indonesia/status/1441874019582574600")</f>
        <v>https://twitter.com/pos_indonesia/status/1441874019582574600</v>
      </c>
      <c r="AA2178" s="81"/>
      <c r="AB2178" s="81"/>
      <c r="AC2178" s="86" t="s">
        <v>5861</v>
      </c>
      <c r="AD2178" s="81"/>
      <c r="AE2178" s="81" t="b">
        <v>0</v>
      </c>
      <c r="AF2178" s="81">
        <v>0</v>
      </c>
      <c r="AG2178" s="86" t="s">
        <v>6240</v>
      </c>
      <c r="AH2178" s="81" t="b">
        <v>0</v>
      </c>
      <c r="AI2178" s="81" t="s">
        <v>6479</v>
      </c>
      <c r="AJ2178" s="81"/>
      <c r="AK2178" s="86" t="s">
        <v>6240</v>
      </c>
      <c r="AL2178" s="81" t="b">
        <v>0</v>
      </c>
      <c r="AM2178" s="81">
        <v>0</v>
      </c>
      <c r="AN2178" s="86" t="s">
        <v>6240</v>
      </c>
      <c r="AO2178" s="86" t="s">
        <v>6506</v>
      </c>
      <c r="AP2178" s="81" t="b">
        <v>0</v>
      </c>
      <c r="AQ2178" s="86" t="s">
        <v>5861</v>
      </c>
      <c r="AR2178" s="81" t="s">
        <v>179</v>
      </c>
      <c r="AS2178" s="81">
        <v>0</v>
      </c>
      <c r="AT2178" s="81">
        <v>0</v>
      </c>
      <c r="AU2178" s="81"/>
      <c r="AV2178" s="81"/>
      <c r="AW2178" s="81"/>
      <c r="AX2178" s="81"/>
      <c r="AY2178" s="81"/>
      <c r="AZ2178" s="81"/>
      <c r="BA2178" s="81"/>
      <c r="BB2178" s="81"/>
    </row>
    <row r="2179" spans="1:54" x14ac:dyDescent="0.35">
      <c r="A2179" s="66" t="s">
        <v>1269</v>
      </c>
      <c r="B2179" s="66" t="s">
        <v>1269</v>
      </c>
      <c r="C2179" s="67"/>
      <c r="D2179" s="68"/>
      <c r="E2179" s="69"/>
      <c r="F2179" s="70"/>
      <c r="G2179" s="67"/>
      <c r="H2179" s="71"/>
      <c r="I2179" s="72"/>
      <c r="J2179" s="72"/>
      <c r="K2179" s="36"/>
      <c r="L2179" s="79"/>
      <c r="M2179" s="79"/>
      <c r="N2179" s="74"/>
      <c r="O2179" s="81" t="s">
        <v>179</v>
      </c>
      <c r="P2179" s="83">
        <v>44464.906597222223</v>
      </c>
      <c r="Q2179" s="81" t="s">
        <v>2458</v>
      </c>
      <c r="R2179" s="81"/>
      <c r="S2179" s="81"/>
      <c r="T2179" s="81"/>
      <c r="U2179" s="81"/>
      <c r="V2179" s="84" t="str">
        <f>HYPERLINK("https://pbs.twimg.com/profile_images/378800000705328795/304bfd91ee90011498fd092cc79a423e_normal.jpeg")</f>
        <v>https://pbs.twimg.com/profile_images/378800000705328795/304bfd91ee90011498fd092cc79a423e_normal.jpeg</v>
      </c>
      <c r="W2179" s="83">
        <v>44464.906597222223</v>
      </c>
      <c r="X2179" s="89">
        <v>44464</v>
      </c>
      <c r="Y2179" s="86" t="s">
        <v>4194</v>
      </c>
      <c r="Z2179" s="84" t="str">
        <f>HYPERLINK("https://twitter.com/pos_indonesia/status/1441881571418521602")</f>
        <v>https://twitter.com/pos_indonesia/status/1441881571418521602</v>
      </c>
      <c r="AA2179" s="81"/>
      <c r="AB2179" s="81"/>
      <c r="AC2179" s="86" t="s">
        <v>5862</v>
      </c>
      <c r="AD2179" s="81"/>
      <c r="AE2179" s="81" t="b">
        <v>0</v>
      </c>
      <c r="AF2179" s="81">
        <v>0</v>
      </c>
      <c r="AG2179" s="86" t="s">
        <v>6240</v>
      </c>
      <c r="AH2179" s="81" t="b">
        <v>0</v>
      </c>
      <c r="AI2179" s="81" t="s">
        <v>6479</v>
      </c>
      <c r="AJ2179" s="81"/>
      <c r="AK2179" s="86" t="s">
        <v>6240</v>
      </c>
      <c r="AL2179" s="81" t="b">
        <v>0</v>
      </c>
      <c r="AM2179" s="81">
        <v>0</v>
      </c>
      <c r="AN2179" s="86" t="s">
        <v>6240</v>
      </c>
      <c r="AO2179" s="86" t="s">
        <v>6506</v>
      </c>
      <c r="AP2179" s="81" t="b">
        <v>0</v>
      </c>
      <c r="AQ2179" s="86" t="s">
        <v>5862</v>
      </c>
      <c r="AR2179" s="81" t="s">
        <v>179</v>
      </c>
      <c r="AS2179" s="81">
        <v>0</v>
      </c>
      <c r="AT2179" s="81">
        <v>0</v>
      </c>
      <c r="AU2179" s="81"/>
      <c r="AV2179" s="81"/>
      <c r="AW2179" s="81"/>
      <c r="AX2179" s="81"/>
      <c r="AY2179" s="81"/>
      <c r="AZ2179" s="81"/>
      <c r="BA2179" s="81"/>
      <c r="BB2179" s="81"/>
    </row>
    <row r="2180" spans="1:54" x14ac:dyDescent="0.35">
      <c r="A2180" s="66" t="s">
        <v>1269</v>
      </c>
      <c r="B2180" s="66" t="s">
        <v>1269</v>
      </c>
      <c r="C2180" s="67"/>
      <c r="D2180" s="68"/>
      <c r="E2180" s="69"/>
      <c r="F2180" s="70"/>
      <c r="G2180" s="67"/>
      <c r="H2180" s="71"/>
      <c r="I2180" s="72"/>
      <c r="J2180" s="72"/>
      <c r="K2180" s="36"/>
      <c r="L2180" s="79"/>
      <c r="M2180" s="79"/>
      <c r="N2180" s="74"/>
      <c r="O2180" s="81" t="s">
        <v>179</v>
      </c>
      <c r="P2180" s="83">
        <v>44464.927418981482</v>
      </c>
      <c r="Q2180" s="81" t="s">
        <v>2527</v>
      </c>
      <c r="R2180" s="81"/>
      <c r="S2180" s="81"/>
      <c r="T2180" s="81"/>
      <c r="U2180" s="81"/>
      <c r="V2180" s="84" t="str">
        <f>HYPERLINK("https://pbs.twimg.com/profile_images/378800000705328795/304bfd91ee90011498fd092cc79a423e_normal.jpeg")</f>
        <v>https://pbs.twimg.com/profile_images/378800000705328795/304bfd91ee90011498fd092cc79a423e_normal.jpeg</v>
      </c>
      <c r="W2180" s="83">
        <v>44464.927418981482</v>
      </c>
      <c r="X2180" s="89">
        <v>44464</v>
      </c>
      <c r="Y2180" s="86" t="s">
        <v>4195</v>
      </c>
      <c r="Z2180" s="84" t="str">
        <f>HYPERLINK("https://twitter.com/pos_indonesia/status/1441889117101387776")</f>
        <v>https://twitter.com/pos_indonesia/status/1441889117101387776</v>
      </c>
      <c r="AA2180" s="81"/>
      <c r="AB2180" s="81"/>
      <c r="AC2180" s="86" t="s">
        <v>5863</v>
      </c>
      <c r="AD2180" s="81"/>
      <c r="AE2180" s="81" t="b">
        <v>0</v>
      </c>
      <c r="AF2180" s="81">
        <v>0</v>
      </c>
      <c r="AG2180" s="86" t="s">
        <v>6240</v>
      </c>
      <c r="AH2180" s="81" t="b">
        <v>0</v>
      </c>
      <c r="AI2180" s="81" t="s">
        <v>6479</v>
      </c>
      <c r="AJ2180" s="81"/>
      <c r="AK2180" s="86" t="s">
        <v>6240</v>
      </c>
      <c r="AL2180" s="81" t="b">
        <v>0</v>
      </c>
      <c r="AM2180" s="81">
        <v>0</v>
      </c>
      <c r="AN2180" s="86" t="s">
        <v>6240</v>
      </c>
      <c r="AO2180" s="86" t="s">
        <v>6506</v>
      </c>
      <c r="AP2180" s="81" t="b">
        <v>0</v>
      </c>
      <c r="AQ2180" s="86" t="s">
        <v>5863</v>
      </c>
      <c r="AR2180" s="81" t="s">
        <v>179</v>
      </c>
      <c r="AS2180" s="81">
        <v>0</v>
      </c>
      <c r="AT2180" s="81">
        <v>0</v>
      </c>
      <c r="AU2180" s="81"/>
      <c r="AV2180" s="81"/>
      <c r="AW2180" s="81"/>
      <c r="AX2180" s="81"/>
      <c r="AY2180" s="81"/>
      <c r="AZ2180" s="81"/>
      <c r="BA2180" s="81"/>
      <c r="BB2180" s="81"/>
    </row>
    <row r="2181" spans="1:54" x14ac:dyDescent="0.35">
      <c r="A2181" s="66" t="s">
        <v>1269</v>
      </c>
      <c r="B2181" s="66" t="s">
        <v>1269</v>
      </c>
      <c r="C2181" s="67"/>
      <c r="D2181" s="68"/>
      <c r="E2181" s="69"/>
      <c r="F2181" s="70"/>
      <c r="G2181" s="67"/>
      <c r="H2181" s="71"/>
      <c r="I2181" s="72"/>
      <c r="J2181" s="72"/>
      <c r="K2181" s="36"/>
      <c r="L2181" s="79"/>
      <c r="M2181" s="79"/>
      <c r="N2181" s="74"/>
      <c r="O2181" s="81" t="s">
        <v>179</v>
      </c>
      <c r="P2181" s="83">
        <v>44464.948263888888</v>
      </c>
      <c r="Q2181" s="81" t="s">
        <v>2372</v>
      </c>
      <c r="R2181" s="81"/>
      <c r="S2181" s="81"/>
      <c r="T2181" s="81"/>
      <c r="U2181" s="81"/>
      <c r="V2181" s="84" t="str">
        <f>HYPERLINK("https://pbs.twimg.com/profile_images/378800000705328795/304bfd91ee90011498fd092cc79a423e_normal.jpeg")</f>
        <v>https://pbs.twimg.com/profile_images/378800000705328795/304bfd91ee90011498fd092cc79a423e_normal.jpeg</v>
      </c>
      <c r="W2181" s="83">
        <v>44464.948263888888</v>
      </c>
      <c r="X2181" s="89">
        <v>44464</v>
      </c>
      <c r="Y2181" s="86" t="s">
        <v>4129</v>
      </c>
      <c r="Z2181" s="84" t="str">
        <f>HYPERLINK("https://twitter.com/pos_indonesia/status/1441896674129965059")</f>
        <v>https://twitter.com/pos_indonesia/status/1441896674129965059</v>
      </c>
      <c r="AA2181" s="81"/>
      <c r="AB2181" s="81"/>
      <c r="AC2181" s="86" t="s">
        <v>5864</v>
      </c>
      <c r="AD2181" s="81"/>
      <c r="AE2181" s="81" t="b">
        <v>0</v>
      </c>
      <c r="AF2181" s="81">
        <v>1</v>
      </c>
      <c r="AG2181" s="86" t="s">
        <v>6240</v>
      </c>
      <c r="AH2181" s="81" t="b">
        <v>0</v>
      </c>
      <c r="AI2181" s="81" t="s">
        <v>6479</v>
      </c>
      <c r="AJ2181" s="81"/>
      <c r="AK2181" s="86" t="s">
        <v>6240</v>
      </c>
      <c r="AL2181" s="81" t="b">
        <v>0</v>
      </c>
      <c r="AM2181" s="81">
        <v>0</v>
      </c>
      <c r="AN2181" s="86" t="s">
        <v>6240</v>
      </c>
      <c r="AO2181" s="86" t="s">
        <v>6506</v>
      </c>
      <c r="AP2181" s="81" t="b">
        <v>0</v>
      </c>
      <c r="AQ2181" s="86" t="s">
        <v>5864</v>
      </c>
      <c r="AR2181" s="81" t="s">
        <v>179</v>
      </c>
      <c r="AS2181" s="81">
        <v>0</v>
      </c>
      <c r="AT2181" s="81">
        <v>0</v>
      </c>
      <c r="AU2181" s="81"/>
      <c r="AV2181" s="81"/>
      <c r="AW2181" s="81"/>
      <c r="AX2181" s="81"/>
      <c r="AY2181" s="81"/>
      <c r="AZ2181" s="81"/>
      <c r="BA2181" s="81"/>
      <c r="BB2181" s="81"/>
    </row>
    <row r="2182" spans="1:54" x14ac:dyDescent="0.35">
      <c r="A2182" s="66" t="s">
        <v>1269</v>
      </c>
      <c r="B2182" s="66" t="s">
        <v>1269</v>
      </c>
      <c r="C2182" s="67"/>
      <c r="D2182" s="68"/>
      <c r="E2182" s="69"/>
      <c r="F2182" s="70"/>
      <c r="G2182" s="67"/>
      <c r="H2182" s="71"/>
      <c r="I2182" s="72"/>
      <c r="J2182" s="72"/>
      <c r="K2182" s="36"/>
      <c r="L2182" s="79"/>
      <c r="M2182" s="79"/>
      <c r="N2182" s="74"/>
      <c r="O2182" s="81" t="s">
        <v>179</v>
      </c>
      <c r="P2182" s="83">
        <v>44464.969131944446</v>
      </c>
      <c r="Q2182" s="81" t="s">
        <v>2332</v>
      </c>
      <c r="R2182" s="81"/>
      <c r="S2182" s="81"/>
      <c r="T2182" s="81"/>
      <c r="U2182" s="81"/>
      <c r="V2182" s="84" t="str">
        <f>HYPERLINK("https://pbs.twimg.com/profile_images/378800000705328795/304bfd91ee90011498fd092cc79a423e_normal.jpeg")</f>
        <v>https://pbs.twimg.com/profile_images/378800000705328795/304bfd91ee90011498fd092cc79a423e_normal.jpeg</v>
      </c>
      <c r="W2182" s="83">
        <v>44464.969131944446</v>
      </c>
      <c r="X2182" s="89">
        <v>44464</v>
      </c>
      <c r="Y2182" s="86" t="s">
        <v>4107</v>
      </c>
      <c r="Z2182" s="84" t="str">
        <f>HYPERLINK("https://twitter.com/pos_indonesia/status/1441904236166406145")</f>
        <v>https://twitter.com/pos_indonesia/status/1441904236166406145</v>
      </c>
      <c r="AA2182" s="81"/>
      <c r="AB2182" s="81"/>
      <c r="AC2182" s="86" t="s">
        <v>5865</v>
      </c>
      <c r="AD2182" s="81"/>
      <c r="AE2182" s="81" t="b">
        <v>0</v>
      </c>
      <c r="AF2182" s="81">
        <v>0</v>
      </c>
      <c r="AG2182" s="86" t="s">
        <v>6240</v>
      </c>
      <c r="AH2182" s="81" t="b">
        <v>0</v>
      </c>
      <c r="AI2182" s="81" t="s">
        <v>6479</v>
      </c>
      <c r="AJ2182" s="81"/>
      <c r="AK2182" s="86" t="s">
        <v>6240</v>
      </c>
      <c r="AL2182" s="81" t="b">
        <v>0</v>
      </c>
      <c r="AM2182" s="81">
        <v>0</v>
      </c>
      <c r="AN2182" s="86" t="s">
        <v>6240</v>
      </c>
      <c r="AO2182" s="86" t="s">
        <v>6506</v>
      </c>
      <c r="AP2182" s="81" t="b">
        <v>0</v>
      </c>
      <c r="AQ2182" s="86" t="s">
        <v>5865</v>
      </c>
      <c r="AR2182" s="81" t="s">
        <v>179</v>
      </c>
      <c r="AS2182" s="81">
        <v>0</v>
      </c>
      <c r="AT2182" s="81">
        <v>0</v>
      </c>
      <c r="AU2182" s="81"/>
      <c r="AV2182" s="81"/>
      <c r="AW2182" s="81"/>
      <c r="AX2182" s="81"/>
      <c r="AY2182" s="81"/>
      <c r="AZ2182" s="81"/>
      <c r="BA2182" s="81"/>
      <c r="BB2182" s="81"/>
    </row>
    <row r="2183" spans="1:54" x14ac:dyDescent="0.35">
      <c r="A2183" s="66" t="s">
        <v>1269</v>
      </c>
      <c r="B2183" s="66" t="s">
        <v>1269</v>
      </c>
      <c r="C2183" s="67"/>
      <c r="D2183" s="68"/>
      <c r="E2183" s="69"/>
      <c r="F2183" s="70"/>
      <c r="G2183" s="67"/>
      <c r="H2183" s="71"/>
      <c r="I2183" s="72"/>
      <c r="J2183" s="72"/>
      <c r="K2183" s="36"/>
      <c r="L2183" s="79"/>
      <c r="M2183" s="79"/>
      <c r="N2183" s="74"/>
      <c r="O2183" s="81" t="s">
        <v>179</v>
      </c>
      <c r="P2183" s="83">
        <v>44464.989930555559</v>
      </c>
      <c r="Q2183" s="81" t="s">
        <v>2528</v>
      </c>
      <c r="R2183" s="81"/>
      <c r="S2183" s="81"/>
      <c r="T2183" s="81"/>
      <c r="U2183" s="81"/>
      <c r="V2183" s="84" t="str">
        <f>HYPERLINK("https://pbs.twimg.com/profile_images/378800000705328795/304bfd91ee90011498fd092cc79a423e_normal.jpeg")</f>
        <v>https://pbs.twimg.com/profile_images/378800000705328795/304bfd91ee90011498fd092cc79a423e_normal.jpeg</v>
      </c>
      <c r="W2183" s="83">
        <v>44464.989930555559</v>
      </c>
      <c r="X2183" s="89">
        <v>44464</v>
      </c>
      <c r="Y2183" s="86" t="s">
        <v>4150</v>
      </c>
      <c r="Z2183" s="84" t="str">
        <f>HYPERLINK("https://twitter.com/pos_indonesia/status/1441911771682410506")</f>
        <v>https://twitter.com/pos_indonesia/status/1441911771682410506</v>
      </c>
      <c r="AA2183" s="81"/>
      <c r="AB2183" s="81"/>
      <c r="AC2183" s="86" t="s">
        <v>5866</v>
      </c>
      <c r="AD2183" s="81"/>
      <c r="AE2183" s="81" t="b">
        <v>0</v>
      </c>
      <c r="AF2183" s="81">
        <v>0</v>
      </c>
      <c r="AG2183" s="86" t="s">
        <v>6240</v>
      </c>
      <c r="AH2183" s="81" t="b">
        <v>0</v>
      </c>
      <c r="AI2183" s="81" t="s">
        <v>6479</v>
      </c>
      <c r="AJ2183" s="81"/>
      <c r="AK2183" s="86" t="s">
        <v>6240</v>
      </c>
      <c r="AL2183" s="81" t="b">
        <v>0</v>
      </c>
      <c r="AM2183" s="81">
        <v>0</v>
      </c>
      <c r="AN2183" s="86" t="s">
        <v>6240</v>
      </c>
      <c r="AO2183" s="86" t="s">
        <v>6506</v>
      </c>
      <c r="AP2183" s="81" t="b">
        <v>0</v>
      </c>
      <c r="AQ2183" s="86" t="s">
        <v>5866</v>
      </c>
      <c r="AR2183" s="81" t="s">
        <v>179</v>
      </c>
      <c r="AS2183" s="81">
        <v>0</v>
      </c>
      <c r="AT2183" s="81">
        <v>0</v>
      </c>
      <c r="AU2183" s="81"/>
      <c r="AV2183" s="81"/>
      <c r="AW2183" s="81"/>
      <c r="AX2183" s="81"/>
      <c r="AY2183" s="81"/>
      <c r="AZ2183" s="81"/>
      <c r="BA2183" s="81"/>
      <c r="BB2183" s="81"/>
    </row>
    <row r="2184" spans="1:54" x14ac:dyDescent="0.35">
      <c r="A2184" s="66" t="s">
        <v>1269</v>
      </c>
      <c r="B2184" s="66" t="s">
        <v>1269</v>
      </c>
      <c r="C2184" s="67"/>
      <c r="D2184" s="68"/>
      <c r="E2184" s="69"/>
      <c r="F2184" s="70"/>
      <c r="G2184" s="67"/>
      <c r="H2184" s="71"/>
      <c r="I2184" s="72"/>
      <c r="J2184" s="72"/>
      <c r="K2184" s="36"/>
      <c r="L2184" s="79"/>
      <c r="M2184" s="79"/>
      <c r="N2184" s="74"/>
      <c r="O2184" s="81" t="s">
        <v>179</v>
      </c>
      <c r="P2184" s="83">
        <v>44465.010775462964</v>
      </c>
      <c r="Q2184" s="81" t="s">
        <v>2529</v>
      </c>
      <c r="R2184" s="81"/>
      <c r="S2184" s="81"/>
      <c r="T2184" s="81"/>
      <c r="U2184" s="81"/>
      <c r="V2184" s="84" t="str">
        <f>HYPERLINK("https://pbs.twimg.com/profile_images/378800000705328795/304bfd91ee90011498fd092cc79a423e_normal.jpeg")</f>
        <v>https://pbs.twimg.com/profile_images/378800000705328795/304bfd91ee90011498fd092cc79a423e_normal.jpeg</v>
      </c>
      <c r="W2184" s="83">
        <v>44465.010775462964</v>
      </c>
      <c r="X2184" s="89">
        <v>44465</v>
      </c>
      <c r="Y2184" s="86" t="s">
        <v>4196</v>
      </c>
      <c r="Z2184" s="84" t="str">
        <f>HYPERLINK("https://twitter.com/pos_indonesia/status/1441919325288292354")</f>
        <v>https://twitter.com/pos_indonesia/status/1441919325288292354</v>
      </c>
      <c r="AA2184" s="81"/>
      <c r="AB2184" s="81"/>
      <c r="AC2184" s="86" t="s">
        <v>5867</v>
      </c>
      <c r="AD2184" s="81"/>
      <c r="AE2184" s="81" t="b">
        <v>0</v>
      </c>
      <c r="AF2184" s="81">
        <v>0</v>
      </c>
      <c r="AG2184" s="86" t="s">
        <v>6240</v>
      </c>
      <c r="AH2184" s="81" t="b">
        <v>0</v>
      </c>
      <c r="AI2184" s="81" t="s">
        <v>6479</v>
      </c>
      <c r="AJ2184" s="81"/>
      <c r="AK2184" s="86" t="s">
        <v>6240</v>
      </c>
      <c r="AL2184" s="81" t="b">
        <v>0</v>
      </c>
      <c r="AM2184" s="81">
        <v>0</v>
      </c>
      <c r="AN2184" s="86" t="s">
        <v>6240</v>
      </c>
      <c r="AO2184" s="86" t="s">
        <v>6506</v>
      </c>
      <c r="AP2184" s="81" t="b">
        <v>0</v>
      </c>
      <c r="AQ2184" s="86" t="s">
        <v>5867</v>
      </c>
      <c r="AR2184" s="81" t="s">
        <v>179</v>
      </c>
      <c r="AS2184" s="81">
        <v>0</v>
      </c>
      <c r="AT2184" s="81">
        <v>0</v>
      </c>
      <c r="AU2184" s="81"/>
      <c r="AV2184" s="81"/>
      <c r="AW2184" s="81"/>
      <c r="AX2184" s="81"/>
      <c r="AY2184" s="81"/>
      <c r="AZ2184" s="81"/>
      <c r="BA2184" s="81"/>
      <c r="BB2184" s="81"/>
    </row>
    <row r="2185" spans="1:54" x14ac:dyDescent="0.35">
      <c r="A2185" s="66" t="s">
        <v>1269</v>
      </c>
      <c r="B2185" s="66" t="s">
        <v>1269</v>
      </c>
      <c r="C2185" s="67"/>
      <c r="D2185" s="68"/>
      <c r="E2185" s="69"/>
      <c r="F2185" s="70"/>
      <c r="G2185" s="67"/>
      <c r="H2185" s="71"/>
      <c r="I2185" s="72"/>
      <c r="J2185" s="72"/>
      <c r="K2185" s="36"/>
      <c r="L2185" s="79"/>
      <c r="M2185" s="79"/>
      <c r="N2185" s="74"/>
      <c r="O2185" s="81" t="s">
        <v>179</v>
      </c>
      <c r="P2185" s="83">
        <v>44465.031608796293</v>
      </c>
      <c r="Q2185" s="81" t="s">
        <v>2384</v>
      </c>
      <c r="R2185" s="81"/>
      <c r="S2185" s="81"/>
      <c r="T2185" s="81"/>
      <c r="U2185" s="81"/>
      <c r="V2185" s="84" t="str">
        <f>HYPERLINK("https://pbs.twimg.com/profile_images/378800000705328795/304bfd91ee90011498fd092cc79a423e_normal.jpeg")</f>
        <v>https://pbs.twimg.com/profile_images/378800000705328795/304bfd91ee90011498fd092cc79a423e_normal.jpeg</v>
      </c>
      <c r="W2185" s="83">
        <v>44465.031608796293</v>
      </c>
      <c r="X2185" s="89">
        <v>44465</v>
      </c>
      <c r="Y2185" s="86" t="s">
        <v>4197</v>
      </c>
      <c r="Z2185" s="84" t="str">
        <f>HYPERLINK("https://twitter.com/pos_indonesia/status/1441926877254279170")</f>
        <v>https://twitter.com/pos_indonesia/status/1441926877254279170</v>
      </c>
      <c r="AA2185" s="81"/>
      <c r="AB2185" s="81"/>
      <c r="AC2185" s="86" t="s">
        <v>5868</v>
      </c>
      <c r="AD2185" s="81"/>
      <c r="AE2185" s="81" t="b">
        <v>0</v>
      </c>
      <c r="AF2185" s="81">
        <v>0</v>
      </c>
      <c r="AG2185" s="86" t="s">
        <v>6240</v>
      </c>
      <c r="AH2185" s="81" t="b">
        <v>0</v>
      </c>
      <c r="AI2185" s="81" t="s">
        <v>6479</v>
      </c>
      <c r="AJ2185" s="81"/>
      <c r="AK2185" s="86" t="s">
        <v>6240</v>
      </c>
      <c r="AL2185" s="81" t="b">
        <v>0</v>
      </c>
      <c r="AM2185" s="81">
        <v>0</v>
      </c>
      <c r="AN2185" s="86" t="s">
        <v>6240</v>
      </c>
      <c r="AO2185" s="86" t="s">
        <v>6506</v>
      </c>
      <c r="AP2185" s="81" t="b">
        <v>0</v>
      </c>
      <c r="AQ2185" s="86" t="s">
        <v>5868</v>
      </c>
      <c r="AR2185" s="81" t="s">
        <v>179</v>
      </c>
      <c r="AS2185" s="81">
        <v>0</v>
      </c>
      <c r="AT2185" s="81">
        <v>0</v>
      </c>
      <c r="AU2185" s="81"/>
      <c r="AV2185" s="81"/>
      <c r="AW2185" s="81"/>
      <c r="AX2185" s="81"/>
      <c r="AY2185" s="81"/>
      <c r="AZ2185" s="81"/>
      <c r="BA2185" s="81"/>
      <c r="BB2185" s="81"/>
    </row>
    <row r="2186" spans="1:54" x14ac:dyDescent="0.35">
      <c r="A2186" s="66" t="s">
        <v>1269</v>
      </c>
      <c r="B2186" s="66" t="s">
        <v>1269</v>
      </c>
      <c r="C2186" s="67"/>
      <c r="D2186" s="68"/>
      <c r="E2186" s="69"/>
      <c r="F2186" s="70"/>
      <c r="G2186" s="67"/>
      <c r="H2186" s="71"/>
      <c r="I2186" s="72"/>
      <c r="J2186" s="72"/>
      <c r="K2186" s="36"/>
      <c r="L2186" s="79"/>
      <c r="M2186" s="79"/>
      <c r="N2186" s="74"/>
      <c r="O2186" s="81" t="s">
        <v>179</v>
      </c>
      <c r="P2186" s="83">
        <v>44465.052453703705</v>
      </c>
      <c r="Q2186" s="81" t="s">
        <v>2386</v>
      </c>
      <c r="R2186" s="81"/>
      <c r="S2186" s="81"/>
      <c r="T2186" s="81"/>
      <c r="U2186" s="81"/>
      <c r="V2186" s="84" t="str">
        <f>HYPERLINK("https://pbs.twimg.com/profile_images/378800000705328795/304bfd91ee90011498fd092cc79a423e_normal.jpeg")</f>
        <v>https://pbs.twimg.com/profile_images/378800000705328795/304bfd91ee90011498fd092cc79a423e_normal.jpeg</v>
      </c>
      <c r="W2186" s="83">
        <v>44465.052453703705</v>
      </c>
      <c r="X2186" s="89">
        <v>44465</v>
      </c>
      <c r="Y2186" s="86" t="s">
        <v>4169</v>
      </c>
      <c r="Z2186" s="84" t="str">
        <f>HYPERLINK("https://twitter.com/pos_indonesia/status/1441934430180818950")</f>
        <v>https://twitter.com/pos_indonesia/status/1441934430180818950</v>
      </c>
      <c r="AA2186" s="81"/>
      <c r="AB2186" s="81"/>
      <c r="AC2186" s="86" t="s">
        <v>5869</v>
      </c>
      <c r="AD2186" s="81"/>
      <c r="AE2186" s="81" t="b">
        <v>0</v>
      </c>
      <c r="AF2186" s="81">
        <v>0</v>
      </c>
      <c r="AG2186" s="86" t="s">
        <v>6240</v>
      </c>
      <c r="AH2186" s="81" t="b">
        <v>0</v>
      </c>
      <c r="AI2186" s="81" t="s">
        <v>6479</v>
      </c>
      <c r="AJ2186" s="81"/>
      <c r="AK2186" s="86" t="s">
        <v>6240</v>
      </c>
      <c r="AL2186" s="81" t="b">
        <v>0</v>
      </c>
      <c r="AM2186" s="81">
        <v>0</v>
      </c>
      <c r="AN2186" s="86" t="s">
        <v>6240</v>
      </c>
      <c r="AO2186" s="86" t="s">
        <v>6506</v>
      </c>
      <c r="AP2186" s="81" t="b">
        <v>0</v>
      </c>
      <c r="AQ2186" s="86" t="s">
        <v>5869</v>
      </c>
      <c r="AR2186" s="81" t="s">
        <v>179</v>
      </c>
      <c r="AS2186" s="81">
        <v>0</v>
      </c>
      <c r="AT2186" s="81">
        <v>0</v>
      </c>
      <c r="AU2186" s="81"/>
      <c r="AV2186" s="81"/>
      <c r="AW2186" s="81"/>
      <c r="AX2186" s="81"/>
      <c r="AY2186" s="81"/>
      <c r="AZ2186" s="81"/>
      <c r="BA2186" s="81"/>
      <c r="BB2186" s="81"/>
    </row>
    <row r="2187" spans="1:54" x14ac:dyDescent="0.35">
      <c r="A2187" s="66" t="s">
        <v>1269</v>
      </c>
      <c r="B2187" s="66" t="s">
        <v>1269</v>
      </c>
      <c r="C2187" s="67"/>
      <c r="D2187" s="68"/>
      <c r="E2187" s="69"/>
      <c r="F2187" s="70"/>
      <c r="G2187" s="67"/>
      <c r="H2187" s="71"/>
      <c r="I2187" s="72"/>
      <c r="J2187" s="72"/>
      <c r="K2187" s="36"/>
      <c r="L2187" s="79"/>
      <c r="M2187" s="79"/>
      <c r="N2187" s="74"/>
      <c r="O2187" s="81" t="s">
        <v>179</v>
      </c>
      <c r="P2187" s="83">
        <v>44465.073263888888</v>
      </c>
      <c r="Q2187" s="81" t="s">
        <v>2378</v>
      </c>
      <c r="R2187" s="81"/>
      <c r="S2187" s="81"/>
      <c r="T2187" s="81"/>
      <c r="U2187" s="81"/>
      <c r="V2187" s="84" t="str">
        <f>HYPERLINK("https://pbs.twimg.com/profile_images/378800000705328795/304bfd91ee90011498fd092cc79a423e_normal.jpeg")</f>
        <v>https://pbs.twimg.com/profile_images/378800000705328795/304bfd91ee90011498fd092cc79a423e_normal.jpeg</v>
      </c>
      <c r="W2187" s="83">
        <v>44465.073263888888</v>
      </c>
      <c r="X2187" s="89">
        <v>44465</v>
      </c>
      <c r="Y2187" s="86" t="s">
        <v>4144</v>
      </c>
      <c r="Z2187" s="84" t="str">
        <f>HYPERLINK("https://twitter.com/pos_indonesia/status/1441941970180472838")</f>
        <v>https://twitter.com/pos_indonesia/status/1441941970180472838</v>
      </c>
      <c r="AA2187" s="81"/>
      <c r="AB2187" s="81"/>
      <c r="AC2187" s="86" t="s">
        <v>5870</v>
      </c>
      <c r="AD2187" s="81"/>
      <c r="AE2187" s="81" t="b">
        <v>0</v>
      </c>
      <c r="AF2187" s="81">
        <v>0</v>
      </c>
      <c r="AG2187" s="86" t="s">
        <v>6240</v>
      </c>
      <c r="AH2187" s="81" t="b">
        <v>0</v>
      </c>
      <c r="AI2187" s="81" t="s">
        <v>6479</v>
      </c>
      <c r="AJ2187" s="81"/>
      <c r="AK2187" s="86" t="s">
        <v>6240</v>
      </c>
      <c r="AL2187" s="81" t="b">
        <v>0</v>
      </c>
      <c r="AM2187" s="81">
        <v>0</v>
      </c>
      <c r="AN2187" s="86" t="s">
        <v>6240</v>
      </c>
      <c r="AO2187" s="86" t="s">
        <v>6506</v>
      </c>
      <c r="AP2187" s="81" t="b">
        <v>0</v>
      </c>
      <c r="AQ2187" s="86" t="s">
        <v>5870</v>
      </c>
      <c r="AR2187" s="81" t="s">
        <v>179</v>
      </c>
      <c r="AS2187" s="81">
        <v>0</v>
      </c>
      <c r="AT2187" s="81">
        <v>0</v>
      </c>
      <c r="AU2187" s="81"/>
      <c r="AV2187" s="81"/>
      <c r="AW2187" s="81"/>
      <c r="AX2187" s="81"/>
      <c r="AY2187" s="81"/>
      <c r="AZ2187" s="81"/>
      <c r="BA2187" s="81"/>
      <c r="BB2187" s="81"/>
    </row>
    <row r="2188" spans="1:54" x14ac:dyDescent="0.35">
      <c r="A2188" s="66" t="s">
        <v>1269</v>
      </c>
      <c r="B2188" s="66" t="s">
        <v>1269</v>
      </c>
      <c r="C2188" s="67"/>
      <c r="D2188" s="68"/>
      <c r="E2188" s="69"/>
      <c r="F2188" s="70"/>
      <c r="G2188" s="67"/>
      <c r="H2188" s="71"/>
      <c r="I2188" s="72"/>
      <c r="J2188" s="72"/>
      <c r="K2188" s="36"/>
      <c r="L2188" s="79"/>
      <c r="M2188" s="79"/>
      <c r="N2188" s="74"/>
      <c r="O2188" s="81" t="s">
        <v>179</v>
      </c>
      <c r="P2188" s="83">
        <v>44465.09412037037</v>
      </c>
      <c r="Q2188" s="81" t="s">
        <v>2488</v>
      </c>
      <c r="R2188" s="81"/>
      <c r="S2188" s="81"/>
      <c r="T2188" s="81"/>
      <c r="U2188" s="81"/>
      <c r="V2188" s="84" t="str">
        <f>HYPERLINK("https://pbs.twimg.com/profile_images/378800000705328795/304bfd91ee90011498fd092cc79a423e_normal.jpeg")</f>
        <v>https://pbs.twimg.com/profile_images/378800000705328795/304bfd91ee90011498fd092cc79a423e_normal.jpeg</v>
      </c>
      <c r="W2188" s="83">
        <v>44465.09412037037</v>
      </c>
      <c r="X2188" s="89">
        <v>44465</v>
      </c>
      <c r="Y2188" s="86" t="s">
        <v>4170</v>
      </c>
      <c r="Z2188" s="84" t="str">
        <f>HYPERLINK("https://twitter.com/pos_indonesia/status/1441949529029234697")</f>
        <v>https://twitter.com/pos_indonesia/status/1441949529029234697</v>
      </c>
      <c r="AA2188" s="81"/>
      <c r="AB2188" s="81"/>
      <c r="AC2188" s="86" t="s">
        <v>5871</v>
      </c>
      <c r="AD2188" s="81"/>
      <c r="AE2188" s="81" t="b">
        <v>0</v>
      </c>
      <c r="AF2188" s="81">
        <v>0</v>
      </c>
      <c r="AG2188" s="86" t="s">
        <v>6240</v>
      </c>
      <c r="AH2188" s="81" t="b">
        <v>0</v>
      </c>
      <c r="AI2188" s="81" t="s">
        <v>6479</v>
      </c>
      <c r="AJ2188" s="81"/>
      <c r="AK2188" s="86" t="s">
        <v>6240</v>
      </c>
      <c r="AL2188" s="81" t="b">
        <v>0</v>
      </c>
      <c r="AM2188" s="81">
        <v>0</v>
      </c>
      <c r="AN2188" s="86" t="s">
        <v>6240</v>
      </c>
      <c r="AO2188" s="86" t="s">
        <v>6506</v>
      </c>
      <c r="AP2188" s="81" t="b">
        <v>0</v>
      </c>
      <c r="AQ2188" s="86" t="s">
        <v>5871</v>
      </c>
      <c r="AR2188" s="81" t="s">
        <v>179</v>
      </c>
      <c r="AS2188" s="81">
        <v>0</v>
      </c>
      <c r="AT2188" s="81">
        <v>0</v>
      </c>
      <c r="AU2188" s="81"/>
      <c r="AV2188" s="81"/>
      <c r="AW2188" s="81"/>
      <c r="AX2188" s="81"/>
      <c r="AY2188" s="81"/>
      <c r="AZ2188" s="81"/>
      <c r="BA2188" s="81"/>
      <c r="BB2188" s="81"/>
    </row>
    <row r="2189" spans="1:54" x14ac:dyDescent="0.35">
      <c r="A2189" s="66" t="s">
        <v>1269</v>
      </c>
      <c r="B2189" s="66" t="s">
        <v>1269</v>
      </c>
      <c r="C2189" s="67"/>
      <c r="D2189" s="68"/>
      <c r="E2189" s="69"/>
      <c r="F2189" s="70"/>
      <c r="G2189" s="67"/>
      <c r="H2189" s="71"/>
      <c r="I2189" s="72"/>
      <c r="J2189" s="72"/>
      <c r="K2189" s="36"/>
      <c r="L2189" s="79"/>
      <c r="M2189" s="79"/>
      <c r="N2189" s="74"/>
      <c r="O2189" s="81" t="s">
        <v>179</v>
      </c>
      <c r="P2189" s="83">
        <v>44465.114965277775</v>
      </c>
      <c r="Q2189" s="81" t="s">
        <v>2316</v>
      </c>
      <c r="R2189" s="81"/>
      <c r="S2189" s="81"/>
      <c r="T2189" s="81"/>
      <c r="U2189" s="81"/>
      <c r="V2189" s="84" t="str">
        <f>HYPERLINK("https://pbs.twimg.com/profile_images/378800000705328795/304bfd91ee90011498fd092cc79a423e_normal.jpeg")</f>
        <v>https://pbs.twimg.com/profile_images/378800000705328795/304bfd91ee90011498fd092cc79a423e_normal.jpeg</v>
      </c>
      <c r="W2189" s="83">
        <v>44465.114965277775</v>
      </c>
      <c r="X2189" s="89">
        <v>44465</v>
      </c>
      <c r="Y2189" s="86" t="s">
        <v>4198</v>
      </c>
      <c r="Z2189" s="84" t="str">
        <f>HYPERLINK("https://twitter.com/pos_indonesia/status/1441957081637031943")</f>
        <v>https://twitter.com/pos_indonesia/status/1441957081637031943</v>
      </c>
      <c r="AA2189" s="81"/>
      <c r="AB2189" s="81"/>
      <c r="AC2189" s="86" t="s">
        <v>5872</v>
      </c>
      <c r="AD2189" s="81"/>
      <c r="AE2189" s="81" t="b">
        <v>0</v>
      </c>
      <c r="AF2189" s="81">
        <v>0</v>
      </c>
      <c r="AG2189" s="86" t="s">
        <v>6240</v>
      </c>
      <c r="AH2189" s="81" t="b">
        <v>0</v>
      </c>
      <c r="AI2189" s="81" t="s">
        <v>6479</v>
      </c>
      <c r="AJ2189" s="81"/>
      <c r="AK2189" s="86" t="s">
        <v>6240</v>
      </c>
      <c r="AL2189" s="81" t="b">
        <v>0</v>
      </c>
      <c r="AM2189" s="81">
        <v>0</v>
      </c>
      <c r="AN2189" s="86" t="s">
        <v>6240</v>
      </c>
      <c r="AO2189" s="86" t="s">
        <v>6506</v>
      </c>
      <c r="AP2189" s="81" t="b">
        <v>0</v>
      </c>
      <c r="AQ2189" s="86" t="s">
        <v>5872</v>
      </c>
      <c r="AR2189" s="81" t="s">
        <v>179</v>
      </c>
      <c r="AS2189" s="81">
        <v>0</v>
      </c>
      <c r="AT2189" s="81">
        <v>0</v>
      </c>
      <c r="AU2189" s="81"/>
      <c r="AV2189" s="81"/>
      <c r="AW2189" s="81"/>
      <c r="AX2189" s="81"/>
      <c r="AY2189" s="81"/>
      <c r="AZ2189" s="81"/>
      <c r="BA2189" s="81"/>
      <c r="BB2189" s="81"/>
    </row>
    <row r="2190" spans="1:54" x14ac:dyDescent="0.35">
      <c r="A2190" s="66" t="s">
        <v>1269</v>
      </c>
      <c r="B2190" s="66" t="s">
        <v>1269</v>
      </c>
      <c r="C2190" s="67"/>
      <c r="D2190" s="68"/>
      <c r="E2190" s="69"/>
      <c r="F2190" s="70"/>
      <c r="G2190" s="67"/>
      <c r="H2190" s="71"/>
      <c r="I2190" s="72"/>
      <c r="J2190" s="72"/>
      <c r="K2190" s="36"/>
      <c r="L2190" s="79"/>
      <c r="M2190" s="79"/>
      <c r="N2190" s="74"/>
      <c r="O2190" s="81" t="s">
        <v>179</v>
      </c>
      <c r="P2190" s="83">
        <v>44465.135787037034</v>
      </c>
      <c r="Q2190" s="81" t="s">
        <v>2530</v>
      </c>
      <c r="R2190" s="81"/>
      <c r="S2190" s="81"/>
      <c r="T2190" s="81"/>
      <c r="U2190" s="81"/>
      <c r="V2190" s="84" t="str">
        <f>HYPERLINK("https://pbs.twimg.com/profile_images/378800000705328795/304bfd91ee90011498fd092cc79a423e_normal.jpeg")</f>
        <v>https://pbs.twimg.com/profile_images/378800000705328795/304bfd91ee90011498fd092cc79a423e_normal.jpeg</v>
      </c>
      <c r="W2190" s="83">
        <v>44465.135787037034</v>
      </c>
      <c r="X2190" s="89">
        <v>44465</v>
      </c>
      <c r="Y2190" s="86" t="s">
        <v>4074</v>
      </c>
      <c r="Z2190" s="84" t="str">
        <f>HYPERLINK("https://twitter.com/pos_indonesia/status/1441964629513572355")</f>
        <v>https://twitter.com/pos_indonesia/status/1441964629513572355</v>
      </c>
      <c r="AA2190" s="81"/>
      <c r="AB2190" s="81"/>
      <c r="AC2190" s="86" t="s">
        <v>5873</v>
      </c>
      <c r="AD2190" s="81"/>
      <c r="AE2190" s="81" t="b">
        <v>0</v>
      </c>
      <c r="AF2190" s="81">
        <v>0</v>
      </c>
      <c r="AG2190" s="86" t="s">
        <v>6240</v>
      </c>
      <c r="AH2190" s="81" t="b">
        <v>0</v>
      </c>
      <c r="AI2190" s="81" t="s">
        <v>6479</v>
      </c>
      <c r="AJ2190" s="81"/>
      <c r="AK2190" s="86" t="s">
        <v>6240</v>
      </c>
      <c r="AL2190" s="81" t="b">
        <v>0</v>
      </c>
      <c r="AM2190" s="81">
        <v>0</v>
      </c>
      <c r="AN2190" s="86" t="s">
        <v>6240</v>
      </c>
      <c r="AO2190" s="86" t="s">
        <v>6506</v>
      </c>
      <c r="AP2190" s="81" t="b">
        <v>0</v>
      </c>
      <c r="AQ2190" s="86" t="s">
        <v>5873</v>
      </c>
      <c r="AR2190" s="81" t="s">
        <v>179</v>
      </c>
      <c r="AS2190" s="81">
        <v>0</v>
      </c>
      <c r="AT2190" s="81">
        <v>0</v>
      </c>
      <c r="AU2190" s="81"/>
      <c r="AV2190" s="81"/>
      <c r="AW2190" s="81"/>
      <c r="AX2190" s="81"/>
      <c r="AY2190" s="81"/>
      <c r="AZ2190" s="81"/>
      <c r="BA2190" s="81"/>
      <c r="BB2190" s="81"/>
    </row>
    <row r="2191" spans="1:54" x14ac:dyDescent="0.35">
      <c r="A2191" s="66" t="s">
        <v>1269</v>
      </c>
      <c r="B2191" s="66" t="s">
        <v>1269</v>
      </c>
      <c r="C2191" s="67"/>
      <c r="D2191" s="68"/>
      <c r="E2191" s="69"/>
      <c r="F2191" s="70"/>
      <c r="G2191" s="67"/>
      <c r="H2191" s="71"/>
      <c r="I2191" s="72"/>
      <c r="J2191" s="72"/>
      <c r="K2191" s="36"/>
      <c r="L2191" s="79"/>
      <c r="M2191" s="79"/>
      <c r="N2191" s="74"/>
      <c r="O2191" s="81" t="s">
        <v>179</v>
      </c>
      <c r="P2191" s="83">
        <v>44465.156597222223</v>
      </c>
      <c r="Q2191" s="81" t="s">
        <v>2531</v>
      </c>
      <c r="R2191" s="81"/>
      <c r="S2191" s="81"/>
      <c r="T2191" s="81"/>
      <c r="U2191" s="81"/>
      <c r="V2191" s="84" t="str">
        <f>HYPERLINK("https://pbs.twimg.com/profile_images/378800000705328795/304bfd91ee90011498fd092cc79a423e_normal.jpeg")</f>
        <v>https://pbs.twimg.com/profile_images/378800000705328795/304bfd91ee90011498fd092cc79a423e_normal.jpeg</v>
      </c>
      <c r="W2191" s="83">
        <v>44465.156597222223</v>
      </c>
      <c r="X2191" s="89">
        <v>44465</v>
      </c>
      <c r="Y2191" s="86" t="s">
        <v>4075</v>
      </c>
      <c r="Z2191" s="84" t="str">
        <f>HYPERLINK("https://twitter.com/pos_indonesia/status/1441972168452050947")</f>
        <v>https://twitter.com/pos_indonesia/status/1441972168452050947</v>
      </c>
      <c r="AA2191" s="81"/>
      <c r="AB2191" s="81"/>
      <c r="AC2191" s="86" t="s">
        <v>5874</v>
      </c>
      <c r="AD2191" s="81"/>
      <c r="AE2191" s="81" t="b">
        <v>0</v>
      </c>
      <c r="AF2191" s="81">
        <v>0</v>
      </c>
      <c r="AG2191" s="86" t="s">
        <v>6240</v>
      </c>
      <c r="AH2191" s="81" t="b">
        <v>0</v>
      </c>
      <c r="AI2191" s="81" t="s">
        <v>6479</v>
      </c>
      <c r="AJ2191" s="81"/>
      <c r="AK2191" s="86" t="s">
        <v>6240</v>
      </c>
      <c r="AL2191" s="81" t="b">
        <v>0</v>
      </c>
      <c r="AM2191" s="81">
        <v>0</v>
      </c>
      <c r="AN2191" s="86" t="s">
        <v>6240</v>
      </c>
      <c r="AO2191" s="86" t="s">
        <v>6506</v>
      </c>
      <c r="AP2191" s="81" t="b">
        <v>0</v>
      </c>
      <c r="AQ2191" s="86" t="s">
        <v>5874</v>
      </c>
      <c r="AR2191" s="81" t="s">
        <v>179</v>
      </c>
      <c r="AS2191" s="81">
        <v>0</v>
      </c>
      <c r="AT2191" s="81">
        <v>0</v>
      </c>
      <c r="AU2191" s="81"/>
      <c r="AV2191" s="81"/>
      <c r="AW2191" s="81"/>
      <c r="AX2191" s="81"/>
      <c r="AY2191" s="81"/>
      <c r="AZ2191" s="81"/>
      <c r="BA2191" s="81"/>
      <c r="BB2191" s="81"/>
    </row>
    <row r="2192" spans="1:54" x14ac:dyDescent="0.35">
      <c r="A2192" s="66" t="s">
        <v>1269</v>
      </c>
      <c r="B2192" s="66" t="s">
        <v>1269</v>
      </c>
      <c r="C2192" s="67"/>
      <c r="D2192" s="68"/>
      <c r="E2192" s="69"/>
      <c r="F2192" s="70"/>
      <c r="G2192" s="67"/>
      <c r="H2192" s="71"/>
      <c r="I2192" s="72"/>
      <c r="J2192" s="72"/>
      <c r="K2192" s="36"/>
      <c r="L2192" s="79"/>
      <c r="M2192" s="79"/>
      <c r="N2192" s="74"/>
      <c r="O2192" s="81" t="s">
        <v>179</v>
      </c>
      <c r="P2192" s="83">
        <v>44465.177442129629</v>
      </c>
      <c r="Q2192" s="81" t="s">
        <v>2532</v>
      </c>
      <c r="R2192" s="81"/>
      <c r="S2192" s="81"/>
      <c r="T2192" s="81"/>
      <c r="U2192" s="81"/>
      <c r="V2192" s="84" t="str">
        <f>HYPERLINK("https://pbs.twimg.com/profile_images/378800000705328795/304bfd91ee90011498fd092cc79a423e_normal.jpeg")</f>
        <v>https://pbs.twimg.com/profile_images/378800000705328795/304bfd91ee90011498fd092cc79a423e_normal.jpeg</v>
      </c>
      <c r="W2192" s="83">
        <v>44465.177442129629</v>
      </c>
      <c r="X2192" s="89">
        <v>44465</v>
      </c>
      <c r="Y2192" s="86" t="s">
        <v>4173</v>
      </c>
      <c r="Z2192" s="84" t="str">
        <f>HYPERLINK("https://twitter.com/pos_indonesia/status/1441979725656715268")</f>
        <v>https://twitter.com/pos_indonesia/status/1441979725656715268</v>
      </c>
      <c r="AA2192" s="81"/>
      <c r="AB2192" s="81"/>
      <c r="AC2192" s="86" t="s">
        <v>5875</v>
      </c>
      <c r="AD2192" s="81"/>
      <c r="AE2192" s="81" t="b">
        <v>0</v>
      </c>
      <c r="AF2192" s="81">
        <v>0</v>
      </c>
      <c r="AG2192" s="86" t="s">
        <v>6240</v>
      </c>
      <c r="AH2192" s="81" t="b">
        <v>0</v>
      </c>
      <c r="AI2192" s="81" t="s">
        <v>6479</v>
      </c>
      <c r="AJ2192" s="81"/>
      <c r="AK2192" s="86" t="s">
        <v>6240</v>
      </c>
      <c r="AL2192" s="81" t="b">
        <v>0</v>
      </c>
      <c r="AM2192" s="81">
        <v>0</v>
      </c>
      <c r="AN2192" s="86" t="s">
        <v>6240</v>
      </c>
      <c r="AO2192" s="86" t="s">
        <v>6506</v>
      </c>
      <c r="AP2192" s="81" t="b">
        <v>0</v>
      </c>
      <c r="AQ2192" s="86" t="s">
        <v>5875</v>
      </c>
      <c r="AR2192" s="81" t="s">
        <v>179</v>
      </c>
      <c r="AS2192" s="81">
        <v>0</v>
      </c>
      <c r="AT2192" s="81">
        <v>0</v>
      </c>
      <c r="AU2192" s="81"/>
      <c r="AV2192" s="81"/>
      <c r="AW2192" s="81"/>
      <c r="AX2192" s="81"/>
      <c r="AY2192" s="81"/>
      <c r="AZ2192" s="81"/>
      <c r="BA2192" s="81"/>
      <c r="BB2192" s="81"/>
    </row>
    <row r="2193" spans="1:54" x14ac:dyDescent="0.35">
      <c r="A2193" s="66" t="s">
        <v>1269</v>
      </c>
      <c r="B2193" s="66" t="s">
        <v>1269</v>
      </c>
      <c r="C2193" s="67"/>
      <c r="D2193" s="68"/>
      <c r="E2193" s="69"/>
      <c r="F2193" s="70"/>
      <c r="G2193" s="67"/>
      <c r="H2193" s="71"/>
      <c r="I2193" s="72"/>
      <c r="J2193" s="72"/>
      <c r="K2193" s="36"/>
      <c r="L2193" s="79"/>
      <c r="M2193" s="79"/>
      <c r="N2193" s="74"/>
      <c r="O2193" s="81" t="s">
        <v>179</v>
      </c>
      <c r="P2193" s="83">
        <v>44465.198287037034</v>
      </c>
      <c r="Q2193" s="81" t="s">
        <v>2433</v>
      </c>
      <c r="R2193" s="81"/>
      <c r="S2193" s="81"/>
      <c r="T2193" s="81"/>
      <c r="U2193" s="81"/>
      <c r="V2193" s="84" t="str">
        <f>HYPERLINK("https://pbs.twimg.com/profile_images/378800000705328795/304bfd91ee90011498fd092cc79a423e_normal.jpeg")</f>
        <v>https://pbs.twimg.com/profile_images/378800000705328795/304bfd91ee90011498fd092cc79a423e_normal.jpeg</v>
      </c>
      <c r="W2193" s="83">
        <v>44465.198287037034</v>
      </c>
      <c r="X2193" s="89">
        <v>44465</v>
      </c>
      <c r="Y2193" s="86" t="s">
        <v>4174</v>
      </c>
      <c r="Z2193" s="84" t="str">
        <f>HYPERLINK("https://twitter.com/pos_indonesia/status/1441987276884492288")</f>
        <v>https://twitter.com/pos_indonesia/status/1441987276884492288</v>
      </c>
      <c r="AA2193" s="81"/>
      <c r="AB2193" s="81"/>
      <c r="AC2193" s="86" t="s">
        <v>5876</v>
      </c>
      <c r="AD2193" s="81"/>
      <c r="AE2193" s="81" t="b">
        <v>0</v>
      </c>
      <c r="AF2193" s="81">
        <v>0</v>
      </c>
      <c r="AG2193" s="86" t="s">
        <v>6240</v>
      </c>
      <c r="AH2193" s="81" t="b">
        <v>0</v>
      </c>
      <c r="AI2193" s="81" t="s">
        <v>6479</v>
      </c>
      <c r="AJ2193" s="81"/>
      <c r="AK2193" s="86" t="s">
        <v>6240</v>
      </c>
      <c r="AL2193" s="81" t="b">
        <v>0</v>
      </c>
      <c r="AM2193" s="81">
        <v>0</v>
      </c>
      <c r="AN2193" s="86" t="s">
        <v>6240</v>
      </c>
      <c r="AO2193" s="86" t="s">
        <v>6506</v>
      </c>
      <c r="AP2193" s="81" t="b">
        <v>0</v>
      </c>
      <c r="AQ2193" s="86" t="s">
        <v>5876</v>
      </c>
      <c r="AR2193" s="81" t="s">
        <v>179</v>
      </c>
      <c r="AS2193" s="81">
        <v>0</v>
      </c>
      <c r="AT2193" s="81">
        <v>0</v>
      </c>
      <c r="AU2193" s="81"/>
      <c r="AV2193" s="81"/>
      <c r="AW2193" s="81"/>
      <c r="AX2193" s="81"/>
      <c r="AY2193" s="81"/>
      <c r="AZ2193" s="81"/>
      <c r="BA2193" s="81"/>
      <c r="BB2193" s="81"/>
    </row>
    <row r="2194" spans="1:54" x14ac:dyDescent="0.35">
      <c r="A2194" s="66" t="s">
        <v>1269</v>
      </c>
      <c r="B2194" s="66" t="s">
        <v>1269</v>
      </c>
      <c r="C2194" s="67"/>
      <c r="D2194" s="68"/>
      <c r="E2194" s="69"/>
      <c r="F2194" s="70"/>
      <c r="G2194" s="67"/>
      <c r="H2194" s="71"/>
      <c r="I2194" s="72"/>
      <c r="J2194" s="72"/>
      <c r="K2194" s="36"/>
      <c r="L2194" s="79"/>
      <c r="M2194" s="79"/>
      <c r="N2194" s="74"/>
      <c r="O2194" s="81" t="s">
        <v>179</v>
      </c>
      <c r="P2194" s="83">
        <v>44465.219131944446</v>
      </c>
      <c r="Q2194" s="81" t="s">
        <v>2402</v>
      </c>
      <c r="R2194" s="81"/>
      <c r="S2194" s="81"/>
      <c r="T2194" s="81"/>
      <c r="U2194" s="81"/>
      <c r="V2194" s="84" t="str">
        <f>HYPERLINK("https://pbs.twimg.com/profile_images/378800000705328795/304bfd91ee90011498fd092cc79a423e_normal.jpeg")</f>
        <v>https://pbs.twimg.com/profile_images/378800000705328795/304bfd91ee90011498fd092cc79a423e_normal.jpeg</v>
      </c>
      <c r="W2194" s="83">
        <v>44465.219131944446</v>
      </c>
      <c r="X2194" s="89">
        <v>44465</v>
      </c>
      <c r="Y2194" s="86" t="s">
        <v>4111</v>
      </c>
      <c r="Z2194" s="84" t="str">
        <f>HYPERLINK("https://twitter.com/pos_indonesia/status/1441994830071033856")</f>
        <v>https://twitter.com/pos_indonesia/status/1441994830071033856</v>
      </c>
      <c r="AA2194" s="81"/>
      <c r="AB2194" s="81"/>
      <c r="AC2194" s="86" t="s">
        <v>5877</v>
      </c>
      <c r="AD2194" s="81"/>
      <c r="AE2194" s="81" t="b">
        <v>0</v>
      </c>
      <c r="AF2194" s="81">
        <v>0</v>
      </c>
      <c r="AG2194" s="86" t="s">
        <v>6240</v>
      </c>
      <c r="AH2194" s="81" t="b">
        <v>0</v>
      </c>
      <c r="AI2194" s="81" t="s">
        <v>6479</v>
      </c>
      <c r="AJ2194" s="81"/>
      <c r="AK2194" s="86" t="s">
        <v>6240</v>
      </c>
      <c r="AL2194" s="81" t="b">
        <v>0</v>
      </c>
      <c r="AM2194" s="81">
        <v>0</v>
      </c>
      <c r="AN2194" s="86" t="s">
        <v>6240</v>
      </c>
      <c r="AO2194" s="86" t="s">
        <v>6506</v>
      </c>
      <c r="AP2194" s="81" t="b">
        <v>0</v>
      </c>
      <c r="AQ2194" s="86" t="s">
        <v>5877</v>
      </c>
      <c r="AR2194" s="81" t="s">
        <v>179</v>
      </c>
      <c r="AS2194" s="81">
        <v>0</v>
      </c>
      <c r="AT2194" s="81">
        <v>0</v>
      </c>
      <c r="AU2194" s="81"/>
      <c r="AV2194" s="81"/>
      <c r="AW2194" s="81"/>
      <c r="AX2194" s="81"/>
      <c r="AY2194" s="81"/>
      <c r="AZ2194" s="81"/>
      <c r="BA2194" s="81"/>
      <c r="BB2194" s="81"/>
    </row>
    <row r="2195" spans="1:54" x14ac:dyDescent="0.35">
      <c r="A2195" s="66" t="s">
        <v>1269</v>
      </c>
      <c r="B2195" s="66" t="s">
        <v>1269</v>
      </c>
      <c r="C2195" s="67"/>
      <c r="D2195" s="68"/>
      <c r="E2195" s="69"/>
      <c r="F2195" s="70"/>
      <c r="G2195" s="67"/>
      <c r="H2195" s="71"/>
      <c r="I2195" s="72"/>
      <c r="J2195" s="72"/>
      <c r="K2195" s="36"/>
      <c r="L2195" s="79"/>
      <c r="M2195" s="79"/>
      <c r="N2195" s="74"/>
      <c r="O2195" s="81" t="s">
        <v>179</v>
      </c>
      <c r="P2195" s="83">
        <v>44465.239942129629</v>
      </c>
      <c r="Q2195" s="81" t="s">
        <v>2361</v>
      </c>
      <c r="R2195" s="81"/>
      <c r="S2195" s="81"/>
      <c r="T2195" s="81"/>
      <c r="U2195" s="81"/>
      <c r="V2195" s="84" t="str">
        <f>HYPERLINK("https://pbs.twimg.com/profile_images/378800000705328795/304bfd91ee90011498fd092cc79a423e_normal.jpeg")</f>
        <v>https://pbs.twimg.com/profile_images/378800000705328795/304bfd91ee90011498fd092cc79a423e_normal.jpeg</v>
      </c>
      <c r="W2195" s="83">
        <v>44465.239942129629</v>
      </c>
      <c r="X2195" s="89">
        <v>44465</v>
      </c>
      <c r="Y2195" s="86" t="s">
        <v>4175</v>
      </c>
      <c r="Z2195" s="84" t="str">
        <f>HYPERLINK("https://twitter.com/pos_indonesia/status/1442002372448829441")</f>
        <v>https://twitter.com/pos_indonesia/status/1442002372448829441</v>
      </c>
      <c r="AA2195" s="81"/>
      <c r="AB2195" s="81"/>
      <c r="AC2195" s="86" t="s">
        <v>5878</v>
      </c>
      <c r="AD2195" s="81"/>
      <c r="AE2195" s="81" t="b">
        <v>0</v>
      </c>
      <c r="AF2195" s="81">
        <v>0</v>
      </c>
      <c r="AG2195" s="86" t="s">
        <v>6240</v>
      </c>
      <c r="AH2195" s="81" t="b">
        <v>0</v>
      </c>
      <c r="AI2195" s="81" t="s">
        <v>6479</v>
      </c>
      <c r="AJ2195" s="81"/>
      <c r="AK2195" s="86" t="s">
        <v>6240</v>
      </c>
      <c r="AL2195" s="81" t="b">
        <v>0</v>
      </c>
      <c r="AM2195" s="81">
        <v>0</v>
      </c>
      <c r="AN2195" s="86" t="s">
        <v>6240</v>
      </c>
      <c r="AO2195" s="86" t="s">
        <v>6506</v>
      </c>
      <c r="AP2195" s="81" t="b">
        <v>0</v>
      </c>
      <c r="AQ2195" s="86" t="s">
        <v>5878</v>
      </c>
      <c r="AR2195" s="81" t="s">
        <v>179</v>
      </c>
      <c r="AS2195" s="81">
        <v>0</v>
      </c>
      <c r="AT2195" s="81">
        <v>0</v>
      </c>
      <c r="AU2195" s="81"/>
      <c r="AV2195" s="81"/>
      <c r="AW2195" s="81"/>
      <c r="AX2195" s="81"/>
      <c r="AY2195" s="81"/>
      <c r="AZ2195" s="81"/>
      <c r="BA2195" s="81"/>
      <c r="BB2195" s="81"/>
    </row>
    <row r="2196" spans="1:54" x14ac:dyDescent="0.35">
      <c r="A2196" s="66" t="s">
        <v>1269</v>
      </c>
      <c r="B2196" s="66" t="s">
        <v>1269</v>
      </c>
      <c r="C2196" s="67"/>
      <c r="D2196" s="68"/>
      <c r="E2196" s="69"/>
      <c r="F2196" s="70"/>
      <c r="G2196" s="67"/>
      <c r="H2196" s="71"/>
      <c r="I2196" s="72"/>
      <c r="J2196" s="72"/>
      <c r="K2196" s="36"/>
      <c r="L2196" s="79"/>
      <c r="M2196" s="79"/>
      <c r="N2196" s="74"/>
      <c r="O2196" s="81" t="s">
        <v>179</v>
      </c>
      <c r="P2196" s="83">
        <v>44465.260775462964</v>
      </c>
      <c r="Q2196" s="81" t="s">
        <v>2516</v>
      </c>
      <c r="R2196" s="81"/>
      <c r="S2196" s="81"/>
      <c r="T2196" s="81"/>
      <c r="U2196" s="81"/>
      <c r="V2196" s="84" t="str">
        <f>HYPERLINK("https://pbs.twimg.com/profile_images/378800000705328795/304bfd91ee90011498fd092cc79a423e_normal.jpeg")</f>
        <v>https://pbs.twimg.com/profile_images/378800000705328795/304bfd91ee90011498fd092cc79a423e_normal.jpeg</v>
      </c>
      <c r="W2196" s="83">
        <v>44465.260775462964</v>
      </c>
      <c r="X2196" s="89">
        <v>44465</v>
      </c>
      <c r="Y2196" s="86" t="s">
        <v>4176</v>
      </c>
      <c r="Z2196" s="84" t="str">
        <f>HYPERLINK("https://twitter.com/pos_indonesia/status/1442009922711871492")</f>
        <v>https://twitter.com/pos_indonesia/status/1442009922711871492</v>
      </c>
      <c r="AA2196" s="81"/>
      <c r="AB2196" s="81"/>
      <c r="AC2196" s="86" t="s">
        <v>5879</v>
      </c>
      <c r="AD2196" s="81"/>
      <c r="AE2196" s="81" t="b">
        <v>0</v>
      </c>
      <c r="AF2196" s="81">
        <v>0</v>
      </c>
      <c r="AG2196" s="86" t="s">
        <v>6240</v>
      </c>
      <c r="AH2196" s="81" t="b">
        <v>0</v>
      </c>
      <c r="AI2196" s="81" t="s">
        <v>6479</v>
      </c>
      <c r="AJ2196" s="81"/>
      <c r="AK2196" s="86" t="s">
        <v>6240</v>
      </c>
      <c r="AL2196" s="81" t="b">
        <v>0</v>
      </c>
      <c r="AM2196" s="81">
        <v>0</v>
      </c>
      <c r="AN2196" s="86" t="s">
        <v>6240</v>
      </c>
      <c r="AO2196" s="86" t="s">
        <v>6506</v>
      </c>
      <c r="AP2196" s="81" t="b">
        <v>0</v>
      </c>
      <c r="AQ2196" s="86" t="s">
        <v>5879</v>
      </c>
      <c r="AR2196" s="81" t="s">
        <v>179</v>
      </c>
      <c r="AS2196" s="81">
        <v>0</v>
      </c>
      <c r="AT2196" s="81">
        <v>0</v>
      </c>
      <c r="AU2196" s="81"/>
      <c r="AV2196" s="81"/>
      <c r="AW2196" s="81"/>
      <c r="AX2196" s="81"/>
      <c r="AY2196" s="81"/>
      <c r="AZ2196" s="81"/>
      <c r="BA2196" s="81"/>
      <c r="BB2196" s="81"/>
    </row>
    <row r="2197" spans="1:54" x14ac:dyDescent="0.35">
      <c r="A2197" s="66" t="s">
        <v>1269</v>
      </c>
      <c r="B2197" s="66" t="s">
        <v>1269</v>
      </c>
      <c r="C2197" s="67"/>
      <c r="D2197" s="68"/>
      <c r="E2197" s="69"/>
      <c r="F2197" s="70"/>
      <c r="G2197" s="67"/>
      <c r="H2197" s="71"/>
      <c r="I2197" s="72"/>
      <c r="J2197" s="72"/>
      <c r="K2197" s="36"/>
      <c r="L2197" s="79"/>
      <c r="M2197" s="79"/>
      <c r="N2197" s="74"/>
      <c r="O2197" s="81" t="s">
        <v>179</v>
      </c>
      <c r="P2197" s="83">
        <v>44465.28162037037</v>
      </c>
      <c r="Q2197" s="81" t="s">
        <v>2471</v>
      </c>
      <c r="R2197" s="81"/>
      <c r="S2197" s="81"/>
      <c r="T2197" s="81"/>
      <c r="U2197" s="81"/>
      <c r="V2197" s="84" t="str">
        <f>HYPERLINK("https://pbs.twimg.com/profile_images/378800000705328795/304bfd91ee90011498fd092cc79a423e_normal.jpeg")</f>
        <v>https://pbs.twimg.com/profile_images/378800000705328795/304bfd91ee90011498fd092cc79a423e_normal.jpeg</v>
      </c>
      <c r="W2197" s="83">
        <v>44465.28162037037</v>
      </c>
      <c r="X2197" s="89">
        <v>44465</v>
      </c>
      <c r="Y2197" s="86" t="s">
        <v>4199</v>
      </c>
      <c r="Z2197" s="84" t="str">
        <f>HYPERLINK("https://twitter.com/pos_indonesia/status/1442017475604844546")</f>
        <v>https://twitter.com/pos_indonesia/status/1442017475604844546</v>
      </c>
      <c r="AA2197" s="81"/>
      <c r="AB2197" s="81"/>
      <c r="AC2197" s="86" t="s">
        <v>5880</v>
      </c>
      <c r="AD2197" s="81"/>
      <c r="AE2197" s="81" t="b">
        <v>0</v>
      </c>
      <c r="AF2197" s="81">
        <v>0</v>
      </c>
      <c r="AG2197" s="86" t="s">
        <v>6240</v>
      </c>
      <c r="AH2197" s="81" t="b">
        <v>0</v>
      </c>
      <c r="AI2197" s="81" t="s">
        <v>6479</v>
      </c>
      <c r="AJ2197" s="81"/>
      <c r="AK2197" s="86" t="s">
        <v>6240</v>
      </c>
      <c r="AL2197" s="81" t="b">
        <v>0</v>
      </c>
      <c r="AM2197" s="81">
        <v>0</v>
      </c>
      <c r="AN2197" s="86" t="s">
        <v>6240</v>
      </c>
      <c r="AO2197" s="86" t="s">
        <v>6506</v>
      </c>
      <c r="AP2197" s="81" t="b">
        <v>0</v>
      </c>
      <c r="AQ2197" s="86" t="s">
        <v>5880</v>
      </c>
      <c r="AR2197" s="81" t="s">
        <v>179</v>
      </c>
      <c r="AS2197" s="81">
        <v>0</v>
      </c>
      <c r="AT2197" s="81">
        <v>0</v>
      </c>
      <c r="AU2197" s="81"/>
      <c r="AV2197" s="81"/>
      <c r="AW2197" s="81"/>
      <c r="AX2197" s="81"/>
      <c r="AY2197" s="81"/>
      <c r="AZ2197" s="81"/>
      <c r="BA2197" s="81"/>
      <c r="BB2197" s="81"/>
    </row>
    <row r="2198" spans="1:54" x14ac:dyDescent="0.35">
      <c r="A2198" s="66" t="s">
        <v>1269</v>
      </c>
      <c r="B2198" s="66" t="s">
        <v>1269</v>
      </c>
      <c r="C2198" s="67"/>
      <c r="D2198" s="68"/>
      <c r="E2198" s="69"/>
      <c r="F2198" s="70"/>
      <c r="G2198" s="67"/>
      <c r="H2198" s="71"/>
      <c r="I2198" s="72"/>
      <c r="J2198" s="72"/>
      <c r="K2198" s="36"/>
      <c r="L2198" s="79"/>
      <c r="M2198" s="79"/>
      <c r="N2198" s="74"/>
      <c r="O2198" s="81" t="s">
        <v>179</v>
      </c>
      <c r="P2198" s="83">
        <v>44465.302453703705</v>
      </c>
      <c r="Q2198" s="81" t="s">
        <v>2432</v>
      </c>
      <c r="R2198" s="81"/>
      <c r="S2198" s="81"/>
      <c r="T2198" s="81"/>
      <c r="U2198" s="81"/>
      <c r="V2198" s="84" t="str">
        <f>HYPERLINK("https://pbs.twimg.com/profile_images/378800000705328795/304bfd91ee90011498fd092cc79a423e_normal.jpeg")</f>
        <v>https://pbs.twimg.com/profile_images/378800000705328795/304bfd91ee90011498fd092cc79a423e_normal.jpeg</v>
      </c>
      <c r="W2198" s="83">
        <v>44465.302453703705</v>
      </c>
      <c r="X2198" s="89">
        <v>44465</v>
      </c>
      <c r="Y2198" s="86" t="s">
        <v>3628</v>
      </c>
      <c r="Z2198" s="84" t="str">
        <f>HYPERLINK("https://twitter.com/pos_indonesia/status/1442025026652237830")</f>
        <v>https://twitter.com/pos_indonesia/status/1442025026652237830</v>
      </c>
      <c r="AA2198" s="81"/>
      <c r="AB2198" s="81"/>
      <c r="AC2198" s="86" t="s">
        <v>5881</v>
      </c>
      <c r="AD2198" s="81"/>
      <c r="AE2198" s="81" t="b">
        <v>0</v>
      </c>
      <c r="AF2198" s="81">
        <v>0</v>
      </c>
      <c r="AG2198" s="86" t="s">
        <v>6240</v>
      </c>
      <c r="AH2198" s="81" t="b">
        <v>0</v>
      </c>
      <c r="AI2198" s="81" t="s">
        <v>6479</v>
      </c>
      <c r="AJ2198" s="81"/>
      <c r="AK2198" s="86" t="s">
        <v>6240</v>
      </c>
      <c r="AL2198" s="81" t="b">
        <v>0</v>
      </c>
      <c r="AM2198" s="81">
        <v>0</v>
      </c>
      <c r="AN2198" s="86" t="s">
        <v>6240</v>
      </c>
      <c r="AO2198" s="86" t="s">
        <v>6506</v>
      </c>
      <c r="AP2198" s="81" t="b">
        <v>0</v>
      </c>
      <c r="AQ2198" s="86" t="s">
        <v>5881</v>
      </c>
      <c r="AR2198" s="81" t="s">
        <v>179</v>
      </c>
      <c r="AS2198" s="81">
        <v>0</v>
      </c>
      <c r="AT2198" s="81">
        <v>0</v>
      </c>
      <c r="AU2198" s="81"/>
      <c r="AV2198" s="81"/>
      <c r="AW2198" s="81"/>
      <c r="AX2198" s="81"/>
      <c r="AY2198" s="81"/>
      <c r="AZ2198" s="81"/>
      <c r="BA2198" s="81"/>
      <c r="BB2198" s="81"/>
    </row>
    <row r="2199" spans="1:54" x14ac:dyDescent="0.35">
      <c r="A2199" s="66" t="s">
        <v>1269</v>
      </c>
      <c r="B2199" s="66" t="s">
        <v>1269</v>
      </c>
      <c r="C2199" s="67"/>
      <c r="D2199" s="68"/>
      <c r="E2199" s="69"/>
      <c r="F2199" s="70"/>
      <c r="G2199" s="67"/>
      <c r="H2199" s="71"/>
      <c r="I2199" s="72"/>
      <c r="J2199" s="72"/>
      <c r="K2199" s="36"/>
      <c r="L2199" s="79"/>
      <c r="M2199" s="79"/>
      <c r="N2199" s="74"/>
      <c r="O2199" s="81" t="s">
        <v>179</v>
      </c>
      <c r="P2199" s="83">
        <v>44465.34412037037</v>
      </c>
      <c r="Q2199" s="81" t="s">
        <v>2533</v>
      </c>
      <c r="R2199" s="81"/>
      <c r="S2199" s="81"/>
      <c r="T2199" s="81"/>
      <c r="U2199" s="81"/>
      <c r="V2199" s="84" t="str">
        <f>HYPERLINK("https://pbs.twimg.com/profile_images/378800000705328795/304bfd91ee90011498fd092cc79a423e_normal.jpeg")</f>
        <v>https://pbs.twimg.com/profile_images/378800000705328795/304bfd91ee90011498fd092cc79a423e_normal.jpeg</v>
      </c>
      <c r="W2199" s="83">
        <v>44465.34412037037</v>
      </c>
      <c r="X2199" s="89">
        <v>44465</v>
      </c>
      <c r="Y2199" s="86" t="s">
        <v>4200</v>
      </c>
      <c r="Z2199" s="84" t="str">
        <f>HYPERLINK("https://twitter.com/pos_indonesia/status/1442040126322843649")</f>
        <v>https://twitter.com/pos_indonesia/status/1442040126322843649</v>
      </c>
      <c r="AA2199" s="81"/>
      <c r="AB2199" s="81"/>
      <c r="AC2199" s="86" t="s">
        <v>5882</v>
      </c>
      <c r="AD2199" s="81"/>
      <c r="AE2199" s="81" t="b">
        <v>0</v>
      </c>
      <c r="AF2199" s="81">
        <v>0</v>
      </c>
      <c r="AG2199" s="86" t="s">
        <v>6240</v>
      </c>
      <c r="AH2199" s="81" t="b">
        <v>0</v>
      </c>
      <c r="AI2199" s="81" t="s">
        <v>6479</v>
      </c>
      <c r="AJ2199" s="81"/>
      <c r="AK2199" s="86" t="s">
        <v>6240</v>
      </c>
      <c r="AL2199" s="81" t="b">
        <v>0</v>
      </c>
      <c r="AM2199" s="81">
        <v>0</v>
      </c>
      <c r="AN2199" s="86" t="s">
        <v>6240</v>
      </c>
      <c r="AO2199" s="86" t="s">
        <v>6506</v>
      </c>
      <c r="AP2199" s="81" t="b">
        <v>0</v>
      </c>
      <c r="AQ2199" s="86" t="s">
        <v>5882</v>
      </c>
      <c r="AR2199" s="81" t="s">
        <v>179</v>
      </c>
      <c r="AS2199" s="81">
        <v>0</v>
      </c>
      <c r="AT2199" s="81">
        <v>0</v>
      </c>
      <c r="AU2199" s="81"/>
      <c r="AV2199" s="81"/>
      <c r="AW2199" s="81"/>
      <c r="AX2199" s="81"/>
      <c r="AY2199" s="81"/>
      <c r="AZ2199" s="81"/>
      <c r="BA2199" s="81"/>
      <c r="BB2199" s="81"/>
    </row>
    <row r="2200" spans="1:54" x14ac:dyDescent="0.35">
      <c r="A2200" s="66" t="s">
        <v>1269</v>
      </c>
      <c r="B2200" s="66" t="s">
        <v>1269</v>
      </c>
      <c r="C2200" s="67"/>
      <c r="D2200" s="68"/>
      <c r="E2200" s="69"/>
      <c r="F2200" s="70"/>
      <c r="G2200" s="67"/>
      <c r="H2200" s="71"/>
      <c r="I2200" s="72"/>
      <c r="J2200" s="72"/>
      <c r="K2200" s="36"/>
      <c r="L2200" s="79"/>
      <c r="M2200" s="79"/>
      <c r="N2200" s="74"/>
      <c r="O2200" s="81" t="s">
        <v>179</v>
      </c>
      <c r="P2200" s="83">
        <v>44465.364953703705</v>
      </c>
      <c r="Q2200" s="81" t="s">
        <v>2322</v>
      </c>
      <c r="R2200" s="81"/>
      <c r="S2200" s="81"/>
      <c r="T2200" s="81"/>
      <c r="U2200" s="81"/>
      <c r="V2200" s="84" t="str">
        <f>HYPERLINK("https://pbs.twimg.com/profile_images/378800000705328795/304bfd91ee90011498fd092cc79a423e_normal.jpeg")</f>
        <v>https://pbs.twimg.com/profile_images/378800000705328795/304bfd91ee90011498fd092cc79a423e_normal.jpeg</v>
      </c>
      <c r="W2200" s="83">
        <v>44465.364953703705</v>
      </c>
      <c r="X2200" s="89">
        <v>44465</v>
      </c>
      <c r="Y2200" s="86" t="s">
        <v>4201</v>
      </c>
      <c r="Z2200" s="84" t="str">
        <f>HYPERLINK("https://twitter.com/pos_indonesia/status/1442047676208451587")</f>
        <v>https://twitter.com/pos_indonesia/status/1442047676208451587</v>
      </c>
      <c r="AA2200" s="81"/>
      <c r="AB2200" s="81"/>
      <c r="AC2200" s="86" t="s">
        <v>5883</v>
      </c>
      <c r="AD2200" s="81"/>
      <c r="AE2200" s="81" t="b">
        <v>0</v>
      </c>
      <c r="AF2200" s="81">
        <v>0</v>
      </c>
      <c r="AG2200" s="86" t="s">
        <v>6240</v>
      </c>
      <c r="AH2200" s="81" t="b">
        <v>0</v>
      </c>
      <c r="AI2200" s="81" t="s">
        <v>6479</v>
      </c>
      <c r="AJ2200" s="81"/>
      <c r="AK2200" s="86" t="s">
        <v>6240</v>
      </c>
      <c r="AL2200" s="81" t="b">
        <v>0</v>
      </c>
      <c r="AM2200" s="81">
        <v>0</v>
      </c>
      <c r="AN2200" s="86" t="s">
        <v>6240</v>
      </c>
      <c r="AO2200" s="86" t="s">
        <v>6506</v>
      </c>
      <c r="AP2200" s="81" t="b">
        <v>0</v>
      </c>
      <c r="AQ2200" s="86" t="s">
        <v>5883</v>
      </c>
      <c r="AR2200" s="81" t="s">
        <v>179</v>
      </c>
      <c r="AS2200" s="81">
        <v>0</v>
      </c>
      <c r="AT2200" s="81">
        <v>0</v>
      </c>
      <c r="AU2200" s="81"/>
      <c r="AV2200" s="81"/>
      <c r="AW2200" s="81"/>
      <c r="AX2200" s="81"/>
      <c r="AY2200" s="81"/>
      <c r="AZ2200" s="81"/>
      <c r="BA2200" s="81"/>
      <c r="BB2200" s="81"/>
    </row>
    <row r="2201" spans="1:54" x14ac:dyDescent="0.35">
      <c r="A2201" s="66" t="s">
        <v>1269</v>
      </c>
      <c r="B2201" s="66" t="s">
        <v>1269</v>
      </c>
      <c r="C2201" s="67"/>
      <c r="D2201" s="68"/>
      <c r="E2201" s="69"/>
      <c r="F2201" s="70"/>
      <c r="G2201" s="67"/>
      <c r="H2201" s="71"/>
      <c r="I2201" s="72"/>
      <c r="J2201" s="72"/>
      <c r="K2201" s="36"/>
      <c r="L2201" s="79"/>
      <c r="M2201" s="79"/>
      <c r="N2201" s="74"/>
      <c r="O2201" s="81" t="s">
        <v>179</v>
      </c>
      <c r="P2201" s="83">
        <v>44465.385787037034</v>
      </c>
      <c r="Q2201" s="81" t="s">
        <v>2534</v>
      </c>
      <c r="R2201" s="81"/>
      <c r="S2201" s="81"/>
      <c r="T2201" s="81"/>
      <c r="U2201" s="81"/>
      <c r="V2201" s="84" t="str">
        <f>HYPERLINK("https://pbs.twimg.com/profile_images/378800000705328795/304bfd91ee90011498fd092cc79a423e_normal.jpeg")</f>
        <v>https://pbs.twimg.com/profile_images/378800000705328795/304bfd91ee90011498fd092cc79a423e_normal.jpeg</v>
      </c>
      <c r="W2201" s="83">
        <v>44465.385787037034</v>
      </c>
      <c r="X2201" s="89">
        <v>44465</v>
      </c>
      <c r="Y2201" s="86" t="s">
        <v>4153</v>
      </c>
      <c r="Z2201" s="84" t="str">
        <f>HYPERLINK("https://twitter.com/pos_indonesia/status/1442055224642789381")</f>
        <v>https://twitter.com/pos_indonesia/status/1442055224642789381</v>
      </c>
      <c r="AA2201" s="81"/>
      <c r="AB2201" s="81"/>
      <c r="AC2201" s="86" t="s">
        <v>5884</v>
      </c>
      <c r="AD2201" s="81"/>
      <c r="AE2201" s="81" t="b">
        <v>0</v>
      </c>
      <c r="AF2201" s="81">
        <v>0</v>
      </c>
      <c r="AG2201" s="86" t="s">
        <v>6240</v>
      </c>
      <c r="AH2201" s="81" t="b">
        <v>0</v>
      </c>
      <c r="AI2201" s="81" t="s">
        <v>6479</v>
      </c>
      <c r="AJ2201" s="81"/>
      <c r="AK2201" s="86" t="s">
        <v>6240</v>
      </c>
      <c r="AL2201" s="81" t="b">
        <v>0</v>
      </c>
      <c r="AM2201" s="81">
        <v>0</v>
      </c>
      <c r="AN2201" s="86" t="s">
        <v>6240</v>
      </c>
      <c r="AO2201" s="86" t="s">
        <v>6506</v>
      </c>
      <c r="AP2201" s="81" t="b">
        <v>0</v>
      </c>
      <c r="AQ2201" s="86" t="s">
        <v>5884</v>
      </c>
      <c r="AR2201" s="81" t="s">
        <v>179</v>
      </c>
      <c r="AS2201" s="81">
        <v>0</v>
      </c>
      <c r="AT2201" s="81">
        <v>0</v>
      </c>
      <c r="AU2201" s="81"/>
      <c r="AV2201" s="81"/>
      <c r="AW2201" s="81"/>
      <c r="AX2201" s="81"/>
      <c r="AY2201" s="81"/>
      <c r="AZ2201" s="81"/>
      <c r="BA2201" s="81"/>
      <c r="BB2201" s="81"/>
    </row>
    <row r="2202" spans="1:54" x14ac:dyDescent="0.35">
      <c r="A2202" s="66" t="s">
        <v>1269</v>
      </c>
      <c r="B2202" s="66" t="s">
        <v>1269</v>
      </c>
      <c r="C2202" s="67"/>
      <c r="D2202" s="68"/>
      <c r="E2202" s="69"/>
      <c r="F2202" s="70"/>
      <c r="G2202" s="67"/>
      <c r="H2202" s="71"/>
      <c r="I2202" s="72"/>
      <c r="J2202" s="72"/>
      <c r="K2202" s="36"/>
      <c r="L2202" s="79"/>
      <c r="M2202" s="79"/>
      <c r="N2202" s="74"/>
      <c r="O2202" s="81" t="s">
        <v>179</v>
      </c>
      <c r="P2202" s="83">
        <v>44465.406597222223</v>
      </c>
      <c r="Q2202" s="81" t="s">
        <v>2462</v>
      </c>
      <c r="R2202" s="81"/>
      <c r="S2202" s="81"/>
      <c r="T2202" s="81"/>
      <c r="U2202" s="81"/>
      <c r="V2202" s="84" t="str">
        <f>HYPERLINK("https://pbs.twimg.com/profile_images/378800000705328795/304bfd91ee90011498fd092cc79a423e_normal.jpeg")</f>
        <v>https://pbs.twimg.com/profile_images/378800000705328795/304bfd91ee90011498fd092cc79a423e_normal.jpeg</v>
      </c>
      <c r="W2202" s="83">
        <v>44465.406597222223</v>
      </c>
      <c r="X2202" s="89">
        <v>44465</v>
      </c>
      <c r="Y2202" s="86" t="s">
        <v>4180</v>
      </c>
      <c r="Z2202" s="84" t="str">
        <f>HYPERLINK("https://twitter.com/pos_indonesia/status/1442062766123085825")</f>
        <v>https://twitter.com/pos_indonesia/status/1442062766123085825</v>
      </c>
      <c r="AA2202" s="81"/>
      <c r="AB2202" s="81"/>
      <c r="AC2202" s="86" t="s">
        <v>5885</v>
      </c>
      <c r="AD2202" s="81"/>
      <c r="AE2202" s="81" t="b">
        <v>0</v>
      </c>
      <c r="AF2202" s="81">
        <v>0</v>
      </c>
      <c r="AG2202" s="86" t="s">
        <v>6240</v>
      </c>
      <c r="AH2202" s="81" t="b">
        <v>0</v>
      </c>
      <c r="AI2202" s="81" t="s">
        <v>6479</v>
      </c>
      <c r="AJ2202" s="81"/>
      <c r="AK2202" s="86" t="s">
        <v>6240</v>
      </c>
      <c r="AL2202" s="81" t="b">
        <v>0</v>
      </c>
      <c r="AM2202" s="81">
        <v>0</v>
      </c>
      <c r="AN2202" s="86" t="s">
        <v>6240</v>
      </c>
      <c r="AO2202" s="86" t="s">
        <v>6506</v>
      </c>
      <c r="AP2202" s="81" t="b">
        <v>0</v>
      </c>
      <c r="AQ2202" s="86" t="s">
        <v>5885</v>
      </c>
      <c r="AR2202" s="81" t="s">
        <v>179</v>
      </c>
      <c r="AS2202" s="81">
        <v>0</v>
      </c>
      <c r="AT2202" s="81">
        <v>0</v>
      </c>
      <c r="AU2202" s="81"/>
      <c r="AV2202" s="81"/>
      <c r="AW2202" s="81"/>
      <c r="AX2202" s="81"/>
      <c r="AY2202" s="81"/>
      <c r="AZ2202" s="81"/>
      <c r="BA2202" s="81"/>
      <c r="BB2202" s="81"/>
    </row>
    <row r="2203" spans="1:54" x14ac:dyDescent="0.35">
      <c r="A2203" s="66" t="s">
        <v>1269</v>
      </c>
      <c r="B2203" s="66" t="s">
        <v>1269</v>
      </c>
      <c r="C2203" s="67"/>
      <c r="D2203" s="68"/>
      <c r="E2203" s="69"/>
      <c r="F2203" s="70"/>
      <c r="G2203" s="67"/>
      <c r="H2203" s="71"/>
      <c r="I2203" s="72"/>
      <c r="J2203" s="72"/>
      <c r="K2203" s="36"/>
      <c r="L2203" s="79"/>
      <c r="M2203" s="79"/>
      <c r="N2203" s="74"/>
      <c r="O2203" s="81" t="s">
        <v>179</v>
      </c>
      <c r="P2203" s="83">
        <v>44465.427453703705</v>
      </c>
      <c r="Q2203" s="81" t="s">
        <v>2535</v>
      </c>
      <c r="R2203" s="81"/>
      <c r="S2203" s="81"/>
      <c r="T2203" s="81"/>
      <c r="U2203" s="81"/>
      <c r="V2203" s="84" t="str">
        <f>HYPERLINK("https://pbs.twimg.com/profile_images/378800000705328795/304bfd91ee90011498fd092cc79a423e_normal.jpeg")</f>
        <v>https://pbs.twimg.com/profile_images/378800000705328795/304bfd91ee90011498fd092cc79a423e_normal.jpeg</v>
      </c>
      <c r="W2203" s="83">
        <v>44465.427453703705</v>
      </c>
      <c r="X2203" s="89">
        <v>44465</v>
      </c>
      <c r="Y2203" s="86" t="s">
        <v>4181</v>
      </c>
      <c r="Z2203" s="84" t="str">
        <f>HYPERLINK("https://twitter.com/pos_indonesia/status/1442070323952713729")</f>
        <v>https://twitter.com/pos_indonesia/status/1442070323952713729</v>
      </c>
      <c r="AA2203" s="81"/>
      <c r="AB2203" s="81"/>
      <c r="AC2203" s="86" t="s">
        <v>5886</v>
      </c>
      <c r="AD2203" s="81"/>
      <c r="AE2203" s="81" t="b">
        <v>0</v>
      </c>
      <c r="AF2203" s="81">
        <v>0</v>
      </c>
      <c r="AG2203" s="86" t="s">
        <v>6240</v>
      </c>
      <c r="AH2203" s="81" t="b">
        <v>0</v>
      </c>
      <c r="AI2203" s="81" t="s">
        <v>6479</v>
      </c>
      <c r="AJ2203" s="81"/>
      <c r="AK2203" s="86" t="s">
        <v>6240</v>
      </c>
      <c r="AL2203" s="81" t="b">
        <v>0</v>
      </c>
      <c r="AM2203" s="81">
        <v>0</v>
      </c>
      <c r="AN2203" s="86" t="s">
        <v>6240</v>
      </c>
      <c r="AO2203" s="86" t="s">
        <v>6506</v>
      </c>
      <c r="AP2203" s="81" t="b">
        <v>0</v>
      </c>
      <c r="AQ2203" s="86" t="s">
        <v>5886</v>
      </c>
      <c r="AR2203" s="81" t="s">
        <v>179</v>
      </c>
      <c r="AS2203" s="81">
        <v>0</v>
      </c>
      <c r="AT2203" s="81">
        <v>0</v>
      </c>
      <c r="AU2203" s="81"/>
      <c r="AV2203" s="81"/>
      <c r="AW2203" s="81"/>
      <c r="AX2203" s="81"/>
      <c r="AY2203" s="81"/>
      <c r="AZ2203" s="81"/>
      <c r="BA2203" s="81"/>
      <c r="BB2203" s="81"/>
    </row>
    <row r="2204" spans="1:54" x14ac:dyDescent="0.35">
      <c r="A2204" s="66" t="s">
        <v>1269</v>
      </c>
      <c r="B2204" s="66" t="s">
        <v>1269</v>
      </c>
      <c r="C2204" s="67"/>
      <c r="D2204" s="68"/>
      <c r="E2204" s="69"/>
      <c r="F2204" s="70"/>
      <c r="G2204" s="67"/>
      <c r="H2204" s="71"/>
      <c r="I2204" s="72"/>
      <c r="J2204" s="72"/>
      <c r="K2204" s="36"/>
      <c r="L2204" s="79"/>
      <c r="M2204" s="79"/>
      <c r="N2204" s="74"/>
      <c r="O2204" s="81" t="s">
        <v>179</v>
      </c>
      <c r="P2204" s="83">
        <v>44465.448287037034</v>
      </c>
      <c r="Q2204" s="81" t="s">
        <v>2536</v>
      </c>
      <c r="R2204" s="81"/>
      <c r="S2204" s="81"/>
      <c r="T2204" s="81"/>
      <c r="U2204" s="81"/>
      <c r="V2204" s="84" t="str">
        <f>HYPERLINK("https://pbs.twimg.com/profile_images/378800000705328795/304bfd91ee90011498fd092cc79a423e_normal.jpeg")</f>
        <v>https://pbs.twimg.com/profile_images/378800000705328795/304bfd91ee90011498fd092cc79a423e_normal.jpeg</v>
      </c>
      <c r="W2204" s="83">
        <v>44465.448287037034</v>
      </c>
      <c r="X2204" s="89">
        <v>44465</v>
      </c>
      <c r="Y2204" s="86" t="s">
        <v>4202</v>
      </c>
      <c r="Z2204" s="84" t="str">
        <f>HYPERLINK("https://twitter.com/pos_indonesia/status/1442077873242656771")</f>
        <v>https://twitter.com/pos_indonesia/status/1442077873242656771</v>
      </c>
      <c r="AA2204" s="81"/>
      <c r="AB2204" s="81"/>
      <c r="AC2204" s="86" t="s">
        <v>5887</v>
      </c>
      <c r="AD2204" s="81"/>
      <c r="AE2204" s="81" t="b">
        <v>0</v>
      </c>
      <c r="AF2204" s="81">
        <v>0</v>
      </c>
      <c r="AG2204" s="86" t="s">
        <v>6240</v>
      </c>
      <c r="AH2204" s="81" t="b">
        <v>0</v>
      </c>
      <c r="AI2204" s="81" t="s">
        <v>6479</v>
      </c>
      <c r="AJ2204" s="81"/>
      <c r="AK2204" s="86" t="s">
        <v>6240</v>
      </c>
      <c r="AL2204" s="81" t="b">
        <v>0</v>
      </c>
      <c r="AM2204" s="81">
        <v>0</v>
      </c>
      <c r="AN2204" s="86" t="s">
        <v>6240</v>
      </c>
      <c r="AO2204" s="86" t="s">
        <v>6506</v>
      </c>
      <c r="AP2204" s="81" t="b">
        <v>0</v>
      </c>
      <c r="AQ2204" s="86" t="s">
        <v>5887</v>
      </c>
      <c r="AR2204" s="81" t="s">
        <v>179</v>
      </c>
      <c r="AS2204" s="81">
        <v>0</v>
      </c>
      <c r="AT2204" s="81">
        <v>0</v>
      </c>
      <c r="AU2204" s="81"/>
      <c r="AV2204" s="81"/>
      <c r="AW2204" s="81"/>
      <c r="AX2204" s="81"/>
      <c r="AY2204" s="81"/>
      <c r="AZ2204" s="81"/>
      <c r="BA2204" s="81"/>
      <c r="BB2204" s="81"/>
    </row>
    <row r="2205" spans="1:54" x14ac:dyDescent="0.35">
      <c r="A2205" s="66" t="s">
        <v>1269</v>
      </c>
      <c r="B2205" s="66" t="s">
        <v>1269</v>
      </c>
      <c r="C2205" s="67"/>
      <c r="D2205" s="68"/>
      <c r="E2205" s="69"/>
      <c r="F2205" s="70"/>
      <c r="G2205" s="67"/>
      <c r="H2205" s="71"/>
      <c r="I2205" s="72"/>
      <c r="J2205" s="72"/>
      <c r="K2205" s="36"/>
      <c r="L2205" s="79"/>
      <c r="M2205" s="79"/>
      <c r="N2205" s="74"/>
      <c r="O2205" s="81" t="s">
        <v>179</v>
      </c>
      <c r="P2205" s="83">
        <v>44465.469131944446</v>
      </c>
      <c r="Q2205" s="81" t="s">
        <v>2302</v>
      </c>
      <c r="R2205" s="81"/>
      <c r="S2205" s="81"/>
      <c r="T2205" s="81"/>
      <c r="U2205" s="81"/>
      <c r="V2205" s="84" t="str">
        <f>HYPERLINK("https://pbs.twimg.com/profile_images/378800000705328795/304bfd91ee90011498fd092cc79a423e_normal.jpeg")</f>
        <v>https://pbs.twimg.com/profile_images/378800000705328795/304bfd91ee90011498fd092cc79a423e_normal.jpeg</v>
      </c>
      <c r="W2205" s="83">
        <v>44465.469131944446</v>
      </c>
      <c r="X2205" s="89">
        <v>44465</v>
      </c>
      <c r="Y2205" s="86" t="s">
        <v>4154</v>
      </c>
      <c r="Z2205" s="84" t="str">
        <f>HYPERLINK("https://twitter.com/pos_indonesia/status/1442085430669688832")</f>
        <v>https://twitter.com/pos_indonesia/status/1442085430669688832</v>
      </c>
      <c r="AA2205" s="81"/>
      <c r="AB2205" s="81"/>
      <c r="AC2205" s="86" t="s">
        <v>5888</v>
      </c>
      <c r="AD2205" s="81"/>
      <c r="AE2205" s="81" t="b">
        <v>0</v>
      </c>
      <c r="AF2205" s="81">
        <v>0</v>
      </c>
      <c r="AG2205" s="86" t="s">
        <v>6240</v>
      </c>
      <c r="AH2205" s="81" t="b">
        <v>0</v>
      </c>
      <c r="AI2205" s="81" t="s">
        <v>6479</v>
      </c>
      <c r="AJ2205" s="81"/>
      <c r="AK2205" s="86" t="s">
        <v>6240</v>
      </c>
      <c r="AL2205" s="81" t="b">
        <v>0</v>
      </c>
      <c r="AM2205" s="81">
        <v>0</v>
      </c>
      <c r="AN2205" s="86" t="s">
        <v>6240</v>
      </c>
      <c r="AO2205" s="86" t="s">
        <v>6506</v>
      </c>
      <c r="AP2205" s="81" t="b">
        <v>0</v>
      </c>
      <c r="AQ2205" s="86" t="s">
        <v>5888</v>
      </c>
      <c r="AR2205" s="81" t="s">
        <v>179</v>
      </c>
      <c r="AS2205" s="81">
        <v>0</v>
      </c>
      <c r="AT2205" s="81">
        <v>0</v>
      </c>
      <c r="AU2205" s="81"/>
      <c r="AV2205" s="81"/>
      <c r="AW2205" s="81"/>
      <c r="AX2205" s="81"/>
      <c r="AY2205" s="81"/>
      <c r="AZ2205" s="81"/>
      <c r="BA2205" s="81"/>
      <c r="BB2205" s="81"/>
    </row>
    <row r="2206" spans="1:54" x14ac:dyDescent="0.35">
      <c r="A2206" s="66" t="s">
        <v>1269</v>
      </c>
      <c r="B2206" s="66" t="s">
        <v>1269</v>
      </c>
      <c r="C2206" s="67"/>
      <c r="D2206" s="68"/>
      <c r="E2206" s="69"/>
      <c r="F2206" s="70"/>
      <c r="G2206" s="67"/>
      <c r="H2206" s="71"/>
      <c r="I2206" s="72"/>
      <c r="J2206" s="72"/>
      <c r="K2206" s="36"/>
      <c r="L2206" s="79"/>
      <c r="M2206" s="79"/>
      <c r="N2206" s="74"/>
      <c r="O2206" s="81" t="s">
        <v>179</v>
      </c>
      <c r="P2206" s="83">
        <v>44465.489930555559</v>
      </c>
      <c r="Q2206" s="81" t="s">
        <v>2537</v>
      </c>
      <c r="R2206" s="81"/>
      <c r="S2206" s="81"/>
      <c r="T2206" s="81"/>
      <c r="U2206" s="81"/>
      <c r="V2206" s="84" t="str">
        <f>HYPERLINK("https://pbs.twimg.com/profile_images/378800000705328795/304bfd91ee90011498fd092cc79a423e_normal.jpeg")</f>
        <v>https://pbs.twimg.com/profile_images/378800000705328795/304bfd91ee90011498fd092cc79a423e_normal.jpeg</v>
      </c>
      <c r="W2206" s="83">
        <v>44465.489930555559</v>
      </c>
      <c r="X2206" s="89">
        <v>44465</v>
      </c>
      <c r="Y2206" s="86" t="s">
        <v>4116</v>
      </c>
      <c r="Z2206" s="84" t="str">
        <f>HYPERLINK("https://twitter.com/pos_indonesia/status/1442092967884251139")</f>
        <v>https://twitter.com/pos_indonesia/status/1442092967884251139</v>
      </c>
      <c r="AA2206" s="81"/>
      <c r="AB2206" s="81"/>
      <c r="AC2206" s="86" t="s">
        <v>5889</v>
      </c>
      <c r="AD2206" s="81"/>
      <c r="AE2206" s="81" t="b">
        <v>0</v>
      </c>
      <c r="AF2206" s="81">
        <v>0</v>
      </c>
      <c r="AG2206" s="86" t="s">
        <v>6240</v>
      </c>
      <c r="AH2206" s="81" t="b">
        <v>0</v>
      </c>
      <c r="AI2206" s="81" t="s">
        <v>6479</v>
      </c>
      <c r="AJ2206" s="81"/>
      <c r="AK2206" s="86" t="s">
        <v>6240</v>
      </c>
      <c r="AL2206" s="81" t="b">
        <v>0</v>
      </c>
      <c r="AM2206" s="81">
        <v>0</v>
      </c>
      <c r="AN2206" s="86" t="s">
        <v>6240</v>
      </c>
      <c r="AO2206" s="86" t="s">
        <v>6506</v>
      </c>
      <c r="AP2206" s="81" t="b">
        <v>0</v>
      </c>
      <c r="AQ2206" s="86" t="s">
        <v>5889</v>
      </c>
      <c r="AR2206" s="81" t="s">
        <v>179</v>
      </c>
      <c r="AS2206" s="81">
        <v>0</v>
      </c>
      <c r="AT2206" s="81">
        <v>0</v>
      </c>
      <c r="AU2206" s="81"/>
      <c r="AV2206" s="81"/>
      <c r="AW2206" s="81"/>
      <c r="AX2206" s="81"/>
      <c r="AY2206" s="81"/>
      <c r="AZ2206" s="81"/>
      <c r="BA2206" s="81"/>
      <c r="BB2206" s="81"/>
    </row>
    <row r="2207" spans="1:54" x14ac:dyDescent="0.35">
      <c r="A2207" s="66" t="s">
        <v>1269</v>
      </c>
      <c r="B2207" s="66" t="s">
        <v>1269</v>
      </c>
      <c r="C2207" s="67"/>
      <c r="D2207" s="68"/>
      <c r="E2207" s="69"/>
      <c r="F2207" s="70"/>
      <c r="G2207" s="67"/>
      <c r="H2207" s="71"/>
      <c r="I2207" s="72"/>
      <c r="J2207" s="72"/>
      <c r="K2207" s="36"/>
      <c r="L2207" s="79"/>
      <c r="M2207" s="79"/>
      <c r="N2207" s="74"/>
      <c r="O2207" s="81" t="s">
        <v>179</v>
      </c>
      <c r="P2207" s="83">
        <v>44465.510775462964</v>
      </c>
      <c r="Q2207" s="81" t="s">
        <v>2461</v>
      </c>
      <c r="R2207" s="81"/>
      <c r="S2207" s="81"/>
      <c r="T2207" s="81"/>
      <c r="U2207" s="81"/>
      <c r="V2207" s="84" t="str">
        <f>HYPERLINK("https://pbs.twimg.com/profile_images/378800000705328795/304bfd91ee90011498fd092cc79a423e_normal.jpeg")</f>
        <v>https://pbs.twimg.com/profile_images/378800000705328795/304bfd91ee90011498fd092cc79a423e_normal.jpeg</v>
      </c>
      <c r="W2207" s="83">
        <v>44465.510775462964</v>
      </c>
      <c r="X2207" s="89">
        <v>44465</v>
      </c>
      <c r="Y2207" s="86" t="s">
        <v>4184</v>
      </c>
      <c r="Z2207" s="84" t="str">
        <f>HYPERLINK("https://twitter.com/pos_indonesia/status/1442100521179906052")</f>
        <v>https://twitter.com/pos_indonesia/status/1442100521179906052</v>
      </c>
      <c r="AA2207" s="81"/>
      <c r="AB2207" s="81"/>
      <c r="AC2207" s="86" t="s">
        <v>5890</v>
      </c>
      <c r="AD2207" s="81"/>
      <c r="AE2207" s="81" t="b">
        <v>0</v>
      </c>
      <c r="AF2207" s="81">
        <v>0</v>
      </c>
      <c r="AG2207" s="86" t="s">
        <v>6240</v>
      </c>
      <c r="AH2207" s="81" t="b">
        <v>0</v>
      </c>
      <c r="AI2207" s="81" t="s">
        <v>6479</v>
      </c>
      <c r="AJ2207" s="81"/>
      <c r="AK2207" s="86" t="s">
        <v>6240</v>
      </c>
      <c r="AL2207" s="81" t="b">
        <v>0</v>
      </c>
      <c r="AM2207" s="81">
        <v>0</v>
      </c>
      <c r="AN2207" s="86" t="s">
        <v>6240</v>
      </c>
      <c r="AO2207" s="86" t="s">
        <v>6506</v>
      </c>
      <c r="AP2207" s="81" t="b">
        <v>0</v>
      </c>
      <c r="AQ2207" s="86" t="s">
        <v>5890</v>
      </c>
      <c r="AR2207" s="81" t="s">
        <v>179</v>
      </c>
      <c r="AS2207" s="81">
        <v>0</v>
      </c>
      <c r="AT2207" s="81">
        <v>0</v>
      </c>
      <c r="AU2207" s="81"/>
      <c r="AV2207" s="81"/>
      <c r="AW2207" s="81"/>
      <c r="AX2207" s="81"/>
      <c r="AY2207" s="81"/>
      <c r="AZ2207" s="81"/>
      <c r="BA2207" s="81"/>
      <c r="BB2207" s="81"/>
    </row>
    <row r="2208" spans="1:54" x14ac:dyDescent="0.35">
      <c r="A2208" s="66" t="s">
        <v>1269</v>
      </c>
      <c r="B2208" s="66" t="s">
        <v>1269</v>
      </c>
      <c r="C2208" s="67"/>
      <c r="D2208" s="68"/>
      <c r="E2208" s="69"/>
      <c r="F2208" s="70"/>
      <c r="G2208" s="67"/>
      <c r="H2208" s="71"/>
      <c r="I2208" s="72"/>
      <c r="J2208" s="72"/>
      <c r="K2208" s="36"/>
      <c r="L2208" s="79"/>
      <c r="M2208" s="79"/>
      <c r="N2208" s="74"/>
      <c r="O2208" s="81" t="s">
        <v>179</v>
      </c>
      <c r="P2208" s="83">
        <v>44465.531631944446</v>
      </c>
      <c r="Q2208" s="81" t="s">
        <v>2538</v>
      </c>
      <c r="R2208" s="81"/>
      <c r="S2208" s="81"/>
      <c r="T2208" s="81"/>
      <c r="U2208" s="81"/>
      <c r="V2208" s="84" t="str">
        <f>HYPERLINK("https://pbs.twimg.com/profile_images/378800000705328795/304bfd91ee90011498fd092cc79a423e_normal.jpeg")</f>
        <v>https://pbs.twimg.com/profile_images/378800000705328795/304bfd91ee90011498fd092cc79a423e_normal.jpeg</v>
      </c>
      <c r="W2208" s="83">
        <v>44465.531631944446</v>
      </c>
      <c r="X2208" s="89">
        <v>44465</v>
      </c>
      <c r="Y2208" s="86" t="s">
        <v>4203</v>
      </c>
      <c r="Z2208" s="84" t="str">
        <f>HYPERLINK("https://twitter.com/pos_indonesia/status/1442108075872174091")</f>
        <v>https://twitter.com/pos_indonesia/status/1442108075872174091</v>
      </c>
      <c r="AA2208" s="81"/>
      <c r="AB2208" s="81"/>
      <c r="AC2208" s="86" t="s">
        <v>5891</v>
      </c>
      <c r="AD2208" s="81"/>
      <c r="AE2208" s="81" t="b">
        <v>0</v>
      </c>
      <c r="AF2208" s="81">
        <v>0</v>
      </c>
      <c r="AG2208" s="86" t="s">
        <v>6240</v>
      </c>
      <c r="AH2208" s="81" t="b">
        <v>0</v>
      </c>
      <c r="AI2208" s="81" t="s">
        <v>6479</v>
      </c>
      <c r="AJ2208" s="81"/>
      <c r="AK2208" s="86" t="s">
        <v>6240</v>
      </c>
      <c r="AL2208" s="81" t="b">
        <v>0</v>
      </c>
      <c r="AM2208" s="81">
        <v>0</v>
      </c>
      <c r="AN2208" s="86" t="s">
        <v>6240</v>
      </c>
      <c r="AO2208" s="86" t="s">
        <v>6506</v>
      </c>
      <c r="AP2208" s="81" t="b">
        <v>0</v>
      </c>
      <c r="AQ2208" s="86" t="s">
        <v>5891</v>
      </c>
      <c r="AR2208" s="81" t="s">
        <v>179</v>
      </c>
      <c r="AS2208" s="81">
        <v>0</v>
      </c>
      <c r="AT2208" s="81">
        <v>0</v>
      </c>
      <c r="AU2208" s="81"/>
      <c r="AV2208" s="81"/>
      <c r="AW2208" s="81"/>
      <c r="AX2208" s="81"/>
      <c r="AY2208" s="81"/>
      <c r="AZ2208" s="81"/>
      <c r="BA2208" s="81"/>
      <c r="BB2208" s="81"/>
    </row>
    <row r="2209" spans="1:54" x14ac:dyDescent="0.35">
      <c r="A2209" s="66" t="s">
        <v>1269</v>
      </c>
      <c r="B2209" s="66" t="s">
        <v>1269</v>
      </c>
      <c r="C2209" s="67"/>
      <c r="D2209" s="68"/>
      <c r="E2209" s="69"/>
      <c r="F2209" s="70"/>
      <c r="G2209" s="67"/>
      <c r="H2209" s="71"/>
      <c r="I2209" s="72"/>
      <c r="J2209" s="72"/>
      <c r="K2209" s="36"/>
      <c r="L2209" s="79"/>
      <c r="M2209" s="79"/>
      <c r="N2209" s="74"/>
      <c r="O2209" s="81" t="s">
        <v>179</v>
      </c>
      <c r="P2209" s="83">
        <v>44465.552453703705</v>
      </c>
      <c r="Q2209" s="81" t="s">
        <v>2539</v>
      </c>
      <c r="R2209" s="81"/>
      <c r="S2209" s="81"/>
      <c r="T2209" s="81"/>
      <c r="U2209" s="81"/>
      <c r="V2209" s="84" t="str">
        <f>HYPERLINK("https://pbs.twimg.com/profile_images/378800000705328795/304bfd91ee90011498fd092cc79a423e_normal.jpeg")</f>
        <v>https://pbs.twimg.com/profile_images/378800000705328795/304bfd91ee90011498fd092cc79a423e_normal.jpeg</v>
      </c>
      <c r="W2209" s="83">
        <v>44465.552453703705</v>
      </c>
      <c r="X2209" s="89">
        <v>44465</v>
      </c>
      <c r="Y2209" s="86" t="s">
        <v>4118</v>
      </c>
      <c r="Z2209" s="84" t="str">
        <f>HYPERLINK("https://twitter.com/pos_indonesia/status/1442115622872104968")</f>
        <v>https://twitter.com/pos_indonesia/status/1442115622872104968</v>
      </c>
      <c r="AA2209" s="81"/>
      <c r="AB2209" s="81"/>
      <c r="AC2209" s="86" t="s">
        <v>5892</v>
      </c>
      <c r="AD2209" s="81"/>
      <c r="AE2209" s="81" t="b">
        <v>0</v>
      </c>
      <c r="AF2209" s="81">
        <v>0</v>
      </c>
      <c r="AG2209" s="86" t="s">
        <v>6240</v>
      </c>
      <c r="AH2209" s="81" t="b">
        <v>0</v>
      </c>
      <c r="AI2209" s="81" t="s">
        <v>6479</v>
      </c>
      <c r="AJ2209" s="81"/>
      <c r="AK2209" s="86" t="s">
        <v>6240</v>
      </c>
      <c r="AL2209" s="81" t="b">
        <v>0</v>
      </c>
      <c r="AM2209" s="81">
        <v>0</v>
      </c>
      <c r="AN2209" s="86" t="s">
        <v>6240</v>
      </c>
      <c r="AO2209" s="86" t="s">
        <v>6506</v>
      </c>
      <c r="AP2209" s="81" t="b">
        <v>0</v>
      </c>
      <c r="AQ2209" s="86" t="s">
        <v>5892</v>
      </c>
      <c r="AR2209" s="81" t="s">
        <v>179</v>
      </c>
      <c r="AS2209" s="81">
        <v>0</v>
      </c>
      <c r="AT2209" s="81">
        <v>0</v>
      </c>
      <c r="AU2209" s="81"/>
      <c r="AV2209" s="81"/>
      <c r="AW2209" s="81"/>
      <c r="AX2209" s="81"/>
      <c r="AY2209" s="81"/>
      <c r="AZ2209" s="81"/>
      <c r="BA2209" s="81"/>
      <c r="BB2209" s="81"/>
    </row>
    <row r="2210" spans="1:54" x14ac:dyDescent="0.35">
      <c r="A2210" s="66" t="s">
        <v>1269</v>
      </c>
      <c r="B2210" s="66" t="s">
        <v>1269</v>
      </c>
      <c r="C2210" s="67"/>
      <c r="D2210" s="68"/>
      <c r="E2210" s="69"/>
      <c r="F2210" s="70"/>
      <c r="G2210" s="67"/>
      <c r="H2210" s="71"/>
      <c r="I2210" s="72"/>
      <c r="J2210" s="72"/>
      <c r="K2210" s="36"/>
      <c r="L2210" s="79"/>
      <c r="M2210" s="79"/>
      <c r="N2210" s="74"/>
      <c r="O2210" s="81" t="s">
        <v>179</v>
      </c>
      <c r="P2210" s="83">
        <v>44465.573263888888</v>
      </c>
      <c r="Q2210" s="81" t="s">
        <v>2540</v>
      </c>
      <c r="R2210" s="81"/>
      <c r="S2210" s="81"/>
      <c r="T2210" s="81"/>
      <c r="U2210" s="81"/>
      <c r="V2210" s="84" t="str">
        <f>HYPERLINK("https://pbs.twimg.com/profile_images/378800000705328795/304bfd91ee90011498fd092cc79a423e_normal.jpeg")</f>
        <v>https://pbs.twimg.com/profile_images/378800000705328795/304bfd91ee90011498fd092cc79a423e_normal.jpeg</v>
      </c>
      <c r="W2210" s="83">
        <v>44465.573263888888</v>
      </c>
      <c r="X2210" s="89">
        <v>44465</v>
      </c>
      <c r="Y2210" s="86" t="s">
        <v>4093</v>
      </c>
      <c r="Z2210" s="84" t="str">
        <f>HYPERLINK("https://twitter.com/pos_indonesia/status/1442123164641755139")</f>
        <v>https://twitter.com/pos_indonesia/status/1442123164641755139</v>
      </c>
      <c r="AA2210" s="81"/>
      <c r="AB2210" s="81"/>
      <c r="AC2210" s="86" t="s">
        <v>5893</v>
      </c>
      <c r="AD2210" s="81"/>
      <c r="AE2210" s="81" t="b">
        <v>0</v>
      </c>
      <c r="AF2210" s="81">
        <v>0</v>
      </c>
      <c r="AG2210" s="86" t="s">
        <v>6240</v>
      </c>
      <c r="AH2210" s="81" t="b">
        <v>0</v>
      </c>
      <c r="AI2210" s="81" t="s">
        <v>6479</v>
      </c>
      <c r="AJ2210" s="81"/>
      <c r="AK2210" s="86" t="s">
        <v>6240</v>
      </c>
      <c r="AL2210" s="81" t="b">
        <v>0</v>
      </c>
      <c r="AM2210" s="81">
        <v>0</v>
      </c>
      <c r="AN2210" s="86" t="s">
        <v>6240</v>
      </c>
      <c r="AO2210" s="86" t="s">
        <v>6506</v>
      </c>
      <c r="AP2210" s="81" t="b">
        <v>0</v>
      </c>
      <c r="AQ2210" s="86" t="s">
        <v>5893</v>
      </c>
      <c r="AR2210" s="81" t="s">
        <v>179</v>
      </c>
      <c r="AS2210" s="81">
        <v>0</v>
      </c>
      <c r="AT2210" s="81">
        <v>0</v>
      </c>
      <c r="AU2210" s="81"/>
      <c r="AV2210" s="81"/>
      <c r="AW2210" s="81"/>
      <c r="AX2210" s="81"/>
      <c r="AY2210" s="81"/>
      <c r="AZ2210" s="81"/>
      <c r="BA2210" s="81"/>
      <c r="BB2210" s="81"/>
    </row>
    <row r="2211" spans="1:54" x14ac:dyDescent="0.35">
      <c r="A2211" s="66" t="s">
        <v>1269</v>
      </c>
      <c r="B2211" s="66" t="s">
        <v>1269</v>
      </c>
      <c r="C2211" s="67"/>
      <c r="D2211" s="68"/>
      <c r="E2211" s="69"/>
      <c r="F2211" s="70"/>
      <c r="G2211" s="67"/>
      <c r="H2211" s="71"/>
      <c r="I2211" s="72"/>
      <c r="J2211" s="72"/>
      <c r="K2211" s="36"/>
      <c r="L2211" s="79"/>
      <c r="M2211" s="79"/>
      <c r="N2211" s="74"/>
      <c r="O2211" s="81" t="s">
        <v>179</v>
      </c>
      <c r="P2211" s="83">
        <v>44465.594131944446</v>
      </c>
      <c r="Q2211" s="81" t="s">
        <v>2482</v>
      </c>
      <c r="R2211" s="81"/>
      <c r="S2211" s="81"/>
      <c r="T2211" s="81"/>
      <c r="U2211" s="81"/>
      <c r="V2211" s="84" t="str">
        <f>HYPERLINK("https://pbs.twimg.com/profile_images/378800000705328795/304bfd91ee90011498fd092cc79a423e_normal.jpeg")</f>
        <v>https://pbs.twimg.com/profile_images/378800000705328795/304bfd91ee90011498fd092cc79a423e_normal.jpeg</v>
      </c>
      <c r="W2211" s="83">
        <v>44465.594131944446</v>
      </c>
      <c r="X2211" s="89">
        <v>44465</v>
      </c>
      <c r="Y2211" s="86" t="s">
        <v>4204</v>
      </c>
      <c r="Z2211" s="84" t="str">
        <f>HYPERLINK("https://twitter.com/pos_indonesia/status/1442130728750227464")</f>
        <v>https://twitter.com/pos_indonesia/status/1442130728750227464</v>
      </c>
      <c r="AA2211" s="81"/>
      <c r="AB2211" s="81"/>
      <c r="AC2211" s="86" t="s">
        <v>5894</v>
      </c>
      <c r="AD2211" s="81"/>
      <c r="AE2211" s="81" t="b">
        <v>0</v>
      </c>
      <c r="AF2211" s="81">
        <v>0</v>
      </c>
      <c r="AG2211" s="86" t="s">
        <v>6240</v>
      </c>
      <c r="AH2211" s="81" t="b">
        <v>0</v>
      </c>
      <c r="AI2211" s="81" t="s">
        <v>6479</v>
      </c>
      <c r="AJ2211" s="81"/>
      <c r="AK2211" s="86" t="s">
        <v>6240</v>
      </c>
      <c r="AL2211" s="81" t="b">
        <v>0</v>
      </c>
      <c r="AM2211" s="81">
        <v>0</v>
      </c>
      <c r="AN2211" s="86" t="s">
        <v>6240</v>
      </c>
      <c r="AO2211" s="86" t="s">
        <v>6506</v>
      </c>
      <c r="AP2211" s="81" t="b">
        <v>0</v>
      </c>
      <c r="AQ2211" s="86" t="s">
        <v>5894</v>
      </c>
      <c r="AR2211" s="81" t="s">
        <v>179</v>
      </c>
      <c r="AS2211" s="81">
        <v>0</v>
      </c>
      <c r="AT2211" s="81">
        <v>0</v>
      </c>
      <c r="AU2211" s="81"/>
      <c r="AV2211" s="81"/>
      <c r="AW2211" s="81"/>
      <c r="AX2211" s="81"/>
      <c r="AY2211" s="81"/>
      <c r="AZ2211" s="81"/>
      <c r="BA2211" s="81"/>
      <c r="BB2211" s="81"/>
    </row>
    <row r="2212" spans="1:54" x14ac:dyDescent="0.35">
      <c r="A2212" s="66" t="s">
        <v>1269</v>
      </c>
      <c r="B2212" s="66" t="s">
        <v>1269</v>
      </c>
      <c r="C2212" s="67"/>
      <c r="D2212" s="68"/>
      <c r="E2212" s="69"/>
      <c r="F2212" s="70"/>
      <c r="G2212" s="67"/>
      <c r="H2212" s="71"/>
      <c r="I2212" s="72"/>
      <c r="J2212" s="72"/>
      <c r="K2212" s="36"/>
      <c r="L2212" s="79"/>
      <c r="M2212" s="79"/>
      <c r="N2212" s="74"/>
      <c r="O2212" s="81" t="s">
        <v>179</v>
      </c>
      <c r="P2212" s="83">
        <v>44465.614953703705</v>
      </c>
      <c r="Q2212" s="81" t="s">
        <v>2541</v>
      </c>
      <c r="R2212" s="81"/>
      <c r="S2212" s="81"/>
      <c r="T2212" s="81"/>
      <c r="U2212" s="81"/>
      <c r="V2212" s="84" t="str">
        <f>HYPERLINK("https://pbs.twimg.com/profile_images/378800000705328795/304bfd91ee90011498fd092cc79a423e_normal.jpeg")</f>
        <v>https://pbs.twimg.com/profile_images/378800000705328795/304bfd91ee90011498fd092cc79a423e_normal.jpeg</v>
      </c>
      <c r="W2212" s="83">
        <v>44465.614953703705</v>
      </c>
      <c r="X2212" s="89">
        <v>44465</v>
      </c>
      <c r="Y2212" s="86" t="s">
        <v>4187</v>
      </c>
      <c r="Z2212" s="84" t="str">
        <f>HYPERLINK("https://twitter.com/pos_indonesia/status/1442138272474406915")</f>
        <v>https://twitter.com/pos_indonesia/status/1442138272474406915</v>
      </c>
      <c r="AA2212" s="81"/>
      <c r="AB2212" s="81"/>
      <c r="AC2212" s="86" t="s">
        <v>5895</v>
      </c>
      <c r="AD2212" s="81"/>
      <c r="AE2212" s="81" t="b">
        <v>0</v>
      </c>
      <c r="AF2212" s="81">
        <v>0</v>
      </c>
      <c r="AG2212" s="86" t="s">
        <v>6240</v>
      </c>
      <c r="AH2212" s="81" t="b">
        <v>0</v>
      </c>
      <c r="AI2212" s="81" t="s">
        <v>6479</v>
      </c>
      <c r="AJ2212" s="81"/>
      <c r="AK2212" s="86" t="s">
        <v>6240</v>
      </c>
      <c r="AL2212" s="81" t="b">
        <v>0</v>
      </c>
      <c r="AM2212" s="81">
        <v>0</v>
      </c>
      <c r="AN2212" s="86" t="s">
        <v>6240</v>
      </c>
      <c r="AO2212" s="86" t="s">
        <v>6506</v>
      </c>
      <c r="AP2212" s="81" t="b">
        <v>0</v>
      </c>
      <c r="AQ2212" s="86" t="s">
        <v>5895</v>
      </c>
      <c r="AR2212" s="81" t="s">
        <v>179</v>
      </c>
      <c r="AS2212" s="81">
        <v>0</v>
      </c>
      <c r="AT2212" s="81">
        <v>0</v>
      </c>
      <c r="AU2212" s="81"/>
      <c r="AV2212" s="81"/>
      <c r="AW2212" s="81"/>
      <c r="AX2212" s="81"/>
      <c r="AY2212" s="81"/>
      <c r="AZ2212" s="81"/>
      <c r="BA2212" s="81"/>
      <c r="BB2212" s="81"/>
    </row>
    <row r="2213" spans="1:54" x14ac:dyDescent="0.35">
      <c r="A2213" s="66" t="s">
        <v>1269</v>
      </c>
      <c r="B2213" s="66" t="s">
        <v>1269</v>
      </c>
      <c r="C2213" s="67"/>
      <c r="D2213" s="68"/>
      <c r="E2213" s="69"/>
      <c r="F2213" s="70"/>
      <c r="G2213" s="67"/>
      <c r="H2213" s="71"/>
      <c r="I2213" s="72"/>
      <c r="J2213" s="72"/>
      <c r="K2213" s="36"/>
      <c r="L2213" s="79"/>
      <c r="M2213" s="79"/>
      <c r="N2213" s="74"/>
      <c r="O2213" s="81" t="s">
        <v>179</v>
      </c>
      <c r="P2213" s="83">
        <v>44465.636099537034</v>
      </c>
      <c r="Q2213" s="81" t="s">
        <v>2318</v>
      </c>
      <c r="R2213" s="81"/>
      <c r="S2213" s="81"/>
      <c r="T2213" s="81"/>
      <c r="U2213" s="81"/>
      <c r="V2213" s="84" t="str">
        <f>HYPERLINK("https://pbs.twimg.com/profile_images/378800000705328795/304bfd91ee90011498fd092cc79a423e_normal.jpeg")</f>
        <v>https://pbs.twimg.com/profile_images/378800000705328795/304bfd91ee90011498fd092cc79a423e_normal.jpeg</v>
      </c>
      <c r="W2213" s="83">
        <v>44465.636099537034</v>
      </c>
      <c r="X2213" s="89">
        <v>44465</v>
      </c>
      <c r="Y2213" s="86" t="s">
        <v>4205</v>
      </c>
      <c r="Z2213" s="84" t="str">
        <f>HYPERLINK("https://twitter.com/pos_indonesia/status/1442145937044873218")</f>
        <v>https://twitter.com/pos_indonesia/status/1442145937044873218</v>
      </c>
      <c r="AA2213" s="81"/>
      <c r="AB2213" s="81"/>
      <c r="AC2213" s="86" t="s">
        <v>5896</v>
      </c>
      <c r="AD2213" s="81"/>
      <c r="AE2213" s="81" t="b">
        <v>0</v>
      </c>
      <c r="AF2213" s="81">
        <v>0</v>
      </c>
      <c r="AG2213" s="86" t="s">
        <v>6240</v>
      </c>
      <c r="AH2213" s="81" t="b">
        <v>0</v>
      </c>
      <c r="AI2213" s="81" t="s">
        <v>6479</v>
      </c>
      <c r="AJ2213" s="81"/>
      <c r="AK2213" s="86" t="s">
        <v>6240</v>
      </c>
      <c r="AL2213" s="81" t="b">
        <v>0</v>
      </c>
      <c r="AM2213" s="81">
        <v>0</v>
      </c>
      <c r="AN2213" s="86" t="s">
        <v>6240</v>
      </c>
      <c r="AO2213" s="86" t="s">
        <v>6506</v>
      </c>
      <c r="AP2213" s="81" t="b">
        <v>0</v>
      </c>
      <c r="AQ2213" s="86" t="s">
        <v>5896</v>
      </c>
      <c r="AR2213" s="81" t="s">
        <v>179</v>
      </c>
      <c r="AS2213" s="81">
        <v>0</v>
      </c>
      <c r="AT2213" s="81">
        <v>0</v>
      </c>
      <c r="AU2213" s="81"/>
      <c r="AV2213" s="81"/>
      <c r="AW2213" s="81"/>
      <c r="AX2213" s="81"/>
      <c r="AY2213" s="81"/>
      <c r="AZ2213" s="81"/>
      <c r="BA2213" s="81"/>
      <c r="BB2213" s="81"/>
    </row>
    <row r="2214" spans="1:54" x14ac:dyDescent="0.35">
      <c r="A2214" s="66" t="s">
        <v>1269</v>
      </c>
      <c r="B2214" s="66" t="s">
        <v>1269</v>
      </c>
      <c r="C2214" s="67"/>
      <c r="D2214" s="68"/>
      <c r="E2214" s="69"/>
      <c r="F2214" s="70"/>
      <c r="G2214" s="67"/>
      <c r="H2214" s="71"/>
      <c r="I2214" s="72"/>
      <c r="J2214" s="72"/>
      <c r="K2214" s="36"/>
      <c r="L2214" s="79"/>
      <c r="M2214" s="79"/>
      <c r="N2214" s="74"/>
      <c r="O2214" s="81" t="s">
        <v>179</v>
      </c>
      <c r="P2214" s="83">
        <v>44465.656597222223</v>
      </c>
      <c r="Q2214" s="81" t="s">
        <v>2469</v>
      </c>
      <c r="R2214" s="81"/>
      <c r="S2214" s="81"/>
      <c r="T2214" s="81"/>
      <c r="U2214" s="81"/>
      <c r="V2214" s="84" t="str">
        <f>HYPERLINK("https://pbs.twimg.com/profile_images/378800000705328795/304bfd91ee90011498fd092cc79a423e_normal.jpeg")</f>
        <v>https://pbs.twimg.com/profile_images/378800000705328795/304bfd91ee90011498fd092cc79a423e_normal.jpeg</v>
      </c>
      <c r="W2214" s="83">
        <v>44465.656597222223</v>
      </c>
      <c r="X2214" s="89">
        <v>44465</v>
      </c>
      <c r="Y2214" s="86" t="s">
        <v>4189</v>
      </c>
      <c r="Z2214" s="84" t="str">
        <f>HYPERLINK("https://twitter.com/pos_indonesia/status/1442153363378896908")</f>
        <v>https://twitter.com/pos_indonesia/status/1442153363378896908</v>
      </c>
      <c r="AA2214" s="81"/>
      <c r="AB2214" s="81"/>
      <c r="AC2214" s="86" t="s">
        <v>5897</v>
      </c>
      <c r="AD2214" s="81"/>
      <c r="AE2214" s="81" t="b">
        <v>0</v>
      </c>
      <c r="AF2214" s="81">
        <v>0</v>
      </c>
      <c r="AG2214" s="86" t="s">
        <v>6240</v>
      </c>
      <c r="AH2214" s="81" t="b">
        <v>0</v>
      </c>
      <c r="AI2214" s="81" t="s">
        <v>6479</v>
      </c>
      <c r="AJ2214" s="81"/>
      <c r="AK2214" s="86" t="s">
        <v>6240</v>
      </c>
      <c r="AL2214" s="81" t="b">
        <v>0</v>
      </c>
      <c r="AM2214" s="81">
        <v>0</v>
      </c>
      <c r="AN2214" s="86" t="s">
        <v>6240</v>
      </c>
      <c r="AO2214" s="86" t="s">
        <v>6506</v>
      </c>
      <c r="AP2214" s="81" t="b">
        <v>0</v>
      </c>
      <c r="AQ2214" s="86" t="s">
        <v>5897</v>
      </c>
      <c r="AR2214" s="81" t="s">
        <v>179</v>
      </c>
      <c r="AS2214" s="81">
        <v>0</v>
      </c>
      <c r="AT2214" s="81">
        <v>0</v>
      </c>
      <c r="AU2214" s="81"/>
      <c r="AV2214" s="81"/>
      <c r="AW2214" s="81"/>
      <c r="AX2214" s="81"/>
      <c r="AY2214" s="81"/>
      <c r="AZ2214" s="81"/>
      <c r="BA2214" s="81"/>
      <c r="BB2214" s="81"/>
    </row>
    <row r="2215" spans="1:54" x14ac:dyDescent="0.35">
      <c r="A2215" s="66" t="s">
        <v>1269</v>
      </c>
      <c r="B2215" s="66" t="s">
        <v>1269</v>
      </c>
      <c r="C2215" s="67"/>
      <c r="D2215" s="68"/>
      <c r="E2215" s="69"/>
      <c r="F2215" s="70"/>
      <c r="G2215" s="67"/>
      <c r="H2215" s="71"/>
      <c r="I2215" s="72"/>
      <c r="J2215" s="72"/>
      <c r="K2215" s="36"/>
      <c r="L2215" s="79"/>
      <c r="M2215" s="79"/>
      <c r="N2215" s="74"/>
      <c r="O2215" s="81" t="s">
        <v>179</v>
      </c>
      <c r="P2215" s="83">
        <v>44465.677418981482</v>
      </c>
      <c r="Q2215" s="81" t="s">
        <v>2542</v>
      </c>
      <c r="R2215" s="81"/>
      <c r="S2215" s="81"/>
      <c r="T2215" s="81"/>
      <c r="U2215" s="81"/>
      <c r="V2215" s="84" t="str">
        <f>HYPERLINK("https://pbs.twimg.com/profile_images/378800000705328795/304bfd91ee90011498fd092cc79a423e_normal.jpeg")</f>
        <v>https://pbs.twimg.com/profile_images/378800000705328795/304bfd91ee90011498fd092cc79a423e_normal.jpeg</v>
      </c>
      <c r="W2215" s="83">
        <v>44465.677418981482</v>
      </c>
      <c r="X2215" s="89">
        <v>44465</v>
      </c>
      <c r="Y2215" s="86" t="s">
        <v>4190</v>
      </c>
      <c r="Z2215" s="84" t="str">
        <f>HYPERLINK("https://twitter.com/pos_indonesia/status/1442160908831113222")</f>
        <v>https://twitter.com/pos_indonesia/status/1442160908831113222</v>
      </c>
      <c r="AA2215" s="81"/>
      <c r="AB2215" s="81"/>
      <c r="AC2215" s="86" t="s">
        <v>5898</v>
      </c>
      <c r="AD2215" s="81"/>
      <c r="AE2215" s="81" t="b">
        <v>0</v>
      </c>
      <c r="AF2215" s="81">
        <v>0</v>
      </c>
      <c r="AG2215" s="86" t="s">
        <v>6240</v>
      </c>
      <c r="AH2215" s="81" t="b">
        <v>0</v>
      </c>
      <c r="AI2215" s="81" t="s">
        <v>6479</v>
      </c>
      <c r="AJ2215" s="81"/>
      <c r="AK2215" s="86" t="s">
        <v>6240</v>
      </c>
      <c r="AL2215" s="81" t="b">
        <v>0</v>
      </c>
      <c r="AM2215" s="81">
        <v>0</v>
      </c>
      <c r="AN2215" s="86" t="s">
        <v>6240</v>
      </c>
      <c r="AO2215" s="86" t="s">
        <v>6506</v>
      </c>
      <c r="AP2215" s="81" t="b">
        <v>0</v>
      </c>
      <c r="AQ2215" s="86" t="s">
        <v>5898</v>
      </c>
      <c r="AR2215" s="81" t="s">
        <v>179</v>
      </c>
      <c r="AS2215" s="81">
        <v>0</v>
      </c>
      <c r="AT2215" s="81">
        <v>0</v>
      </c>
      <c r="AU2215" s="81"/>
      <c r="AV2215" s="81"/>
      <c r="AW2215" s="81"/>
      <c r="AX2215" s="81"/>
      <c r="AY2215" s="81"/>
      <c r="AZ2215" s="81"/>
      <c r="BA2215" s="81"/>
      <c r="BB2215" s="81"/>
    </row>
    <row r="2216" spans="1:54" x14ac:dyDescent="0.35">
      <c r="A2216" s="66" t="s">
        <v>1269</v>
      </c>
      <c r="B2216" s="66" t="s">
        <v>1269</v>
      </c>
      <c r="C2216" s="67"/>
      <c r="D2216" s="68"/>
      <c r="E2216" s="69"/>
      <c r="F2216" s="70"/>
      <c r="G2216" s="67"/>
      <c r="H2216" s="71"/>
      <c r="I2216" s="72"/>
      <c r="J2216" s="72"/>
      <c r="K2216" s="36"/>
      <c r="L2216" s="79"/>
      <c r="M2216" s="79"/>
      <c r="N2216" s="74"/>
      <c r="O2216" s="81" t="s">
        <v>179</v>
      </c>
      <c r="P2216" s="83">
        <v>44465.698275462964</v>
      </c>
      <c r="Q2216" s="81" t="s">
        <v>2543</v>
      </c>
      <c r="R2216" s="81"/>
      <c r="S2216" s="81"/>
      <c r="T2216" s="81"/>
      <c r="U2216" s="81"/>
      <c r="V2216" s="84" t="str">
        <f>HYPERLINK("https://pbs.twimg.com/profile_images/378800000705328795/304bfd91ee90011498fd092cc79a423e_normal.jpeg")</f>
        <v>https://pbs.twimg.com/profile_images/378800000705328795/304bfd91ee90011498fd092cc79a423e_normal.jpeg</v>
      </c>
      <c r="W2216" s="83">
        <v>44465.698275462964</v>
      </c>
      <c r="X2216" s="89">
        <v>44465</v>
      </c>
      <c r="Y2216" s="86" t="s">
        <v>4159</v>
      </c>
      <c r="Z2216" s="84" t="str">
        <f>HYPERLINK("https://twitter.com/pos_indonesia/status/1442168469240176652")</f>
        <v>https://twitter.com/pos_indonesia/status/1442168469240176652</v>
      </c>
      <c r="AA2216" s="81"/>
      <c r="AB2216" s="81"/>
      <c r="AC2216" s="86" t="s">
        <v>5899</v>
      </c>
      <c r="AD2216" s="81"/>
      <c r="AE2216" s="81" t="b">
        <v>0</v>
      </c>
      <c r="AF2216" s="81">
        <v>0</v>
      </c>
      <c r="AG2216" s="86" t="s">
        <v>6240</v>
      </c>
      <c r="AH2216" s="81" t="b">
        <v>0</v>
      </c>
      <c r="AI2216" s="81" t="s">
        <v>6479</v>
      </c>
      <c r="AJ2216" s="81"/>
      <c r="AK2216" s="86" t="s">
        <v>6240</v>
      </c>
      <c r="AL2216" s="81" t="b">
        <v>0</v>
      </c>
      <c r="AM2216" s="81">
        <v>0</v>
      </c>
      <c r="AN2216" s="86" t="s">
        <v>6240</v>
      </c>
      <c r="AO2216" s="86" t="s">
        <v>6506</v>
      </c>
      <c r="AP2216" s="81" t="b">
        <v>0</v>
      </c>
      <c r="AQ2216" s="86" t="s">
        <v>5899</v>
      </c>
      <c r="AR2216" s="81" t="s">
        <v>179</v>
      </c>
      <c r="AS2216" s="81">
        <v>0</v>
      </c>
      <c r="AT2216" s="81">
        <v>0</v>
      </c>
      <c r="AU2216" s="81"/>
      <c r="AV2216" s="81"/>
      <c r="AW2216" s="81"/>
      <c r="AX2216" s="81"/>
      <c r="AY2216" s="81"/>
      <c r="AZ2216" s="81"/>
      <c r="BA2216" s="81"/>
      <c r="BB2216" s="81"/>
    </row>
    <row r="2217" spans="1:54" x14ac:dyDescent="0.35">
      <c r="A2217" s="66" t="s">
        <v>1269</v>
      </c>
      <c r="B2217" s="66" t="s">
        <v>1269</v>
      </c>
      <c r="C2217" s="67"/>
      <c r="D2217" s="68"/>
      <c r="E2217" s="69"/>
      <c r="F2217" s="70"/>
      <c r="G2217" s="67"/>
      <c r="H2217" s="71"/>
      <c r="I2217" s="72"/>
      <c r="J2217" s="72"/>
      <c r="K2217" s="36"/>
      <c r="L2217" s="79"/>
      <c r="M2217" s="79"/>
      <c r="N2217" s="74"/>
      <c r="O2217" s="81" t="s">
        <v>179</v>
      </c>
      <c r="P2217" s="83">
        <v>44465.719085648147</v>
      </c>
      <c r="Q2217" s="81" t="s">
        <v>2496</v>
      </c>
      <c r="R2217" s="81"/>
      <c r="S2217" s="81"/>
      <c r="T2217" s="81"/>
      <c r="U2217" s="81"/>
      <c r="V2217" s="84" t="str">
        <f>HYPERLINK("https://pbs.twimg.com/profile_images/378800000705328795/304bfd91ee90011498fd092cc79a423e_normal.jpeg")</f>
        <v>https://pbs.twimg.com/profile_images/378800000705328795/304bfd91ee90011498fd092cc79a423e_normal.jpeg</v>
      </c>
      <c r="W2217" s="83">
        <v>44465.719085648147</v>
      </c>
      <c r="X2217" s="89">
        <v>44465</v>
      </c>
      <c r="Y2217" s="86" t="s">
        <v>4125</v>
      </c>
      <c r="Z2217" s="84" t="str">
        <f>HYPERLINK("https://twitter.com/pos_indonesia/status/1442176010317795330")</f>
        <v>https://twitter.com/pos_indonesia/status/1442176010317795330</v>
      </c>
      <c r="AA2217" s="81"/>
      <c r="AB2217" s="81"/>
      <c r="AC2217" s="86" t="s">
        <v>5900</v>
      </c>
      <c r="AD2217" s="81"/>
      <c r="AE2217" s="81" t="b">
        <v>0</v>
      </c>
      <c r="AF2217" s="81">
        <v>0</v>
      </c>
      <c r="AG2217" s="86" t="s">
        <v>6240</v>
      </c>
      <c r="AH2217" s="81" t="b">
        <v>0</v>
      </c>
      <c r="AI2217" s="81" t="s">
        <v>6478</v>
      </c>
      <c r="AJ2217" s="81"/>
      <c r="AK2217" s="86" t="s">
        <v>6240</v>
      </c>
      <c r="AL2217" s="81" t="b">
        <v>0</v>
      </c>
      <c r="AM2217" s="81">
        <v>0</v>
      </c>
      <c r="AN2217" s="86" t="s">
        <v>6240</v>
      </c>
      <c r="AO2217" s="86" t="s">
        <v>6506</v>
      </c>
      <c r="AP2217" s="81" t="b">
        <v>0</v>
      </c>
      <c r="AQ2217" s="86" t="s">
        <v>5900</v>
      </c>
      <c r="AR2217" s="81" t="s">
        <v>179</v>
      </c>
      <c r="AS2217" s="81">
        <v>0</v>
      </c>
      <c r="AT2217" s="81">
        <v>0</v>
      </c>
      <c r="AU2217" s="81"/>
      <c r="AV2217" s="81"/>
      <c r="AW2217" s="81"/>
      <c r="AX2217" s="81"/>
      <c r="AY2217" s="81"/>
      <c r="AZ2217" s="81"/>
      <c r="BA2217" s="81"/>
      <c r="BB2217" s="81"/>
    </row>
    <row r="2218" spans="1:54" x14ac:dyDescent="0.35">
      <c r="A2218" s="66" t="s">
        <v>1269</v>
      </c>
      <c r="B2218" s="66" t="s">
        <v>1269</v>
      </c>
      <c r="C2218" s="67"/>
      <c r="D2218" s="68"/>
      <c r="E2218" s="69"/>
      <c r="F2218" s="70"/>
      <c r="G2218" s="67"/>
      <c r="H2218" s="71"/>
      <c r="I2218" s="72"/>
      <c r="J2218" s="72"/>
      <c r="K2218" s="36"/>
      <c r="L2218" s="79"/>
      <c r="M2218" s="79"/>
      <c r="N2218" s="74"/>
      <c r="O2218" s="81" t="s">
        <v>179</v>
      </c>
      <c r="P2218" s="83">
        <v>44465.760752314818</v>
      </c>
      <c r="Q2218" s="81" t="s">
        <v>2485</v>
      </c>
      <c r="R2218" s="81"/>
      <c r="S2218" s="81"/>
      <c r="T2218" s="81"/>
      <c r="U2218" s="81"/>
      <c r="V2218" s="84" t="str">
        <f>HYPERLINK("https://pbs.twimg.com/profile_images/378800000705328795/304bfd91ee90011498fd092cc79a423e_normal.jpeg")</f>
        <v>https://pbs.twimg.com/profile_images/378800000705328795/304bfd91ee90011498fd092cc79a423e_normal.jpeg</v>
      </c>
      <c r="W2218" s="83">
        <v>44465.760752314818</v>
      </c>
      <c r="X2218" s="89">
        <v>44465</v>
      </c>
      <c r="Y2218" s="86" t="s">
        <v>4192</v>
      </c>
      <c r="Z2218" s="84" t="str">
        <f>HYPERLINK("https://twitter.com/pos_indonesia/status/1442191106901360645")</f>
        <v>https://twitter.com/pos_indonesia/status/1442191106901360645</v>
      </c>
      <c r="AA2218" s="81"/>
      <c r="AB2218" s="81"/>
      <c r="AC2218" s="86" t="s">
        <v>5901</v>
      </c>
      <c r="AD2218" s="81"/>
      <c r="AE2218" s="81" t="b">
        <v>0</v>
      </c>
      <c r="AF2218" s="81">
        <v>1</v>
      </c>
      <c r="AG2218" s="86" t="s">
        <v>6240</v>
      </c>
      <c r="AH2218" s="81" t="b">
        <v>0</v>
      </c>
      <c r="AI2218" s="81" t="s">
        <v>6479</v>
      </c>
      <c r="AJ2218" s="81"/>
      <c r="AK2218" s="86" t="s">
        <v>6240</v>
      </c>
      <c r="AL2218" s="81" t="b">
        <v>0</v>
      </c>
      <c r="AM2218" s="81">
        <v>0</v>
      </c>
      <c r="AN2218" s="86" t="s">
        <v>6240</v>
      </c>
      <c r="AO2218" s="86" t="s">
        <v>6506</v>
      </c>
      <c r="AP2218" s="81" t="b">
        <v>0</v>
      </c>
      <c r="AQ2218" s="86" t="s">
        <v>5901</v>
      </c>
      <c r="AR2218" s="81" t="s">
        <v>179</v>
      </c>
      <c r="AS2218" s="81">
        <v>0</v>
      </c>
      <c r="AT2218" s="81">
        <v>0</v>
      </c>
      <c r="AU2218" s="81"/>
      <c r="AV2218" s="81"/>
      <c r="AW2218" s="81"/>
      <c r="AX2218" s="81"/>
      <c r="AY2218" s="81"/>
      <c r="AZ2218" s="81"/>
      <c r="BA2218" s="81"/>
      <c r="BB2218" s="81"/>
    </row>
    <row r="2219" spans="1:54" x14ac:dyDescent="0.35">
      <c r="A2219" s="66" t="s">
        <v>1269</v>
      </c>
      <c r="B2219" s="66" t="s">
        <v>1269</v>
      </c>
      <c r="C2219" s="67"/>
      <c r="D2219" s="68"/>
      <c r="E2219" s="69"/>
      <c r="F2219" s="70"/>
      <c r="G2219" s="67"/>
      <c r="H2219" s="71"/>
      <c r="I2219" s="72"/>
      <c r="J2219" s="72"/>
      <c r="K2219" s="36"/>
      <c r="L2219" s="79"/>
      <c r="M2219" s="79"/>
      <c r="N2219" s="74"/>
      <c r="O2219" s="81" t="s">
        <v>179</v>
      </c>
      <c r="P2219" s="83">
        <v>44465.781608796293</v>
      </c>
      <c r="Q2219" s="81" t="s">
        <v>2544</v>
      </c>
      <c r="R2219" s="81"/>
      <c r="S2219" s="81"/>
      <c r="T2219" s="81"/>
      <c r="U2219" s="81"/>
      <c r="V2219" s="84" t="str">
        <f>HYPERLINK("https://pbs.twimg.com/profile_images/378800000705328795/304bfd91ee90011498fd092cc79a423e_normal.jpeg")</f>
        <v>https://pbs.twimg.com/profile_images/378800000705328795/304bfd91ee90011498fd092cc79a423e_normal.jpeg</v>
      </c>
      <c r="W2219" s="83">
        <v>44465.781608796293</v>
      </c>
      <c r="X2219" s="89">
        <v>44465</v>
      </c>
      <c r="Y2219" s="86" t="s">
        <v>4193</v>
      </c>
      <c r="Z2219" s="84" t="str">
        <f>HYPERLINK("https://twitter.com/pos_indonesia/status/1442198664718389248")</f>
        <v>https://twitter.com/pos_indonesia/status/1442198664718389248</v>
      </c>
      <c r="AA2219" s="81"/>
      <c r="AB2219" s="81"/>
      <c r="AC2219" s="86" t="s">
        <v>5902</v>
      </c>
      <c r="AD2219" s="81"/>
      <c r="AE2219" s="81" t="b">
        <v>0</v>
      </c>
      <c r="AF2219" s="81">
        <v>0</v>
      </c>
      <c r="AG2219" s="86" t="s">
        <v>6240</v>
      </c>
      <c r="AH2219" s="81" t="b">
        <v>0</v>
      </c>
      <c r="AI2219" s="81" t="s">
        <v>6479</v>
      </c>
      <c r="AJ2219" s="81"/>
      <c r="AK2219" s="86" t="s">
        <v>6240</v>
      </c>
      <c r="AL2219" s="81" t="b">
        <v>0</v>
      </c>
      <c r="AM2219" s="81">
        <v>0</v>
      </c>
      <c r="AN2219" s="86" t="s">
        <v>6240</v>
      </c>
      <c r="AO2219" s="86" t="s">
        <v>6506</v>
      </c>
      <c r="AP2219" s="81" t="b">
        <v>0</v>
      </c>
      <c r="AQ2219" s="86" t="s">
        <v>5902</v>
      </c>
      <c r="AR2219" s="81" t="s">
        <v>179</v>
      </c>
      <c r="AS2219" s="81">
        <v>0</v>
      </c>
      <c r="AT2219" s="81">
        <v>0</v>
      </c>
      <c r="AU2219" s="81"/>
      <c r="AV2219" s="81"/>
      <c r="AW2219" s="81"/>
      <c r="AX2219" s="81"/>
      <c r="AY2219" s="81"/>
      <c r="AZ2219" s="81"/>
      <c r="BA2219" s="81"/>
      <c r="BB2219" s="81"/>
    </row>
    <row r="2220" spans="1:54" x14ac:dyDescent="0.35">
      <c r="A2220" s="66" t="s">
        <v>1269</v>
      </c>
      <c r="B2220" s="66" t="s">
        <v>1269</v>
      </c>
      <c r="C2220" s="67"/>
      <c r="D2220" s="68"/>
      <c r="E2220" s="69"/>
      <c r="F2220" s="70"/>
      <c r="G2220" s="67"/>
      <c r="H2220" s="71"/>
      <c r="I2220" s="72"/>
      <c r="J2220" s="72"/>
      <c r="K2220" s="36"/>
      <c r="L2220" s="79"/>
      <c r="M2220" s="79"/>
      <c r="N2220" s="74"/>
      <c r="O2220" s="81" t="s">
        <v>179</v>
      </c>
      <c r="P2220" s="83">
        <v>44465.802407407406</v>
      </c>
      <c r="Q2220" s="81" t="s">
        <v>2545</v>
      </c>
      <c r="R2220" s="81"/>
      <c r="S2220" s="81"/>
      <c r="T2220" s="81"/>
      <c r="U2220" s="81"/>
      <c r="V2220" s="84" t="str">
        <f>HYPERLINK("https://pbs.twimg.com/profile_images/378800000705328795/304bfd91ee90011498fd092cc79a423e_normal.jpeg")</f>
        <v>https://pbs.twimg.com/profile_images/378800000705328795/304bfd91ee90011498fd092cc79a423e_normal.jpeg</v>
      </c>
      <c r="W2220" s="83">
        <v>44465.802407407406</v>
      </c>
      <c r="X2220" s="89">
        <v>44465</v>
      </c>
      <c r="Y2220" s="86" t="s">
        <v>4162</v>
      </c>
      <c r="Z2220" s="84" t="str">
        <f>HYPERLINK("https://twitter.com/pos_indonesia/status/1442206203778457601")</f>
        <v>https://twitter.com/pos_indonesia/status/1442206203778457601</v>
      </c>
      <c r="AA2220" s="81"/>
      <c r="AB2220" s="81"/>
      <c r="AC2220" s="86" t="s">
        <v>5903</v>
      </c>
      <c r="AD2220" s="81"/>
      <c r="AE2220" s="81" t="b">
        <v>0</v>
      </c>
      <c r="AF2220" s="81">
        <v>0</v>
      </c>
      <c r="AG2220" s="86" t="s">
        <v>6240</v>
      </c>
      <c r="AH2220" s="81" t="b">
        <v>0</v>
      </c>
      <c r="AI2220" s="81" t="s">
        <v>6479</v>
      </c>
      <c r="AJ2220" s="81"/>
      <c r="AK2220" s="86" t="s">
        <v>6240</v>
      </c>
      <c r="AL2220" s="81" t="b">
        <v>0</v>
      </c>
      <c r="AM2220" s="81">
        <v>0</v>
      </c>
      <c r="AN2220" s="86" t="s">
        <v>6240</v>
      </c>
      <c r="AO2220" s="86" t="s">
        <v>6506</v>
      </c>
      <c r="AP2220" s="81" t="b">
        <v>0</v>
      </c>
      <c r="AQ2220" s="86" t="s">
        <v>5903</v>
      </c>
      <c r="AR2220" s="81" t="s">
        <v>179</v>
      </c>
      <c r="AS2220" s="81">
        <v>0</v>
      </c>
      <c r="AT2220" s="81">
        <v>0</v>
      </c>
      <c r="AU2220" s="81"/>
      <c r="AV2220" s="81"/>
      <c r="AW2220" s="81"/>
      <c r="AX2220" s="81"/>
      <c r="AY2220" s="81"/>
      <c r="AZ2220" s="81"/>
      <c r="BA2220" s="81"/>
      <c r="BB2220" s="81"/>
    </row>
    <row r="2221" spans="1:54" x14ac:dyDescent="0.35">
      <c r="A2221" s="66" t="s">
        <v>1269</v>
      </c>
      <c r="B2221" s="66" t="s">
        <v>1269</v>
      </c>
      <c r="C2221" s="67"/>
      <c r="D2221" s="68"/>
      <c r="E2221" s="69"/>
      <c r="F2221" s="70"/>
      <c r="G2221" s="67"/>
      <c r="H2221" s="71"/>
      <c r="I2221" s="72"/>
      <c r="J2221" s="72"/>
      <c r="K2221" s="36"/>
      <c r="L2221" s="79"/>
      <c r="M2221" s="79"/>
      <c r="N2221" s="74"/>
      <c r="O2221" s="81" t="s">
        <v>179</v>
      </c>
      <c r="P2221" s="83">
        <v>44465.823263888888</v>
      </c>
      <c r="Q2221" s="81" t="s">
        <v>2546</v>
      </c>
      <c r="R2221" s="81"/>
      <c r="S2221" s="81"/>
      <c r="T2221" s="81"/>
      <c r="U2221" s="81"/>
      <c r="V2221" s="84" t="str">
        <f>HYPERLINK("https://pbs.twimg.com/profile_images/378800000705328795/304bfd91ee90011498fd092cc79a423e_normal.jpeg")</f>
        <v>https://pbs.twimg.com/profile_images/378800000705328795/304bfd91ee90011498fd092cc79a423e_normal.jpeg</v>
      </c>
      <c r="W2221" s="83">
        <v>44465.823263888888</v>
      </c>
      <c r="X2221" s="89">
        <v>44465</v>
      </c>
      <c r="Y2221" s="86" t="s">
        <v>4163</v>
      </c>
      <c r="Z2221" s="84" t="str">
        <f>HYPERLINK("https://twitter.com/pos_indonesia/status/1442213760513417216")</f>
        <v>https://twitter.com/pos_indonesia/status/1442213760513417216</v>
      </c>
      <c r="AA2221" s="81"/>
      <c r="AB2221" s="81"/>
      <c r="AC2221" s="86" t="s">
        <v>5904</v>
      </c>
      <c r="AD2221" s="81"/>
      <c r="AE2221" s="81" t="b">
        <v>0</v>
      </c>
      <c r="AF2221" s="81">
        <v>0</v>
      </c>
      <c r="AG2221" s="86" t="s">
        <v>6240</v>
      </c>
      <c r="AH2221" s="81" t="b">
        <v>0</v>
      </c>
      <c r="AI2221" s="81" t="s">
        <v>6479</v>
      </c>
      <c r="AJ2221" s="81"/>
      <c r="AK2221" s="86" t="s">
        <v>6240</v>
      </c>
      <c r="AL2221" s="81" t="b">
        <v>0</v>
      </c>
      <c r="AM2221" s="81">
        <v>0</v>
      </c>
      <c r="AN2221" s="86" t="s">
        <v>6240</v>
      </c>
      <c r="AO2221" s="86" t="s">
        <v>6506</v>
      </c>
      <c r="AP2221" s="81" t="b">
        <v>0</v>
      </c>
      <c r="AQ2221" s="86" t="s">
        <v>5904</v>
      </c>
      <c r="AR2221" s="81" t="s">
        <v>179</v>
      </c>
      <c r="AS2221" s="81">
        <v>0</v>
      </c>
      <c r="AT2221" s="81">
        <v>0</v>
      </c>
      <c r="AU2221" s="81"/>
      <c r="AV2221" s="81"/>
      <c r="AW2221" s="81"/>
      <c r="AX2221" s="81"/>
      <c r="AY2221" s="81"/>
      <c r="AZ2221" s="81"/>
      <c r="BA2221" s="81"/>
      <c r="BB2221" s="81"/>
    </row>
    <row r="2222" spans="1:54" x14ac:dyDescent="0.35">
      <c r="A2222" s="66" t="s">
        <v>1269</v>
      </c>
      <c r="B2222" s="66" t="s">
        <v>1269</v>
      </c>
      <c r="C2222" s="67"/>
      <c r="D2222" s="68"/>
      <c r="E2222" s="69"/>
      <c r="F2222" s="70"/>
      <c r="G2222" s="67"/>
      <c r="H2222" s="71"/>
      <c r="I2222" s="72"/>
      <c r="J2222" s="72"/>
      <c r="K2222" s="36"/>
      <c r="L2222" s="79"/>
      <c r="M2222" s="79"/>
      <c r="N2222" s="74"/>
      <c r="O2222" s="81" t="s">
        <v>179</v>
      </c>
      <c r="P2222" s="83">
        <v>44465.844085648147</v>
      </c>
      <c r="Q2222" s="81" t="s">
        <v>2547</v>
      </c>
      <c r="R2222" s="81"/>
      <c r="S2222" s="81"/>
      <c r="T2222" s="81"/>
      <c r="U2222" s="81"/>
      <c r="V2222" s="84" t="str">
        <f>HYPERLINK("https://pbs.twimg.com/profile_images/378800000705328795/304bfd91ee90011498fd092cc79a423e_normal.jpeg")</f>
        <v>https://pbs.twimg.com/profile_images/378800000705328795/304bfd91ee90011498fd092cc79a423e_normal.jpeg</v>
      </c>
      <c r="W2222" s="83">
        <v>44465.844085648147</v>
      </c>
      <c r="X2222" s="89">
        <v>44465</v>
      </c>
      <c r="Y2222" s="86" t="s">
        <v>4164</v>
      </c>
      <c r="Z2222" s="84" t="str">
        <f>HYPERLINK("https://twitter.com/pos_indonesia/status/1442221306087297025")</f>
        <v>https://twitter.com/pos_indonesia/status/1442221306087297025</v>
      </c>
      <c r="AA2222" s="81"/>
      <c r="AB2222" s="81"/>
      <c r="AC2222" s="86" t="s">
        <v>5905</v>
      </c>
      <c r="AD2222" s="81"/>
      <c r="AE2222" s="81" t="b">
        <v>0</v>
      </c>
      <c r="AF2222" s="81">
        <v>0</v>
      </c>
      <c r="AG2222" s="86" t="s">
        <v>6240</v>
      </c>
      <c r="AH2222" s="81" t="b">
        <v>0</v>
      </c>
      <c r="AI2222" s="81" t="s">
        <v>6479</v>
      </c>
      <c r="AJ2222" s="81"/>
      <c r="AK2222" s="86" t="s">
        <v>6240</v>
      </c>
      <c r="AL2222" s="81" t="b">
        <v>0</v>
      </c>
      <c r="AM2222" s="81">
        <v>0</v>
      </c>
      <c r="AN2222" s="86" t="s">
        <v>6240</v>
      </c>
      <c r="AO2222" s="86" t="s">
        <v>6506</v>
      </c>
      <c r="AP2222" s="81" t="b">
        <v>0</v>
      </c>
      <c r="AQ2222" s="86" t="s">
        <v>5905</v>
      </c>
      <c r="AR2222" s="81" t="s">
        <v>179</v>
      </c>
      <c r="AS2222" s="81">
        <v>0</v>
      </c>
      <c r="AT2222" s="81">
        <v>0</v>
      </c>
      <c r="AU2222" s="81"/>
      <c r="AV2222" s="81"/>
      <c r="AW2222" s="81"/>
      <c r="AX2222" s="81"/>
      <c r="AY2222" s="81"/>
      <c r="AZ2222" s="81"/>
      <c r="BA2222" s="81"/>
      <c r="BB2222" s="81"/>
    </row>
    <row r="2223" spans="1:54" x14ac:dyDescent="0.35">
      <c r="A2223" s="66" t="s">
        <v>1269</v>
      </c>
      <c r="B2223" s="66" t="s">
        <v>1269</v>
      </c>
      <c r="C2223" s="67"/>
      <c r="D2223" s="68"/>
      <c r="E2223" s="69"/>
      <c r="F2223" s="70"/>
      <c r="G2223" s="67"/>
      <c r="H2223" s="71"/>
      <c r="I2223" s="72"/>
      <c r="J2223" s="72"/>
      <c r="K2223" s="36"/>
      <c r="L2223" s="79"/>
      <c r="M2223" s="79"/>
      <c r="N2223" s="74"/>
      <c r="O2223" s="81" t="s">
        <v>179</v>
      </c>
      <c r="P2223" s="83">
        <v>44465.864988425928</v>
      </c>
      <c r="Q2223" s="81" t="s">
        <v>2354</v>
      </c>
      <c r="R2223" s="81"/>
      <c r="S2223" s="81"/>
      <c r="T2223" s="81"/>
      <c r="U2223" s="81"/>
      <c r="V2223" s="84" t="str">
        <f>HYPERLINK("https://pbs.twimg.com/profile_images/378800000705328795/304bfd91ee90011498fd092cc79a423e_normal.jpeg")</f>
        <v>https://pbs.twimg.com/profile_images/378800000705328795/304bfd91ee90011498fd092cc79a423e_normal.jpeg</v>
      </c>
      <c r="W2223" s="83">
        <v>44465.864988425928</v>
      </c>
      <c r="X2223" s="89">
        <v>44465</v>
      </c>
      <c r="Y2223" s="86" t="s">
        <v>4206</v>
      </c>
      <c r="Z2223" s="84" t="str">
        <f>HYPERLINK("https://twitter.com/pos_indonesia/status/1442228882313138183")</f>
        <v>https://twitter.com/pos_indonesia/status/1442228882313138183</v>
      </c>
      <c r="AA2223" s="81"/>
      <c r="AB2223" s="81"/>
      <c r="AC2223" s="86" t="s">
        <v>5906</v>
      </c>
      <c r="AD2223" s="81"/>
      <c r="AE2223" s="81" t="b">
        <v>0</v>
      </c>
      <c r="AF2223" s="81">
        <v>0</v>
      </c>
      <c r="AG2223" s="86" t="s">
        <v>6240</v>
      </c>
      <c r="AH2223" s="81" t="b">
        <v>0</v>
      </c>
      <c r="AI2223" s="81" t="s">
        <v>6479</v>
      </c>
      <c r="AJ2223" s="81"/>
      <c r="AK2223" s="86" t="s">
        <v>6240</v>
      </c>
      <c r="AL2223" s="81" t="b">
        <v>0</v>
      </c>
      <c r="AM2223" s="81">
        <v>0</v>
      </c>
      <c r="AN2223" s="86" t="s">
        <v>6240</v>
      </c>
      <c r="AO2223" s="86" t="s">
        <v>6506</v>
      </c>
      <c r="AP2223" s="81" t="b">
        <v>0</v>
      </c>
      <c r="AQ2223" s="86" t="s">
        <v>5906</v>
      </c>
      <c r="AR2223" s="81" t="s">
        <v>179</v>
      </c>
      <c r="AS2223" s="81">
        <v>0</v>
      </c>
      <c r="AT2223" s="81">
        <v>0</v>
      </c>
      <c r="AU2223" s="81"/>
      <c r="AV2223" s="81"/>
      <c r="AW2223" s="81"/>
      <c r="AX2223" s="81"/>
      <c r="AY2223" s="81"/>
      <c r="AZ2223" s="81"/>
      <c r="BA2223" s="81"/>
      <c r="BB2223" s="81"/>
    </row>
    <row r="2224" spans="1:54" x14ac:dyDescent="0.35">
      <c r="A2224" s="66" t="s">
        <v>1269</v>
      </c>
      <c r="B2224" s="66" t="s">
        <v>1269</v>
      </c>
      <c r="C2224" s="67"/>
      <c r="D2224" s="68"/>
      <c r="E2224" s="69"/>
      <c r="F2224" s="70"/>
      <c r="G2224" s="67"/>
      <c r="H2224" s="71"/>
      <c r="I2224" s="72"/>
      <c r="J2224" s="72"/>
      <c r="K2224" s="36"/>
      <c r="L2224" s="79"/>
      <c r="M2224" s="79"/>
      <c r="N2224" s="74"/>
      <c r="O2224" s="81" t="s">
        <v>179</v>
      </c>
      <c r="P2224" s="83">
        <v>44465.885752314818</v>
      </c>
      <c r="Q2224" s="81" t="s">
        <v>2350</v>
      </c>
      <c r="R2224" s="81"/>
      <c r="S2224" s="81"/>
      <c r="T2224" s="81"/>
      <c r="U2224" s="81"/>
      <c r="V2224" s="84" t="str">
        <f>HYPERLINK("https://pbs.twimg.com/profile_images/378800000705328795/304bfd91ee90011498fd092cc79a423e_normal.jpeg")</f>
        <v>https://pbs.twimg.com/profile_images/378800000705328795/304bfd91ee90011498fd092cc79a423e_normal.jpeg</v>
      </c>
      <c r="W2224" s="83">
        <v>44465.885752314818</v>
      </c>
      <c r="X2224" s="89">
        <v>44465</v>
      </c>
      <c r="Y2224" s="86" t="s">
        <v>4062</v>
      </c>
      <c r="Z2224" s="84" t="str">
        <f>HYPERLINK("https://twitter.com/pos_indonesia/status/1442236405288103943")</f>
        <v>https://twitter.com/pos_indonesia/status/1442236405288103943</v>
      </c>
      <c r="AA2224" s="81"/>
      <c r="AB2224" s="81"/>
      <c r="AC2224" s="86" t="s">
        <v>5907</v>
      </c>
      <c r="AD2224" s="81"/>
      <c r="AE2224" s="81" t="b">
        <v>0</v>
      </c>
      <c r="AF2224" s="81">
        <v>0</v>
      </c>
      <c r="AG2224" s="86" t="s">
        <v>6240</v>
      </c>
      <c r="AH2224" s="81" t="b">
        <v>0</v>
      </c>
      <c r="AI2224" s="81" t="s">
        <v>6479</v>
      </c>
      <c r="AJ2224" s="81"/>
      <c r="AK2224" s="86" t="s">
        <v>6240</v>
      </c>
      <c r="AL2224" s="81" t="b">
        <v>0</v>
      </c>
      <c r="AM2224" s="81">
        <v>0</v>
      </c>
      <c r="AN2224" s="86" t="s">
        <v>6240</v>
      </c>
      <c r="AO2224" s="86" t="s">
        <v>6506</v>
      </c>
      <c r="AP2224" s="81" t="b">
        <v>0</v>
      </c>
      <c r="AQ2224" s="86" t="s">
        <v>5907</v>
      </c>
      <c r="AR2224" s="81" t="s">
        <v>179</v>
      </c>
      <c r="AS2224" s="81">
        <v>0</v>
      </c>
      <c r="AT2224" s="81">
        <v>0</v>
      </c>
      <c r="AU2224" s="81"/>
      <c r="AV2224" s="81"/>
      <c r="AW2224" s="81"/>
      <c r="AX2224" s="81"/>
      <c r="AY2224" s="81"/>
      <c r="AZ2224" s="81"/>
      <c r="BA2224" s="81"/>
      <c r="BB2224" s="81"/>
    </row>
    <row r="2225" spans="1:54" x14ac:dyDescent="0.35">
      <c r="A2225" s="66" t="s">
        <v>1269</v>
      </c>
      <c r="B2225" s="66" t="s">
        <v>1269</v>
      </c>
      <c r="C2225" s="67"/>
      <c r="D2225" s="68"/>
      <c r="E2225" s="69"/>
      <c r="F2225" s="70"/>
      <c r="G2225" s="67"/>
      <c r="H2225" s="71"/>
      <c r="I2225" s="72"/>
      <c r="J2225" s="72"/>
      <c r="K2225" s="36"/>
      <c r="L2225" s="79"/>
      <c r="M2225" s="79"/>
      <c r="N2225" s="74"/>
      <c r="O2225" s="81" t="s">
        <v>179</v>
      </c>
      <c r="P2225" s="83">
        <v>44465.906597222223</v>
      </c>
      <c r="Q2225" s="81" t="s">
        <v>2474</v>
      </c>
      <c r="R2225" s="81"/>
      <c r="S2225" s="81"/>
      <c r="T2225" s="81"/>
      <c r="U2225" s="81"/>
      <c r="V2225" s="84" t="str">
        <f>HYPERLINK("https://pbs.twimg.com/profile_images/378800000705328795/304bfd91ee90011498fd092cc79a423e_normal.jpeg")</f>
        <v>https://pbs.twimg.com/profile_images/378800000705328795/304bfd91ee90011498fd092cc79a423e_normal.jpeg</v>
      </c>
      <c r="W2225" s="83">
        <v>44465.906597222223</v>
      </c>
      <c r="X2225" s="89">
        <v>44465</v>
      </c>
      <c r="Y2225" s="86" t="s">
        <v>4194</v>
      </c>
      <c r="Z2225" s="84" t="str">
        <f>HYPERLINK("https://twitter.com/pos_indonesia/status/1442243960328445953")</f>
        <v>https://twitter.com/pos_indonesia/status/1442243960328445953</v>
      </c>
      <c r="AA2225" s="81"/>
      <c r="AB2225" s="81"/>
      <c r="AC2225" s="86" t="s">
        <v>5908</v>
      </c>
      <c r="AD2225" s="81"/>
      <c r="AE2225" s="81" t="b">
        <v>0</v>
      </c>
      <c r="AF2225" s="81">
        <v>0</v>
      </c>
      <c r="AG2225" s="86" t="s">
        <v>6240</v>
      </c>
      <c r="AH2225" s="81" t="b">
        <v>0</v>
      </c>
      <c r="AI2225" s="81" t="s">
        <v>6479</v>
      </c>
      <c r="AJ2225" s="81"/>
      <c r="AK2225" s="86" t="s">
        <v>6240</v>
      </c>
      <c r="AL2225" s="81" t="b">
        <v>0</v>
      </c>
      <c r="AM2225" s="81">
        <v>0</v>
      </c>
      <c r="AN2225" s="86" t="s">
        <v>6240</v>
      </c>
      <c r="AO2225" s="86" t="s">
        <v>6506</v>
      </c>
      <c r="AP2225" s="81" t="b">
        <v>0</v>
      </c>
      <c r="AQ2225" s="86" t="s">
        <v>5908</v>
      </c>
      <c r="AR2225" s="81" t="s">
        <v>179</v>
      </c>
      <c r="AS2225" s="81">
        <v>0</v>
      </c>
      <c r="AT2225" s="81">
        <v>0</v>
      </c>
      <c r="AU2225" s="81"/>
      <c r="AV2225" s="81"/>
      <c r="AW2225" s="81"/>
      <c r="AX2225" s="81"/>
      <c r="AY2225" s="81"/>
      <c r="AZ2225" s="81"/>
      <c r="BA2225" s="81"/>
      <c r="BB2225" s="81"/>
    </row>
    <row r="2226" spans="1:54" x14ac:dyDescent="0.35">
      <c r="A2226" s="66" t="s">
        <v>1269</v>
      </c>
      <c r="B2226" s="66" t="s">
        <v>1269</v>
      </c>
      <c r="C2226" s="67"/>
      <c r="D2226" s="68"/>
      <c r="E2226" s="69"/>
      <c r="F2226" s="70"/>
      <c r="G2226" s="67"/>
      <c r="H2226" s="71"/>
      <c r="I2226" s="72"/>
      <c r="J2226" s="72"/>
      <c r="K2226" s="36"/>
      <c r="L2226" s="79"/>
      <c r="M2226" s="79"/>
      <c r="N2226" s="74"/>
      <c r="O2226" s="81" t="s">
        <v>179</v>
      </c>
      <c r="P2226" s="83">
        <v>44465.927418981482</v>
      </c>
      <c r="Q2226" s="81" t="s">
        <v>2499</v>
      </c>
      <c r="R2226" s="81"/>
      <c r="S2226" s="81"/>
      <c r="T2226" s="81"/>
      <c r="U2226" s="81"/>
      <c r="V2226" s="84" t="str">
        <f>HYPERLINK("https://pbs.twimg.com/profile_images/378800000705328795/304bfd91ee90011498fd092cc79a423e_normal.jpeg")</f>
        <v>https://pbs.twimg.com/profile_images/378800000705328795/304bfd91ee90011498fd092cc79a423e_normal.jpeg</v>
      </c>
      <c r="W2226" s="83">
        <v>44465.927418981482</v>
      </c>
      <c r="X2226" s="89">
        <v>44465</v>
      </c>
      <c r="Y2226" s="86" t="s">
        <v>4195</v>
      </c>
      <c r="Z2226" s="84" t="str">
        <f>HYPERLINK("https://twitter.com/pos_indonesia/status/1442251504652410881")</f>
        <v>https://twitter.com/pos_indonesia/status/1442251504652410881</v>
      </c>
      <c r="AA2226" s="81"/>
      <c r="AB2226" s="81"/>
      <c r="AC2226" s="86" t="s">
        <v>5909</v>
      </c>
      <c r="AD2226" s="81"/>
      <c r="AE2226" s="81" t="b">
        <v>0</v>
      </c>
      <c r="AF2226" s="81">
        <v>0</v>
      </c>
      <c r="AG2226" s="86" t="s">
        <v>6240</v>
      </c>
      <c r="AH2226" s="81" t="b">
        <v>0</v>
      </c>
      <c r="AI2226" s="81" t="s">
        <v>6479</v>
      </c>
      <c r="AJ2226" s="81"/>
      <c r="AK2226" s="86" t="s">
        <v>6240</v>
      </c>
      <c r="AL2226" s="81" t="b">
        <v>0</v>
      </c>
      <c r="AM2226" s="81">
        <v>0</v>
      </c>
      <c r="AN2226" s="86" t="s">
        <v>6240</v>
      </c>
      <c r="AO2226" s="86" t="s">
        <v>6506</v>
      </c>
      <c r="AP2226" s="81" t="b">
        <v>0</v>
      </c>
      <c r="AQ2226" s="86" t="s">
        <v>5909</v>
      </c>
      <c r="AR2226" s="81" t="s">
        <v>179</v>
      </c>
      <c r="AS2226" s="81">
        <v>0</v>
      </c>
      <c r="AT2226" s="81">
        <v>0</v>
      </c>
      <c r="AU2226" s="81"/>
      <c r="AV2226" s="81"/>
      <c r="AW2226" s="81"/>
      <c r="AX2226" s="81"/>
      <c r="AY2226" s="81"/>
      <c r="AZ2226" s="81"/>
      <c r="BA2226" s="81"/>
      <c r="BB2226" s="81"/>
    </row>
    <row r="2227" spans="1:54" x14ac:dyDescent="0.35">
      <c r="A2227" s="66" t="s">
        <v>1269</v>
      </c>
      <c r="B2227" s="66" t="s">
        <v>1269</v>
      </c>
      <c r="C2227" s="67"/>
      <c r="D2227" s="68"/>
      <c r="E2227" s="69"/>
      <c r="F2227" s="70"/>
      <c r="G2227" s="67"/>
      <c r="H2227" s="71"/>
      <c r="I2227" s="72"/>
      <c r="J2227" s="72"/>
      <c r="K2227" s="36"/>
      <c r="L2227" s="79"/>
      <c r="M2227" s="79"/>
      <c r="N2227" s="74"/>
      <c r="O2227" s="81" t="s">
        <v>179</v>
      </c>
      <c r="P2227" s="83">
        <v>44465.948263888888</v>
      </c>
      <c r="Q2227" s="81" t="s">
        <v>2548</v>
      </c>
      <c r="R2227" s="81"/>
      <c r="S2227" s="81"/>
      <c r="T2227" s="81"/>
      <c r="U2227" s="81"/>
      <c r="V2227" s="84" t="str">
        <f>HYPERLINK("https://pbs.twimg.com/profile_images/378800000705328795/304bfd91ee90011498fd092cc79a423e_normal.jpeg")</f>
        <v>https://pbs.twimg.com/profile_images/378800000705328795/304bfd91ee90011498fd092cc79a423e_normal.jpeg</v>
      </c>
      <c r="W2227" s="83">
        <v>44465.948263888888</v>
      </c>
      <c r="X2227" s="89">
        <v>44465</v>
      </c>
      <c r="Y2227" s="86" t="s">
        <v>4129</v>
      </c>
      <c r="Z2227" s="84" t="str">
        <f>HYPERLINK("https://twitter.com/pos_indonesia/status/1442259061303435272")</f>
        <v>https://twitter.com/pos_indonesia/status/1442259061303435272</v>
      </c>
      <c r="AA2227" s="81"/>
      <c r="AB2227" s="81"/>
      <c r="AC2227" s="86" t="s">
        <v>5910</v>
      </c>
      <c r="AD2227" s="81"/>
      <c r="AE2227" s="81" t="b">
        <v>0</v>
      </c>
      <c r="AF2227" s="81">
        <v>0</v>
      </c>
      <c r="AG2227" s="86" t="s">
        <v>6240</v>
      </c>
      <c r="AH2227" s="81" t="b">
        <v>0</v>
      </c>
      <c r="AI2227" s="81" t="s">
        <v>6479</v>
      </c>
      <c r="AJ2227" s="81"/>
      <c r="AK2227" s="86" t="s">
        <v>6240</v>
      </c>
      <c r="AL2227" s="81" t="b">
        <v>0</v>
      </c>
      <c r="AM2227" s="81">
        <v>0</v>
      </c>
      <c r="AN2227" s="86" t="s">
        <v>6240</v>
      </c>
      <c r="AO2227" s="86" t="s">
        <v>6506</v>
      </c>
      <c r="AP2227" s="81" t="b">
        <v>0</v>
      </c>
      <c r="AQ2227" s="86" t="s">
        <v>5910</v>
      </c>
      <c r="AR2227" s="81" t="s">
        <v>179</v>
      </c>
      <c r="AS2227" s="81">
        <v>0</v>
      </c>
      <c r="AT2227" s="81">
        <v>0</v>
      </c>
      <c r="AU2227" s="81"/>
      <c r="AV2227" s="81"/>
      <c r="AW2227" s="81"/>
      <c r="AX2227" s="81"/>
      <c r="AY2227" s="81"/>
      <c r="AZ2227" s="81"/>
      <c r="BA2227" s="81"/>
      <c r="BB2227" s="81"/>
    </row>
    <row r="2228" spans="1:54" x14ac:dyDescent="0.35">
      <c r="A2228" s="66" t="s">
        <v>1269</v>
      </c>
      <c r="B2228" s="66" t="s">
        <v>1269</v>
      </c>
      <c r="C2228" s="67"/>
      <c r="D2228" s="68"/>
      <c r="E2228" s="69"/>
      <c r="F2228" s="70"/>
      <c r="G2228" s="67"/>
      <c r="H2228" s="71"/>
      <c r="I2228" s="72"/>
      <c r="J2228" s="72"/>
      <c r="K2228" s="36"/>
      <c r="L2228" s="79"/>
      <c r="M2228" s="79"/>
      <c r="N2228" s="74"/>
      <c r="O2228" s="81" t="s">
        <v>179</v>
      </c>
      <c r="P2228" s="83">
        <v>44465.969131944446</v>
      </c>
      <c r="Q2228" s="81" t="s">
        <v>2331</v>
      </c>
      <c r="R2228" s="81"/>
      <c r="S2228" s="81"/>
      <c r="T2228" s="81"/>
      <c r="U2228" s="81"/>
      <c r="V2228" s="84" t="str">
        <f>HYPERLINK("https://pbs.twimg.com/profile_images/378800000705328795/304bfd91ee90011498fd092cc79a423e_normal.jpeg")</f>
        <v>https://pbs.twimg.com/profile_images/378800000705328795/304bfd91ee90011498fd092cc79a423e_normal.jpeg</v>
      </c>
      <c r="W2228" s="83">
        <v>44465.969131944446</v>
      </c>
      <c r="X2228" s="89">
        <v>44465</v>
      </c>
      <c r="Y2228" s="86" t="s">
        <v>4107</v>
      </c>
      <c r="Z2228" s="84" t="str">
        <f>HYPERLINK("https://twitter.com/pos_indonesia/status/1442266624103387139")</f>
        <v>https://twitter.com/pos_indonesia/status/1442266624103387139</v>
      </c>
      <c r="AA2228" s="81"/>
      <c r="AB2228" s="81"/>
      <c r="AC2228" s="86" t="s">
        <v>5911</v>
      </c>
      <c r="AD2228" s="81"/>
      <c r="AE2228" s="81" t="b">
        <v>0</v>
      </c>
      <c r="AF2228" s="81">
        <v>0</v>
      </c>
      <c r="AG2228" s="86" t="s">
        <v>6240</v>
      </c>
      <c r="AH2228" s="81" t="b">
        <v>0</v>
      </c>
      <c r="AI2228" s="81" t="s">
        <v>6479</v>
      </c>
      <c r="AJ2228" s="81"/>
      <c r="AK2228" s="86" t="s">
        <v>6240</v>
      </c>
      <c r="AL2228" s="81" t="b">
        <v>0</v>
      </c>
      <c r="AM2228" s="81">
        <v>0</v>
      </c>
      <c r="AN2228" s="86" t="s">
        <v>6240</v>
      </c>
      <c r="AO2228" s="86" t="s">
        <v>6506</v>
      </c>
      <c r="AP2228" s="81" t="b">
        <v>0</v>
      </c>
      <c r="AQ2228" s="86" t="s">
        <v>5911</v>
      </c>
      <c r="AR2228" s="81" t="s">
        <v>179</v>
      </c>
      <c r="AS2228" s="81">
        <v>0</v>
      </c>
      <c r="AT2228" s="81">
        <v>0</v>
      </c>
      <c r="AU2228" s="81"/>
      <c r="AV2228" s="81"/>
      <c r="AW2228" s="81"/>
      <c r="AX2228" s="81"/>
      <c r="AY2228" s="81"/>
      <c r="AZ2228" s="81"/>
      <c r="BA2228" s="81"/>
      <c r="BB2228" s="81"/>
    </row>
    <row r="2229" spans="1:54" x14ac:dyDescent="0.35">
      <c r="A2229" s="66" t="s">
        <v>1269</v>
      </c>
      <c r="B2229" s="66" t="s">
        <v>1269</v>
      </c>
      <c r="C2229" s="67"/>
      <c r="D2229" s="68"/>
      <c r="E2229" s="69"/>
      <c r="F2229" s="70"/>
      <c r="G2229" s="67"/>
      <c r="H2229" s="71"/>
      <c r="I2229" s="72"/>
      <c r="J2229" s="72"/>
      <c r="K2229" s="36"/>
      <c r="L2229" s="79"/>
      <c r="M2229" s="79"/>
      <c r="N2229" s="74"/>
      <c r="O2229" s="81" t="s">
        <v>179</v>
      </c>
      <c r="P2229" s="83">
        <v>44465.989930555559</v>
      </c>
      <c r="Q2229" s="81" t="s">
        <v>2325</v>
      </c>
      <c r="R2229" s="81"/>
      <c r="S2229" s="81"/>
      <c r="T2229" s="81"/>
      <c r="U2229" s="81"/>
      <c r="V2229" s="84" t="str">
        <f>HYPERLINK("https://pbs.twimg.com/profile_images/378800000705328795/304bfd91ee90011498fd092cc79a423e_normal.jpeg")</f>
        <v>https://pbs.twimg.com/profile_images/378800000705328795/304bfd91ee90011498fd092cc79a423e_normal.jpeg</v>
      </c>
      <c r="W2229" s="83">
        <v>44465.989930555559</v>
      </c>
      <c r="X2229" s="89">
        <v>44465</v>
      </c>
      <c r="Y2229" s="86" t="s">
        <v>4150</v>
      </c>
      <c r="Z2229" s="84" t="str">
        <f>HYPERLINK("https://twitter.com/pos_indonesia/status/1442274159346606080")</f>
        <v>https://twitter.com/pos_indonesia/status/1442274159346606080</v>
      </c>
      <c r="AA2229" s="81"/>
      <c r="AB2229" s="81"/>
      <c r="AC2229" s="86" t="s">
        <v>5912</v>
      </c>
      <c r="AD2229" s="81"/>
      <c r="AE2229" s="81" t="b">
        <v>0</v>
      </c>
      <c r="AF2229" s="81">
        <v>0</v>
      </c>
      <c r="AG2229" s="86" t="s">
        <v>6240</v>
      </c>
      <c r="AH2229" s="81" t="b">
        <v>0</v>
      </c>
      <c r="AI2229" s="81" t="s">
        <v>6479</v>
      </c>
      <c r="AJ2229" s="81"/>
      <c r="AK2229" s="86" t="s">
        <v>6240</v>
      </c>
      <c r="AL2229" s="81" t="b">
        <v>0</v>
      </c>
      <c r="AM2229" s="81">
        <v>0</v>
      </c>
      <c r="AN2229" s="86" t="s">
        <v>6240</v>
      </c>
      <c r="AO2229" s="86" t="s">
        <v>6506</v>
      </c>
      <c r="AP2229" s="81" t="b">
        <v>0</v>
      </c>
      <c r="AQ2229" s="86" t="s">
        <v>5912</v>
      </c>
      <c r="AR2229" s="81" t="s">
        <v>179</v>
      </c>
      <c r="AS2229" s="81">
        <v>0</v>
      </c>
      <c r="AT2229" s="81">
        <v>0</v>
      </c>
      <c r="AU2229" s="81"/>
      <c r="AV2229" s="81"/>
      <c r="AW2229" s="81"/>
      <c r="AX2229" s="81"/>
      <c r="AY2229" s="81"/>
      <c r="AZ2229" s="81"/>
      <c r="BA2229" s="81"/>
      <c r="BB2229" s="81"/>
    </row>
    <row r="2230" spans="1:54" x14ac:dyDescent="0.35">
      <c r="A2230" s="66" t="s">
        <v>1269</v>
      </c>
      <c r="B2230" s="66" t="s">
        <v>1269</v>
      </c>
      <c r="C2230" s="67"/>
      <c r="D2230" s="68"/>
      <c r="E2230" s="69"/>
      <c r="F2230" s="70"/>
      <c r="G2230" s="67"/>
      <c r="H2230" s="71"/>
      <c r="I2230" s="72"/>
      <c r="J2230" s="72"/>
      <c r="K2230" s="36"/>
      <c r="L2230" s="79"/>
      <c r="M2230" s="79"/>
      <c r="N2230" s="74"/>
      <c r="O2230" s="81" t="s">
        <v>179</v>
      </c>
      <c r="P2230" s="83">
        <v>44466.010775462964</v>
      </c>
      <c r="Q2230" s="81" t="s">
        <v>2454</v>
      </c>
      <c r="R2230" s="81"/>
      <c r="S2230" s="81"/>
      <c r="T2230" s="81"/>
      <c r="U2230" s="81"/>
      <c r="V2230" s="84" t="str">
        <f>HYPERLINK("https://pbs.twimg.com/profile_images/378800000705328795/304bfd91ee90011498fd092cc79a423e_normal.jpeg")</f>
        <v>https://pbs.twimg.com/profile_images/378800000705328795/304bfd91ee90011498fd092cc79a423e_normal.jpeg</v>
      </c>
      <c r="W2230" s="83">
        <v>44466.010775462964</v>
      </c>
      <c r="X2230" s="89">
        <v>44466</v>
      </c>
      <c r="Y2230" s="86" t="s">
        <v>4196</v>
      </c>
      <c r="Z2230" s="84" t="str">
        <f>HYPERLINK("https://twitter.com/pos_indonesia/status/1442281715053957127")</f>
        <v>https://twitter.com/pos_indonesia/status/1442281715053957127</v>
      </c>
      <c r="AA2230" s="81"/>
      <c r="AB2230" s="81"/>
      <c r="AC2230" s="86" t="s">
        <v>5913</v>
      </c>
      <c r="AD2230" s="81"/>
      <c r="AE2230" s="81" t="b">
        <v>0</v>
      </c>
      <c r="AF2230" s="81">
        <v>0</v>
      </c>
      <c r="AG2230" s="86" t="s">
        <v>6240</v>
      </c>
      <c r="AH2230" s="81" t="b">
        <v>0</v>
      </c>
      <c r="AI2230" s="81" t="s">
        <v>6479</v>
      </c>
      <c r="AJ2230" s="81"/>
      <c r="AK2230" s="86" t="s">
        <v>6240</v>
      </c>
      <c r="AL2230" s="81" t="b">
        <v>0</v>
      </c>
      <c r="AM2230" s="81">
        <v>0</v>
      </c>
      <c r="AN2230" s="86" t="s">
        <v>6240</v>
      </c>
      <c r="AO2230" s="86" t="s">
        <v>6506</v>
      </c>
      <c r="AP2230" s="81" t="b">
        <v>0</v>
      </c>
      <c r="AQ2230" s="86" t="s">
        <v>5913</v>
      </c>
      <c r="AR2230" s="81" t="s">
        <v>179</v>
      </c>
      <c r="AS2230" s="81">
        <v>0</v>
      </c>
      <c r="AT2230" s="81">
        <v>0</v>
      </c>
      <c r="AU2230" s="81"/>
      <c r="AV2230" s="81"/>
      <c r="AW2230" s="81"/>
      <c r="AX2230" s="81"/>
      <c r="AY2230" s="81"/>
      <c r="AZ2230" s="81"/>
      <c r="BA2230" s="81"/>
      <c r="BB2230" s="81"/>
    </row>
    <row r="2231" spans="1:54" x14ac:dyDescent="0.35">
      <c r="A2231" s="66" t="s">
        <v>1269</v>
      </c>
      <c r="B2231" s="66" t="s">
        <v>1269</v>
      </c>
      <c r="C2231" s="67"/>
      <c r="D2231" s="68"/>
      <c r="E2231" s="69"/>
      <c r="F2231" s="70"/>
      <c r="G2231" s="67"/>
      <c r="H2231" s="71"/>
      <c r="I2231" s="72"/>
      <c r="J2231" s="72"/>
      <c r="K2231" s="36"/>
      <c r="L2231" s="79"/>
      <c r="M2231" s="79"/>
      <c r="N2231" s="74"/>
      <c r="O2231" s="81" t="s">
        <v>179</v>
      </c>
      <c r="P2231" s="83">
        <v>44466.031608796293</v>
      </c>
      <c r="Q2231" s="81" t="s">
        <v>2299</v>
      </c>
      <c r="R2231" s="81"/>
      <c r="S2231" s="81"/>
      <c r="T2231" s="81"/>
      <c r="U2231" s="81"/>
      <c r="V2231" s="84" t="str">
        <f>HYPERLINK("https://pbs.twimg.com/profile_images/378800000705328795/304bfd91ee90011498fd092cc79a423e_normal.jpeg")</f>
        <v>https://pbs.twimg.com/profile_images/378800000705328795/304bfd91ee90011498fd092cc79a423e_normal.jpeg</v>
      </c>
      <c r="W2231" s="83">
        <v>44466.031608796293</v>
      </c>
      <c r="X2231" s="89">
        <v>44466</v>
      </c>
      <c r="Y2231" s="86" t="s">
        <v>4197</v>
      </c>
      <c r="Z2231" s="84" t="str">
        <f>HYPERLINK("https://twitter.com/pos_indonesia/status/1442289264889188353")</f>
        <v>https://twitter.com/pos_indonesia/status/1442289264889188353</v>
      </c>
      <c r="AA2231" s="81"/>
      <c r="AB2231" s="81"/>
      <c r="AC2231" s="86" t="s">
        <v>5914</v>
      </c>
      <c r="AD2231" s="81"/>
      <c r="AE2231" s="81" t="b">
        <v>0</v>
      </c>
      <c r="AF2231" s="81">
        <v>0</v>
      </c>
      <c r="AG2231" s="86" t="s">
        <v>6240</v>
      </c>
      <c r="AH2231" s="81" t="b">
        <v>0</v>
      </c>
      <c r="AI2231" s="81" t="s">
        <v>6479</v>
      </c>
      <c r="AJ2231" s="81"/>
      <c r="AK2231" s="86" t="s">
        <v>6240</v>
      </c>
      <c r="AL2231" s="81" t="b">
        <v>0</v>
      </c>
      <c r="AM2231" s="81">
        <v>0</v>
      </c>
      <c r="AN2231" s="86" t="s">
        <v>6240</v>
      </c>
      <c r="AO2231" s="86" t="s">
        <v>6506</v>
      </c>
      <c r="AP2231" s="81" t="b">
        <v>0</v>
      </c>
      <c r="AQ2231" s="86" t="s">
        <v>5914</v>
      </c>
      <c r="AR2231" s="81" t="s">
        <v>179</v>
      </c>
      <c r="AS2231" s="81">
        <v>0</v>
      </c>
      <c r="AT2231" s="81">
        <v>0</v>
      </c>
      <c r="AU2231" s="81"/>
      <c r="AV2231" s="81"/>
      <c r="AW2231" s="81"/>
      <c r="AX2231" s="81"/>
      <c r="AY2231" s="81"/>
      <c r="AZ2231" s="81"/>
      <c r="BA2231" s="81"/>
      <c r="BB2231" s="81"/>
    </row>
    <row r="2232" spans="1:54" x14ac:dyDescent="0.35">
      <c r="A2232" s="66" t="s">
        <v>1269</v>
      </c>
      <c r="B2232" s="66" t="s">
        <v>1269</v>
      </c>
      <c r="C2232" s="67"/>
      <c r="D2232" s="68"/>
      <c r="E2232" s="69"/>
      <c r="F2232" s="70"/>
      <c r="G2232" s="67"/>
      <c r="H2232" s="71"/>
      <c r="I2232" s="72"/>
      <c r="J2232" s="72"/>
      <c r="K2232" s="36"/>
      <c r="L2232" s="79"/>
      <c r="M2232" s="79"/>
      <c r="N2232" s="74"/>
      <c r="O2232" s="81" t="s">
        <v>179</v>
      </c>
      <c r="P2232" s="83">
        <v>44466.052442129629</v>
      </c>
      <c r="Q2232" s="81" t="s">
        <v>2549</v>
      </c>
      <c r="R2232" s="81"/>
      <c r="S2232" s="81"/>
      <c r="T2232" s="81"/>
      <c r="U2232" s="81"/>
      <c r="V2232" s="84" t="str">
        <f>HYPERLINK("https://pbs.twimg.com/profile_images/378800000705328795/304bfd91ee90011498fd092cc79a423e_normal.jpeg")</f>
        <v>https://pbs.twimg.com/profile_images/378800000705328795/304bfd91ee90011498fd092cc79a423e_normal.jpeg</v>
      </c>
      <c r="W2232" s="83">
        <v>44466.052442129629</v>
      </c>
      <c r="X2232" s="89">
        <v>44466</v>
      </c>
      <c r="Y2232" s="86" t="s">
        <v>4207</v>
      </c>
      <c r="Z2232" s="84" t="str">
        <f>HYPERLINK("https://twitter.com/pos_indonesia/status/1442296813298487297")</f>
        <v>https://twitter.com/pos_indonesia/status/1442296813298487297</v>
      </c>
      <c r="AA2232" s="81"/>
      <c r="AB2232" s="81"/>
      <c r="AC2232" s="86" t="s">
        <v>5915</v>
      </c>
      <c r="AD2232" s="81"/>
      <c r="AE2232" s="81" t="b">
        <v>0</v>
      </c>
      <c r="AF2232" s="81">
        <v>0</v>
      </c>
      <c r="AG2232" s="86" t="s">
        <v>6240</v>
      </c>
      <c r="AH2232" s="81" t="b">
        <v>0</v>
      </c>
      <c r="AI2232" s="81" t="s">
        <v>6479</v>
      </c>
      <c r="AJ2232" s="81"/>
      <c r="AK2232" s="86" t="s">
        <v>6240</v>
      </c>
      <c r="AL2232" s="81" t="b">
        <v>0</v>
      </c>
      <c r="AM2232" s="81">
        <v>0</v>
      </c>
      <c r="AN2232" s="86" t="s">
        <v>6240</v>
      </c>
      <c r="AO2232" s="86" t="s">
        <v>6506</v>
      </c>
      <c r="AP2232" s="81" t="b">
        <v>0</v>
      </c>
      <c r="AQ2232" s="86" t="s">
        <v>5915</v>
      </c>
      <c r="AR2232" s="81" t="s">
        <v>179</v>
      </c>
      <c r="AS2232" s="81">
        <v>0</v>
      </c>
      <c r="AT2232" s="81">
        <v>0</v>
      </c>
      <c r="AU2232" s="81"/>
      <c r="AV2232" s="81"/>
      <c r="AW2232" s="81"/>
      <c r="AX2232" s="81"/>
      <c r="AY2232" s="81"/>
      <c r="AZ2232" s="81"/>
      <c r="BA2232" s="81"/>
      <c r="BB2232" s="81"/>
    </row>
    <row r="2233" spans="1:54" x14ac:dyDescent="0.35">
      <c r="A2233" s="66" t="s">
        <v>1269</v>
      </c>
      <c r="B2233" s="66" t="s">
        <v>1269</v>
      </c>
      <c r="C2233" s="67"/>
      <c r="D2233" s="68"/>
      <c r="E2233" s="69"/>
      <c r="F2233" s="70"/>
      <c r="G2233" s="67"/>
      <c r="H2233" s="71"/>
      <c r="I2233" s="72"/>
      <c r="J2233" s="72"/>
      <c r="K2233" s="36"/>
      <c r="L2233" s="79"/>
      <c r="M2233" s="79"/>
      <c r="N2233" s="74"/>
      <c r="O2233" s="81" t="s">
        <v>179</v>
      </c>
      <c r="P2233" s="83">
        <v>44466.073263888888</v>
      </c>
      <c r="Q2233" s="81" t="s">
        <v>2301</v>
      </c>
      <c r="R2233" s="81"/>
      <c r="S2233" s="81"/>
      <c r="T2233" s="81"/>
      <c r="U2233" s="81"/>
      <c r="V2233" s="84" t="str">
        <f>HYPERLINK("https://pbs.twimg.com/profile_images/378800000705328795/304bfd91ee90011498fd092cc79a423e_normal.jpeg")</f>
        <v>https://pbs.twimg.com/profile_images/378800000705328795/304bfd91ee90011498fd092cc79a423e_normal.jpeg</v>
      </c>
      <c r="W2233" s="83">
        <v>44466.073263888888</v>
      </c>
      <c r="X2233" s="89">
        <v>44466</v>
      </c>
      <c r="Y2233" s="86" t="s">
        <v>4144</v>
      </c>
      <c r="Z2233" s="84" t="str">
        <f>HYPERLINK("https://twitter.com/pos_indonesia/status/1442304360566853633")</f>
        <v>https://twitter.com/pos_indonesia/status/1442304360566853633</v>
      </c>
      <c r="AA2233" s="81"/>
      <c r="AB2233" s="81"/>
      <c r="AC2233" s="86" t="s">
        <v>5916</v>
      </c>
      <c r="AD2233" s="81"/>
      <c r="AE2233" s="81" t="b">
        <v>0</v>
      </c>
      <c r="AF2233" s="81">
        <v>0</v>
      </c>
      <c r="AG2233" s="86" t="s">
        <v>6240</v>
      </c>
      <c r="AH2233" s="81" t="b">
        <v>0</v>
      </c>
      <c r="AI2233" s="81" t="s">
        <v>6479</v>
      </c>
      <c r="AJ2233" s="81"/>
      <c r="AK2233" s="86" t="s">
        <v>6240</v>
      </c>
      <c r="AL2233" s="81" t="b">
        <v>0</v>
      </c>
      <c r="AM2233" s="81">
        <v>0</v>
      </c>
      <c r="AN2233" s="86" t="s">
        <v>6240</v>
      </c>
      <c r="AO2233" s="86" t="s">
        <v>6506</v>
      </c>
      <c r="AP2233" s="81" t="b">
        <v>0</v>
      </c>
      <c r="AQ2233" s="86" t="s">
        <v>5916</v>
      </c>
      <c r="AR2233" s="81" t="s">
        <v>179</v>
      </c>
      <c r="AS2233" s="81">
        <v>0</v>
      </c>
      <c r="AT2233" s="81">
        <v>0</v>
      </c>
      <c r="AU2233" s="81"/>
      <c r="AV2233" s="81"/>
      <c r="AW2233" s="81"/>
      <c r="AX2233" s="81"/>
      <c r="AY2233" s="81"/>
      <c r="AZ2233" s="81"/>
      <c r="BA2233" s="81"/>
      <c r="BB2233" s="81"/>
    </row>
    <row r="2234" spans="1:54" x14ac:dyDescent="0.35">
      <c r="A2234" s="66" t="s">
        <v>1269</v>
      </c>
      <c r="B2234" s="66" t="s">
        <v>1269</v>
      </c>
      <c r="C2234" s="67"/>
      <c r="D2234" s="68"/>
      <c r="E2234" s="69"/>
      <c r="F2234" s="70"/>
      <c r="G2234" s="67"/>
      <c r="H2234" s="71"/>
      <c r="I2234" s="72"/>
      <c r="J2234" s="72"/>
      <c r="K2234" s="36"/>
      <c r="L2234" s="79"/>
      <c r="M2234" s="79"/>
      <c r="N2234" s="74"/>
      <c r="O2234" s="81" t="s">
        <v>179</v>
      </c>
      <c r="P2234" s="83">
        <v>44466.09412037037</v>
      </c>
      <c r="Q2234" s="81" t="s">
        <v>2550</v>
      </c>
      <c r="R2234" s="81"/>
      <c r="S2234" s="81"/>
      <c r="T2234" s="81"/>
      <c r="U2234" s="81"/>
      <c r="V2234" s="84" t="str">
        <f>HYPERLINK("https://pbs.twimg.com/profile_images/378800000705328795/304bfd91ee90011498fd092cc79a423e_normal.jpeg")</f>
        <v>https://pbs.twimg.com/profile_images/378800000705328795/304bfd91ee90011498fd092cc79a423e_normal.jpeg</v>
      </c>
      <c r="W2234" s="83">
        <v>44466.09412037037</v>
      </c>
      <c r="X2234" s="89">
        <v>44466</v>
      </c>
      <c r="Y2234" s="86" t="s">
        <v>4170</v>
      </c>
      <c r="Z2234" s="84" t="str">
        <f>HYPERLINK("https://twitter.com/pos_indonesia/status/1442311917121392644")</f>
        <v>https://twitter.com/pos_indonesia/status/1442311917121392644</v>
      </c>
      <c r="AA2234" s="81"/>
      <c r="AB2234" s="81"/>
      <c r="AC2234" s="86" t="s">
        <v>5917</v>
      </c>
      <c r="AD2234" s="81"/>
      <c r="AE2234" s="81" t="b">
        <v>0</v>
      </c>
      <c r="AF2234" s="81">
        <v>0</v>
      </c>
      <c r="AG2234" s="86" t="s">
        <v>6240</v>
      </c>
      <c r="AH2234" s="81" t="b">
        <v>0</v>
      </c>
      <c r="AI2234" s="81" t="s">
        <v>6479</v>
      </c>
      <c r="AJ2234" s="81"/>
      <c r="AK2234" s="86" t="s">
        <v>6240</v>
      </c>
      <c r="AL2234" s="81" t="b">
        <v>0</v>
      </c>
      <c r="AM2234" s="81">
        <v>0</v>
      </c>
      <c r="AN2234" s="86" t="s">
        <v>6240</v>
      </c>
      <c r="AO2234" s="86" t="s">
        <v>6506</v>
      </c>
      <c r="AP2234" s="81" t="b">
        <v>0</v>
      </c>
      <c r="AQ2234" s="86" t="s">
        <v>5917</v>
      </c>
      <c r="AR2234" s="81" t="s">
        <v>179</v>
      </c>
      <c r="AS2234" s="81">
        <v>0</v>
      </c>
      <c r="AT2234" s="81">
        <v>0</v>
      </c>
      <c r="AU2234" s="81"/>
      <c r="AV2234" s="81"/>
      <c r="AW2234" s="81"/>
      <c r="AX2234" s="81"/>
      <c r="AY2234" s="81"/>
      <c r="AZ2234" s="81"/>
      <c r="BA2234" s="81"/>
      <c r="BB2234" s="81"/>
    </row>
    <row r="2235" spans="1:54" x14ac:dyDescent="0.35">
      <c r="A2235" s="66" t="s">
        <v>1269</v>
      </c>
      <c r="B2235" s="66" t="s">
        <v>1269</v>
      </c>
      <c r="C2235" s="67"/>
      <c r="D2235" s="68"/>
      <c r="E2235" s="69"/>
      <c r="F2235" s="70"/>
      <c r="G2235" s="67"/>
      <c r="H2235" s="71"/>
      <c r="I2235" s="72"/>
      <c r="J2235" s="72"/>
      <c r="K2235" s="36"/>
      <c r="L2235" s="79"/>
      <c r="M2235" s="79"/>
      <c r="N2235" s="74"/>
      <c r="O2235" s="81" t="s">
        <v>179</v>
      </c>
      <c r="P2235" s="83">
        <v>44466.114965277775</v>
      </c>
      <c r="Q2235" s="81" t="s">
        <v>2529</v>
      </c>
      <c r="R2235" s="81"/>
      <c r="S2235" s="81"/>
      <c r="T2235" s="81"/>
      <c r="U2235" s="81"/>
      <c r="V2235" s="84" t="str">
        <f>HYPERLINK("https://pbs.twimg.com/profile_images/378800000705328795/304bfd91ee90011498fd092cc79a423e_normal.jpeg")</f>
        <v>https://pbs.twimg.com/profile_images/378800000705328795/304bfd91ee90011498fd092cc79a423e_normal.jpeg</v>
      </c>
      <c r="W2235" s="83">
        <v>44466.114965277775</v>
      </c>
      <c r="X2235" s="89">
        <v>44466</v>
      </c>
      <c r="Y2235" s="86" t="s">
        <v>4198</v>
      </c>
      <c r="Z2235" s="84" t="str">
        <f>HYPERLINK("https://twitter.com/pos_indonesia/status/1442319469355810818")</f>
        <v>https://twitter.com/pos_indonesia/status/1442319469355810818</v>
      </c>
      <c r="AA2235" s="81"/>
      <c r="AB2235" s="81"/>
      <c r="AC2235" s="86" t="s">
        <v>5918</v>
      </c>
      <c r="AD2235" s="81"/>
      <c r="AE2235" s="81" t="b">
        <v>0</v>
      </c>
      <c r="AF2235" s="81">
        <v>0</v>
      </c>
      <c r="AG2235" s="86" t="s">
        <v>6240</v>
      </c>
      <c r="AH2235" s="81" t="b">
        <v>0</v>
      </c>
      <c r="AI2235" s="81" t="s">
        <v>6479</v>
      </c>
      <c r="AJ2235" s="81"/>
      <c r="AK2235" s="86" t="s">
        <v>6240</v>
      </c>
      <c r="AL2235" s="81" t="b">
        <v>0</v>
      </c>
      <c r="AM2235" s="81">
        <v>0</v>
      </c>
      <c r="AN2235" s="86" t="s">
        <v>6240</v>
      </c>
      <c r="AO2235" s="86" t="s">
        <v>6506</v>
      </c>
      <c r="AP2235" s="81" t="b">
        <v>0</v>
      </c>
      <c r="AQ2235" s="86" t="s">
        <v>5918</v>
      </c>
      <c r="AR2235" s="81" t="s">
        <v>179</v>
      </c>
      <c r="AS2235" s="81">
        <v>0</v>
      </c>
      <c r="AT2235" s="81">
        <v>0</v>
      </c>
      <c r="AU2235" s="81"/>
      <c r="AV2235" s="81"/>
      <c r="AW2235" s="81"/>
      <c r="AX2235" s="81"/>
      <c r="AY2235" s="81"/>
      <c r="AZ2235" s="81"/>
      <c r="BA2235" s="81"/>
      <c r="BB2235" s="81"/>
    </row>
    <row r="2236" spans="1:54" x14ac:dyDescent="0.35">
      <c r="A2236" s="66" t="s">
        <v>1269</v>
      </c>
      <c r="B2236" s="66" t="s">
        <v>1269</v>
      </c>
      <c r="C2236" s="67"/>
      <c r="D2236" s="68"/>
      <c r="E2236" s="69"/>
      <c r="F2236" s="70"/>
      <c r="G2236" s="67"/>
      <c r="H2236" s="71"/>
      <c r="I2236" s="72"/>
      <c r="J2236" s="72"/>
      <c r="K2236" s="36"/>
      <c r="L2236" s="79"/>
      <c r="M2236" s="79"/>
      <c r="N2236" s="74"/>
      <c r="O2236" s="81" t="s">
        <v>179</v>
      </c>
      <c r="P2236" s="83">
        <v>44466.135787037034</v>
      </c>
      <c r="Q2236" s="81" t="s">
        <v>2492</v>
      </c>
      <c r="R2236" s="81"/>
      <c r="S2236" s="81"/>
      <c r="T2236" s="81"/>
      <c r="U2236" s="81"/>
      <c r="V2236" s="84" t="str">
        <f>HYPERLINK("https://pbs.twimg.com/profile_images/378800000705328795/304bfd91ee90011498fd092cc79a423e_normal.jpeg")</f>
        <v>https://pbs.twimg.com/profile_images/378800000705328795/304bfd91ee90011498fd092cc79a423e_normal.jpeg</v>
      </c>
      <c r="W2236" s="83">
        <v>44466.135787037034</v>
      </c>
      <c r="X2236" s="89">
        <v>44466</v>
      </c>
      <c r="Y2236" s="86" t="s">
        <v>4074</v>
      </c>
      <c r="Z2236" s="84" t="str">
        <f>HYPERLINK("https://twitter.com/pos_indonesia/status/1442327014480904196")</f>
        <v>https://twitter.com/pos_indonesia/status/1442327014480904196</v>
      </c>
      <c r="AA2236" s="81"/>
      <c r="AB2236" s="81"/>
      <c r="AC2236" s="86" t="s">
        <v>5919</v>
      </c>
      <c r="AD2236" s="81"/>
      <c r="AE2236" s="81" t="b">
        <v>0</v>
      </c>
      <c r="AF2236" s="81">
        <v>0</v>
      </c>
      <c r="AG2236" s="86" t="s">
        <v>6240</v>
      </c>
      <c r="AH2236" s="81" t="b">
        <v>0</v>
      </c>
      <c r="AI2236" s="81" t="s">
        <v>6479</v>
      </c>
      <c r="AJ2236" s="81"/>
      <c r="AK2236" s="86" t="s">
        <v>6240</v>
      </c>
      <c r="AL2236" s="81" t="b">
        <v>0</v>
      </c>
      <c r="AM2236" s="81">
        <v>0</v>
      </c>
      <c r="AN2236" s="86" t="s">
        <v>6240</v>
      </c>
      <c r="AO2236" s="86" t="s">
        <v>6506</v>
      </c>
      <c r="AP2236" s="81" t="b">
        <v>0</v>
      </c>
      <c r="AQ2236" s="86" t="s">
        <v>5919</v>
      </c>
      <c r="AR2236" s="81" t="s">
        <v>179</v>
      </c>
      <c r="AS2236" s="81">
        <v>0</v>
      </c>
      <c r="AT2236" s="81">
        <v>0</v>
      </c>
      <c r="AU2236" s="81"/>
      <c r="AV2236" s="81"/>
      <c r="AW2236" s="81"/>
      <c r="AX2236" s="81"/>
      <c r="AY2236" s="81"/>
      <c r="AZ2236" s="81"/>
      <c r="BA2236" s="81"/>
      <c r="BB2236" s="81"/>
    </row>
    <row r="2237" spans="1:54" x14ac:dyDescent="0.35">
      <c r="A2237" s="66" t="s">
        <v>1269</v>
      </c>
      <c r="B2237" s="66" t="s">
        <v>1269</v>
      </c>
      <c r="C2237" s="67"/>
      <c r="D2237" s="68"/>
      <c r="E2237" s="69"/>
      <c r="F2237" s="70"/>
      <c r="G2237" s="67"/>
      <c r="H2237" s="71"/>
      <c r="I2237" s="72"/>
      <c r="J2237" s="72"/>
      <c r="K2237" s="36"/>
      <c r="L2237" s="79"/>
      <c r="M2237" s="79"/>
      <c r="N2237" s="74"/>
      <c r="O2237" s="81" t="s">
        <v>179</v>
      </c>
      <c r="P2237" s="83">
        <v>44466.156597222223</v>
      </c>
      <c r="Q2237" s="81" t="s">
        <v>2421</v>
      </c>
      <c r="R2237" s="81"/>
      <c r="S2237" s="81"/>
      <c r="T2237" s="81"/>
      <c r="U2237" s="81"/>
      <c r="V2237" s="84" t="str">
        <f>HYPERLINK("https://pbs.twimg.com/profile_images/378800000705328795/304bfd91ee90011498fd092cc79a423e_normal.jpeg")</f>
        <v>https://pbs.twimg.com/profile_images/378800000705328795/304bfd91ee90011498fd092cc79a423e_normal.jpeg</v>
      </c>
      <c r="W2237" s="83">
        <v>44466.156597222223</v>
      </c>
      <c r="X2237" s="89">
        <v>44466</v>
      </c>
      <c r="Y2237" s="86" t="s">
        <v>4075</v>
      </c>
      <c r="Z2237" s="84" t="str">
        <f>HYPERLINK("https://twitter.com/pos_indonesia/status/1442334558360195077")</f>
        <v>https://twitter.com/pos_indonesia/status/1442334558360195077</v>
      </c>
      <c r="AA2237" s="81"/>
      <c r="AB2237" s="81"/>
      <c r="AC2237" s="86" t="s">
        <v>5920</v>
      </c>
      <c r="AD2237" s="81"/>
      <c r="AE2237" s="81" t="b">
        <v>0</v>
      </c>
      <c r="AF2237" s="81">
        <v>0</v>
      </c>
      <c r="AG2237" s="86" t="s">
        <v>6240</v>
      </c>
      <c r="AH2237" s="81" t="b">
        <v>0</v>
      </c>
      <c r="AI2237" s="81" t="s">
        <v>6479</v>
      </c>
      <c r="AJ2237" s="81"/>
      <c r="AK2237" s="86" t="s">
        <v>6240</v>
      </c>
      <c r="AL2237" s="81" t="b">
        <v>0</v>
      </c>
      <c r="AM2237" s="81">
        <v>0</v>
      </c>
      <c r="AN2237" s="86" t="s">
        <v>6240</v>
      </c>
      <c r="AO2237" s="86" t="s">
        <v>6506</v>
      </c>
      <c r="AP2237" s="81" t="b">
        <v>0</v>
      </c>
      <c r="AQ2237" s="86" t="s">
        <v>5920</v>
      </c>
      <c r="AR2237" s="81" t="s">
        <v>179</v>
      </c>
      <c r="AS2237" s="81">
        <v>0</v>
      </c>
      <c r="AT2237" s="81">
        <v>0</v>
      </c>
      <c r="AU2237" s="81"/>
      <c r="AV2237" s="81"/>
      <c r="AW2237" s="81"/>
      <c r="AX2237" s="81"/>
      <c r="AY2237" s="81"/>
      <c r="AZ2237" s="81"/>
      <c r="BA2237" s="81"/>
      <c r="BB2237" s="81"/>
    </row>
    <row r="2238" spans="1:54" x14ac:dyDescent="0.35">
      <c r="A2238" s="66" t="s">
        <v>1269</v>
      </c>
      <c r="B2238" s="66" t="s">
        <v>1269</v>
      </c>
      <c r="C2238" s="67"/>
      <c r="D2238" s="68"/>
      <c r="E2238" s="69"/>
      <c r="F2238" s="70"/>
      <c r="G2238" s="67"/>
      <c r="H2238" s="71"/>
      <c r="I2238" s="72"/>
      <c r="J2238" s="72"/>
      <c r="K2238" s="36"/>
      <c r="L2238" s="79"/>
      <c r="M2238" s="79"/>
      <c r="N2238" s="74"/>
      <c r="O2238" s="81" t="s">
        <v>179</v>
      </c>
      <c r="P2238" s="83">
        <v>44466.177442129629</v>
      </c>
      <c r="Q2238" s="81" t="s">
        <v>2494</v>
      </c>
      <c r="R2238" s="81"/>
      <c r="S2238" s="81"/>
      <c r="T2238" s="81"/>
      <c r="U2238" s="81"/>
      <c r="V2238" s="84" t="str">
        <f>HYPERLINK("https://pbs.twimg.com/profile_images/378800000705328795/304bfd91ee90011498fd092cc79a423e_normal.jpeg")</f>
        <v>https://pbs.twimg.com/profile_images/378800000705328795/304bfd91ee90011498fd092cc79a423e_normal.jpeg</v>
      </c>
      <c r="W2238" s="83">
        <v>44466.177442129629</v>
      </c>
      <c r="X2238" s="89">
        <v>44466</v>
      </c>
      <c r="Y2238" s="86" t="s">
        <v>4173</v>
      </c>
      <c r="Z2238" s="84" t="str">
        <f>HYPERLINK("https://twitter.com/pos_indonesia/status/1442342111232229381")</f>
        <v>https://twitter.com/pos_indonesia/status/1442342111232229381</v>
      </c>
      <c r="AA2238" s="81"/>
      <c r="AB2238" s="81"/>
      <c r="AC2238" s="86" t="s">
        <v>5921</v>
      </c>
      <c r="AD2238" s="81"/>
      <c r="AE2238" s="81" t="b">
        <v>0</v>
      </c>
      <c r="AF2238" s="81">
        <v>0</v>
      </c>
      <c r="AG2238" s="86" t="s">
        <v>6240</v>
      </c>
      <c r="AH2238" s="81" t="b">
        <v>0</v>
      </c>
      <c r="AI2238" s="81" t="s">
        <v>6479</v>
      </c>
      <c r="AJ2238" s="81"/>
      <c r="AK2238" s="86" t="s">
        <v>6240</v>
      </c>
      <c r="AL2238" s="81" t="b">
        <v>0</v>
      </c>
      <c r="AM2238" s="81">
        <v>0</v>
      </c>
      <c r="AN2238" s="86" t="s">
        <v>6240</v>
      </c>
      <c r="AO2238" s="86" t="s">
        <v>6506</v>
      </c>
      <c r="AP2238" s="81" t="b">
        <v>0</v>
      </c>
      <c r="AQ2238" s="86" t="s">
        <v>5921</v>
      </c>
      <c r="AR2238" s="81" t="s">
        <v>179</v>
      </c>
      <c r="AS2238" s="81">
        <v>0</v>
      </c>
      <c r="AT2238" s="81">
        <v>0</v>
      </c>
      <c r="AU2238" s="81"/>
      <c r="AV2238" s="81"/>
      <c r="AW2238" s="81"/>
      <c r="AX2238" s="81"/>
      <c r="AY2238" s="81"/>
      <c r="AZ2238" s="81"/>
      <c r="BA2238" s="81"/>
      <c r="BB2238" s="81"/>
    </row>
    <row r="2239" spans="1:54" x14ac:dyDescent="0.35">
      <c r="A2239" s="66" t="s">
        <v>1269</v>
      </c>
      <c r="B2239" s="66" t="s">
        <v>1269</v>
      </c>
      <c r="C2239" s="67"/>
      <c r="D2239" s="68"/>
      <c r="E2239" s="69"/>
      <c r="F2239" s="70"/>
      <c r="G2239" s="67"/>
      <c r="H2239" s="71"/>
      <c r="I2239" s="72"/>
      <c r="J2239" s="72"/>
      <c r="K2239" s="36"/>
      <c r="L2239" s="79"/>
      <c r="M2239" s="79"/>
      <c r="N2239" s="74"/>
      <c r="O2239" s="81" t="s">
        <v>179</v>
      </c>
      <c r="P2239" s="83">
        <v>44466.198275462964</v>
      </c>
      <c r="Q2239" s="81" t="s">
        <v>2551</v>
      </c>
      <c r="R2239" s="81"/>
      <c r="S2239" s="81"/>
      <c r="T2239" s="81"/>
      <c r="U2239" s="81"/>
      <c r="V2239" s="84" t="str">
        <f>HYPERLINK("https://pbs.twimg.com/profile_images/378800000705328795/304bfd91ee90011498fd092cc79a423e_normal.jpeg")</f>
        <v>https://pbs.twimg.com/profile_images/378800000705328795/304bfd91ee90011498fd092cc79a423e_normal.jpeg</v>
      </c>
      <c r="W2239" s="83">
        <v>44466.198275462964</v>
      </c>
      <c r="X2239" s="89">
        <v>44466</v>
      </c>
      <c r="Y2239" s="86" t="s">
        <v>4208</v>
      </c>
      <c r="Z2239" s="84" t="str">
        <f>HYPERLINK("https://twitter.com/pos_indonesia/status/1442349662027980804")</f>
        <v>https://twitter.com/pos_indonesia/status/1442349662027980804</v>
      </c>
      <c r="AA2239" s="81"/>
      <c r="AB2239" s="81"/>
      <c r="AC2239" s="86" t="s">
        <v>5922</v>
      </c>
      <c r="AD2239" s="81"/>
      <c r="AE2239" s="81" t="b">
        <v>0</v>
      </c>
      <c r="AF2239" s="81">
        <v>0</v>
      </c>
      <c r="AG2239" s="86" t="s">
        <v>6240</v>
      </c>
      <c r="AH2239" s="81" t="b">
        <v>0</v>
      </c>
      <c r="AI2239" s="81" t="s">
        <v>6479</v>
      </c>
      <c r="AJ2239" s="81"/>
      <c r="AK2239" s="86" t="s">
        <v>6240</v>
      </c>
      <c r="AL2239" s="81" t="b">
        <v>0</v>
      </c>
      <c r="AM2239" s="81">
        <v>0</v>
      </c>
      <c r="AN2239" s="86" t="s">
        <v>6240</v>
      </c>
      <c r="AO2239" s="86" t="s">
        <v>6506</v>
      </c>
      <c r="AP2239" s="81" t="b">
        <v>0</v>
      </c>
      <c r="AQ2239" s="86" t="s">
        <v>5922</v>
      </c>
      <c r="AR2239" s="81" t="s">
        <v>179</v>
      </c>
      <c r="AS2239" s="81">
        <v>0</v>
      </c>
      <c r="AT2239" s="81">
        <v>0</v>
      </c>
      <c r="AU2239" s="81"/>
      <c r="AV2239" s="81"/>
      <c r="AW2239" s="81"/>
      <c r="AX2239" s="81"/>
      <c r="AY2239" s="81"/>
      <c r="AZ2239" s="81"/>
      <c r="BA2239" s="81"/>
      <c r="BB2239" s="81"/>
    </row>
    <row r="2240" spans="1:54" x14ac:dyDescent="0.35">
      <c r="A2240" s="66" t="s">
        <v>1269</v>
      </c>
      <c r="B2240" s="66" t="s">
        <v>1269</v>
      </c>
      <c r="C2240" s="67"/>
      <c r="D2240" s="68"/>
      <c r="E2240" s="69"/>
      <c r="F2240" s="70"/>
      <c r="G2240" s="67"/>
      <c r="H2240" s="71"/>
      <c r="I2240" s="72"/>
      <c r="J2240" s="72"/>
      <c r="K2240" s="36"/>
      <c r="L2240" s="79"/>
      <c r="M2240" s="79"/>
      <c r="N2240" s="74"/>
      <c r="O2240" s="81" t="s">
        <v>179</v>
      </c>
      <c r="P2240" s="83">
        <v>44466.219131944446</v>
      </c>
      <c r="Q2240" s="81" t="s">
        <v>2417</v>
      </c>
      <c r="R2240" s="81"/>
      <c r="S2240" s="81"/>
      <c r="T2240" s="81"/>
      <c r="U2240" s="81"/>
      <c r="V2240" s="84" t="str">
        <f>HYPERLINK("https://pbs.twimg.com/profile_images/378800000705328795/304bfd91ee90011498fd092cc79a423e_normal.jpeg")</f>
        <v>https://pbs.twimg.com/profile_images/378800000705328795/304bfd91ee90011498fd092cc79a423e_normal.jpeg</v>
      </c>
      <c r="W2240" s="83">
        <v>44466.219131944446</v>
      </c>
      <c r="X2240" s="89">
        <v>44466</v>
      </c>
      <c r="Y2240" s="86" t="s">
        <v>4111</v>
      </c>
      <c r="Z2240" s="84" t="str">
        <f>HYPERLINK("https://twitter.com/pos_indonesia/status/1442357219903766533")</f>
        <v>https://twitter.com/pos_indonesia/status/1442357219903766533</v>
      </c>
      <c r="AA2240" s="81"/>
      <c r="AB2240" s="81"/>
      <c r="AC2240" s="86" t="s">
        <v>5923</v>
      </c>
      <c r="AD2240" s="81"/>
      <c r="AE2240" s="81" t="b">
        <v>0</v>
      </c>
      <c r="AF2240" s="81">
        <v>0</v>
      </c>
      <c r="AG2240" s="86" t="s">
        <v>6240</v>
      </c>
      <c r="AH2240" s="81" t="b">
        <v>0</v>
      </c>
      <c r="AI2240" s="81" t="s">
        <v>6479</v>
      </c>
      <c r="AJ2240" s="81"/>
      <c r="AK2240" s="86" t="s">
        <v>6240</v>
      </c>
      <c r="AL2240" s="81" t="b">
        <v>0</v>
      </c>
      <c r="AM2240" s="81">
        <v>0</v>
      </c>
      <c r="AN2240" s="86" t="s">
        <v>6240</v>
      </c>
      <c r="AO2240" s="86" t="s">
        <v>6506</v>
      </c>
      <c r="AP2240" s="81" t="b">
        <v>0</v>
      </c>
      <c r="AQ2240" s="86" t="s">
        <v>5923</v>
      </c>
      <c r="AR2240" s="81" t="s">
        <v>179</v>
      </c>
      <c r="AS2240" s="81">
        <v>0</v>
      </c>
      <c r="AT2240" s="81">
        <v>0</v>
      </c>
      <c r="AU2240" s="81"/>
      <c r="AV2240" s="81"/>
      <c r="AW2240" s="81"/>
      <c r="AX2240" s="81"/>
      <c r="AY2240" s="81"/>
      <c r="AZ2240" s="81"/>
      <c r="BA2240" s="81"/>
      <c r="BB2240" s="81"/>
    </row>
    <row r="2241" spans="1:54" x14ac:dyDescent="0.35">
      <c r="A2241" s="66" t="s">
        <v>1269</v>
      </c>
      <c r="B2241" s="66" t="s">
        <v>1269</v>
      </c>
      <c r="C2241" s="67"/>
      <c r="D2241" s="68"/>
      <c r="E2241" s="69"/>
      <c r="F2241" s="70"/>
      <c r="G2241" s="67"/>
      <c r="H2241" s="71"/>
      <c r="I2241" s="72"/>
      <c r="J2241" s="72"/>
      <c r="K2241" s="36"/>
      <c r="L2241" s="79"/>
      <c r="M2241" s="79"/>
      <c r="N2241" s="74"/>
      <c r="O2241" s="81" t="s">
        <v>179</v>
      </c>
      <c r="P2241" s="83">
        <v>44466.239930555559</v>
      </c>
      <c r="Q2241" s="81" t="s">
        <v>2460</v>
      </c>
      <c r="R2241" s="81"/>
      <c r="S2241" s="81"/>
      <c r="T2241" s="81"/>
      <c r="U2241" s="81"/>
      <c r="V2241" s="84" t="str">
        <f>HYPERLINK("https://pbs.twimg.com/profile_images/378800000705328795/304bfd91ee90011498fd092cc79a423e_normal.jpeg")</f>
        <v>https://pbs.twimg.com/profile_images/378800000705328795/304bfd91ee90011498fd092cc79a423e_normal.jpeg</v>
      </c>
      <c r="W2241" s="83">
        <v>44466.239930555559</v>
      </c>
      <c r="X2241" s="89">
        <v>44466</v>
      </c>
      <c r="Y2241" s="86" t="s">
        <v>4134</v>
      </c>
      <c r="Z2241" s="84" t="str">
        <f>HYPERLINK("https://twitter.com/pos_indonesia/status/1442364757755842561")</f>
        <v>https://twitter.com/pos_indonesia/status/1442364757755842561</v>
      </c>
      <c r="AA2241" s="81"/>
      <c r="AB2241" s="81"/>
      <c r="AC2241" s="86" t="s">
        <v>5924</v>
      </c>
      <c r="AD2241" s="81"/>
      <c r="AE2241" s="81" t="b">
        <v>0</v>
      </c>
      <c r="AF2241" s="81">
        <v>0</v>
      </c>
      <c r="AG2241" s="86" t="s">
        <v>6240</v>
      </c>
      <c r="AH2241" s="81" t="b">
        <v>0</v>
      </c>
      <c r="AI2241" s="81" t="s">
        <v>6479</v>
      </c>
      <c r="AJ2241" s="81"/>
      <c r="AK2241" s="86" t="s">
        <v>6240</v>
      </c>
      <c r="AL2241" s="81" t="b">
        <v>0</v>
      </c>
      <c r="AM2241" s="81">
        <v>0</v>
      </c>
      <c r="AN2241" s="86" t="s">
        <v>6240</v>
      </c>
      <c r="AO2241" s="86" t="s">
        <v>6506</v>
      </c>
      <c r="AP2241" s="81" t="b">
        <v>0</v>
      </c>
      <c r="AQ2241" s="86" t="s">
        <v>5924</v>
      </c>
      <c r="AR2241" s="81" t="s">
        <v>179</v>
      </c>
      <c r="AS2241" s="81">
        <v>0</v>
      </c>
      <c r="AT2241" s="81">
        <v>0</v>
      </c>
      <c r="AU2241" s="81"/>
      <c r="AV2241" s="81"/>
      <c r="AW2241" s="81"/>
      <c r="AX2241" s="81"/>
      <c r="AY2241" s="81"/>
      <c r="AZ2241" s="81"/>
      <c r="BA2241" s="81"/>
      <c r="BB2241" s="81"/>
    </row>
    <row r="2242" spans="1:54" x14ac:dyDescent="0.35">
      <c r="A2242" s="66" t="s">
        <v>1269</v>
      </c>
      <c r="B2242" s="66" t="s">
        <v>1269</v>
      </c>
      <c r="C2242" s="67"/>
      <c r="D2242" s="68"/>
      <c r="E2242" s="69"/>
      <c r="F2242" s="70"/>
      <c r="G2242" s="67"/>
      <c r="H2242" s="71"/>
      <c r="I2242" s="72"/>
      <c r="J2242" s="72"/>
      <c r="K2242" s="36"/>
      <c r="L2242" s="79"/>
      <c r="M2242" s="79"/>
      <c r="N2242" s="74"/>
      <c r="O2242" s="81" t="s">
        <v>179</v>
      </c>
      <c r="P2242" s="83">
        <v>44466.260787037034</v>
      </c>
      <c r="Q2242" s="81" t="s">
        <v>2316</v>
      </c>
      <c r="R2242" s="81"/>
      <c r="S2242" s="81"/>
      <c r="T2242" s="81"/>
      <c r="U2242" s="81"/>
      <c r="V2242" s="84" t="str">
        <f>HYPERLINK("https://pbs.twimg.com/profile_images/378800000705328795/304bfd91ee90011498fd092cc79a423e_normal.jpeg")</f>
        <v>https://pbs.twimg.com/profile_images/378800000705328795/304bfd91ee90011498fd092cc79a423e_normal.jpeg</v>
      </c>
      <c r="W2242" s="83">
        <v>44466.260787037034</v>
      </c>
      <c r="X2242" s="89">
        <v>44466</v>
      </c>
      <c r="Y2242" s="86" t="s">
        <v>4209</v>
      </c>
      <c r="Z2242" s="84" t="str">
        <f>HYPERLINK("https://twitter.com/pos_indonesia/status/1442372313039532037")</f>
        <v>https://twitter.com/pos_indonesia/status/1442372313039532037</v>
      </c>
      <c r="AA2242" s="81"/>
      <c r="AB2242" s="81"/>
      <c r="AC2242" s="86" t="s">
        <v>5925</v>
      </c>
      <c r="AD2242" s="81"/>
      <c r="AE2242" s="81" t="b">
        <v>0</v>
      </c>
      <c r="AF2242" s="81">
        <v>0</v>
      </c>
      <c r="AG2242" s="86" t="s">
        <v>6240</v>
      </c>
      <c r="AH2242" s="81" t="b">
        <v>0</v>
      </c>
      <c r="AI2242" s="81" t="s">
        <v>6479</v>
      </c>
      <c r="AJ2242" s="81"/>
      <c r="AK2242" s="86" t="s">
        <v>6240</v>
      </c>
      <c r="AL2242" s="81" t="b">
        <v>0</v>
      </c>
      <c r="AM2242" s="81">
        <v>0</v>
      </c>
      <c r="AN2242" s="86" t="s">
        <v>6240</v>
      </c>
      <c r="AO2242" s="86" t="s">
        <v>6506</v>
      </c>
      <c r="AP2242" s="81" t="b">
        <v>0</v>
      </c>
      <c r="AQ2242" s="86" t="s">
        <v>5925</v>
      </c>
      <c r="AR2242" s="81" t="s">
        <v>179</v>
      </c>
      <c r="AS2242" s="81">
        <v>0</v>
      </c>
      <c r="AT2242" s="81">
        <v>0</v>
      </c>
      <c r="AU2242" s="81"/>
      <c r="AV2242" s="81"/>
      <c r="AW2242" s="81"/>
      <c r="AX2242" s="81"/>
      <c r="AY2242" s="81"/>
      <c r="AZ2242" s="81"/>
      <c r="BA2242" s="81"/>
      <c r="BB2242" s="81"/>
    </row>
    <row r="2243" spans="1:54" x14ac:dyDescent="0.35">
      <c r="A2243" s="66" t="s">
        <v>1269</v>
      </c>
      <c r="B2243" s="66" t="s">
        <v>1269</v>
      </c>
      <c r="C2243" s="67"/>
      <c r="D2243" s="68"/>
      <c r="E2243" s="69"/>
      <c r="F2243" s="70"/>
      <c r="G2243" s="67"/>
      <c r="H2243" s="71"/>
      <c r="I2243" s="72"/>
      <c r="J2243" s="72"/>
      <c r="K2243" s="36"/>
      <c r="L2243" s="79"/>
      <c r="M2243" s="79"/>
      <c r="N2243" s="74"/>
      <c r="O2243" s="81" t="s">
        <v>179</v>
      </c>
      <c r="P2243" s="83">
        <v>44466.28162037037</v>
      </c>
      <c r="Q2243" s="81" t="s">
        <v>2430</v>
      </c>
      <c r="R2243" s="81"/>
      <c r="S2243" s="81"/>
      <c r="T2243" s="81"/>
      <c r="U2243" s="81"/>
      <c r="V2243" s="84" t="str">
        <f>HYPERLINK("https://pbs.twimg.com/profile_images/378800000705328795/304bfd91ee90011498fd092cc79a423e_normal.jpeg")</f>
        <v>https://pbs.twimg.com/profile_images/378800000705328795/304bfd91ee90011498fd092cc79a423e_normal.jpeg</v>
      </c>
      <c r="W2243" s="83">
        <v>44466.28162037037</v>
      </c>
      <c r="X2243" s="89">
        <v>44466</v>
      </c>
      <c r="Y2243" s="86" t="s">
        <v>4199</v>
      </c>
      <c r="Z2243" s="84" t="str">
        <f>HYPERLINK("https://twitter.com/pos_indonesia/status/1442379862811955201")</f>
        <v>https://twitter.com/pos_indonesia/status/1442379862811955201</v>
      </c>
      <c r="AA2243" s="81"/>
      <c r="AB2243" s="81"/>
      <c r="AC2243" s="86" t="s">
        <v>5926</v>
      </c>
      <c r="AD2243" s="81"/>
      <c r="AE2243" s="81" t="b">
        <v>0</v>
      </c>
      <c r="AF2243" s="81">
        <v>0</v>
      </c>
      <c r="AG2243" s="86" t="s">
        <v>6240</v>
      </c>
      <c r="AH2243" s="81" t="b">
        <v>0</v>
      </c>
      <c r="AI2243" s="81" t="s">
        <v>6479</v>
      </c>
      <c r="AJ2243" s="81"/>
      <c r="AK2243" s="86" t="s">
        <v>6240</v>
      </c>
      <c r="AL2243" s="81" t="b">
        <v>0</v>
      </c>
      <c r="AM2243" s="81">
        <v>0</v>
      </c>
      <c r="AN2243" s="86" t="s">
        <v>6240</v>
      </c>
      <c r="AO2243" s="86" t="s">
        <v>6506</v>
      </c>
      <c r="AP2243" s="81" t="b">
        <v>0</v>
      </c>
      <c r="AQ2243" s="86" t="s">
        <v>5926</v>
      </c>
      <c r="AR2243" s="81" t="s">
        <v>179</v>
      </c>
      <c r="AS2243" s="81">
        <v>0</v>
      </c>
      <c r="AT2243" s="81">
        <v>0</v>
      </c>
      <c r="AU2243" s="81"/>
      <c r="AV2243" s="81"/>
      <c r="AW2243" s="81"/>
      <c r="AX2243" s="81"/>
      <c r="AY2243" s="81"/>
      <c r="AZ2243" s="81"/>
      <c r="BA2243" s="81"/>
      <c r="BB2243" s="81"/>
    </row>
    <row r="2244" spans="1:54" x14ac:dyDescent="0.35">
      <c r="A2244" s="66" t="s">
        <v>1269</v>
      </c>
      <c r="B2244" s="66" t="s">
        <v>1269</v>
      </c>
      <c r="C2244" s="67"/>
      <c r="D2244" s="68"/>
      <c r="E2244" s="69"/>
      <c r="F2244" s="70"/>
      <c r="G2244" s="67"/>
      <c r="H2244" s="71"/>
      <c r="I2244" s="72"/>
      <c r="J2244" s="72"/>
      <c r="K2244" s="36"/>
      <c r="L2244" s="79"/>
      <c r="M2244" s="79"/>
      <c r="N2244" s="74"/>
      <c r="O2244" s="81" t="s">
        <v>179</v>
      </c>
      <c r="P2244" s="83">
        <v>44466.302453703705</v>
      </c>
      <c r="Q2244" s="81" t="s">
        <v>2552</v>
      </c>
      <c r="R2244" s="81"/>
      <c r="S2244" s="81"/>
      <c r="T2244" s="81"/>
      <c r="U2244" s="81"/>
      <c r="V2244" s="84" t="str">
        <f>HYPERLINK("https://pbs.twimg.com/profile_images/378800000705328795/304bfd91ee90011498fd092cc79a423e_normal.jpeg")</f>
        <v>https://pbs.twimg.com/profile_images/378800000705328795/304bfd91ee90011498fd092cc79a423e_normal.jpeg</v>
      </c>
      <c r="W2244" s="83">
        <v>44466.302453703705</v>
      </c>
      <c r="X2244" s="89">
        <v>44466</v>
      </c>
      <c r="Y2244" s="86" t="s">
        <v>3628</v>
      </c>
      <c r="Z2244" s="84" t="str">
        <f>HYPERLINK("https://twitter.com/pos_indonesia/status/1442387413003767808")</f>
        <v>https://twitter.com/pos_indonesia/status/1442387413003767808</v>
      </c>
      <c r="AA2244" s="81"/>
      <c r="AB2244" s="81"/>
      <c r="AC2244" s="86" t="s">
        <v>5927</v>
      </c>
      <c r="AD2244" s="81"/>
      <c r="AE2244" s="81" t="b">
        <v>0</v>
      </c>
      <c r="AF2244" s="81">
        <v>0</v>
      </c>
      <c r="AG2244" s="86" t="s">
        <v>6240</v>
      </c>
      <c r="AH2244" s="81" t="b">
        <v>0</v>
      </c>
      <c r="AI2244" s="81" t="s">
        <v>6479</v>
      </c>
      <c r="AJ2244" s="81"/>
      <c r="AK2244" s="86" t="s">
        <v>6240</v>
      </c>
      <c r="AL2244" s="81" t="b">
        <v>0</v>
      </c>
      <c r="AM2244" s="81">
        <v>0</v>
      </c>
      <c r="AN2244" s="86" t="s">
        <v>6240</v>
      </c>
      <c r="AO2244" s="86" t="s">
        <v>6506</v>
      </c>
      <c r="AP2244" s="81" t="b">
        <v>0</v>
      </c>
      <c r="AQ2244" s="86" t="s">
        <v>5927</v>
      </c>
      <c r="AR2244" s="81" t="s">
        <v>179</v>
      </c>
      <c r="AS2244" s="81">
        <v>0</v>
      </c>
      <c r="AT2244" s="81">
        <v>0</v>
      </c>
      <c r="AU2244" s="81"/>
      <c r="AV2244" s="81"/>
      <c r="AW2244" s="81"/>
      <c r="AX2244" s="81"/>
      <c r="AY2244" s="81"/>
      <c r="AZ2244" s="81"/>
      <c r="BA2244" s="81"/>
      <c r="BB2244" s="81"/>
    </row>
    <row r="2245" spans="1:54" x14ac:dyDescent="0.35">
      <c r="A2245" s="66" t="s">
        <v>1269</v>
      </c>
      <c r="B2245" s="66" t="s">
        <v>1269</v>
      </c>
      <c r="C2245" s="67"/>
      <c r="D2245" s="68"/>
      <c r="E2245" s="69"/>
      <c r="F2245" s="70"/>
      <c r="G2245" s="67"/>
      <c r="H2245" s="71"/>
      <c r="I2245" s="72"/>
      <c r="J2245" s="72"/>
      <c r="K2245" s="36"/>
      <c r="L2245" s="79"/>
      <c r="M2245" s="79"/>
      <c r="N2245" s="74"/>
      <c r="O2245" s="81" t="s">
        <v>179</v>
      </c>
      <c r="P2245" s="83">
        <v>44466.323263888888</v>
      </c>
      <c r="Q2245" s="81" t="s">
        <v>2405</v>
      </c>
      <c r="R2245" s="81"/>
      <c r="S2245" s="81"/>
      <c r="T2245" s="81"/>
      <c r="U2245" s="81"/>
      <c r="V2245" s="84" t="str">
        <f>HYPERLINK("https://pbs.twimg.com/profile_images/378800000705328795/304bfd91ee90011498fd092cc79a423e_normal.jpeg")</f>
        <v>https://pbs.twimg.com/profile_images/378800000705328795/304bfd91ee90011498fd092cc79a423e_normal.jpeg</v>
      </c>
      <c r="W2245" s="83">
        <v>44466.323263888888</v>
      </c>
      <c r="X2245" s="89">
        <v>44466</v>
      </c>
      <c r="Y2245" s="86" t="s">
        <v>4112</v>
      </c>
      <c r="Z2245" s="84" t="str">
        <f>HYPERLINK("https://twitter.com/pos_indonesia/status/1442394956677607425")</f>
        <v>https://twitter.com/pos_indonesia/status/1442394956677607425</v>
      </c>
      <c r="AA2245" s="81"/>
      <c r="AB2245" s="81"/>
      <c r="AC2245" s="86" t="s">
        <v>5928</v>
      </c>
      <c r="AD2245" s="81"/>
      <c r="AE2245" s="81" t="b">
        <v>0</v>
      </c>
      <c r="AF2245" s="81">
        <v>1</v>
      </c>
      <c r="AG2245" s="86" t="s">
        <v>6240</v>
      </c>
      <c r="AH2245" s="81" t="b">
        <v>0</v>
      </c>
      <c r="AI2245" s="81" t="s">
        <v>6479</v>
      </c>
      <c r="AJ2245" s="81"/>
      <c r="AK2245" s="86" t="s">
        <v>6240</v>
      </c>
      <c r="AL2245" s="81" t="b">
        <v>0</v>
      </c>
      <c r="AM2245" s="81">
        <v>0</v>
      </c>
      <c r="AN2245" s="86" t="s">
        <v>6240</v>
      </c>
      <c r="AO2245" s="86" t="s">
        <v>6506</v>
      </c>
      <c r="AP2245" s="81" t="b">
        <v>0</v>
      </c>
      <c r="AQ2245" s="86" t="s">
        <v>5928</v>
      </c>
      <c r="AR2245" s="81" t="s">
        <v>179</v>
      </c>
      <c r="AS2245" s="81">
        <v>0</v>
      </c>
      <c r="AT2245" s="81">
        <v>0</v>
      </c>
      <c r="AU2245" s="81"/>
      <c r="AV2245" s="81"/>
      <c r="AW2245" s="81"/>
      <c r="AX2245" s="81"/>
      <c r="AY2245" s="81"/>
      <c r="AZ2245" s="81"/>
      <c r="BA2245" s="81"/>
      <c r="BB2245" s="81"/>
    </row>
    <row r="2246" spans="1:54" x14ac:dyDescent="0.35">
      <c r="A2246" s="66" t="s">
        <v>1269</v>
      </c>
      <c r="B2246" s="66" t="s">
        <v>1269</v>
      </c>
      <c r="C2246" s="67"/>
      <c r="D2246" s="68"/>
      <c r="E2246" s="69"/>
      <c r="F2246" s="70"/>
      <c r="G2246" s="67"/>
      <c r="H2246" s="71"/>
      <c r="I2246" s="72"/>
      <c r="J2246" s="72"/>
      <c r="K2246" s="36"/>
      <c r="L2246" s="79"/>
      <c r="M2246" s="79"/>
      <c r="N2246" s="74"/>
      <c r="O2246" s="81" t="s">
        <v>179</v>
      </c>
      <c r="P2246" s="83">
        <v>44466.34412037037</v>
      </c>
      <c r="Q2246" s="81" t="s">
        <v>2447</v>
      </c>
      <c r="R2246" s="81"/>
      <c r="S2246" s="81"/>
      <c r="T2246" s="81"/>
      <c r="U2246" s="81"/>
      <c r="V2246" s="84" t="str">
        <f>HYPERLINK("https://pbs.twimg.com/profile_images/378800000705328795/304bfd91ee90011498fd092cc79a423e_normal.jpeg")</f>
        <v>https://pbs.twimg.com/profile_images/378800000705328795/304bfd91ee90011498fd092cc79a423e_normal.jpeg</v>
      </c>
      <c r="W2246" s="83">
        <v>44466.34412037037</v>
      </c>
      <c r="X2246" s="89">
        <v>44466</v>
      </c>
      <c r="Y2246" s="86" t="s">
        <v>4200</v>
      </c>
      <c r="Z2246" s="84" t="str">
        <f>HYPERLINK("https://twitter.com/pos_indonesia/status/1442402514456879108")</f>
        <v>https://twitter.com/pos_indonesia/status/1442402514456879108</v>
      </c>
      <c r="AA2246" s="81"/>
      <c r="AB2246" s="81"/>
      <c r="AC2246" s="86" t="s">
        <v>5929</v>
      </c>
      <c r="AD2246" s="81"/>
      <c r="AE2246" s="81" t="b">
        <v>0</v>
      </c>
      <c r="AF2246" s="81">
        <v>0</v>
      </c>
      <c r="AG2246" s="86" t="s">
        <v>6240</v>
      </c>
      <c r="AH2246" s="81" t="b">
        <v>0</v>
      </c>
      <c r="AI2246" s="81" t="s">
        <v>6479</v>
      </c>
      <c r="AJ2246" s="81"/>
      <c r="AK2246" s="86" t="s">
        <v>6240</v>
      </c>
      <c r="AL2246" s="81" t="b">
        <v>0</v>
      </c>
      <c r="AM2246" s="81">
        <v>0</v>
      </c>
      <c r="AN2246" s="86" t="s">
        <v>6240</v>
      </c>
      <c r="AO2246" s="86" t="s">
        <v>6506</v>
      </c>
      <c r="AP2246" s="81" t="b">
        <v>0</v>
      </c>
      <c r="AQ2246" s="86" t="s">
        <v>5929</v>
      </c>
      <c r="AR2246" s="81" t="s">
        <v>179</v>
      </c>
      <c r="AS2246" s="81">
        <v>0</v>
      </c>
      <c r="AT2246" s="81">
        <v>0</v>
      </c>
      <c r="AU2246" s="81"/>
      <c r="AV2246" s="81"/>
      <c r="AW2246" s="81"/>
      <c r="AX2246" s="81"/>
      <c r="AY2246" s="81"/>
      <c r="AZ2246" s="81"/>
      <c r="BA2246" s="81"/>
      <c r="BB2246" s="81"/>
    </row>
    <row r="2247" spans="1:54" x14ac:dyDescent="0.35">
      <c r="A2247" s="66" t="s">
        <v>1269</v>
      </c>
      <c r="B2247" s="66" t="s">
        <v>1269</v>
      </c>
      <c r="C2247" s="67"/>
      <c r="D2247" s="68"/>
      <c r="E2247" s="69"/>
      <c r="F2247" s="70"/>
      <c r="G2247" s="67"/>
      <c r="H2247" s="71"/>
      <c r="I2247" s="72"/>
      <c r="J2247" s="72"/>
      <c r="K2247" s="36"/>
      <c r="L2247" s="79"/>
      <c r="M2247" s="79"/>
      <c r="N2247" s="74"/>
      <c r="O2247" s="81" t="s">
        <v>179</v>
      </c>
      <c r="P2247" s="83">
        <v>44466.364953703705</v>
      </c>
      <c r="Q2247" s="81" t="s">
        <v>2407</v>
      </c>
      <c r="R2247" s="81"/>
      <c r="S2247" s="81"/>
      <c r="T2247" s="81"/>
      <c r="U2247" s="81"/>
      <c r="V2247" s="84" t="str">
        <f>HYPERLINK("https://pbs.twimg.com/profile_images/378800000705328795/304bfd91ee90011498fd092cc79a423e_normal.jpeg")</f>
        <v>https://pbs.twimg.com/profile_images/378800000705328795/304bfd91ee90011498fd092cc79a423e_normal.jpeg</v>
      </c>
      <c r="W2247" s="83">
        <v>44466.364953703705</v>
      </c>
      <c r="X2247" s="89">
        <v>44466</v>
      </c>
      <c r="Y2247" s="86" t="s">
        <v>4201</v>
      </c>
      <c r="Z2247" s="84" t="str">
        <f>HYPERLINK("https://twitter.com/pos_indonesia/status/1442410062559858689")</f>
        <v>https://twitter.com/pos_indonesia/status/1442410062559858689</v>
      </c>
      <c r="AA2247" s="81"/>
      <c r="AB2247" s="81"/>
      <c r="AC2247" s="86" t="s">
        <v>5930</v>
      </c>
      <c r="AD2247" s="81"/>
      <c r="AE2247" s="81" t="b">
        <v>0</v>
      </c>
      <c r="AF2247" s="81">
        <v>0</v>
      </c>
      <c r="AG2247" s="86" t="s">
        <v>6240</v>
      </c>
      <c r="AH2247" s="81" t="b">
        <v>0</v>
      </c>
      <c r="AI2247" s="81" t="s">
        <v>6479</v>
      </c>
      <c r="AJ2247" s="81"/>
      <c r="AK2247" s="86" t="s">
        <v>6240</v>
      </c>
      <c r="AL2247" s="81" t="b">
        <v>0</v>
      </c>
      <c r="AM2247" s="81">
        <v>0</v>
      </c>
      <c r="AN2247" s="86" t="s">
        <v>6240</v>
      </c>
      <c r="AO2247" s="86" t="s">
        <v>6506</v>
      </c>
      <c r="AP2247" s="81" t="b">
        <v>0</v>
      </c>
      <c r="AQ2247" s="86" t="s">
        <v>5930</v>
      </c>
      <c r="AR2247" s="81" t="s">
        <v>179</v>
      </c>
      <c r="AS2247" s="81">
        <v>0</v>
      </c>
      <c r="AT2247" s="81">
        <v>0</v>
      </c>
      <c r="AU2247" s="81"/>
      <c r="AV2247" s="81"/>
      <c r="AW2247" s="81"/>
      <c r="AX2247" s="81"/>
      <c r="AY2247" s="81"/>
      <c r="AZ2247" s="81"/>
      <c r="BA2247" s="81"/>
      <c r="BB2247" s="81"/>
    </row>
    <row r="2248" spans="1:54" x14ac:dyDescent="0.35">
      <c r="A2248" s="66" t="s">
        <v>1269</v>
      </c>
      <c r="B2248" s="66" t="s">
        <v>1269</v>
      </c>
      <c r="C2248" s="67"/>
      <c r="D2248" s="68"/>
      <c r="E2248" s="69"/>
      <c r="F2248" s="70"/>
      <c r="G2248" s="67"/>
      <c r="H2248" s="71"/>
      <c r="I2248" s="72"/>
      <c r="J2248" s="72"/>
      <c r="K2248" s="36"/>
      <c r="L2248" s="79"/>
      <c r="M2248" s="79"/>
      <c r="N2248" s="74"/>
      <c r="O2248" s="81" t="s">
        <v>179</v>
      </c>
      <c r="P2248" s="83">
        <v>44466.385787037034</v>
      </c>
      <c r="Q2248" s="81" t="s">
        <v>2350</v>
      </c>
      <c r="R2248" s="81"/>
      <c r="S2248" s="81"/>
      <c r="T2248" s="81"/>
      <c r="U2248" s="81"/>
      <c r="V2248" s="84" t="str">
        <f>HYPERLINK("https://pbs.twimg.com/profile_images/378800000705328795/304bfd91ee90011498fd092cc79a423e_normal.jpeg")</f>
        <v>https://pbs.twimg.com/profile_images/378800000705328795/304bfd91ee90011498fd092cc79a423e_normal.jpeg</v>
      </c>
      <c r="W2248" s="83">
        <v>44466.385787037034</v>
      </c>
      <c r="X2248" s="89">
        <v>44466</v>
      </c>
      <c r="Y2248" s="86" t="s">
        <v>4153</v>
      </c>
      <c r="Z2248" s="84" t="str">
        <f>HYPERLINK("https://twitter.com/pos_indonesia/status/1442417612353277953")</f>
        <v>https://twitter.com/pos_indonesia/status/1442417612353277953</v>
      </c>
      <c r="AA2248" s="81"/>
      <c r="AB2248" s="81"/>
      <c r="AC2248" s="86" t="s">
        <v>5931</v>
      </c>
      <c r="AD2248" s="81"/>
      <c r="AE2248" s="81" t="b">
        <v>0</v>
      </c>
      <c r="AF2248" s="81">
        <v>0</v>
      </c>
      <c r="AG2248" s="86" t="s">
        <v>6240</v>
      </c>
      <c r="AH2248" s="81" t="b">
        <v>0</v>
      </c>
      <c r="AI2248" s="81" t="s">
        <v>6479</v>
      </c>
      <c r="AJ2248" s="81"/>
      <c r="AK2248" s="86" t="s">
        <v>6240</v>
      </c>
      <c r="AL2248" s="81" t="b">
        <v>0</v>
      </c>
      <c r="AM2248" s="81">
        <v>0</v>
      </c>
      <c r="AN2248" s="86" t="s">
        <v>6240</v>
      </c>
      <c r="AO2248" s="86" t="s">
        <v>6506</v>
      </c>
      <c r="AP2248" s="81" t="b">
        <v>0</v>
      </c>
      <c r="AQ2248" s="86" t="s">
        <v>5931</v>
      </c>
      <c r="AR2248" s="81" t="s">
        <v>179</v>
      </c>
      <c r="AS2248" s="81">
        <v>0</v>
      </c>
      <c r="AT2248" s="81">
        <v>0</v>
      </c>
      <c r="AU2248" s="81"/>
      <c r="AV2248" s="81"/>
      <c r="AW2248" s="81"/>
      <c r="AX2248" s="81"/>
      <c r="AY2248" s="81"/>
      <c r="AZ2248" s="81"/>
      <c r="BA2248" s="81"/>
      <c r="BB2248" s="81"/>
    </row>
    <row r="2249" spans="1:54" x14ac:dyDescent="0.35">
      <c r="A2249" s="66" t="s">
        <v>1269</v>
      </c>
      <c r="B2249" s="66" t="s">
        <v>1269</v>
      </c>
      <c r="C2249" s="67"/>
      <c r="D2249" s="68"/>
      <c r="E2249" s="69"/>
      <c r="F2249" s="70"/>
      <c r="G2249" s="67"/>
      <c r="H2249" s="71"/>
      <c r="I2249" s="72"/>
      <c r="J2249" s="72"/>
      <c r="K2249" s="36"/>
      <c r="L2249" s="79"/>
      <c r="M2249" s="79"/>
      <c r="N2249" s="74"/>
      <c r="O2249" s="81" t="s">
        <v>179</v>
      </c>
      <c r="P2249" s="83">
        <v>44466.406597222223</v>
      </c>
      <c r="Q2249" s="81" t="s">
        <v>2553</v>
      </c>
      <c r="R2249" s="81"/>
      <c r="S2249" s="81"/>
      <c r="T2249" s="81"/>
      <c r="U2249" s="81"/>
      <c r="V2249" s="84" t="str">
        <f>HYPERLINK("https://pbs.twimg.com/profile_images/378800000705328795/304bfd91ee90011498fd092cc79a423e_normal.jpeg")</f>
        <v>https://pbs.twimg.com/profile_images/378800000705328795/304bfd91ee90011498fd092cc79a423e_normal.jpeg</v>
      </c>
      <c r="W2249" s="83">
        <v>44466.406597222223</v>
      </c>
      <c r="X2249" s="89">
        <v>44466</v>
      </c>
      <c r="Y2249" s="86" t="s">
        <v>4180</v>
      </c>
      <c r="Z2249" s="84" t="str">
        <f>HYPERLINK("https://twitter.com/pos_indonesia/status/1442425153963499520")</f>
        <v>https://twitter.com/pos_indonesia/status/1442425153963499520</v>
      </c>
      <c r="AA2249" s="81"/>
      <c r="AB2249" s="81"/>
      <c r="AC2249" s="86" t="s">
        <v>5932</v>
      </c>
      <c r="AD2249" s="81"/>
      <c r="AE2249" s="81" t="b">
        <v>0</v>
      </c>
      <c r="AF2249" s="81">
        <v>0</v>
      </c>
      <c r="AG2249" s="86" t="s">
        <v>6240</v>
      </c>
      <c r="AH2249" s="81" t="b">
        <v>0</v>
      </c>
      <c r="AI2249" s="81" t="s">
        <v>6479</v>
      </c>
      <c r="AJ2249" s="81"/>
      <c r="AK2249" s="86" t="s">
        <v>6240</v>
      </c>
      <c r="AL2249" s="81" t="b">
        <v>0</v>
      </c>
      <c r="AM2249" s="81">
        <v>0</v>
      </c>
      <c r="AN2249" s="86" t="s">
        <v>6240</v>
      </c>
      <c r="AO2249" s="86" t="s">
        <v>6506</v>
      </c>
      <c r="AP2249" s="81" t="b">
        <v>0</v>
      </c>
      <c r="AQ2249" s="86" t="s">
        <v>5932</v>
      </c>
      <c r="AR2249" s="81" t="s">
        <v>179</v>
      </c>
      <c r="AS2249" s="81">
        <v>0</v>
      </c>
      <c r="AT2249" s="81">
        <v>0</v>
      </c>
      <c r="AU2249" s="81"/>
      <c r="AV2249" s="81"/>
      <c r="AW2249" s="81"/>
      <c r="AX2249" s="81"/>
      <c r="AY2249" s="81"/>
      <c r="AZ2249" s="81"/>
      <c r="BA2249" s="81"/>
      <c r="BB2249" s="81"/>
    </row>
    <row r="2250" spans="1:54" x14ac:dyDescent="0.35">
      <c r="A2250" s="66" t="s">
        <v>1269</v>
      </c>
      <c r="B2250" s="66" t="s">
        <v>1269</v>
      </c>
      <c r="C2250" s="67"/>
      <c r="D2250" s="68"/>
      <c r="E2250" s="69"/>
      <c r="F2250" s="70"/>
      <c r="G2250" s="67"/>
      <c r="H2250" s="71"/>
      <c r="I2250" s="72"/>
      <c r="J2250" s="72"/>
      <c r="K2250" s="36"/>
      <c r="L2250" s="79"/>
      <c r="M2250" s="79"/>
      <c r="N2250" s="74"/>
      <c r="O2250" s="81" t="s">
        <v>179</v>
      </c>
      <c r="P2250" s="83">
        <v>44466.427453703705</v>
      </c>
      <c r="Q2250" s="81" t="s">
        <v>2446</v>
      </c>
      <c r="R2250" s="81"/>
      <c r="S2250" s="81"/>
      <c r="T2250" s="81"/>
      <c r="U2250" s="81"/>
      <c r="V2250" s="84" t="str">
        <f>HYPERLINK("https://pbs.twimg.com/profile_images/378800000705328795/304bfd91ee90011498fd092cc79a423e_normal.jpeg")</f>
        <v>https://pbs.twimg.com/profile_images/378800000705328795/304bfd91ee90011498fd092cc79a423e_normal.jpeg</v>
      </c>
      <c r="W2250" s="83">
        <v>44466.427453703705</v>
      </c>
      <c r="X2250" s="89">
        <v>44466</v>
      </c>
      <c r="Y2250" s="86" t="s">
        <v>4181</v>
      </c>
      <c r="Z2250" s="84" t="str">
        <f>HYPERLINK("https://twitter.com/pos_indonesia/status/1442432712459972610")</f>
        <v>https://twitter.com/pos_indonesia/status/1442432712459972610</v>
      </c>
      <c r="AA2250" s="81"/>
      <c r="AB2250" s="81"/>
      <c r="AC2250" s="86" t="s">
        <v>5933</v>
      </c>
      <c r="AD2250" s="81"/>
      <c r="AE2250" s="81" t="b">
        <v>0</v>
      </c>
      <c r="AF2250" s="81">
        <v>0</v>
      </c>
      <c r="AG2250" s="86" t="s">
        <v>6240</v>
      </c>
      <c r="AH2250" s="81" t="b">
        <v>0</v>
      </c>
      <c r="AI2250" s="81" t="s">
        <v>6479</v>
      </c>
      <c r="AJ2250" s="81"/>
      <c r="AK2250" s="86" t="s">
        <v>6240</v>
      </c>
      <c r="AL2250" s="81" t="b">
        <v>0</v>
      </c>
      <c r="AM2250" s="81">
        <v>0</v>
      </c>
      <c r="AN2250" s="86" t="s">
        <v>6240</v>
      </c>
      <c r="AO2250" s="86" t="s">
        <v>6506</v>
      </c>
      <c r="AP2250" s="81" t="b">
        <v>0</v>
      </c>
      <c r="AQ2250" s="86" t="s">
        <v>5933</v>
      </c>
      <c r="AR2250" s="81" t="s">
        <v>179</v>
      </c>
      <c r="AS2250" s="81">
        <v>0</v>
      </c>
      <c r="AT2250" s="81">
        <v>0</v>
      </c>
      <c r="AU2250" s="81"/>
      <c r="AV2250" s="81"/>
      <c r="AW2250" s="81"/>
      <c r="AX2250" s="81"/>
      <c r="AY2250" s="81"/>
      <c r="AZ2250" s="81"/>
      <c r="BA2250" s="81"/>
      <c r="BB2250" s="81"/>
    </row>
    <row r="2251" spans="1:54" x14ac:dyDescent="0.35">
      <c r="A2251" s="66" t="s">
        <v>1269</v>
      </c>
      <c r="B2251" s="66" t="s">
        <v>1269</v>
      </c>
      <c r="C2251" s="67"/>
      <c r="D2251" s="68"/>
      <c r="E2251" s="69"/>
      <c r="F2251" s="70"/>
      <c r="G2251" s="67"/>
      <c r="H2251" s="71"/>
      <c r="I2251" s="72"/>
      <c r="J2251" s="72"/>
      <c r="K2251" s="36"/>
      <c r="L2251" s="79"/>
      <c r="M2251" s="79"/>
      <c r="N2251" s="74"/>
      <c r="O2251" s="81" t="s">
        <v>179</v>
      </c>
      <c r="P2251" s="83">
        <v>44466.448275462964</v>
      </c>
      <c r="Q2251" s="81" t="s">
        <v>2554</v>
      </c>
      <c r="R2251" s="81"/>
      <c r="S2251" s="81"/>
      <c r="T2251" s="81"/>
      <c r="U2251" s="81"/>
      <c r="V2251" s="84" t="str">
        <f>HYPERLINK("https://pbs.twimg.com/profile_images/378800000705328795/304bfd91ee90011498fd092cc79a423e_normal.jpeg")</f>
        <v>https://pbs.twimg.com/profile_images/378800000705328795/304bfd91ee90011498fd092cc79a423e_normal.jpeg</v>
      </c>
      <c r="W2251" s="83">
        <v>44466.448275462964</v>
      </c>
      <c r="X2251" s="89">
        <v>44466</v>
      </c>
      <c r="Y2251" s="86" t="s">
        <v>4182</v>
      </c>
      <c r="Z2251" s="84" t="str">
        <f>HYPERLINK("https://twitter.com/pos_indonesia/status/1442440259757744129")</f>
        <v>https://twitter.com/pos_indonesia/status/1442440259757744129</v>
      </c>
      <c r="AA2251" s="81"/>
      <c r="AB2251" s="81"/>
      <c r="AC2251" s="86" t="s">
        <v>5934</v>
      </c>
      <c r="AD2251" s="81"/>
      <c r="AE2251" s="81" t="b">
        <v>0</v>
      </c>
      <c r="AF2251" s="81">
        <v>0</v>
      </c>
      <c r="AG2251" s="86" t="s">
        <v>6240</v>
      </c>
      <c r="AH2251" s="81" t="b">
        <v>0</v>
      </c>
      <c r="AI2251" s="81" t="s">
        <v>6479</v>
      </c>
      <c r="AJ2251" s="81"/>
      <c r="AK2251" s="86" t="s">
        <v>6240</v>
      </c>
      <c r="AL2251" s="81" t="b">
        <v>0</v>
      </c>
      <c r="AM2251" s="81">
        <v>0</v>
      </c>
      <c r="AN2251" s="86" t="s">
        <v>6240</v>
      </c>
      <c r="AO2251" s="86" t="s">
        <v>6506</v>
      </c>
      <c r="AP2251" s="81" t="b">
        <v>0</v>
      </c>
      <c r="AQ2251" s="86" t="s">
        <v>5934</v>
      </c>
      <c r="AR2251" s="81" t="s">
        <v>179</v>
      </c>
      <c r="AS2251" s="81">
        <v>0</v>
      </c>
      <c r="AT2251" s="81">
        <v>0</v>
      </c>
      <c r="AU2251" s="81"/>
      <c r="AV2251" s="81"/>
      <c r="AW2251" s="81"/>
      <c r="AX2251" s="81"/>
      <c r="AY2251" s="81"/>
      <c r="AZ2251" s="81"/>
      <c r="BA2251" s="81"/>
      <c r="BB2251" s="81"/>
    </row>
    <row r="2252" spans="1:54" x14ac:dyDescent="0.35">
      <c r="A2252" s="66" t="s">
        <v>1269</v>
      </c>
      <c r="B2252" s="66" t="s">
        <v>1269</v>
      </c>
      <c r="C2252" s="67"/>
      <c r="D2252" s="68"/>
      <c r="E2252" s="69"/>
      <c r="F2252" s="70"/>
      <c r="G2252" s="67"/>
      <c r="H2252" s="71"/>
      <c r="I2252" s="72"/>
      <c r="J2252" s="72"/>
      <c r="K2252" s="36"/>
      <c r="L2252" s="79"/>
      <c r="M2252" s="79"/>
      <c r="N2252" s="74"/>
      <c r="O2252" s="81" t="s">
        <v>179</v>
      </c>
      <c r="P2252" s="83">
        <v>44466.469131944446</v>
      </c>
      <c r="Q2252" s="81" t="s">
        <v>2555</v>
      </c>
      <c r="R2252" s="81"/>
      <c r="S2252" s="81"/>
      <c r="T2252" s="81"/>
      <c r="U2252" s="81"/>
      <c r="V2252" s="84" t="str">
        <f>HYPERLINK("https://pbs.twimg.com/profile_images/378800000705328795/304bfd91ee90011498fd092cc79a423e_normal.jpeg")</f>
        <v>https://pbs.twimg.com/profile_images/378800000705328795/304bfd91ee90011498fd092cc79a423e_normal.jpeg</v>
      </c>
      <c r="W2252" s="83">
        <v>44466.469131944446</v>
      </c>
      <c r="X2252" s="89">
        <v>44466</v>
      </c>
      <c r="Y2252" s="86" t="s">
        <v>4154</v>
      </c>
      <c r="Z2252" s="84" t="str">
        <f>HYPERLINK("https://twitter.com/pos_indonesia/status/1442447816329084931")</f>
        <v>https://twitter.com/pos_indonesia/status/1442447816329084931</v>
      </c>
      <c r="AA2252" s="81"/>
      <c r="AB2252" s="81"/>
      <c r="AC2252" s="86" t="s">
        <v>5935</v>
      </c>
      <c r="AD2252" s="81"/>
      <c r="AE2252" s="81" t="b">
        <v>0</v>
      </c>
      <c r="AF2252" s="81">
        <v>0</v>
      </c>
      <c r="AG2252" s="86" t="s">
        <v>6240</v>
      </c>
      <c r="AH2252" s="81" t="b">
        <v>0</v>
      </c>
      <c r="AI2252" s="81" t="s">
        <v>6479</v>
      </c>
      <c r="AJ2252" s="81"/>
      <c r="AK2252" s="86" t="s">
        <v>6240</v>
      </c>
      <c r="AL2252" s="81" t="b">
        <v>0</v>
      </c>
      <c r="AM2252" s="81">
        <v>0</v>
      </c>
      <c r="AN2252" s="86" t="s">
        <v>6240</v>
      </c>
      <c r="AO2252" s="86" t="s">
        <v>6506</v>
      </c>
      <c r="AP2252" s="81" t="b">
        <v>0</v>
      </c>
      <c r="AQ2252" s="86" t="s">
        <v>5935</v>
      </c>
      <c r="AR2252" s="81" t="s">
        <v>179</v>
      </c>
      <c r="AS2252" s="81">
        <v>0</v>
      </c>
      <c r="AT2252" s="81">
        <v>0</v>
      </c>
      <c r="AU2252" s="81"/>
      <c r="AV2252" s="81"/>
      <c r="AW2252" s="81"/>
      <c r="AX2252" s="81"/>
      <c r="AY2252" s="81"/>
      <c r="AZ2252" s="81"/>
      <c r="BA2252" s="81"/>
      <c r="BB2252" s="81"/>
    </row>
    <row r="2253" spans="1:54" x14ac:dyDescent="0.35">
      <c r="A2253" s="66" t="s">
        <v>1269</v>
      </c>
      <c r="B2253" s="66" t="s">
        <v>1269</v>
      </c>
      <c r="C2253" s="67"/>
      <c r="D2253" s="68"/>
      <c r="E2253" s="69"/>
      <c r="F2253" s="70"/>
      <c r="G2253" s="67"/>
      <c r="H2253" s="71"/>
      <c r="I2253" s="72"/>
      <c r="J2253" s="72"/>
      <c r="K2253" s="36"/>
      <c r="L2253" s="79"/>
      <c r="M2253" s="79"/>
      <c r="N2253" s="74"/>
      <c r="O2253" s="81" t="s">
        <v>179</v>
      </c>
      <c r="P2253" s="83">
        <v>44466.510775462964</v>
      </c>
      <c r="Q2253" s="81" t="s">
        <v>2438</v>
      </c>
      <c r="R2253" s="81"/>
      <c r="S2253" s="81"/>
      <c r="T2253" s="81"/>
      <c r="U2253" s="81"/>
      <c r="V2253" s="84" t="str">
        <f>HYPERLINK("https://pbs.twimg.com/profile_images/378800000705328795/304bfd91ee90011498fd092cc79a423e_normal.jpeg")</f>
        <v>https://pbs.twimg.com/profile_images/378800000705328795/304bfd91ee90011498fd092cc79a423e_normal.jpeg</v>
      </c>
      <c r="W2253" s="83">
        <v>44466.510775462964</v>
      </c>
      <c r="X2253" s="89">
        <v>44466</v>
      </c>
      <c r="Y2253" s="86" t="s">
        <v>4184</v>
      </c>
      <c r="Z2253" s="84" t="str">
        <f>HYPERLINK("https://twitter.com/pos_indonesia/status/1442462908022022155")</f>
        <v>https://twitter.com/pos_indonesia/status/1442462908022022155</v>
      </c>
      <c r="AA2253" s="81"/>
      <c r="AB2253" s="81"/>
      <c r="AC2253" s="86" t="s">
        <v>5936</v>
      </c>
      <c r="AD2253" s="81"/>
      <c r="AE2253" s="81" t="b">
        <v>0</v>
      </c>
      <c r="AF2253" s="81">
        <v>0</v>
      </c>
      <c r="AG2253" s="86" t="s">
        <v>6240</v>
      </c>
      <c r="AH2253" s="81" t="b">
        <v>0</v>
      </c>
      <c r="AI2253" s="81" t="s">
        <v>6479</v>
      </c>
      <c r="AJ2253" s="81"/>
      <c r="AK2253" s="86" t="s">
        <v>6240</v>
      </c>
      <c r="AL2253" s="81" t="b">
        <v>0</v>
      </c>
      <c r="AM2253" s="81">
        <v>0</v>
      </c>
      <c r="AN2253" s="86" t="s">
        <v>6240</v>
      </c>
      <c r="AO2253" s="86" t="s">
        <v>6506</v>
      </c>
      <c r="AP2253" s="81" t="b">
        <v>0</v>
      </c>
      <c r="AQ2253" s="86" t="s">
        <v>5936</v>
      </c>
      <c r="AR2253" s="81" t="s">
        <v>179</v>
      </c>
      <c r="AS2253" s="81">
        <v>0</v>
      </c>
      <c r="AT2253" s="81">
        <v>0</v>
      </c>
      <c r="AU2253" s="81"/>
      <c r="AV2253" s="81"/>
      <c r="AW2253" s="81"/>
      <c r="AX2253" s="81"/>
      <c r="AY2253" s="81"/>
      <c r="AZ2253" s="81"/>
      <c r="BA2253" s="81"/>
      <c r="BB2253" s="81"/>
    </row>
    <row r="2254" spans="1:54" x14ac:dyDescent="0.35">
      <c r="A2254" s="66" t="s">
        <v>1269</v>
      </c>
      <c r="B2254" s="66" t="s">
        <v>1269</v>
      </c>
      <c r="C2254" s="67"/>
      <c r="D2254" s="68"/>
      <c r="E2254" s="69"/>
      <c r="F2254" s="70"/>
      <c r="G2254" s="67"/>
      <c r="H2254" s="71"/>
      <c r="I2254" s="72"/>
      <c r="J2254" s="72"/>
      <c r="K2254" s="36"/>
      <c r="L2254" s="79"/>
      <c r="M2254" s="79"/>
      <c r="N2254" s="74"/>
      <c r="O2254" s="81" t="s">
        <v>179</v>
      </c>
      <c r="P2254" s="83">
        <v>44466.531608796293</v>
      </c>
      <c r="Q2254" s="81" t="s">
        <v>2440</v>
      </c>
      <c r="R2254" s="81"/>
      <c r="S2254" s="81"/>
      <c r="T2254" s="81"/>
      <c r="U2254" s="81"/>
      <c r="V2254" s="84" t="str">
        <f>HYPERLINK("https://pbs.twimg.com/profile_images/378800000705328795/304bfd91ee90011498fd092cc79a423e_normal.jpeg")</f>
        <v>https://pbs.twimg.com/profile_images/378800000705328795/304bfd91ee90011498fd092cc79a423e_normal.jpeg</v>
      </c>
      <c r="W2254" s="83">
        <v>44466.531608796293</v>
      </c>
      <c r="X2254" s="89">
        <v>44466</v>
      </c>
      <c r="Y2254" s="86" t="s">
        <v>4210</v>
      </c>
      <c r="Z2254" s="84" t="str">
        <f>HYPERLINK("https://twitter.com/pos_indonesia/status/1442470459174375427")</f>
        <v>https://twitter.com/pos_indonesia/status/1442470459174375427</v>
      </c>
      <c r="AA2254" s="81"/>
      <c r="AB2254" s="81"/>
      <c r="AC2254" s="86" t="s">
        <v>5937</v>
      </c>
      <c r="AD2254" s="81"/>
      <c r="AE2254" s="81" t="b">
        <v>0</v>
      </c>
      <c r="AF2254" s="81">
        <v>0</v>
      </c>
      <c r="AG2254" s="86" t="s">
        <v>6240</v>
      </c>
      <c r="AH2254" s="81" t="b">
        <v>0</v>
      </c>
      <c r="AI2254" s="81" t="s">
        <v>6479</v>
      </c>
      <c r="AJ2254" s="81"/>
      <c r="AK2254" s="86" t="s">
        <v>6240</v>
      </c>
      <c r="AL2254" s="81" t="b">
        <v>0</v>
      </c>
      <c r="AM2254" s="81">
        <v>0</v>
      </c>
      <c r="AN2254" s="86" t="s">
        <v>6240</v>
      </c>
      <c r="AO2254" s="86" t="s">
        <v>6506</v>
      </c>
      <c r="AP2254" s="81" t="b">
        <v>0</v>
      </c>
      <c r="AQ2254" s="86" t="s">
        <v>5937</v>
      </c>
      <c r="AR2254" s="81" t="s">
        <v>179</v>
      </c>
      <c r="AS2254" s="81">
        <v>0</v>
      </c>
      <c r="AT2254" s="81">
        <v>0</v>
      </c>
      <c r="AU2254" s="81"/>
      <c r="AV2254" s="81"/>
      <c r="AW2254" s="81"/>
      <c r="AX2254" s="81"/>
      <c r="AY2254" s="81"/>
      <c r="AZ2254" s="81"/>
      <c r="BA2254" s="81"/>
      <c r="BB2254" s="81"/>
    </row>
    <row r="2255" spans="1:54" x14ac:dyDescent="0.35">
      <c r="A2255" s="66" t="s">
        <v>1269</v>
      </c>
      <c r="B2255" s="66" t="s">
        <v>1269</v>
      </c>
      <c r="C2255" s="67"/>
      <c r="D2255" s="68"/>
      <c r="E2255" s="69"/>
      <c r="F2255" s="70"/>
      <c r="G2255" s="67"/>
      <c r="H2255" s="71"/>
      <c r="I2255" s="72"/>
      <c r="J2255" s="72"/>
      <c r="K2255" s="36"/>
      <c r="L2255" s="79"/>
      <c r="M2255" s="79"/>
      <c r="N2255" s="74"/>
      <c r="O2255" s="81" t="s">
        <v>179</v>
      </c>
      <c r="P2255" s="83">
        <v>44466.552453703705</v>
      </c>
      <c r="Q2255" s="81" t="s">
        <v>2308</v>
      </c>
      <c r="R2255" s="81"/>
      <c r="S2255" s="81"/>
      <c r="T2255" s="81"/>
      <c r="U2255" s="81"/>
      <c r="V2255" s="84" t="str">
        <f>HYPERLINK("https://pbs.twimg.com/profile_images/378800000705328795/304bfd91ee90011498fd092cc79a423e_normal.jpeg")</f>
        <v>https://pbs.twimg.com/profile_images/378800000705328795/304bfd91ee90011498fd092cc79a423e_normal.jpeg</v>
      </c>
      <c r="W2255" s="83">
        <v>44466.552453703705</v>
      </c>
      <c r="X2255" s="89">
        <v>44466</v>
      </c>
      <c r="Y2255" s="86" t="s">
        <v>4118</v>
      </c>
      <c r="Z2255" s="84" t="str">
        <f>HYPERLINK("https://twitter.com/pos_indonesia/status/1442478012646105102")</f>
        <v>https://twitter.com/pos_indonesia/status/1442478012646105102</v>
      </c>
      <c r="AA2255" s="81"/>
      <c r="AB2255" s="81"/>
      <c r="AC2255" s="86" t="s">
        <v>5938</v>
      </c>
      <c r="AD2255" s="81"/>
      <c r="AE2255" s="81" t="b">
        <v>0</v>
      </c>
      <c r="AF2255" s="81">
        <v>0</v>
      </c>
      <c r="AG2255" s="86" t="s">
        <v>6240</v>
      </c>
      <c r="AH2255" s="81" t="b">
        <v>0</v>
      </c>
      <c r="AI2255" s="81" t="s">
        <v>6479</v>
      </c>
      <c r="AJ2255" s="81"/>
      <c r="AK2255" s="86" t="s">
        <v>6240</v>
      </c>
      <c r="AL2255" s="81" t="b">
        <v>0</v>
      </c>
      <c r="AM2255" s="81">
        <v>0</v>
      </c>
      <c r="AN2255" s="86" t="s">
        <v>6240</v>
      </c>
      <c r="AO2255" s="86" t="s">
        <v>6506</v>
      </c>
      <c r="AP2255" s="81" t="b">
        <v>0</v>
      </c>
      <c r="AQ2255" s="86" t="s">
        <v>5938</v>
      </c>
      <c r="AR2255" s="81" t="s">
        <v>179</v>
      </c>
      <c r="AS2255" s="81">
        <v>0</v>
      </c>
      <c r="AT2255" s="81">
        <v>0</v>
      </c>
      <c r="AU2255" s="81"/>
      <c r="AV2255" s="81"/>
      <c r="AW2255" s="81"/>
      <c r="AX2255" s="81"/>
      <c r="AY2255" s="81"/>
      <c r="AZ2255" s="81"/>
      <c r="BA2255" s="81"/>
      <c r="BB2255" s="81"/>
    </row>
    <row r="2256" spans="1:54" x14ac:dyDescent="0.35">
      <c r="A2256" s="66" t="s">
        <v>1269</v>
      </c>
      <c r="B2256" s="66" t="s">
        <v>1269</v>
      </c>
      <c r="C2256" s="67"/>
      <c r="D2256" s="68"/>
      <c r="E2256" s="69"/>
      <c r="F2256" s="70"/>
      <c r="G2256" s="67"/>
      <c r="H2256" s="71"/>
      <c r="I2256" s="72"/>
      <c r="J2256" s="72"/>
      <c r="K2256" s="36"/>
      <c r="L2256" s="79"/>
      <c r="M2256" s="79"/>
      <c r="N2256" s="74"/>
      <c r="O2256" s="81" t="s">
        <v>179</v>
      </c>
      <c r="P2256" s="83">
        <v>44466.594131944446</v>
      </c>
      <c r="Q2256" s="81" t="s">
        <v>2372</v>
      </c>
      <c r="R2256" s="81"/>
      <c r="S2256" s="81"/>
      <c r="T2256" s="81"/>
      <c r="U2256" s="81"/>
      <c r="V2256" s="84" t="str">
        <f>HYPERLINK("https://pbs.twimg.com/profile_images/378800000705328795/304bfd91ee90011498fd092cc79a423e_normal.jpeg")</f>
        <v>https://pbs.twimg.com/profile_images/378800000705328795/304bfd91ee90011498fd092cc79a423e_normal.jpeg</v>
      </c>
      <c r="W2256" s="83">
        <v>44466.594131944446</v>
      </c>
      <c r="X2256" s="89">
        <v>44466</v>
      </c>
      <c r="Y2256" s="86" t="s">
        <v>4204</v>
      </c>
      <c r="Z2256" s="84" t="str">
        <f>HYPERLINK("https://twitter.com/pos_indonesia/status/1442493116154466311")</f>
        <v>https://twitter.com/pos_indonesia/status/1442493116154466311</v>
      </c>
      <c r="AA2256" s="81"/>
      <c r="AB2256" s="81"/>
      <c r="AC2256" s="86" t="s">
        <v>5939</v>
      </c>
      <c r="AD2256" s="81"/>
      <c r="AE2256" s="81" t="b">
        <v>0</v>
      </c>
      <c r="AF2256" s="81">
        <v>0</v>
      </c>
      <c r="AG2256" s="86" t="s">
        <v>6240</v>
      </c>
      <c r="AH2256" s="81" t="b">
        <v>0</v>
      </c>
      <c r="AI2256" s="81" t="s">
        <v>6479</v>
      </c>
      <c r="AJ2256" s="81"/>
      <c r="AK2256" s="86" t="s">
        <v>6240</v>
      </c>
      <c r="AL2256" s="81" t="b">
        <v>0</v>
      </c>
      <c r="AM2256" s="81">
        <v>0</v>
      </c>
      <c r="AN2256" s="86" t="s">
        <v>6240</v>
      </c>
      <c r="AO2256" s="86" t="s">
        <v>6506</v>
      </c>
      <c r="AP2256" s="81" t="b">
        <v>0</v>
      </c>
      <c r="AQ2256" s="86" t="s">
        <v>5939</v>
      </c>
      <c r="AR2256" s="81" t="s">
        <v>179</v>
      </c>
      <c r="AS2256" s="81">
        <v>0</v>
      </c>
      <c r="AT2256" s="81">
        <v>0</v>
      </c>
      <c r="AU2256" s="81"/>
      <c r="AV2256" s="81"/>
      <c r="AW2256" s="81"/>
      <c r="AX2256" s="81"/>
      <c r="AY2256" s="81"/>
      <c r="AZ2256" s="81"/>
      <c r="BA2256" s="81"/>
      <c r="BB2256" s="81"/>
    </row>
    <row r="2257" spans="1:54" x14ac:dyDescent="0.35">
      <c r="A2257" s="66" t="s">
        <v>1269</v>
      </c>
      <c r="B2257" s="66" t="s">
        <v>1269</v>
      </c>
      <c r="C2257" s="67"/>
      <c r="D2257" s="68"/>
      <c r="E2257" s="69"/>
      <c r="F2257" s="70"/>
      <c r="G2257" s="67"/>
      <c r="H2257" s="71"/>
      <c r="I2257" s="72"/>
      <c r="J2257" s="72"/>
      <c r="K2257" s="36"/>
      <c r="L2257" s="79"/>
      <c r="M2257" s="79"/>
      <c r="N2257" s="74"/>
      <c r="O2257" s="81" t="s">
        <v>179</v>
      </c>
      <c r="P2257" s="83">
        <v>44466.614965277775</v>
      </c>
      <c r="Q2257" s="81" t="s">
        <v>2556</v>
      </c>
      <c r="R2257" s="81"/>
      <c r="S2257" s="81"/>
      <c r="T2257" s="81"/>
      <c r="U2257" s="81"/>
      <c r="V2257" s="84" t="str">
        <f>HYPERLINK("https://pbs.twimg.com/profile_images/378800000705328795/304bfd91ee90011498fd092cc79a423e_normal.jpeg")</f>
        <v>https://pbs.twimg.com/profile_images/378800000705328795/304bfd91ee90011498fd092cc79a423e_normal.jpeg</v>
      </c>
      <c r="W2257" s="83">
        <v>44466.614965277775</v>
      </c>
      <c r="X2257" s="89">
        <v>44466</v>
      </c>
      <c r="Y2257" s="86" t="s">
        <v>4211</v>
      </c>
      <c r="Z2257" s="84" t="str">
        <f>HYPERLINK("https://twitter.com/pos_indonesia/status/1442500663548674050")</f>
        <v>https://twitter.com/pos_indonesia/status/1442500663548674050</v>
      </c>
      <c r="AA2257" s="81"/>
      <c r="AB2257" s="81"/>
      <c r="AC2257" s="86" t="s">
        <v>5940</v>
      </c>
      <c r="AD2257" s="81"/>
      <c r="AE2257" s="81" t="b">
        <v>0</v>
      </c>
      <c r="AF2257" s="81">
        <v>0</v>
      </c>
      <c r="AG2257" s="86" t="s">
        <v>6240</v>
      </c>
      <c r="AH2257" s="81" t="b">
        <v>0</v>
      </c>
      <c r="AI2257" s="81" t="s">
        <v>6479</v>
      </c>
      <c r="AJ2257" s="81"/>
      <c r="AK2257" s="86" t="s">
        <v>6240</v>
      </c>
      <c r="AL2257" s="81" t="b">
        <v>0</v>
      </c>
      <c r="AM2257" s="81">
        <v>0</v>
      </c>
      <c r="AN2257" s="86" t="s">
        <v>6240</v>
      </c>
      <c r="AO2257" s="86" t="s">
        <v>6506</v>
      </c>
      <c r="AP2257" s="81" t="b">
        <v>0</v>
      </c>
      <c r="AQ2257" s="86" t="s">
        <v>5940</v>
      </c>
      <c r="AR2257" s="81" t="s">
        <v>179</v>
      </c>
      <c r="AS2257" s="81">
        <v>0</v>
      </c>
      <c r="AT2257" s="81">
        <v>0</v>
      </c>
      <c r="AU2257" s="81"/>
      <c r="AV2257" s="81"/>
      <c r="AW2257" s="81"/>
      <c r="AX2257" s="81"/>
      <c r="AY2257" s="81"/>
      <c r="AZ2257" s="81"/>
      <c r="BA2257" s="81"/>
      <c r="BB2257" s="81"/>
    </row>
    <row r="2258" spans="1:54" x14ac:dyDescent="0.35">
      <c r="A2258" s="66" t="s">
        <v>1269</v>
      </c>
      <c r="B2258" s="66" t="s">
        <v>1269</v>
      </c>
      <c r="C2258" s="67"/>
      <c r="D2258" s="68"/>
      <c r="E2258" s="69"/>
      <c r="F2258" s="70"/>
      <c r="G2258" s="67"/>
      <c r="H2258" s="71"/>
      <c r="I2258" s="72"/>
      <c r="J2258" s="72"/>
      <c r="K2258" s="36"/>
      <c r="L2258" s="79"/>
      <c r="M2258" s="79"/>
      <c r="N2258" s="74"/>
      <c r="O2258" s="81" t="s">
        <v>179</v>
      </c>
      <c r="P2258" s="83">
        <v>44466.656585648147</v>
      </c>
      <c r="Q2258" s="81" t="s">
        <v>2394</v>
      </c>
      <c r="R2258" s="81"/>
      <c r="S2258" s="81"/>
      <c r="T2258" s="81"/>
      <c r="U2258" s="81"/>
      <c r="V2258" s="84" t="str">
        <f>HYPERLINK("https://pbs.twimg.com/profile_images/378800000705328795/304bfd91ee90011498fd092cc79a423e_normal.jpeg")</f>
        <v>https://pbs.twimg.com/profile_images/378800000705328795/304bfd91ee90011498fd092cc79a423e_normal.jpeg</v>
      </c>
      <c r="W2258" s="83">
        <v>44466.656585648147</v>
      </c>
      <c r="X2258" s="89">
        <v>44466</v>
      </c>
      <c r="Y2258" s="86" t="s">
        <v>4122</v>
      </c>
      <c r="Z2258" s="84" t="str">
        <f>HYPERLINK("https://twitter.com/pos_indonesia/status/1442515748446879757")</f>
        <v>https://twitter.com/pos_indonesia/status/1442515748446879757</v>
      </c>
      <c r="AA2258" s="81"/>
      <c r="AB2258" s="81"/>
      <c r="AC2258" s="86" t="s">
        <v>5941</v>
      </c>
      <c r="AD2258" s="81"/>
      <c r="AE2258" s="81" t="b">
        <v>0</v>
      </c>
      <c r="AF2258" s="81">
        <v>0</v>
      </c>
      <c r="AG2258" s="86" t="s">
        <v>6240</v>
      </c>
      <c r="AH2258" s="81" t="b">
        <v>0</v>
      </c>
      <c r="AI2258" s="81" t="s">
        <v>6479</v>
      </c>
      <c r="AJ2258" s="81"/>
      <c r="AK2258" s="86" t="s">
        <v>6240</v>
      </c>
      <c r="AL2258" s="81" t="b">
        <v>0</v>
      </c>
      <c r="AM2258" s="81">
        <v>0</v>
      </c>
      <c r="AN2258" s="86" t="s">
        <v>6240</v>
      </c>
      <c r="AO2258" s="86" t="s">
        <v>6506</v>
      </c>
      <c r="AP2258" s="81" t="b">
        <v>0</v>
      </c>
      <c r="AQ2258" s="86" t="s">
        <v>5941</v>
      </c>
      <c r="AR2258" s="81" t="s">
        <v>179</v>
      </c>
      <c r="AS2258" s="81">
        <v>0</v>
      </c>
      <c r="AT2258" s="81">
        <v>0</v>
      </c>
      <c r="AU2258" s="81"/>
      <c r="AV2258" s="81"/>
      <c r="AW2258" s="81"/>
      <c r="AX2258" s="81"/>
      <c r="AY2258" s="81"/>
      <c r="AZ2258" s="81"/>
      <c r="BA2258" s="81"/>
      <c r="BB2258" s="81"/>
    </row>
    <row r="2259" spans="1:54" x14ac:dyDescent="0.35">
      <c r="A2259" s="66" t="s">
        <v>1269</v>
      </c>
      <c r="B2259" s="66" t="s">
        <v>1269</v>
      </c>
      <c r="C2259" s="67"/>
      <c r="D2259" s="68"/>
      <c r="E2259" s="69"/>
      <c r="F2259" s="70"/>
      <c r="G2259" s="67"/>
      <c r="H2259" s="71"/>
      <c r="I2259" s="72"/>
      <c r="J2259" s="72"/>
      <c r="K2259" s="36"/>
      <c r="L2259" s="79"/>
      <c r="M2259" s="79"/>
      <c r="N2259" s="74"/>
      <c r="O2259" s="81" t="s">
        <v>179</v>
      </c>
      <c r="P2259" s="83">
        <v>44466.677418981482</v>
      </c>
      <c r="Q2259" s="81" t="s">
        <v>2557</v>
      </c>
      <c r="R2259" s="81"/>
      <c r="S2259" s="81"/>
      <c r="T2259" s="81"/>
      <c r="U2259" s="81"/>
      <c r="V2259" s="84" t="str">
        <f>HYPERLINK("https://pbs.twimg.com/profile_images/378800000705328795/304bfd91ee90011498fd092cc79a423e_normal.jpeg")</f>
        <v>https://pbs.twimg.com/profile_images/378800000705328795/304bfd91ee90011498fd092cc79a423e_normal.jpeg</v>
      </c>
      <c r="W2259" s="83">
        <v>44466.677418981482</v>
      </c>
      <c r="X2259" s="89">
        <v>44466</v>
      </c>
      <c r="Y2259" s="86" t="s">
        <v>4190</v>
      </c>
      <c r="Z2259" s="84" t="str">
        <f>HYPERLINK("https://twitter.com/pos_indonesia/status/1442523295253815297")</f>
        <v>https://twitter.com/pos_indonesia/status/1442523295253815297</v>
      </c>
      <c r="AA2259" s="81"/>
      <c r="AB2259" s="81"/>
      <c r="AC2259" s="86" t="s">
        <v>5942</v>
      </c>
      <c r="AD2259" s="81"/>
      <c r="AE2259" s="81" t="b">
        <v>0</v>
      </c>
      <c r="AF2259" s="81">
        <v>0</v>
      </c>
      <c r="AG2259" s="86" t="s">
        <v>6240</v>
      </c>
      <c r="AH2259" s="81" t="b">
        <v>0</v>
      </c>
      <c r="AI2259" s="81" t="s">
        <v>6479</v>
      </c>
      <c r="AJ2259" s="81"/>
      <c r="AK2259" s="86" t="s">
        <v>6240</v>
      </c>
      <c r="AL2259" s="81" t="b">
        <v>0</v>
      </c>
      <c r="AM2259" s="81">
        <v>0</v>
      </c>
      <c r="AN2259" s="86" t="s">
        <v>6240</v>
      </c>
      <c r="AO2259" s="86" t="s">
        <v>6506</v>
      </c>
      <c r="AP2259" s="81" t="b">
        <v>0</v>
      </c>
      <c r="AQ2259" s="86" t="s">
        <v>5942</v>
      </c>
      <c r="AR2259" s="81" t="s">
        <v>179</v>
      </c>
      <c r="AS2259" s="81">
        <v>0</v>
      </c>
      <c r="AT2259" s="81">
        <v>0</v>
      </c>
      <c r="AU2259" s="81"/>
      <c r="AV2259" s="81"/>
      <c r="AW2259" s="81"/>
      <c r="AX2259" s="81"/>
      <c r="AY2259" s="81"/>
      <c r="AZ2259" s="81"/>
      <c r="BA2259" s="81"/>
      <c r="BB2259" s="81"/>
    </row>
    <row r="2260" spans="1:54" x14ac:dyDescent="0.35">
      <c r="A2260" s="66" t="s">
        <v>1269</v>
      </c>
      <c r="B2260" s="66" t="s">
        <v>1269</v>
      </c>
      <c r="C2260" s="67"/>
      <c r="D2260" s="68"/>
      <c r="E2260" s="69"/>
      <c r="F2260" s="70"/>
      <c r="G2260" s="67"/>
      <c r="H2260" s="71"/>
      <c r="I2260" s="72"/>
      <c r="J2260" s="72"/>
      <c r="K2260" s="36"/>
      <c r="L2260" s="79"/>
      <c r="M2260" s="79"/>
      <c r="N2260" s="74"/>
      <c r="O2260" s="81" t="s">
        <v>179</v>
      </c>
      <c r="P2260" s="83">
        <v>44466.698275462964</v>
      </c>
      <c r="Q2260" s="81" t="s">
        <v>2342</v>
      </c>
      <c r="R2260" s="81"/>
      <c r="S2260" s="81"/>
      <c r="T2260" s="81"/>
      <c r="U2260" s="81"/>
      <c r="V2260" s="84" t="str">
        <f>HYPERLINK("https://pbs.twimg.com/profile_images/378800000705328795/304bfd91ee90011498fd092cc79a423e_normal.jpeg")</f>
        <v>https://pbs.twimg.com/profile_images/378800000705328795/304bfd91ee90011498fd092cc79a423e_normal.jpeg</v>
      </c>
      <c r="W2260" s="83">
        <v>44466.698275462964</v>
      </c>
      <c r="X2260" s="89">
        <v>44466</v>
      </c>
      <c r="Y2260" s="86" t="s">
        <v>4159</v>
      </c>
      <c r="Z2260" s="84" t="str">
        <f>HYPERLINK("https://twitter.com/pos_indonesia/status/1442530856338280454")</f>
        <v>https://twitter.com/pos_indonesia/status/1442530856338280454</v>
      </c>
      <c r="AA2260" s="81"/>
      <c r="AB2260" s="81"/>
      <c r="AC2260" s="86" t="s">
        <v>5943</v>
      </c>
      <c r="AD2260" s="81"/>
      <c r="AE2260" s="81" t="b">
        <v>0</v>
      </c>
      <c r="AF2260" s="81">
        <v>0</v>
      </c>
      <c r="AG2260" s="86" t="s">
        <v>6240</v>
      </c>
      <c r="AH2260" s="81" t="b">
        <v>0</v>
      </c>
      <c r="AI2260" s="81" t="s">
        <v>6479</v>
      </c>
      <c r="AJ2260" s="81"/>
      <c r="AK2260" s="86" t="s">
        <v>6240</v>
      </c>
      <c r="AL2260" s="81" t="b">
        <v>0</v>
      </c>
      <c r="AM2260" s="81">
        <v>0</v>
      </c>
      <c r="AN2260" s="86" t="s">
        <v>6240</v>
      </c>
      <c r="AO2260" s="86" t="s">
        <v>6506</v>
      </c>
      <c r="AP2260" s="81" t="b">
        <v>0</v>
      </c>
      <c r="AQ2260" s="86" t="s">
        <v>5943</v>
      </c>
      <c r="AR2260" s="81" t="s">
        <v>179</v>
      </c>
      <c r="AS2260" s="81">
        <v>0</v>
      </c>
      <c r="AT2260" s="81">
        <v>0</v>
      </c>
      <c r="AU2260" s="81"/>
      <c r="AV2260" s="81"/>
      <c r="AW2260" s="81"/>
      <c r="AX2260" s="81"/>
      <c r="AY2260" s="81"/>
      <c r="AZ2260" s="81"/>
      <c r="BA2260" s="81"/>
      <c r="BB2260" s="81"/>
    </row>
    <row r="2261" spans="1:54" x14ac:dyDescent="0.35">
      <c r="A2261" s="66" t="s">
        <v>1269</v>
      </c>
      <c r="B2261" s="66" t="s">
        <v>1269</v>
      </c>
      <c r="C2261" s="67"/>
      <c r="D2261" s="68"/>
      <c r="E2261" s="69"/>
      <c r="F2261" s="70"/>
      <c r="G2261" s="67"/>
      <c r="H2261" s="71"/>
      <c r="I2261" s="72"/>
      <c r="J2261" s="72"/>
      <c r="K2261" s="36"/>
      <c r="L2261" s="79"/>
      <c r="M2261" s="79"/>
      <c r="N2261" s="74"/>
      <c r="O2261" s="81" t="s">
        <v>179</v>
      </c>
      <c r="P2261" s="83">
        <v>44466.719085648147</v>
      </c>
      <c r="Q2261" s="81" t="s">
        <v>2366</v>
      </c>
      <c r="R2261" s="81"/>
      <c r="S2261" s="81"/>
      <c r="T2261" s="81"/>
      <c r="U2261" s="81"/>
      <c r="V2261" s="84" t="str">
        <f>HYPERLINK("https://pbs.twimg.com/profile_images/378800000705328795/304bfd91ee90011498fd092cc79a423e_normal.jpeg")</f>
        <v>https://pbs.twimg.com/profile_images/378800000705328795/304bfd91ee90011498fd092cc79a423e_normal.jpeg</v>
      </c>
      <c r="W2261" s="83">
        <v>44466.719085648147</v>
      </c>
      <c r="X2261" s="89">
        <v>44466</v>
      </c>
      <c r="Y2261" s="86" t="s">
        <v>4125</v>
      </c>
      <c r="Z2261" s="84" t="str">
        <f>HYPERLINK("https://twitter.com/pos_indonesia/status/1442538396270809093")</f>
        <v>https://twitter.com/pos_indonesia/status/1442538396270809093</v>
      </c>
      <c r="AA2261" s="81"/>
      <c r="AB2261" s="81"/>
      <c r="AC2261" s="86" t="s">
        <v>5944</v>
      </c>
      <c r="AD2261" s="81"/>
      <c r="AE2261" s="81" t="b">
        <v>0</v>
      </c>
      <c r="AF2261" s="81">
        <v>0</v>
      </c>
      <c r="AG2261" s="86" t="s">
        <v>6240</v>
      </c>
      <c r="AH2261" s="81" t="b">
        <v>0</v>
      </c>
      <c r="AI2261" s="81" t="s">
        <v>6479</v>
      </c>
      <c r="AJ2261" s="81"/>
      <c r="AK2261" s="86" t="s">
        <v>6240</v>
      </c>
      <c r="AL2261" s="81" t="b">
        <v>0</v>
      </c>
      <c r="AM2261" s="81">
        <v>0</v>
      </c>
      <c r="AN2261" s="86" t="s">
        <v>6240</v>
      </c>
      <c r="AO2261" s="86" t="s">
        <v>6506</v>
      </c>
      <c r="AP2261" s="81" t="b">
        <v>0</v>
      </c>
      <c r="AQ2261" s="86" t="s">
        <v>5944</v>
      </c>
      <c r="AR2261" s="81" t="s">
        <v>179</v>
      </c>
      <c r="AS2261" s="81">
        <v>0</v>
      </c>
      <c r="AT2261" s="81">
        <v>0</v>
      </c>
      <c r="AU2261" s="81"/>
      <c r="AV2261" s="81"/>
      <c r="AW2261" s="81"/>
      <c r="AX2261" s="81"/>
      <c r="AY2261" s="81"/>
      <c r="AZ2261" s="81"/>
      <c r="BA2261" s="81"/>
      <c r="BB2261" s="81"/>
    </row>
    <row r="2262" spans="1:54" x14ac:dyDescent="0.35">
      <c r="A2262" s="66" t="s">
        <v>1269</v>
      </c>
      <c r="B2262" s="66" t="s">
        <v>1269</v>
      </c>
      <c r="C2262" s="67"/>
      <c r="D2262" s="68"/>
      <c r="E2262" s="69"/>
      <c r="F2262" s="70"/>
      <c r="G2262" s="67"/>
      <c r="H2262" s="71"/>
      <c r="I2262" s="72"/>
      <c r="J2262" s="72"/>
      <c r="K2262" s="36"/>
      <c r="L2262" s="79"/>
      <c r="M2262" s="79"/>
      <c r="N2262" s="74"/>
      <c r="O2262" s="81" t="s">
        <v>179</v>
      </c>
      <c r="P2262" s="83">
        <v>44466.739930555559</v>
      </c>
      <c r="Q2262" s="81" t="s">
        <v>2558</v>
      </c>
      <c r="R2262" s="81"/>
      <c r="S2262" s="81"/>
      <c r="T2262" s="81"/>
      <c r="U2262" s="81"/>
      <c r="V2262" s="84" t="str">
        <f>HYPERLINK("https://pbs.twimg.com/profile_images/378800000705328795/304bfd91ee90011498fd092cc79a423e_normal.jpeg")</f>
        <v>https://pbs.twimg.com/profile_images/378800000705328795/304bfd91ee90011498fd092cc79a423e_normal.jpeg</v>
      </c>
      <c r="W2262" s="83">
        <v>44466.739930555559</v>
      </c>
      <c r="X2262" s="89">
        <v>44466</v>
      </c>
      <c r="Y2262" s="86" t="s">
        <v>4101</v>
      </c>
      <c r="Z2262" s="84" t="str">
        <f>HYPERLINK("https://twitter.com/pos_indonesia/status/1442545952036777991")</f>
        <v>https://twitter.com/pos_indonesia/status/1442545952036777991</v>
      </c>
      <c r="AA2262" s="81"/>
      <c r="AB2262" s="81"/>
      <c r="AC2262" s="86" t="s">
        <v>5945</v>
      </c>
      <c r="AD2262" s="81"/>
      <c r="AE2262" s="81" t="b">
        <v>0</v>
      </c>
      <c r="AF2262" s="81">
        <v>0</v>
      </c>
      <c r="AG2262" s="86" t="s">
        <v>6240</v>
      </c>
      <c r="AH2262" s="81" t="b">
        <v>0</v>
      </c>
      <c r="AI2262" s="81" t="s">
        <v>6479</v>
      </c>
      <c r="AJ2262" s="81"/>
      <c r="AK2262" s="86" t="s">
        <v>6240</v>
      </c>
      <c r="AL2262" s="81" t="b">
        <v>0</v>
      </c>
      <c r="AM2262" s="81">
        <v>0</v>
      </c>
      <c r="AN2262" s="86" t="s">
        <v>6240</v>
      </c>
      <c r="AO2262" s="86" t="s">
        <v>6506</v>
      </c>
      <c r="AP2262" s="81" t="b">
        <v>0</v>
      </c>
      <c r="AQ2262" s="86" t="s">
        <v>5945</v>
      </c>
      <c r="AR2262" s="81" t="s">
        <v>179</v>
      </c>
      <c r="AS2262" s="81">
        <v>0</v>
      </c>
      <c r="AT2262" s="81">
        <v>0</v>
      </c>
      <c r="AU2262" s="81"/>
      <c r="AV2262" s="81"/>
      <c r="AW2262" s="81"/>
      <c r="AX2262" s="81"/>
      <c r="AY2262" s="81"/>
      <c r="AZ2262" s="81"/>
      <c r="BA2262" s="81"/>
      <c r="BB2262" s="81"/>
    </row>
    <row r="2263" spans="1:54" x14ac:dyDescent="0.35">
      <c r="A2263" s="66" t="s">
        <v>1269</v>
      </c>
      <c r="B2263" s="66" t="s">
        <v>1269</v>
      </c>
      <c r="C2263" s="67"/>
      <c r="D2263" s="68"/>
      <c r="E2263" s="69"/>
      <c r="F2263" s="70"/>
      <c r="G2263" s="67"/>
      <c r="H2263" s="71"/>
      <c r="I2263" s="72"/>
      <c r="J2263" s="72"/>
      <c r="K2263" s="36"/>
      <c r="L2263" s="79"/>
      <c r="M2263" s="79"/>
      <c r="N2263" s="74"/>
      <c r="O2263" s="81" t="s">
        <v>179</v>
      </c>
      <c r="P2263" s="83">
        <v>44466.760752314818</v>
      </c>
      <c r="Q2263" s="81" t="s">
        <v>2466</v>
      </c>
      <c r="R2263" s="81"/>
      <c r="S2263" s="81"/>
      <c r="T2263" s="81"/>
      <c r="U2263" s="81"/>
      <c r="V2263" s="84" t="str">
        <f>HYPERLINK("https://pbs.twimg.com/profile_images/378800000705328795/304bfd91ee90011498fd092cc79a423e_normal.jpeg")</f>
        <v>https://pbs.twimg.com/profile_images/378800000705328795/304bfd91ee90011498fd092cc79a423e_normal.jpeg</v>
      </c>
      <c r="W2263" s="83">
        <v>44466.760752314818</v>
      </c>
      <c r="X2263" s="89">
        <v>44466</v>
      </c>
      <c r="Y2263" s="86" t="s">
        <v>4192</v>
      </c>
      <c r="Z2263" s="84" t="str">
        <f>HYPERLINK("https://twitter.com/pos_indonesia/status/1442553495312166916")</f>
        <v>https://twitter.com/pos_indonesia/status/1442553495312166916</v>
      </c>
      <c r="AA2263" s="81"/>
      <c r="AB2263" s="81"/>
      <c r="AC2263" s="86" t="s">
        <v>5946</v>
      </c>
      <c r="AD2263" s="81"/>
      <c r="AE2263" s="81" t="b">
        <v>0</v>
      </c>
      <c r="AF2263" s="81">
        <v>1</v>
      </c>
      <c r="AG2263" s="86" t="s">
        <v>6240</v>
      </c>
      <c r="AH2263" s="81" t="b">
        <v>0</v>
      </c>
      <c r="AI2263" s="81" t="s">
        <v>6479</v>
      </c>
      <c r="AJ2263" s="81"/>
      <c r="AK2263" s="86" t="s">
        <v>6240</v>
      </c>
      <c r="AL2263" s="81" t="b">
        <v>0</v>
      </c>
      <c r="AM2263" s="81">
        <v>0</v>
      </c>
      <c r="AN2263" s="86" t="s">
        <v>6240</v>
      </c>
      <c r="AO2263" s="86" t="s">
        <v>6506</v>
      </c>
      <c r="AP2263" s="81" t="b">
        <v>0</v>
      </c>
      <c r="AQ2263" s="86" t="s">
        <v>5946</v>
      </c>
      <c r="AR2263" s="81" t="s">
        <v>179</v>
      </c>
      <c r="AS2263" s="81">
        <v>0</v>
      </c>
      <c r="AT2263" s="81">
        <v>0</v>
      </c>
      <c r="AU2263" s="81"/>
      <c r="AV2263" s="81"/>
      <c r="AW2263" s="81"/>
      <c r="AX2263" s="81"/>
      <c r="AY2263" s="81"/>
      <c r="AZ2263" s="81"/>
      <c r="BA2263" s="81"/>
      <c r="BB2263" s="81"/>
    </row>
    <row r="2264" spans="1:54" x14ac:dyDescent="0.35">
      <c r="A2264" s="66" t="s">
        <v>1269</v>
      </c>
      <c r="B2264" s="66" t="s">
        <v>1269</v>
      </c>
      <c r="C2264" s="67"/>
      <c r="D2264" s="68"/>
      <c r="E2264" s="69"/>
      <c r="F2264" s="70"/>
      <c r="G2264" s="67"/>
      <c r="H2264" s="71"/>
      <c r="I2264" s="72"/>
      <c r="J2264" s="72"/>
      <c r="K2264" s="36"/>
      <c r="L2264" s="79"/>
      <c r="M2264" s="79"/>
      <c r="N2264" s="74"/>
      <c r="O2264" s="81" t="s">
        <v>179</v>
      </c>
      <c r="P2264" s="83">
        <v>44466.781608796293</v>
      </c>
      <c r="Q2264" s="81" t="s">
        <v>2559</v>
      </c>
      <c r="R2264" s="81"/>
      <c r="S2264" s="81"/>
      <c r="T2264" s="81"/>
      <c r="U2264" s="81"/>
      <c r="V2264" s="84" t="str">
        <f>HYPERLINK("https://pbs.twimg.com/profile_images/378800000705328795/304bfd91ee90011498fd092cc79a423e_normal.jpeg")</f>
        <v>https://pbs.twimg.com/profile_images/378800000705328795/304bfd91ee90011498fd092cc79a423e_normal.jpeg</v>
      </c>
      <c r="W2264" s="83">
        <v>44466.781608796293</v>
      </c>
      <c r="X2264" s="89">
        <v>44466</v>
      </c>
      <c r="Y2264" s="86" t="s">
        <v>4193</v>
      </c>
      <c r="Z2264" s="84" t="str">
        <f>HYPERLINK("https://twitter.com/pos_indonesia/status/1442561053242449921")</f>
        <v>https://twitter.com/pos_indonesia/status/1442561053242449921</v>
      </c>
      <c r="AA2264" s="81"/>
      <c r="AB2264" s="81"/>
      <c r="AC2264" s="86" t="s">
        <v>5947</v>
      </c>
      <c r="AD2264" s="81"/>
      <c r="AE2264" s="81" t="b">
        <v>0</v>
      </c>
      <c r="AF2264" s="81">
        <v>0</v>
      </c>
      <c r="AG2264" s="86" t="s">
        <v>6240</v>
      </c>
      <c r="AH2264" s="81" t="b">
        <v>0</v>
      </c>
      <c r="AI2264" s="81" t="s">
        <v>6479</v>
      </c>
      <c r="AJ2264" s="81"/>
      <c r="AK2264" s="86" t="s">
        <v>6240</v>
      </c>
      <c r="AL2264" s="81" t="b">
        <v>0</v>
      </c>
      <c r="AM2264" s="81">
        <v>0</v>
      </c>
      <c r="AN2264" s="86" t="s">
        <v>6240</v>
      </c>
      <c r="AO2264" s="86" t="s">
        <v>6506</v>
      </c>
      <c r="AP2264" s="81" t="b">
        <v>0</v>
      </c>
      <c r="AQ2264" s="86" t="s">
        <v>5947</v>
      </c>
      <c r="AR2264" s="81" t="s">
        <v>179</v>
      </c>
      <c r="AS2264" s="81">
        <v>0</v>
      </c>
      <c r="AT2264" s="81">
        <v>0</v>
      </c>
      <c r="AU2264" s="81"/>
      <c r="AV2264" s="81"/>
      <c r="AW2264" s="81"/>
      <c r="AX2264" s="81"/>
      <c r="AY2264" s="81"/>
      <c r="AZ2264" s="81"/>
      <c r="BA2264" s="81"/>
      <c r="BB2264" s="81"/>
    </row>
    <row r="2265" spans="1:54" x14ac:dyDescent="0.35">
      <c r="A2265" s="66" t="s">
        <v>1269</v>
      </c>
      <c r="B2265" s="66" t="s">
        <v>1269</v>
      </c>
      <c r="C2265" s="67"/>
      <c r="D2265" s="68"/>
      <c r="E2265" s="69"/>
      <c r="F2265" s="70"/>
      <c r="G2265" s="67"/>
      <c r="H2265" s="71"/>
      <c r="I2265" s="72"/>
      <c r="J2265" s="72"/>
      <c r="K2265" s="36"/>
      <c r="L2265" s="79"/>
      <c r="M2265" s="79"/>
      <c r="N2265" s="74"/>
      <c r="O2265" s="81" t="s">
        <v>179</v>
      </c>
      <c r="P2265" s="83">
        <v>44466.802407407406</v>
      </c>
      <c r="Q2265" s="81" t="s">
        <v>2560</v>
      </c>
      <c r="R2265" s="81"/>
      <c r="S2265" s="81"/>
      <c r="T2265" s="81"/>
      <c r="U2265" s="81"/>
      <c r="V2265" s="84" t="str">
        <f>HYPERLINK("https://pbs.twimg.com/profile_images/378800000705328795/304bfd91ee90011498fd092cc79a423e_normal.jpeg")</f>
        <v>https://pbs.twimg.com/profile_images/378800000705328795/304bfd91ee90011498fd092cc79a423e_normal.jpeg</v>
      </c>
      <c r="W2265" s="83">
        <v>44466.802407407406</v>
      </c>
      <c r="X2265" s="89">
        <v>44466</v>
      </c>
      <c r="Y2265" s="86" t="s">
        <v>4162</v>
      </c>
      <c r="Z2265" s="84" t="str">
        <f>HYPERLINK("https://twitter.com/pos_indonesia/status/1442568593401466885")</f>
        <v>https://twitter.com/pos_indonesia/status/1442568593401466885</v>
      </c>
      <c r="AA2265" s="81"/>
      <c r="AB2265" s="81"/>
      <c r="AC2265" s="86" t="s">
        <v>5948</v>
      </c>
      <c r="AD2265" s="81"/>
      <c r="AE2265" s="81" t="b">
        <v>0</v>
      </c>
      <c r="AF2265" s="81">
        <v>0</v>
      </c>
      <c r="AG2265" s="86" t="s">
        <v>6240</v>
      </c>
      <c r="AH2265" s="81" t="b">
        <v>0</v>
      </c>
      <c r="AI2265" s="81" t="s">
        <v>6479</v>
      </c>
      <c r="AJ2265" s="81"/>
      <c r="AK2265" s="86" t="s">
        <v>6240</v>
      </c>
      <c r="AL2265" s="81" t="b">
        <v>0</v>
      </c>
      <c r="AM2265" s="81">
        <v>0</v>
      </c>
      <c r="AN2265" s="86" t="s">
        <v>6240</v>
      </c>
      <c r="AO2265" s="86" t="s">
        <v>6506</v>
      </c>
      <c r="AP2265" s="81" t="b">
        <v>0</v>
      </c>
      <c r="AQ2265" s="86" t="s">
        <v>5948</v>
      </c>
      <c r="AR2265" s="81" t="s">
        <v>179</v>
      </c>
      <c r="AS2265" s="81">
        <v>0</v>
      </c>
      <c r="AT2265" s="81">
        <v>0</v>
      </c>
      <c r="AU2265" s="81"/>
      <c r="AV2265" s="81"/>
      <c r="AW2265" s="81"/>
      <c r="AX2265" s="81"/>
      <c r="AY2265" s="81"/>
      <c r="AZ2265" s="81"/>
      <c r="BA2265" s="81"/>
      <c r="BB2265" s="81"/>
    </row>
    <row r="2266" spans="1:54" x14ac:dyDescent="0.35">
      <c r="A2266" s="66" t="s">
        <v>1269</v>
      </c>
      <c r="B2266" s="66" t="s">
        <v>1269</v>
      </c>
      <c r="C2266" s="67"/>
      <c r="D2266" s="68"/>
      <c r="E2266" s="69"/>
      <c r="F2266" s="70"/>
      <c r="G2266" s="67"/>
      <c r="H2266" s="71"/>
      <c r="I2266" s="72"/>
      <c r="J2266" s="72"/>
      <c r="K2266" s="36"/>
      <c r="L2266" s="79"/>
      <c r="M2266" s="79"/>
      <c r="N2266" s="74"/>
      <c r="O2266" s="81" t="s">
        <v>179</v>
      </c>
      <c r="P2266" s="83">
        <v>44466.823252314818</v>
      </c>
      <c r="Q2266" s="81" t="s">
        <v>2561</v>
      </c>
      <c r="R2266" s="81"/>
      <c r="S2266" s="81"/>
      <c r="T2266" s="81"/>
      <c r="U2266" s="81"/>
      <c r="V2266" s="84" t="str">
        <f>HYPERLINK("https://pbs.twimg.com/profile_images/378800000705328795/304bfd91ee90011498fd092cc79a423e_normal.jpeg")</f>
        <v>https://pbs.twimg.com/profile_images/378800000705328795/304bfd91ee90011498fd092cc79a423e_normal.jpeg</v>
      </c>
      <c r="W2266" s="83">
        <v>44466.823252314818</v>
      </c>
      <c r="X2266" s="89">
        <v>44466</v>
      </c>
      <c r="Y2266" s="86" t="s">
        <v>4059</v>
      </c>
      <c r="Z2266" s="84" t="str">
        <f>HYPERLINK("https://twitter.com/pos_indonesia/status/1442576146592264195")</f>
        <v>https://twitter.com/pos_indonesia/status/1442576146592264195</v>
      </c>
      <c r="AA2266" s="81"/>
      <c r="AB2266" s="81"/>
      <c r="AC2266" s="86" t="s">
        <v>5949</v>
      </c>
      <c r="AD2266" s="81"/>
      <c r="AE2266" s="81" t="b">
        <v>0</v>
      </c>
      <c r="AF2266" s="81">
        <v>0</v>
      </c>
      <c r="AG2266" s="86" t="s">
        <v>6240</v>
      </c>
      <c r="AH2266" s="81" t="b">
        <v>0</v>
      </c>
      <c r="AI2266" s="81" t="s">
        <v>6479</v>
      </c>
      <c r="AJ2266" s="81"/>
      <c r="AK2266" s="86" t="s">
        <v>6240</v>
      </c>
      <c r="AL2266" s="81" t="b">
        <v>0</v>
      </c>
      <c r="AM2266" s="81">
        <v>0</v>
      </c>
      <c r="AN2266" s="86" t="s">
        <v>6240</v>
      </c>
      <c r="AO2266" s="86" t="s">
        <v>6506</v>
      </c>
      <c r="AP2266" s="81" t="b">
        <v>0</v>
      </c>
      <c r="AQ2266" s="86" t="s">
        <v>5949</v>
      </c>
      <c r="AR2266" s="81" t="s">
        <v>179</v>
      </c>
      <c r="AS2266" s="81">
        <v>0</v>
      </c>
      <c r="AT2266" s="81">
        <v>0</v>
      </c>
      <c r="AU2266" s="81"/>
      <c r="AV2266" s="81"/>
      <c r="AW2266" s="81"/>
      <c r="AX2266" s="81"/>
      <c r="AY2266" s="81"/>
      <c r="AZ2266" s="81"/>
      <c r="BA2266" s="81"/>
      <c r="BB2266" s="81"/>
    </row>
    <row r="2267" spans="1:54" x14ac:dyDescent="0.35">
      <c r="A2267" s="66" t="s">
        <v>1269</v>
      </c>
      <c r="B2267" s="66" t="s">
        <v>1269</v>
      </c>
      <c r="C2267" s="67"/>
      <c r="D2267" s="68"/>
      <c r="E2267" s="69"/>
      <c r="F2267" s="70"/>
      <c r="G2267" s="67"/>
      <c r="H2267" s="71"/>
      <c r="I2267" s="72"/>
      <c r="J2267" s="72"/>
      <c r="K2267" s="36"/>
      <c r="L2267" s="79"/>
      <c r="M2267" s="79"/>
      <c r="N2267" s="74"/>
      <c r="O2267" s="81" t="s">
        <v>179</v>
      </c>
      <c r="P2267" s="83">
        <v>44466.844085648147</v>
      </c>
      <c r="Q2267" s="81" t="s">
        <v>2562</v>
      </c>
      <c r="R2267" s="81"/>
      <c r="S2267" s="81"/>
      <c r="T2267" s="81"/>
      <c r="U2267" s="81"/>
      <c r="V2267" s="84" t="str">
        <f>HYPERLINK("https://pbs.twimg.com/profile_images/378800000705328795/304bfd91ee90011498fd092cc79a423e_normal.jpeg")</f>
        <v>https://pbs.twimg.com/profile_images/378800000705328795/304bfd91ee90011498fd092cc79a423e_normal.jpeg</v>
      </c>
      <c r="W2267" s="83">
        <v>44466.844085648147</v>
      </c>
      <c r="X2267" s="89">
        <v>44466</v>
      </c>
      <c r="Y2267" s="86" t="s">
        <v>4164</v>
      </c>
      <c r="Z2267" s="84" t="str">
        <f>HYPERLINK("https://twitter.com/pos_indonesia/status/1442583693420204041")</f>
        <v>https://twitter.com/pos_indonesia/status/1442583693420204041</v>
      </c>
      <c r="AA2267" s="81"/>
      <c r="AB2267" s="81"/>
      <c r="AC2267" s="86" t="s">
        <v>5950</v>
      </c>
      <c r="AD2267" s="81"/>
      <c r="AE2267" s="81" t="b">
        <v>0</v>
      </c>
      <c r="AF2267" s="81">
        <v>0</v>
      </c>
      <c r="AG2267" s="86" t="s">
        <v>6240</v>
      </c>
      <c r="AH2267" s="81" t="b">
        <v>0</v>
      </c>
      <c r="AI2267" s="81" t="s">
        <v>6479</v>
      </c>
      <c r="AJ2267" s="81"/>
      <c r="AK2267" s="86" t="s">
        <v>6240</v>
      </c>
      <c r="AL2267" s="81" t="b">
        <v>0</v>
      </c>
      <c r="AM2267" s="81">
        <v>0</v>
      </c>
      <c r="AN2267" s="86" t="s">
        <v>6240</v>
      </c>
      <c r="AO2267" s="86" t="s">
        <v>6506</v>
      </c>
      <c r="AP2267" s="81" t="b">
        <v>0</v>
      </c>
      <c r="AQ2267" s="86" t="s">
        <v>5950</v>
      </c>
      <c r="AR2267" s="81" t="s">
        <v>179</v>
      </c>
      <c r="AS2267" s="81">
        <v>0</v>
      </c>
      <c r="AT2267" s="81">
        <v>0</v>
      </c>
      <c r="AU2267" s="81"/>
      <c r="AV2267" s="81"/>
      <c r="AW2267" s="81"/>
      <c r="AX2267" s="81"/>
      <c r="AY2267" s="81"/>
      <c r="AZ2267" s="81"/>
      <c r="BA2267" s="81"/>
      <c r="BB2267" s="81"/>
    </row>
    <row r="2268" spans="1:54" x14ac:dyDescent="0.35">
      <c r="A2268" s="66" t="s">
        <v>1269</v>
      </c>
      <c r="B2268" s="66" t="s">
        <v>1269</v>
      </c>
      <c r="C2268" s="67"/>
      <c r="D2268" s="68"/>
      <c r="E2268" s="69"/>
      <c r="F2268" s="70"/>
      <c r="G2268" s="67"/>
      <c r="H2268" s="71"/>
      <c r="I2268" s="72"/>
      <c r="J2268" s="72"/>
      <c r="K2268" s="36"/>
      <c r="L2268" s="79"/>
      <c r="M2268" s="79"/>
      <c r="N2268" s="74"/>
      <c r="O2268" s="81" t="s">
        <v>179</v>
      </c>
      <c r="P2268" s="83">
        <v>44466.864953703705</v>
      </c>
      <c r="Q2268" s="81" t="s">
        <v>2518</v>
      </c>
      <c r="R2268" s="81"/>
      <c r="S2268" s="81"/>
      <c r="T2268" s="81"/>
      <c r="U2268" s="81"/>
      <c r="V2268" s="84" t="str">
        <f>HYPERLINK("https://pbs.twimg.com/profile_images/378800000705328795/304bfd91ee90011498fd092cc79a423e_normal.jpeg")</f>
        <v>https://pbs.twimg.com/profile_images/378800000705328795/304bfd91ee90011498fd092cc79a423e_normal.jpeg</v>
      </c>
      <c r="W2268" s="83">
        <v>44466.864953703705</v>
      </c>
      <c r="X2268" s="89">
        <v>44466</v>
      </c>
      <c r="Y2268" s="86" t="s">
        <v>4127</v>
      </c>
      <c r="Z2268" s="84" t="str">
        <f>HYPERLINK("https://twitter.com/pos_indonesia/status/1442591259546185731")</f>
        <v>https://twitter.com/pos_indonesia/status/1442591259546185731</v>
      </c>
      <c r="AA2268" s="81"/>
      <c r="AB2268" s="81"/>
      <c r="AC2268" s="86" t="s">
        <v>5951</v>
      </c>
      <c r="AD2268" s="81"/>
      <c r="AE2268" s="81" t="b">
        <v>0</v>
      </c>
      <c r="AF2268" s="81">
        <v>0</v>
      </c>
      <c r="AG2268" s="86" t="s">
        <v>6240</v>
      </c>
      <c r="AH2268" s="81" t="b">
        <v>0</v>
      </c>
      <c r="AI2268" s="81" t="s">
        <v>6479</v>
      </c>
      <c r="AJ2268" s="81"/>
      <c r="AK2268" s="86" t="s">
        <v>6240</v>
      </c>
      <c r="AL2268" s="81" t="b">
        <v>0</v>
      </c>
      <c r="AM2268" s="81">
        <v>0</v>
      </c>
      <c r="AN2268" s="86" t="s">
        <v>6240</v>
      </c>
      <c r="AO2268" s="86" t="s">
        <v>6506</v>
      </c>
      <c r="AP2268" s="81" t="b">
        <v>0</v>
      </c>
      <c r="AQ2268" s="86" t="s">
        <v>5951</v>
      </c>
      <c r="AR2268" s="81" t="s">
        <v>179</v>
      </c>
      <c r="AS2268" s="81">
        <v>0</v>
      </c>
      <c r="AT2268" s="81">
        <v>0</v>
      </c>
      <c r="AU2268" s="81"/>
      <c r="AV2268" s="81"/>
      <c r="AW2268" s="81"/>
      <c r="AX2268" s="81"/>
      <c r="AY2268" s="81"/>
      <c r="AZ2268" s="81"/>
      <c r="BA2268" s="81"/>
      <c r="BB2268" s="81"/>
    </row>
    <row r="2269" spans="1:54" x14ac:dyDescent="0.35">
      <c r="A2269" s="66" t="s">
        <v>1269</v>
      </c>
      <c r="B2269" s="66" t="s">
        <v>1269</v>
      </c>
      <c r="C2269" s="67"/>
      <c r="D2269" s="68"/>
      <c r="E2269" s="69"/>
      <c r="F2269" s="70"/>
      <c r="G2269" s="67"/>
      <c r="H2269" s="71"/>
      <c r="I2269" s="72"/>
      <c r="J2269" s="72"/>
      <c r="K2269" s="36"/>
      <c r="L2269" s="79"/>
      <c r="M2269" s="79"/>
      <c r="N2269" s="74"/>
      <c r="O2269" s="81" t="s">
        <v>179</v>
      </c>
      <c r="P2269" s="83">
        <v>44466.885752314818</v>
      </c>
      <c r="Q2269" s="81" t="s">
        <v>2508</v>
      </c>
      <c r="R2269" s="81"/>
      <c r="S2269" s="81"/>
      <c r="T2269" s="81"/>
      <c r="U2269" s="81"/>
      <c r="V2269" s="84" t="str">
        <f>HYPERLINK("https://pbs.twimg.com/profile_images/378800000705328795/304bfd91ee90011498fd092cc79a423e_normal.jpeg")</f>
        <v>https://pbs.twimg.com/profile_images/378800000705328795/304bfd91ee90011498fd092cc79a423e_normal.jpeg</v>
      </c>
      <c r="W2269" s="83">
        <v>44466.885752314818</v>
      </c>
      <c r="X2269" s="89">
        <v>44466</v>
      </c>
      <c r="Y2269" s="86" t="s">
        <v>4062</v>
      </c>
      <c r="Z2269" s="84" t="str">
        <f>HYPERLINK("https://twitter.com/pos_indonesia/status/1442598794542018560")</f>
        <v>https://twitter.com/pos_indonesia/status/1442598794542018560</v>
      </c>
      <c r="AA2269" s="81"/>
      <c r="AB2269" s="81"/>
      <c r="AC2269" s="86" t="s">
        <v>5952</v>
      </c>
      <c r="AD2269" s="81"/>
      <c r="AE2269" s="81" t="b">
        <v>0</v>
      </c>
      <c r="AF2269" s="81">
        <v>0</v>
      </c>
      <c r="AG2269" s="86" t="s">
        <v>6240</v>
      </c>
      <c r="AH2269" s="81" t="b">
        <v>0</v>
      </c>
      <c r="AI2269" s="81" t="s">
        <v>6479</v>
      </c>
      <c r="AJ2269" s="81"/>
      <c r="AK2269" s="86" t="s">
        <v>6240</v>
      </c>
      <c r="AL2269" s="81" t="b">
        <v>0</v>
      </c>
      <c r="AM2269" s="81">
        <v>0</v>
      </c>
      <c r="AN2269" s="86" t="s">
        <v>6240</v>
      </c>
      <c r="AO2269" s="86" t="s">
        <v>6506</v>
      </c>
      <c r="AP2269" s="81" t="b">
        <v>0</v>
      </c>
      <c r="AQ2269" s="86" t="s">
        <v>5952</v>
      </c>
      <c r="AR2269" s="81" t="s">
        <v>179</v>
      </c>
      <c r="AS2269" s="81">
        <v>0</v>
      </c>
      <c r="AT2269" s="81">
        <v>0</v>
      </c>
      <c r="AU2269" s="81"/>
      <c r="AV2269" s="81"/>
      <c r="AW2269" s="81"/>
      <c r="AX2269" s="81"/>
      <c r="AY2269" s="81"/>
      <c r="AZ2269" s="81"/>
      <c r="BA2269" s="81"/>
      <c r="BB2269" s="81"/>
    </row>
    <row r="2270" spans="1:54" x14ac:dyDescent="0.35">
      <c r="A2270" s="66" t="s">
        <v>1269</v>
      </c>
      <c r="B2270" s="66" t="s">
        <v>1269</v>
      </c>
      <c r="C2270" s="67"/>
      <c r="D2270" s="68"/>
      <c r="E2270" s="69"/>
      <c r="F2270" s="70"/>
      <c r="G2270" s="67"/>
      <c r="H2270" s="71"/>
      <c r="I2270" s="72"/>
      <c r="J2270" s="72"/>
      <c r="K2270" s="36"/>
      <c r="L2270" s="79"/>
      <c r="M2270" s="79"/>
      <c r="N2270" s="74"/>
      <c r="O2270" s="81" t="s">
        <v>179</v>
      </c>
      <c r="P2270" s="83">
        <v>44466.906597222223</v>
      </c>
      <c r="Q2270" s="81" t="s">
        <v>2389</v>
      </c>
      <c r="R2270" s="81"/>
      <c r="S2270" s="81"/>
      <c r="T2270" s="81"/>
      <c r="U2270" s="81"/>
      <c r="V2270" s="84" t="str">
        <f>HYPERLINK("https://pbs.twimg.com/profile_images/378800000705328795/304bfd91ee90011498fd092cc79a423e_normal.jpeg")</f>
        <v>https://pbs.twimg.com/profile_images/378800000705328795/304bfd91ee90011498fd092cc79a423e_normal.jpeg</v>
      </c>
      <c r="W2270" s="83">
        <v>44466.906597222223</v>
      </c>
      <c r="X2270" s="89">
        <v>44466</v>
      </c>
      <c r="Y2270" s="86" t="s">
        <v>4194</v>
      </c>
      <c r="Z2270" s="84" t="str">
        <f>HYPERLINK("https://twitter.com/pos_indonesia/status/1442606348240240641")</f>
        <v>https://twitter.com/pos_indonesia/status/1442606348240240641</v>
      </c>
      <c r="AA2270" s="81"/>
      <c r="AB2270" s="81"/>
      <c r="AC2270" s="86" t="s">
        <v>5953</v>
      </c>
      <c r="AD2270" s="81"/>
      <c r="AE2270" s="81" t="b">
        <v>0</v>
      </c>
      <c r="AF2270" s="81">
        <v>0</v>
      </c>
      <c r="AG2270" s="86" t="s">
        <v>6240</v>
      </c>
      <c r="AH2270" s="81" t="b">
        <v>0</v>
      </c>
      <c r="AI2270" s="81" t="s">
        <v>6479</v>
      </c>
      <c r="AJ2270" s="81"/>
      <c r="AK2270" s="86" t="s">
        <v>6240</v>
      </c>
      <c r="AL2270" s="81" t="b">
        <v>0</v>
      </c>
      <c r="AM2270" s="81">
        <v>0</v>
      </c>
      <c r="AN2270" s="86" t="s">
        <v>6240</v>
      </c>
      <c r="AO2270" s="86" t="s">
        <v>6506</v>
      </c>
      <c r="AP2270" s="81" t="b">
        <v>0</v>
      </c>
      <c r="AQ2270" s="86" t="s">
        <v>5953</v>
      </c>
      <c r="AR2270" s="81" t="s">
        <v>179</v>
      </c>
      <c r="AS2270" s="81">
        <v>0</v>
      </c>
      <c r="AT2270" s="81">
        <v>0</v>
      </c>
      <c r="AU2270" s="81"/>
      <c r="AV2270" s="81"/>
      <c r="AW2270" s="81"/>
      <c r="AX2270" s="81"/>
      <c r="AY2270" s="81"/>
      <c r="AZ2270" s="81"/>
      <c r="BA2270" s="81"/>
      <c r="BB2270" s="81"/>
    </row>
    <row r="2271" spans="1:54" x14ac:dyDescent="0.35">
      <c r="A2271" s="66" t="s">
        <v>1269</v>
      </c>
      <c r="B2271" s="66" t="s">
        <v>1269</v>
      </c>
      <c r="C2271" s="67"/>
      <c r="D2271" s="68"/>
      <c r="E2271" s="69"/>
      <c r="F2271" s="70"/>
      <c r="G2271" s="67"/>
      <c r="H2271" s="71"/>
      <c r="I2271" s="72"/>
      <c r="J2271" s="72"/>
      <c r="K2271" s="36"/>
      <c r="L2271" s="79"/>
      <c r="M2271" s="79"/>
      <c r="N2271" s="74"/>
      <c r="O2271" s="81" t="s">
        <v>179</v>
      </c>
      <c r="P2271" s="83">
        <v>44466.927407407406</v>
      </c>
      <c r="Q2271" s="81" t="s">
        <v>2563</v>
      </c>
      <c r="R2271" s="81"/>
      <c r="S2271" s="81"/>
      <c r="T2271" s="81"/>
      <c r="U2271" s="81"/>
      <c r="V2271" s="84" t="str">
        <f>HYPERLINK("https://pbs.twimg.com/profile_images/378800000705328795/304bfd91ee90011498fd092cc79a423e_normal.jpeg")</f>
        <v>https://pbs.twimg.com/profile_images/378800000705328795/304bfd91ee90011498fd092cc79a423e_normal.jpeg</v>
      </c>
      <c r="W2271" s="83">
        <v>44466.927407407406</v>
      </c>
      <c r="X2271" s="89">
        <v>44466</v>
      </c>
      <c r="Y2271" s="86" t="s">
        <v>4166</v>
      </c>
      <c r="Z2271" s="84" t="str">
        <f>HYPERLINK("https://twitter.com/pos_indonesia/status/1442613890085384200")</f>
        <v>https://twitter.com/pos_indonesia/status/1442613890085384200</v>
      </c>
      <c r="AA2271" s="81"/>
      <c r="AB2271" s="81"/>
      <c r="AC2271" s="86" t="s">
        <v>5954</v>
      </c>
      <c r="AD2271" s="81"/>
      <c r="AE2271" s="81" t="b">
        <v>0</v>
      </c>
      <c r="AF2271" s="81">
        <v>0</v>
      </c>
      <c r="AG2271" s="86" t="s">
        <v>6240</v>
      </c>
      <c r="AH2271" s="81" t="b">
        <v>0</v>
      </c>
      <c r="AI2271" s="81" t="s">
        <v>6479</v>
      </c>
      <c r="AJ2271" s="81"/>
      <c r="AK2271" s="86" t="s">
        <v>6240</v>
      </c>
      <c r="AL2271" s="81" t="b">
        <v>0</v>
      </c>
      <c r="AM2271" s="81">
        <v>0</v>
      </c>
      <c r="AN2271" s="86" t="s">
        <v>6240</v>
      </c>
      <c r="AO2271" s="86" t="s">
        <v>6506</v>
      </c>
      <c r="AP2271" s="81" t="b">
        <v>0</v>
      </c>
      <c r="AQ2271" s="86" t="s">
        <v>5954</v>
      </c>
      <c r="AR2271" s="81" t="s">
        <v>179</v>
      </c>
      <c r="AS2271" s="81">
        <v>0</v>
      </c>
      <c r="AT2271" s="81">
        <v>0</v>
      </c>
      <c r="AU2271" s="81"/>
      <c r="AV2271" s="81"/>
      <c r="AW2271" s="81"/>
      <c r="AX2271" s="81"/>
      <c r="AY2271" s="81"/>
      <c r="AZ2271" s="81"/>
      <c r="BA2271" s="81"/>
      <c r="BB2271" s="81"/>
    </row>
    <row r="2272" spans="1:54" x14ac:dyDescent="0.35">
      <c r="A2272" s="66" t="s">
        <v>1269</v>
      </c>
      <c r="B2272" s="66" t="s">
        <v>1269</v>
      </c>
      <c r="C2272" s="67"/>
      <c r="D2272" s="68"/>
      <c r="E2272" s="69"/>
      <c r="F2272" s="70"/>
      <c r="G2272" s="67"/>
      <c r="H2272" s="71"/>
      <c r="I2272" s="72"/>
      <c r="J2272" s="72"/>
      <c r="K2272" s="36"/>
      <c r="L2272" s="79"/>
      <c r="M2272" s="79"/>
      <c r="N2272" s="74"/>
      <c r="O2272" s="81" t="s">
        <v>179</v>
      </c>
      <c r="P2272" s="83">
        <v>44466.948275462964</v>
      </c>
      <c r="Q2272" s="81" t="s">
        <v>2460</v>
      </c>
      <c r="R2272" s="81"/>
      <c r="S2272" s="81"/>
      <c r="T2272" s="81"/>
      <c r="U2272" s="81"/>
      <c r="V2272" s="84" t="str">
        <f>HYPERLINK("https://pbs.twimg.com/profile_images/378800000705328795/304bfd91ee90011498fd092cc79a423e_normal.jpeg")</f>
        <v>https://pbs.twimg.com/profile_images/378800000705328795/304bfd91ee90011498fd092cc79a423e_normal.jpeg</v>
      </c>
      <c r="W2272" s="83">
        <v>44466.948275462964</v>
      </c>
      <c r="X2272" s="89">
        <v>44466</v>
      </c>
      <c r="Y2272" s="86" t="s">
        <v>4212</v>
      </c>
      <c r="Z2272" s="84" t="str">
        <f>HYPERLINK("https://twitter.com/pos_indonesia/status/1442621453254287362")</f>
        <v>https://twitter.com/pos_indonesia/status/1442621453254287362</v>
      </c>
      <c r="AA2272" s="81"/>
      <c r="AB2272" s="81"/>
      <c r="AC2272" s="86" t="s">
        <v>5955</v>
      </c>
      <c r="AD2272" s="81"/>
      <c r="AE2272" s="81" t="b">
        <v>0</v>
      </c>
      <c r="AF2272" s="81">
        <v>0</v>
      </c>
      <c r="AG2272" s="86" t="s">
        <v>6240</v>
      </c>
      <c r="AH2272" s="81" t="b">
        <v>0</v>
      </c>
      <c r="AI2272" s="81" t="s">
        <v>6479</v>
      </c>
      <c r="AJ2272" s="81"/>
      <c r="AK2272" s="86" t="s">
        <v>6240</v>
      </c>
      <c r="AL2272" s="81" t="b">
        <v>0</v>
      </c>
      <c r="AM2272" s="81">
        <v>0</v>
      </c>
      <c r="AN2272" s="86" t="s">
        <v>6240</v>
      </c>
      <c r="AO2272" s="86" t="s">
        <v>6506</v>
      </c>
      <c r="AP2272" s="81" t="b">
        <v>0</v>
      </c>
      <c r="AQ2272" s="86" t="s">
        <v>5955</v>
      </c>
      <c r="AR2272" s="81" t="s">
        <v>179</v>
      </c>
      <c r="AS2272" s="81">
        <v>0</v>
      </c>
      <c r="AT2272" s="81">
        <v>0</v>
      </c>
      <c r="AU2272" s="81"/>
      <c r="AV2272" s="81"/>
      <c r="AW2272" s="81"/>
      <c r="AX2272" s="81"/>
      <c r="AY2272" s="81"/>
      <c r="AZ2272" s="81"/>
      <c r="BA2272" s="81"/>
      <c r="BB2272" s="81"/>
    </row>
    <row r="2273" spans="1:54" x14ac:dyDescent="0.35">
      <c r="A2273" s="66" t="s">
        <v>1269</v>
      </c>
      <c r="B2273" s="66" t="s">
        <v>1269</v>
      </c>
      <c r="C2273" s="67"/>
      <c r="D2273" s="68"/>
      <c r="E2273" s="69"/>
      <c r="F2273" s="70"/>
      <c r="G2273" s="67"/>
      <c r="H2273" s="71"/>
      <c r="I2273" s="72"/>
      <c r="J2273" s="72"/>
      <c r="K2273" s="36"/>
      <c r="L2273" s="79"/>
      <c r="M2273" s="79"/>
      <c r="N2273" s="74"/>
      <c r="O2273" s="81" t="s">
        <v>179</v>
      </c>
      <c r="P2273" s="83">
        <v>44466.969131944446</v>
      </c>
      <c r="Q2273" s="81" t="s">
        <v>2382</v>
      </c>
      <c r="R2273" s="81"/>
      <c r="S2273" s="81"/>
      <c r="T2273" s="81"/>
      <c r="U2273" s="81"/>
      <c r="V2273" s="84" t="str">
        <f>HYPERLINK("https://pbs.twimg.com/profile_images/378800000705328795/304bfd91ee90011498fd092cc79a423e_normal.jpeg")</f>
        <v>https://pbs.twimg.com/profile_images/378800000705328795/304bfd91ee90011498fd092cc79a423e_normal.jpeg</v>
      </c>
      <c r="W2273" s="83">
        <v>44466.969131944446</v>
      </c>
      <c r="X2273" s="89">
        <v>44466</v>
      </c>
      <c r="Y2273" s="86" t="s">
        <v>4107</v>
      </c>
      <c r="Z2273" s="84" t="str">
        <f>HYPERLINK("https://twitter.com/pos_indonesia/status/1442629008722591745")</f>
        <v>https://twitter.com/pos_indonesia/status/1442629008722591745</v>
      </c>
      <c r="AA2273" s="81"/>
      <c r="AB2273" s="81"/>
      <c r="AC2273" s="86" t="s">
        <v>5956</v>
      </c>
      <c r="AD2273" s="81"/>
      <c r="AE2273" s="81" t="b">
        <v>0</v>
      </c>
      <c r="AF2273" s="81">
        <v>0</v>
      </c>
      <c r="AG2273" s="86" t="s">
        <v>6240</v>
      </c>
      <c r="AH2273" s="81" t="b">
        <v>0</v>
      </c>
      <c r="AI2273" s="81" t="s">
        <v>6479</v>
      </c>
      <c r="AJ2273" s="81"/>
      <c r="AK2273" s="86" t="s">
        <v>6240</v>
      </c>
      <c r="AL2273" s="81" t="b">
        <v>0</v>
      </c>
      <c r="AM2273" s="81">
        <v>0</v>
      </c>
      <c r="AN2273" s="86" t="s">
        <v>6240</v>
      </c>
      <c r="AO2273" s="86" t="s">
        <v>6506</v>
      </c>
      <c r="AP2273" s="81" t="b">
        <v>0</v>
      </c>
      <c r="AQ2273" s="86" t="s">
        <v>5956</v>
      </c>
      <c r="AR2273" s="81" t="s">
        <v>179</v>
      </c>
      <c r="AS2273" s="81">
        <v>0</v>
      </c>
      <c r="AT2273" s="81">
        <v>0</v>
      </c>
      <c r="AU2273" s="81"/>
      <c r="AV2273" s="81"/>
      <c r="AW2273" s="81"/>
      <c r="AX2273" s="81"/>
      <c r="AY2273" s="81"/>
      <c r="AZ2273" s="81"/>
      <c r="BA2273" s="81"/>
      <c r="BB2273" s="81"/>
    </row>
    <row r="2274" spans="1:54" x14ac:dyDescent="0.35">
      <c r="A2274" s="66" t="s">
        <v>1269</v>
      </c>
      <c r="B2274" s="66" t="s">
        <v>1269</v>
      </c>
      <c r="C2274" s="67"/>
      <c r="D2274" s="68"/>
      <c r="E2274" s="69"/>
      <c r="F2274" s="70"/>
      <c r="G2274" s="67"/>
      <c r="H2274" s="71"/>
      <c r="I2274" s="72"/>
      <c r="J2274" s="72"/>
      <c r="K2274" s="36"/>
      <c r="L2274" s="79"/>
      <c r="M2274" s="79"/>
      <c r="N2274" s="74"/>
      <c r="O2274" s="81" t="s">
        <v>179</v>
      </c>
      <c r="P2274" s="83">
        <v>44466.989930555559</v>
      </c>
      <c r="Q2274" s="81" t="s">
        <v>2300</v>
      </c>
      <c r="R2274" s="81"/>
      <c r="S2274" s="81"/>
      <c r="T2274" s="81"/>
      <c r="U2274" s="81"/>
      <c r="V2274" s="84" t="str">
        <f>HYPERLINK("https://pbs.twimg.com/profile_images/378800000705328795/304bfd91ee90011498fd092cc79a423e_normal.jpeg")</f>
        <v>https://pbs.twimg.com/profile_images/378800000705328795/304bfd91ee90011498fd092cc79a423e_normal.jpeg</v>
      </c>
      <c r="W2274" s="83">
        <v>44466.989930555559</v>
      </c>
      <c r="X2274" s="89">
        <v>44466</v>
      </c>
      <c r="Y2274" s="86" t="s">
        <v>4150</v>
      </c>
      <c r="Z2274" s="84" t="str">
        <f>HYPERLINK("https://twitter.com/pos_indonesia/status/1442636549431062529")</f>
        <v>https://twitter.com/pos_indonesia/status/1442636549431062529</v>
      </c>
      <c r="AA2274" s="81"/>
      <c r="AB2274" s="81"/>
      <c r="AC2274" s="86" t="s">
        <v>5957</v>
      </c>
      <c r="AD2274" s="81"/>
      <c r="AE2274" s="81" t="b">
        <v>0</v>
      </c>
      <c r="AF2274" s="81">
        <v>0</v>
      </c>
      <c r="AG2274" s="86" t="s">
        <v>6240</v>
      </c>
      <c r="AH2274" s="81" t="b">
        <v>0</v>
      </c>
      <c r="AI2274" s="81" t="s">
        <v>6479</v>
      </c>
      <c r="AJ2274" s="81"/>
      <c r="AK2274" s="86" t="s">
        <v>6240</v>
      </c>
      <c r="AL2274" s="81" t="b">
        <v>0</v>
      </c>
      <c r="AM2274" s="81">
        <v>0</v>
      </c>
      <c r="AN2274" s="86" t="s">
        <v>6240</v>
      </c>
      <c r="AO2274" s="86" t="s">
        <v>6506</v>
      </c>
      <c r="AP2274" s="81" t="b">
        <v>0</v>
      </c>
      <c r="AQ2274" s="86" t="s">
        <v>5957</v>
      </c>
      <c r="AR2274" s="81" t="s">
        <v>179</v>
      </c>
      <c r="AS2274" s="81">
        <v>0</v>
      </c>
      <c r="AT2274" s="81">
        <v>0</v>
      </c>
      <c r="AU2274" s="81"/>
      <c r="AV2274" s="81"/>
      <c r="AW2274" s="81"/>
      <c r="AX2274" s="81"/>
      <c r="AY2274" s="81"/>
      <c r="AZ2274" s="81"/>
      <c r="BA2274" s="81"/>
      <c r="BB2274" s="81"/>
    </row>
    <row r="2275" spans="1:54" x14ac:dyDescent="0.35">
      <c r="A2275" s="66" t="s">
        <v>1269</v>
      </c>
      <c r="B2275" s="66" t="s">
        <v>1269</v>
      </c>
      <c r="C2275" s="67"/>
      <c r="D2275" s="68"/>
      <c r="E2275" s="69"/>
      <c r="F2275" s="70"/>
      <c r="G2275" s="67"/>
      <c r="H2275" s="71"/>
      <c r="I2275" s="72"/>
      <c r="J2275" s="72"/>
      <c r="K2275" s="36"/>
      <c r="L2275" s="79"/>
      <c r="M2275" s="79"/>
      <c r="N2275" s="74"/>
      <c r="O2275" s="81" t="s">
        <v>179</v>
      </c>
      <c r="P2275" s="83">
        <v>44467.010787037034</v>
      </c>
      <c r="Q2275" s="81" t="s">
        <v>2358</v>
      </c>
      <c r="R2275" s="81"/>
      <c r="S2275" s="81"/>
      <c r="T2275" s="81"/>
      <c r="U2275" s="81"/>
      <c r="V2275" s="84" t="str">
        <f>HYPERLINK("https://pbs.twimg.com/profile_images/378800000705328795/304bfd91ee90011498fd092cc79a423e_normal.jpeg")</f>
        <v>https://pbs.twimg.com/profile_images/378800000705328795/304bfd91ee90011498fd092cc79a423e_normal.jpeg</v>
      </c>
      <c r="W2275" s="83">
        <v>44467.010787037034</v>
      </c>
      <c r="X2275" s="89">
        <v>44467</v>
      </c>
      <c r="Y2275" s="86" t="s">
        <v>4167</v>
      </c>
      <c r="Z2275" s="84" t="str">
        <f>HYPERLINK("https://twitter.com/pos_indonesia/status/1442644104467288064")</f>
        <v>https://twitter.com/pos_indonesia/status/1442644104467288064</v>
      </c>
      <c r="AA2275" s="81"/>
      <c r="AB2275" s="81"/>
      <c r="AC2275" s="86" t="s">
        <v>5958</v>
      </c>
      <c r="AD2275" s="81"/>
      <c r="AE2275" s="81" t="b">
        <v>0</v>
      </c>
      <c r="AF2275" s="81">
        <v>0</v>
      </c>
      <c r="AG2275" s="86" t="s">
        <v>6240</v>
      </c>
      <c r="AH2275" s="81" t="b">
        <v>0</v>
      </c>
      <c r="AI2275" s="81" t="s">
        <v>6479</v>
      </c>
      <c r="AJ2275" s="81"/>
      <c r="AK2275" s="86" t="s">
        <v>6240</v>
      </c>
      <c r="AL2275" s="81" t="b">
        <v>0</v>
      </c>
      <c r="AM2275" s="81">
        <v>0</v>
      </c>
      <c r="AN2275" s="86" t="s">
        <v>6240</v>
      </c>
      <c r="AO2275" s="86" t="s">
        <v>6506</v>
      </c>
      <c r="AP2275" s="81" t="b">
        <v>0</v>
      </c>
      <c r="AQ2275" s="86" t="s">
        <v>5958</v>
      </c>
      <c r="AR2275" s="81" t="s">
        <v>179</v>
      </c>
      <c r="AS2275" s="81">
        <v>0</v>
      </c>
      <c r="AT2275" s="81">
        <v>0</v>
      </c>
      <c r="AU2275" s="81"/>
      <c r="AV2275" s="81"/>
      <c r="AW2275" s="81"/>
      <c r="AX2275" s="81"/>
      <c r="AY2275" s="81"/>
      <c r="AZ2275" s="81"/>
      <c r="BA2275" s="81"/>
      <c r="BB2275" s="81"/>
    </row>
    <row r="2276" spans="1:54" x14ac:dyDescent="0.35">
      <c r="A2276" s="66" t="s">
        <v>1269</v>
      </c>
      <c r="B2276" s="66" t="s">
        <v>1269</v>
      </c>
      <c r="C2276" s="67"/>
      <c r="D2276" s="68"/>
      <c r="E2276" s="69"/>
      <c r="F2276" s="70"/>
      <c r="G2276" s="67"/>
      <c r="H2276" s="71"/>
      <c r="I2276" s="72"/>
      <c r="J2276" s="72"/>
      <c r="K2276" s="36"/>
      <c r="L2276" s="79"/>
      <c r="M2276" s="79"/>
      <c r="N2276" s="74"/>
      <c r="O2276" s="81" t="s">
        <v>179</v>
      </c>
      <c r="P2276" s="83">
        <v>44467.03162037037</v>
      </c>
      <c r="Q2276" s="81" t="s">
        <v>2564</v>
      </c>
      <c r="R2276" s="81"/>
      <c r="S2276" s="81"/>
      <c r="T2276" s="81"/>
      <c r="U2276" s="81"/>
      <c r="V2276" s="84" t="str">
        <f>HYPERLINK("https://pbs.twimg.com/profile_images/378800000705328795/304bfd91ee90011498fd092cc79a423e_normal.jpeg")</f>
        <v>https://pbs.twimg.com/profile_images/378800000705328795/304bfd91ee90011498fd092cc79a423e_normal.jpeg</v>
      </c>
      <c r="W2276" s="83">
        <v>44467.03162037037</v>
      </c>
      <c r="X2276" s="89">
        <v>44467</v>
      </c>
      <c r="Y2276" s="86" t="s">
        <v>4168</v>
      </c>
      <c r="Z2276" s="84" t="str">
        <f>HYPERLINK("https://twitter.com/pos_indonesia/status/1442651656076754945")</f>
        <v>https://twitter.com/pos_indonesia/status/1442651656076754945</v>
      </c>
      <c r="AA2276" s="81"/>
      <c r="AB2276" s="81"/>
      <c r="AC2276" s="86" t="s">
        <v>5959</v>
      </c>
      <c r="AD2276" s="81"/>
      <c r="AE2276" s="81" t="b">
        <v>0</v>
      </c>
      <c r="AF2276" s="81">
        <v>0</v>
      </c>
      <c r="AG2276" s="86" t="s">
        <v>6240</v>
      </c>
      <c r="AH2276" s="81" t="b">
        <v>0</v>
      </c>
      <c r="AI2276" s="81" t="s">
        <v>6479</v>
      </c>
      <c r="AJ2276" s="81"/>
      <c r="AK2276" s="86" t="s">
        <v>6240</v>
      </c>
      <c r="AL2276" s="81" t="b">
        <v>0</v>
      </c>
      <c r="AM2276" s="81">
        <v>0</v>
      </c>
      <c r="AN2276" s="86" t="s">
        <v>6240</v>
      </c>
      <c r="AO2276" s="86" t="s">
        <v>6506</v>
      </c>
      <c r="AP2276" s="81" t="b">
        <v>0</v>
      </c>
      <c r="AQ2276" s="86" t="s">
        <v>5959</v>
      </c>
      <c r="AR2276" s="81" t="s">
        <v>179</v>
      </c>
      <c r="AS2276" s="81">
        <v>0</v>
      </c>
      <c r="AT2276" s="81">
        <v>0</v>
      </c>
      <c r="AU2276" s="81"/>
      <c r="AV2276" s="81"/>
      <c r="AW2276" s="81"/>
      <c r="AX2276" s="81"/>
      <c r="AY2276" s="81"/>
      <c r="AZ2276" s="81"/>
      <c r="BA2276" s="81"/>
      <c r="BB2276" s="81"/>
    </row>
    <row r="2277" spans="1:54" x14ac:dyDescent="0.35">
      <c r="A2277" s="66" t="s">
        <v>1269</v>
      </c>
      <c r="B2277" s="66" t="s">
        <v>1269</v>
      </c>
      <c r="C2277" s="67"/>
      <c r="D2277" s="68"/>
      <c r="E2277" s="69"/>
      <c r="F2277" s="70"/>
      <c r="G2277" s="67"/>
      <c r="H2277" s="71"/>
      <c r="I2277" s="72"/>
      <c r="J2277" s="72"/>
      <c r="K2277" s="36"/>
      <c r="L2277" s="79"/>
      <c r="M2277" s="79"/>
      <c r="N2277" s="74"/>
      <c r="O2277" s="81" t="s">
        <v>179</v>
      </c>
      <c r="P2277" s="83">
        <v>44467.052453703705</v>
      </c>
      <c r="Q2277" s="81" t="s">
        <v>2482</v>
      </c>
      <c r="R2277" s="81"/>
      <c r="S2277" s="81"/>
      <c r="T2277" s="81"/>
      <c r="U2277" s="81"/>
      <c r="V2277" s="84" t="str">
        <f>HYPERLINK("https://pbs.twimg.com/profile_images/378800000705328795/304bfd91ee90011498fd092cc79a423e_normal.jpeg")</f>
        <v>https://pbs.twimg.com/profile_images/378800000705328795/304bfd91ee90011498fd092cc79a423e_normal.jpeg</v>
      </c>
      <c r="W2277" s="83">
        <v>44467.052453703705</v>
      </c>
      <c r="X2277" s="89">
        <v>44467</v>
      </c>
      <c r="Y2277" s="86" t="s">
        <v>4169</v>
      </c>
      <c r="Z2277" s="84" t="str">
        <f>HYPERLINK("https://twitter.com/pos_indonesia/status/1442659204498554885")</f>
        <v>https://twitter.com/pos_indonesia/status/1442659204498554885</v>
      </c>
      <c r="AA2277" s="81"/>
      <c r="AB2277" s="81"/>
      <c r="AC2277" s="86" t="s">
        <v>5960</v>
      </c>
      <c r="AD2277" s="81"/>
      <c r="AE2277" s="81" t="b">
        <v>0</v>
      </c>
      <c r="AF2277" s="81">
        <v>0</v>
      </c>
      <c r="AG2277" s="86" t="s">
        <v>6240</v>
      </c>
      <c r="AH2277" s="81" t="b">
        <v>0</v>
      </c>
      <c r="AI2277" s="81" t="s">
        <v>6479</v>
      </c>
      <c r="AJ2277" s="81"/>
      <c r="AK2277" s="86" t="s">
        <v>6240</v>
      </c>
      <c r="AL2277" s="81" t="b">
        <v>0</v>
      </c>
      <c r="AM2277" s="81">
        <v>0</v>
      </c>
      <c r="AN2277" s="86" t="s">
        <v>6240</v>
      </c>
      <c r="AO2277" s="86" t="s">
        <v>6506</v>
      </c>
      <c r="AP2277" s="81" t="b">
        <v>0</v>
      </c>
      <c r="AQ2277" s="86" t="s">
        <v>5960</v>
      </c>
      <c r="AR2277" s="81" t="s">
        <v>179</v>
      </c>
      <c r="AS2277" s="81">
        <v>0</v>
      </c>
      <c r="AT2277" s="81">
        <v>0</v>
      </c>
      <c r="AU2277" s="81"/>
      <c r="AV2277" s="81"/>
      <c r="AW2277" s="81"/>
      <c r="AX2277" s="81"/>
      <c r="AY2277" s="81"/>
      <c r="AZ2277" s="81"/>
      <c r="BA2277" s="81"/>
      <c r="BB2277" s="81"/>
    </row>
    <row r="2278" spans="1:54" x14ac:dyDescent="0.35">
      <c r="A2278" s="66" t="s">
        <v>1269</v>
      </c>
      <c r="B2278" s="66" t="s">
        <v>1269</v>
      </c>
      <c r="C2278" s="67"/>
      <c r="D2278" s="68"/>
      <c r="E2278" s="69"/>
      <c r="F2278" s="70"/>
      <c r="G2278" s="67"/>
      <c r="H2278" s="71"/>
      <c r="I2278" s="72"/>
      <c r="J2278" s="72"/>
      <c r="K2278" s="36"/>
      <c r="L2278" s="79"/>
      <c r="M2278" s="79"/>
      <c r="N2278" s="74"/>
      <c r="O2278" s="81" t="s">
        <v>179</v>
      </c>
      <c r="P2278" s="83">
        <v>44467.073263888888</v>
      </c>
      <c r="Q2278" s="81" t="s">
        <v>2418</v>
      </c>
      <c r="R2278" s="81"/>
      <c r="S2278" s="81"/>
      <c r="T2278" s="81"/>
      <c r="U2278" s="81"/>
      <c r="V2278" s="84" t="str">
        <f>HYPERLINK("https://pbs.twimg.com/profile_images/378800000705328795/304bfd91ee90011498fd092cc79a423e_normal.jpeg")</f>
        <v>https://pbs.twimg.com/profile_images/378800000705328795/304bfd91ee90011498fd092cc79a423e_normal.jpeg</v>
      </c>
      <c r="W2278" s="83">
        <v>44467.073263888888</v>
      </c>
      <c r="X2278" s="89">
        <v>44467</v>
      </c>
      <c r="Y2278" s="86" t="s">
        <v>4144</v>
      </c>
      <c r="Z2278" s="84" t="str">
        <f>HYPERLINK("https://twitter.com/pos_indonesia/status/1442666746133897219")</f>
        <v>https://twitter.com/pos_indonesia/status/1442666746133897219</v>
      </c>
      <c r="AA2278" s="81"/>
      <c r="AB2278" s="81"/>
      <c r="AC2278" s="86" t="s">
        <v>5961</v>
      </c>
      <c r="AD2278" s="81"/>
      <c r="AE2278" s="81" t="b">
        <v>0</v>
      </c>
      <c r="AF2278" s="81">
        <v>0</v>
      </c>
      <c r="AG2278" s="86" t="s">
        <v>6240</v>
      </c>
      <c r="AH2278" s="81" t="b">
        <v>0</v>
      </c>
      <c r="AI2278" s="81" t="s">
        <v>6479</v>
      </c>
      <c r="AJ2278" s="81"/>
      <c r="AK2278" s="86" t="s">
        <v>6240</v>
      </c>
      <c r="AL2278" s="81" t="b">
        <v>0</v>
      </c>
      <c r="AM2278" s="81">
        <v>0</v>
      </c>
      <c r="AN2278" s="86" t="s">
        <v>6240</v>
      </c>
      <c r="AO2278" s="86" t="s">
        <v>6506</v>
      </c>
      <c r="AP2278" s="81" t="b">
        <v>0</v>
      </c>
      <c r="AQ2278" s="86" t="s">
        <v>5961</v>
      </c>
      <c r="AR2278" s="81" t="s">
        <v>179</v>
      </c>
      <c r="AS2278" s="81">
        <v>0</v>
      </c>
      <c r="AT2278" s="81">
        <v>0</v>
      </c>
      <c r="AU2278" s="81"/>
      <c r="AV2278" s="81"/>
      <c r="AW2278" s="81"/>
      <c r="AX2278" s="81"/>
      <c r="AY2278" s="81"/>
      <c r="AZ2278" s="81"/>
      <c r="BA2278" s="81"/>
      <c r="BB2278" s="81"/>
    </row>
    <row r="2279" spans="1:54" x14ac:dyDescent="0.35">
      <c r="A2279" s="66" t="s">
        <v>1269</v>
      </c>
      <c r="B2279" s="66" t="s">
        <v>1269</v>
      </c>
      <c r="C2279" s="67"/>
      <c r="D2279" s="68"/>
      <c r="E2279" s="69"/>
      <c r="F2279" s="70"/>
      <c r="G2279" s="67"/>
      <c r="H2279" s="71"/>
      <c r="I2279" s="72"/>
      <c r="J2279" s="72"/>
      <c r="K2279" s="36"/>
      <c r="L2279" s="79"/>
      <c r="M2279" s="79"/>
      <c r="N2279" s="74"/>
      <c r="O2279" s="81" t="s">
        <v>179</v>
      </c>
      <c r="P2279" s="83">
        <v>44467.09412037037</v>
      </c>
      <c r="Q2279" s="81" t="s">
        <v>2420</v>
      </c>
      <c r="R2279" s="81"/>
      <c r="S2279" s="81"/>
      <c r="T2279" s="81"/>
      <c r="U2279" s="81"/>
      <c r="V2279" s="84" t="str">
        <f>HYPERLINK("https://pbs.twimg.com/profile_images/378800000705328795/304bfd91ee90011498fd092cc79a423e_normal.jpeg")</f>
        <v>https://pbs.twimg.com/profile_images/378800000705328795/304bfd91ee90011498fd092cc79a423e_normal.jpeg</v>
      </c>
      <c r="W2279" s="83">
        <v>44467.09412037037</v>
      </c>
      <c r="X2279" s="89">
        <v>44467</v>
      </c>
      <c r="Y2279" s="86" t="s">
        <v>4170</v>
      </c>
      <c r="Z2279" s="84" t="str">
        <f>HYPERLINK("https://twitter.com/pos_indonesia/status/1442674305049915395")</f>
        <v>https://twitter.com/pos_indonesia/status/1442674305049915395</v>
      </c>
      <c r="AA2279" s="81"/>
      <c r="AB2279" s="81"/>
      <c r="AC2279" s="86" t="s">
        <v>5962</v>
      </c>
      <c r="AD2279" s="81"/>
      <c r="AE2279" s="81" t="b">
        <v>0</v>
      </c>
      <c r="AF2279" s="81">
        <v>0</v>
      </c>
      <c r="AG2279" s="86" t="s">
        <v>6240</v>
      </c>
      <c r="AH2279" s="81" t="b">
        <v>0</v>
      </c>
      <c r="AI2279" s="81" t="s">
        <v>6479</v>
      </c>
      <c r="AJ2279" s="81"/>
      <c r="AK2279" s="86" t="s">
        <v>6240</v>
      </c>
      <c r="AL2279" s="81" t="b">
        <v>0</v>
      </c>
      <c r="AM2279" s="81">
        <v>0</v>
      </c>
      <c r="AN2279" s="86" t="s">
        <v>6240</v>
      </c>
      <c r="AO2279" s="86" t="s">
        <v>6506</v>
      </c>
      <c r="AP2279" s="81" t="b">
        <v>0</v>
      </c>
      <c r="AQ2279" s="86" t="s">
        <v>5962</v>
      </c>
      <c r="AR2279" s="81" t="s">
        <v>179</v>
      </c>
      <c r="AS2279" s="81">
        <v>0</v>
      </c>
      <c r="AT2279" s="81">
        <v>0</v>
      </c>
      <c r="AU2279" s="81"/>
      <c r="AV2279" s="81"/>
      <c r="AW2279" s="81"/>
      <c r="AX2279" s="81"/>
      <c r="AY2279" s="81"/>
      <c r="AZ2279" s="81"/>
      <c r="BA2279" s="81"/>
      <c r="BB2279" s="81"/>
    </row>
    <row r="2280" spans="1:54" x14ac:dyDescent="0.35">
      <c r="A2280" s="66" t="s">
        <v>1269</v>
      </c>
      <c r="B2280" s="66" t="s">
        <v>1269</v>
      </c>
      <c r="C2280" s="67"/>
      <c r="D2280" s="68"/>
      <c r="E2280" s="69"/>
      <c r="F2280" s="70"/>
      <c r="G2280" s="67"/>
      <c r="H2280" s="71"/>
      <c r="I2280" s="72"/>
      <c r="J2280" s="72"/>
      <c r="K2280" s="36"/>
      <c r="L2280" s="79"/>
      <c r="M2280" s="79"/>
      <c r="N2280" s="74"/>
      <c r="O2280" s="81" t="s">
        <v>179</v>
      </c>
      <c r="P2280" s="83">
        <v>44467.114953703705</v>
      </c>
      <c r="Q2280" s="81" t="s">
        <v>2544</v>
      </c>
      <c r="R2280" s="81"/>
      <c r="S2280" s="81"/>
      <c r="T2280" s="81"/>
      <c r="U2280" s="81"/>
      <c r="V2280" s="84" t="str">
        <f>HYPERLINK("https://pbs.twimg.com/profile_images/378800000705328795/304bfd91ee90011498fd092cc79a423e_normal.jpeg")</f>
        <v>https://pbs.twimg.com/profile_images/378800000705328795/304bfd91ee90011498fd092cc79a423e_normal.jpeg</v>
      </c>
      <c r="W2280" s="83">
        <v>44467.114953703705</v>
      </c>
      <c r="X2280" s="89">
        <v>44467</v>
      </c>
      <c r="Y2280" s="86" t="s">
        <v>4171</v>
      </c>
      <c r="Z2280" s="84" t="str">
        <f>HYPERLINK("https://twitter.com/pos_indonesia/status/1442681855464009729")</f>
        <v>https://twitter.com/pos_indonesia/status/1442681855464009729</v>
      </c>
      <c r="AA2280" s="81"/>
      <c r="AB2280" s="81"/>
      <c r="AC2280" s="86" t="s">
        <v>5963</v>
      </c>
      <c r="AD2280" s="81"/>
      <c r="AE2280" s="81" t="b">
        <v>0</v>
      </c>
      <c r="AF2280" s="81">
        <v>0</v>
      </c>
      <c r="AG2280" s="86" t="s">
        <v>6240</v>
      </c>
      <c r="AH2280" s="81" t="b">
        <v>0</v>
      </c>
      <c r="AI2280" s="81" t="s">
        <v>6479</v>
      </c>
      <c r="AJ2280" s="81"/>
      <c r="AK2280" s="86" t="s">
        <v>6240</v>
      </c>
      <c r="AL2280" s="81" t="b">
        <v>0</v>
      </c>
      <c r="AM2280" s="81">
        <v>0</v>
      </c>
      <c r="AN2280" s="86" t="s">
        <v>6240</v>
      </c>
      <c r="AO2280" s="86" t="s">
        <v>6506</v>
      </c>
      <c r="AP2280" s="81" t="b">
        <v>0</v>
      </c>
      <c r="AQ2280" s="86" t="s">
        <v>5963</v>
      </c>
      <c r="AR2280" s="81" t="s">
        <v>179</v>
      </c>
      <c r="AS2280" s="81">
        <v>0</v>
      </c>
      <c r="AT2280" s="81">
        <v>0</v>
      </c>
      <c r="AU2280" s="81"/>
      <c r="AV2280" s="81"/>
      <c r="AW2280" s="81"/>
      <c r="AX2280" s="81"/>
      <c r="AY2280" s="81"/>
      <c r="AZ2280" s="81"/>
      <c r="BA2280" s="81"/>
      <c r="BB2280" s="81"/>
    </row>
    <row r="2281" spans="1:54" x14ac:dyDescent="0.35">
      <c r="A2281" s="66" t="s">
        <v>1269</v>
      </c>
      <c r="B2281" s="66" t="s">
        <v>1269</v>
      </c>
      <c r="C2281" s="67"/>
      <c r="D2281" s="68"/>
      <c r="E2281" s="69"/>
      <c r="F2281" s="70"/>
      <c r="G2281" s="67"/>
      <c r="H2281" s="71"/>
      <c r="I2281" s="72"/>
      <c r="J2281" s="72"/>
      <c r="K2281" s="36"/>
      <c r="L2281" s="79"/>
      <c r="M2281" s="79"/>
      <c r="N2281" s="74"/>
      <c r="O2281" s="81" t="s">
        <v>179</v>
      </c>
      <c r="P2281" s="83">
        <v>44467.135775462964</v>
      </c>
      <c r="Q2281" s="81" t="s">
        <v>2493</v>
      </c>
      <c r="R2281" s="81"/>
      <c r="S2281" s="81"/>
      <c r="T2281" s="81"/>
      <c r="U2281" s="81"/>
      <c r="V2281" s="84" t="str">
        <f>HYPERLINK("https://pbs.twimg.com/profile_images/378800000705328795/304bfd91ee90011498fd092cc79a423e_normal.jpeg")</f>
        <v>https://pbs.twimg.com/profile_images/378800000705328795/304bfd91ee90011498fd092cc79a423e_normal.jpeg</v>
      </c>
      <c r="W2281" s="83">
        <v>44467.135775462964</v>
      </c>
      <c r="X2281" s="89">
        <v>44467</v>
      </c>
      <c r="Y2281" s="86" t="s">
        <v>4172</v>
      </c>
      <c r="Z2281" s="84" t="str">
        <f>HYPERLINK("https://twitter.com/pos_indonesia/status/1442689401163694086")</f>
        <v>https://twitter.com/pos_indonesia/status/1442689401163694086</v>
      </c>
      <c r="AA2281" s="81"/>
      <c r="AB2281" s="81"/>
      <c r="AC2281" s="86" t="s">
        <v>5964</v>
      </c>
      <c r="AD2281" s="81"/>
      <c r="AE2281" s="81" t="b">
        <v>0</v>
      </c>
      <c r="AF2281" s="81">
        <v>0</v>
      </c>
      <c r="AG2281" s="86" t="s">
        <v>6240</v>
      </c>
      <c r="AH2281" s="81" t="b">
        <v>0</v>
      </c>
      <c r="AI2281" s="81" t="s">
        <v>6479</v>
      </c>
      <c r="AJ2281" s="81"/>
      <c r="AK2281" s="86" t="s">
        <v>6240</v>
      </c>
      <c r="AL2281" s="81" t="b">
        <v>0</v>
      </c>
      <c r="AM2281" s="81">
        <v>0</v>
      </c>
      <c r="AN2281" s="86" t="s">
        <v>6240</v>
      </c>
      <c r="AO2281" s="86" t="s">
        <v>6506</v>
      </c>
      <c r="AP2281" s="81" t="b">
        <v>0</v>
      </c>
      <c r="AQ2281" s="86" t="s">
        <v>5964</v>
      </c>
      <c r="AR2281" s="81" t="s">
        <v>179</v>
      </c>
      <c r="AS2281" s="81">
        <v>0</v>
      </c>
      <c r="AT2281" s="81">
        <v>0</v>
      </c>
      <c r="AU2281" s="81"/>
      <c r="AV2281" s="81"/>
      <c r="AW2281" s="81"/>
      <c r="AX2281" s="81"/>
      <c r="AY2281" s="81"/>
      <c r="AZ2281" s="81"/>
      <c r="BA2281" s="81"/>
      <c r="BB2281" s="81"/>
    </row>
    <row r="2282" spans="1:54" x14ac:dyDescent="0.35">
      <c r="A2282" s="66" t="s">
        <v>1269</v>
      </c>
      <c r="B2282" s="66" t="s">
        <v>1269</v>
      </c>
      <c r="C2282" s="67"/>
      <c r="D2282" s="68"/>
      <c r="E2282" s="69"/>
      <c r="F2282" s="70"/>
      <c r="G2282" s="67"/>
      <c r="H2282" s="71"/>
      <c r="I2282" s="72"/>
      <c r="J2282" s="72"/>
      <c r="K2282" s="36"/>
      <c r="L2282" s="79"/>
      <c r="M2282" s="79"/>
      <c r="N2282" s="74"/>
      <c r="O2282" s="81" t="s">
        <v>179</v>
      </c>
      <c r="P2282" s="83">
        <v>44467.156585648147</v>
      </c>
      <c r="Q2282" s="81" t="s">
        <v>2565</v>
      </c>
      <c r="R2282" s="81"/>
      <c r="S2282" s="81"/>
      <c r="T2282" s="81"/>
      <c r="U2282" s="81"/>
      <c r="V2282" s="84" t="str">
        <f>HYPERLINK("https://pbs.twimg.com/profile_images/378800000705328795/304bfd91ee90011498fd092cc79a423e_normal.jpeg")</f>
        <v>https://pbs.twimg.com/profile_images/378800000705328795/304bfd91ee90011498fd092cc79a423e_normal.jpeg</v>
      </c>
      <c r="W2282" s="83">
        <v>44467.156585648147</v>
      </c>
      <c r="X2282" s="89">
        <v>44467</v>
      </c>
      <c r="Y2282" s="86" t="s">
        <v>4110</v>
      </c>
      <c r="Z2282" s="84" t="str">
        <f>HYPERLINK("https://twitter.com/pos_indonesia/status/1442696942614548483")</f>
        <v>https://twitter.com/pos_indonesia/status/1442696942614548483</v>
      </c>
      <c r="AA2282" s="81"/>
      <c r="AB2282" s="81"/>
      <c r="AC2282" s="86" t="s">
        <v>5965</v>
      </c>
      <c r="AD2282" s="81"/>
      <c r="AE2282" s="81" t="b">
        <v>0</v>
      </c>
      <c r="AF2282" s="81">
        <v>0</v>
      </c>
      <c r="AG2282" s="86" t="s">
        <v>6240</v>
      </c>
      <c r="AH2282" s="81" t="b">
        <v>0</v>
      </c>
      <c r="AI2282" s="81" t="s">
        <v>6479</v>
      </c>
      <c r="AJ2282" s="81"/>
      <c r="AK2282" s="86" t="s">
        <v>6240</v>
      </c>
      <c r="AL2282" s="81" t="b">
        <v>0</v>
      </c>
      <c r="AM2282" s="81">
        <v>0</v>
      </c>
      <c r="AN2282" s="86" t="s">
        <v>6240</v>
      </c>
      <c r="AO2282" s="86" t="s">
        <v>6506</v>
      </c>
      <c r="AP2282" s="81" t="b">
        <v>0</v>
      </c>
      <c r="AQ2282" s="86" t="s">
        <v>5965</v>
      </c>
      <c r="AR2282" s="81" t="s">
        <v>179</v>
      </c>
      <c r="AS2282" s="81">
        <v>0</v>
      </c>
      <c r="AT2282" s="81">
        <v>0</v>
      </c>
      <c r="AU2282" s="81"/>
      <c r="AV2282" s="81"/>
      <c r="AW2282" s="81"/>
      <c r="AX2282" s="81"/>
      <c r="AY2282" s="81"/>
      <c r="AZ2282" s="81"/>
      <c r="BA2282" s="81"/>
      <c r="BB2282" s="81"/>
    </row>
    <row r="2283" spans="1:54" x14ac:dyDescent="0.35">
      <c r="A2283" s="66" t="s">
        <v>1269</v>
      </c>
      <c r="B2283" s="66" t="s">
        <v>1269</v>
      </c>
      <c r="C2283" s="67"/>
      <c r="D2283" s="68"/>
      <c r="E2283" s="69"/>
      <c r="F2283" s="70"/>
      <c r="G2283" s="67"/>
      <c r="H2283" s="71"/>
      <c r="I2283" s="72"/>
      <c r="J2283" s="72"/>
      <c r="K2283" s="36"/>
      <c r="L2283" s="79"/>
      <c r="M2283" s="79"/>
      <c r="N2283" s="74"/>
      <c r="O2283" s="81" t="s">
        <v>179</v>
      </c>
      <c r="P2283" s="83">
        <v>44467.177442129629</v>
      </c>
      <c r="Q2283" s="81" t="s">
        <v>2554</v>
      </c>
      <c r="R2283" s="81"/>
      <c r="S2283" s="81"/>
      <c r="T2283" s="81"/>
      <c r="U2283" s="81"/>
      <c r="V2283" s="84" t="str">
        <f>HYPERLINK("https://pbs.twimg.com/profile_images/378800000705328795/304bfd91ee90011498fd092cc79a423e_normal.jpeg")</f>
        <v>https://pbs.twimg.com/profile_images/378800000705328795/304bfd91ee90011498fd092cc79a423e_normal.jpeg</v>
      </c>
      <c r="W2283" s="83">
        <v>44467.177442129629</v>
      </c>
      <c r="X2283" s="89">
        <v>44467</v>
      </c>
      <c r="Y2283" s="86" t="s">
        <v>4173</v>
      </c>
      <c r="Z2283" s="84" t="str">
        <f>HYPERLINK("https://twitter.com/pos_indonesia/status/1442704499362066437")</f>
        <v>https://twitter.com/pos_indonesia/status/1442704499362066437</v>
      </c>
      <c r="AA2283" s="81"/>
      <c r="AB2283" s="81"/>
      <c r="AC2283" s="86" t="s">
        <v>5966</v>
      </c>
      <c r="AD2283" s="81"/>
      <c r="AE2283" s="81" t="b">
        <v>0</v>
      </c>
      <c r="AF2283" s="81">
        <v>0</v>
      </c>
      <c r="AG2283" s="86" t="s">
        <v>6240</v>
      </c>
      <c r="AH2283" s="81" t="b">
        <v>0</v>
      </c>
      <c r="AI2283" s="81" t="s">
        <v>6479</v>
      </c>
      <c r="AJ2283" s="81"/>
      <c r="AK2283" s="86" t="s">
        <v>6240</v>
      </c>
      <c r="AL2283" s="81" t="b">
        <v>0</v>
      </c>
      <c r="AM2283" s="81">
        <v>0</v>
      </c>
      <c r="AN2283" s="86" t="s">
        <v>6240</v>
      </c>
      <c r="AO2283" s="86" t="s">
        <v>6506</v>
      </c>
      <c r="AP2283" s="81" t="b">
        <v>0</v>
      </c>
      <c r="AQ2283" s="86" t="s">
        <v>5966</v>
      </c>
      <c r="AR2283" s="81" t="s">
        <v>179</v>
      </c>
      <c r="AS2283" s="81">
        <v>0</v>
      </c>
      <c r="AT2283" s="81">
        <v>0</v>
      </c>
      <c r="AU2283" s="81"/>
      <c r="AV2283" s="81"/>
      <c r="AW2283" s="81"/>
      <c r="AX2283" s="81"/>
      <c r="AY2283" s="81"/>
      <c r="AZ2283" s="81"/>
      <c r="BA2283" s="81"/>
      <c r="BB2283" s="81"/>
    </row>
    <row r="2284" spans="1:54" x14ac:dyDescent="0.35">
      <c r="A2284" s="66" t="s">
        <v>1269</v>
      </c>
      <c r="B2284" s="66" t="s">
        <v>1269</v>
      </c>
      <c r="C2284" s="67"/>
      <c r="D2284" s="68"/>
      <c r="E2284" s="69"/>
      <c r="F2284" s="70"/>
      <c r="G2284" s="67"/>
      <c r="H2284" s="71"/>
      <c r="I2284" s="72"/>
      <c r="J2284" s="72"/>
      <c r="K2284" s="36"/>
      <c r="L2284" s="79"/>
      <c r="M2284" s="79"/>
      <c r="N2284" s="74"/>
      <c r="O2284" s="81" t="s">
        <v>179</v>
      </c>
      <c r="P2284" s="83">
        <v>44467.198287037034</v>
      </c>
      <c r="Q2284" s="81" t="s">
        <v>2566</v>
      </c>
      <c r="R2284" s="81"/>
      <c r="S2284" s="81"/>
      <c r="T2284" s="81"/>
      <c r="U2284" s="81"/>
      <c r="V2284" s="84" t="str">
        <f>HYPERLINK("https://pbs.twimg.com/profile_images/378800000705328795/304bfd91ee90011498fd092cc79a423e_normal.jpeg")</f>
        <v>https://pbs.twimg.com/profile_images/378800000705328795/304bfd91ee90011498fd092cc79a423e_normal.jpeg</v>
      </c>
      <c r="W2284" s="83">
        <v>44467.198287037034</v>
      </c>
      <c r="X2284" s="89">
        <v>44467</v>
      </c>
      <c r="Y2284" s="86" t="s">
        <v>4174</v>
      </c>
      <c r="Z2284" s="84" t="str">
        <f>HYPERLINK("https://twitter.com/pos_indonesia/status/1442712052984737796")</f>
        <v>https://twitter.com/pos_indonesia/status/1442712052984737796</v>
      </c>
      <c r="AA2284" s="81"/>
      <c r="AB2284" s="81"/>
      <c r="AC2284" s="86" t="s">
        <v>5967</v>
      </c>
      <c r="AD2284" s="81"/>
      <c r="AE2284" s="81" t="b">
        <v>0</v>
      </c>
      <c r="AF2284" s="81">
        <v>0</v>
      </c>
      <c r="AG2284" s="86" t="s">
        <v>6240</v>
      </c>
      <c r="AH2284" s="81" t="b">
        <v>0</v>
      </c>
      <c r="AI2284" s="81" t="s">
        <v>6479</v>
      </c>
      <c r="AJ2284" s="81"/>
      <c r="AK2284" s="86" t="s">
        <v>6240</v>
      </c>
      <c r="AL2284" s="81" t="b">
        <v>0</v>
      </c>
      <c r="AM2284" s="81">
        <v>0</v>
      </c>
      <c r="AN2284" s="86" t="s">
        <v>6240</v>
      </c>
      <c r="AO2284" s="86" t="s">
        <v>6506</v>
      </c>
      <c r="AP2284" s="81" t="b">
        <v>0</v>
      </c>
      <c r="AQ2284" s="86" t="s">
        <v>5967</v>
      </c>
      <c r="AR2284" s="81" t="s">
        <v>179</v>
      </c>
      <c r="AS2284" s="81">
        <v>0</v>
      </c>
      <c r="AT2284" s="81">
        <v>0</v>
      </c>
      <c r="AU2284" s="81"/>
      <c r="AV2284" s="81"/>
      <c r="AW2284" s="81"/>
      <c r="AX2284" s="81"/>
      <c r="AY2284" s="81"/>
      <c r="AZ2284" s="81"/>
      <c r="BA2284" s="81"/>
      <c r="BB2284" s="81"/>
    </row>
    <row r="2285" spans="1:54" x14ac:dyDescent="0.35">
      <c r="A2285" s="66" t="s">
        <v>1269</v>
      </c>
      <c r="B2285" s="66" t="s">
        <v>1269</v>
      </c>
      <c r="C2285" s="67"/>
      <c r="D2285" s="68"/>
      <c r="E2285" s="69"/>
      <c r="F2285" s="70"/>
      <c r="G2285" s="67"/>
      <c r="H2285" s="71"/>
      <c r="I2285" s="72"/>
      <c r="J2285" s="72"/>
      <c r="K2285" s="36"/>
      <c r="L2285" s="79"/>
      <c r="M2285" s="79"/>
      <c r="N2285" s="74"/>
      <c r="O2285" s="81" t="s">
        <v>179</v>
      </c>
      <c r="P2285" s="83">
        <v>44467.219131944446</v>
      </c>
      <c r="Q2285" s="81" t="s">
        <v>2354</v>
      </c>
      <c r="R2285" s="81"/>
      <c r="S2285" s="81"/>
      <c r="T2285" s="81"/>
      <c r="U2285" s="81"/>
      <c r="V2285" s="84" t="str">
        <f>HYPERLINK("https://pbs.twimg.com/profile_images/378800000705328795/304bfd91ee90011498fd092cc79a423e_normal.jpeg")</f>
        <v>https://pbs.twimg.com/profile_images/378800000705328795/304bfd91ee90011498fd092cc79a423e_normal.jpeg</v>
      </c>
      <c r="W2285" s="83">
        <v>44467.219131944446</v>
      </c>
      <c r="X2285" s="89">
        <v>44467</v>
      </c>
      <c r="Y2285" s="86" t="s">
        <v>4111</v>
      </c>
      <c r="Z2285" s="84" t="str">
        <f>HYPERLINK("https://twitter.com/pos_indonesia/status/1442719608608198661")</f>
        <v>https://twitter.com/pos_indonesia/status/1442719608608198661</v>
      </c>
      <c r="AA2285" s="81"/>
      <c r="AB2285" s="81"/>
      <c r="AC2285" s="86" t="s">
        <v>5968</v>
      </c>
      <c r="AD2285" s="81"/>
      <c r="AE2285" s="81" t="b">
        <v>0</v>
      </c>
      <c r="AF2285" s="81">
        <v>0</v>
      </c>
      <c r="AG2285" s="86" t="s">
        <v>6240</v>
      </c>
      <c r="AH2285" s="81" t="b">
        <v>0</v>
      </c>
      <c r="AI2285" s="81" t="s">
        <v>6479</v>
      </c>
      <c r="AJ2285" s="81"/>
      <c r="AK2285" s="86" t="s">
        <v>6240</v>
      </c>
      <c r="AL2285" s="81" t="b">
        <v>0</v>
      </c>
      <c r="AM2285" s="81">
        <v>0</v>
      </c>
      <c r="AN2285" s="86" t="s">
        <v>6240</v>
      </c>
      <c r="AO2285" s="86" t="s">
        <v>6506</v>
      </c>
      <c r="AP2285" s="81" t="b">
        <v>0</v>
      </c>
      <c r="AQ2285" s="86" t="s">
        <v>5968</v>
      </c>
      <c r="AR2285" s="81" t="s">
        <v>179</v>
      </c>
      <c r="AS2285" s="81">
        <v>0</v>
      </c>
      <c r="AT2285" s="81">
        <v>0</v>
      </c>
      <c r="AU2285" s="81"/>
      <c r="AV2285" s="81"/>
      <c r="AW2285" s="81"/>
      <c r="AX2285" s="81"/>
      <c r="AY2285" s="81"/>
      <c r="AZ2285" s="81"/>
      <c r="BA2285" s="81"/>
      <c r="BB2285" s="81"/>
    </row>
    <row r="2286" spans="1:54" x14ac:dyDescent="0.35">
      <c r="A2286" s="66" t="s">
        <v>1270</v>
      </c>
      <c r="B2286" s="66" t="s">
        <v>1270</v>
      </c>
      <c r="C2286" s="67"/>
      <c r="D2286" s="68"/>
      <c r="E2286" s="69"/>
      <c r="F2286" s="70"/>
      <c r="G2286" s="67"/>
      <c r="H2286" s="71"/>
      <c r="I2286" s="72"/>
      <c r="J2286" s="72"/>
      <c r="K2286" s="36"/>
      <c r="L2286" s="79"/>
      <c r="M2286" s="79"/>
      <c r="N2286" s="74"/>
      <c r="O2286" s="81" t="s">
        <v>179</v>
      </c>
      <c r="P2286" s="83">
        <v>44467.220150462963</v>
      </c>
      <c r="Q2286" s="81" t="s">
        <v>2567</v>
      </c>
      <c r="R2286" s="81"/>
      <c r="S2286" s="81"/>
      <c r="T2286" s="81"/>
      <c r="U2286" s="81"/>
      <c r="V2286" s="84" t="str">
        <f>HYPERLINK("https://pbs.twimg.com/profile_images/1430410414710349824/cMuPyWUU_normal.jpg")</f>
        <v>https://pbs.twimg.com/profile_images/1430410414710349824/cMuPyWUU_normal.jpg</v>
      </c>
      <c r="W2286" s="83">
        <v>44467.220150462963</v>
      </c>
      <c r="X2286" s="89">
        <v>44467</v>
      </c>
      <c r="Y2286" s="86" t="s">
        <v>4213</v>
      </c>
      <c r="Z2286" s="84" t="str">
        <f>HYPERLINK("https://twitter.com/peuniels/status/1442719974951251972")</f>
        <v>https://twitter.com/peuniels/status/1442719974951251972</v>
      </c>
      <c r="AA2286" s="81"/>
      <c r="AB2286" s="81"/>
      <c r="AC2286" s="86" t="s">
        <v>5969</v>
      </c>
      <c r="AD2286" s="81"/>
      <c r="AE2286" s="81" t="b">
        <v>0</v>
      </c>
      <c r="AF2286" s="81">
        <v>0</v>
      </c>
      <c r="AG2286" s="86" t="s">
        <v>6240</v>
      </c>
      <c r="AH2286" s="81" t="b">
        <v>0</v>
      </c>
      <c r="AI2286" s="81" t="s">
        <v>6478</v>
      </c>
      <c r="AJ2286" s="81"/>
      <c r="AK2286" s="86" t="s">
        <v>6240</v>
      </c>
      <c r="AL2286" s="81" t="b">
        <v>0</v>
      </c>
      <c r="AM2286" s="81">
        <v>0</v>
      </c>
      <c r="AN2286" s="86" t="s">
        <v>6240</v>
      </c>
      <c r="AO2286" s="86" t="s">
        <v>6503</v>
      </c>
      <c r="AP2286" s="81" t="b">
        <v>0</v>
      </c>
      <c r="AQ2286" s="86" t="s">
        <v>5969</v>
      </c>
      <c r="AR2286" s="81" t="s">
        <v>179</v>
      </c>
      <c r="AS2286" s="81">
        <v>0</v>
      </c>
      <c r="AT2286" s="81">
        <v>0</v>
      </c>
      <c r="AU2286" s="81"/>
      <c r="AV2286" s="81"/>
      <c r="AW2286" s="81"/>
      <c r="AX2286" s="81"/>
      <c r="AY2286" s="81"/>
      <c r="AZ2286" s="81"/>
      <c r="BA2286" s="81"/>
      <c r="BB2286" s="81"/>
    </row>
    <row r="2287" spans="1:54" x14ac:dyDescent="0.35">
      <c r="A2287" s="66" t="s">
        <v>1271</v>
      </c>
      <c r="B2287" s="66" t="s">
        <v>1271</v>
      </c>
      <c r="C2287" s="67"/>
      <c r="D2287" s="68"/>
      <c r="E2287" s="69"/>
      <c r="F2287" s="70"/>
      <c r="G2287" s="67"/>
      <c r="H2287" s="71"/>
      <c r="I2287" s="72"/>
      <c r="J2287" s="72"/>
      <c r="K2287" s="36"/>
      <c r="L2287" s="79"/>
      <c r="M2287" s="79"/>
      <c r="N2287" s="74"/>
      <c r="O2287" s="81" t="s">
        <v>179</v>
      </c>
      <c r="P2287" s="83">
        <v>44467.225543981483</v>
      </c>
      <c r="Q2287" s="81" t="s">
        <v>2568</v>
      </c>
      <c r="R2287" s="84" t="str">
        <f>HYPERLINK("http://berita-sulsel.com/2021/09/28/rektor-uim-teken-mou-pt-pos-indonesia-regional-ii-jakarta/")</f>
        <v>http://berita-sulsel.com/2021/09/28/rektor-uim-teken-mou-pt-pos-indonesia-regional-ii-jakarta/</v>
      </c>
      <c r="S2287" s="81" t="s">
        <v>2655</v>
      </c>
      <c r="T2287" s="81"/>
      <c r="U2287" s="84" t="str">
        <f>HYPERLINK("https://pbs.twimg.com/media/FAWT8vkUYAIl4Bx.jpg")</f>
        <v>https://pbs.twimg.com/media/FAWT8vkUYAIl4Bx.jpg</v>
      </c>
      <c r="V2287" s="84" t="str">
        <f>HYPERLINK("https://pbs.twimg.com/media/FAWT8vkUYAIl4Bx.jpg")</f>
        <v>https://pbs.twimg.com/media/FAWT8vkUYAIl4Bx.jpg</v>
      </c>
      <c r="W2287" s="83">
        <v>44467.225543981483</v>
      </c>
      <c r="X2287" s="89">
        <v>44467</v>
      </c>
      <c r="Y2287" s="86" t="s">
        <v>4214</v>
      </c>
      <c r="Z2287" s="84" t="str">
        <f>HYPERLINK("https://twitter.com/beritasulselcom/status/1442721929224278018")</f>
        <v>https://twitter.com/beritasulselcom/status/1442721929224278018</v>
      </c>
      <c r="AA2287" s="81"/>
      <c r="AB2287" s="81"/>
      <c r="AC2287" s="86" t="s">
        <v>5970</v>
      </c>
      <c r="AD2287" s="81"/>
      <c r="AE2287" s="81" t="b">
        <v>0</v>
      </c>
      <c r="AF2287" s="81">
        <v>0</v>
      </c>
      <c r="AG2287" s="86" t="s">
        <v>6240</v>
      </c>
      <c r="AH2287" s="81" t="b">
        <v>0</v>
      </c>
      <c r="AI2287" s="81" t="s">
        <v>6478</v>
      </c>
      <c r="AJ2287" s="81"/>
      <c r="AK2287" s="86" t="s">
        <v>6240</v>
      </c>
      <c r="AL2287" s="81" t="b">
        <v>0</v>
      </c>
      <c r="AM2287" s="81">
        <v>0</v>
      </c>
      <c r="AN2287" s="86" t="s">
        <v>6240</v>
      </c>
      <c r="AO2287" s="86" t="s">
        <v>6535</v>
      </c>
      <c r="AP2287" s="81" t="b">
        <v>0</v>
      </c>
      <c r="AQ2287" s="86" t="s">
        <v>5970</v>
      </c>
      <c r="AR2287" s="81" t="s">
        <v>179</v>
      </c>
      <c r="AS2287" s="81">
        <v>0</v>
      </c>
      <c r="AT2287" s="81">
        <v>0</v>
      </c>
      <c r="AU2287" s="81"/>
      <c r="AV2287" s="81"/>
      <c r="AW2287" s="81"/>
      <c r="AX2287" s="81"/>
      <c r="AY2287" s="81"/>
      <c r="AZ2287" s="81"/>
      <c r="BA2287" s="81"/>
      <c r="BB2287" s="81"/>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2287"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2287" xr:uid="{00000000-0002-0000-0000-000001000000}"/>
    <dataValidation allowBlank="1" showErrorMessage="1" sqref="N2:N2287" xr:uid="{00000000-0002-0000-0000-000002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2287"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2287" xr:uid="{00000000-0002-0000-0000-000004000000}"/>
    <dataValidation allowBlank="1" showInputMessage="1" promptTitle="Edge Color" prompt="To select an optional edge color, right-click and select Select Color on the right-click menu." sqref="C3:C2287" xr:uid="{00000000-0002-0000-0000-000005000000}"/>
    <dataValidation allowBlank="1" showInputMessage="1" errorTitle="Invalid Edge Width" error="The optional edge width must be a whole number between 1 and 10." promptTitle="Edge Width" prompt="Enter an optional edge width between 1 and 10." sqref="D3:D2287"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2287"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2287" xr:uid="{00000000-0002-0000-0000-000008000000}">
      <formula1>ValidEdgeVisibilities</formula1>
    </dataValidation>
    <dataValidation allowBlank="1" showInputMessage="1" showErrorMessage="1" promptTitle="Vertex 1 Name" prompt="Enter the name of the edge's first vertex." sqref="A3:A2287" xr:uid="{00000000-0002-0000-0000-000009000000}"/>
    <dataValidation allowBlank="1" showInputMessage="1" showErrorMessage="1" promptTitle="Vertex 2 Name" prompt="Enter the name of the edge's second vertex." sqref="B3:B2287"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2287"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2287"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2287" xr:uid="{00000000-0002-0000-0000-00000D000000}"/>
  </dataValidations>
  <hyperlinks>
    <hyperlink ref="R848" r:id="rId1" display="https://www.google.com/url?rct=j&amp;sa=t&amp;url=https%3A%2F%2Fm.tribunnews.com%2Fnasional%2F2021%2F09%2F23%2Flowongan-kerja-pt-pos-indonesia-persero-makassar-2021-frontliner-dibuka-hingga-24-september-2021&amp;ct=ga&amp;cd=CAIyGjJiMmE5MjhmODMwMjFjNzI6Y29tOmlkOlVT&amp;usg=AFQjCNEU5BB7QgR2kc_9NC1JiBDqEd_IJw&amp;utm_source=dlvr.it&amp;utm_medium=twitter" xr:uid="{DBB7B186-6D02-477E-A525-856991333337}"/>
    <hyperlink ref="R849" r:id="rId2" display="https://www.google.com/url?rct=j&amp;sa=t&amp;url=https%3A%2F%2Fbekasi.pikiran-rakyat.com%2Fbelia%2Fpr-122662628%2Finfo-loker-pt-sicepat-ekspres-indonesia-buka-lowongan-kerja-untuk-lulusan-minimal-d3&amp;ct=ga&amp;cd=CAIyGjJiMmE5MjhmODMwMjFjNzI6Y29tOmlkOlVT&amp;usg=AFQjCNGcJrUBHz067ZWt38LBsVdDx8qM5Q&amp;utm_source=dlvr.it&amp;utm_medium=twitter" xr:uid="{E621F84C-3C3E-4C8C-9D3F-D851B17C6B32}"/>
    <hyperlink ref="R1837" r:id="rId3" display="https://www.google.com/url?rct=j&amp;sa=t&amp;url=https%3A%2F%2Fkodepos.nomor.net%2F_kodepos.php%3F_i%3Dpulau-kodepos%26BK_HP%3DHP%26sby%3D000000%26daerah%3DPulau-South%2520Waigeo-Kab.-Raja%2520Ampat%26jobs%3DYef%2520Kawuto%26_en%3DENGLISH&amp;ct=ga&amp;cd=CAIyGmVlY2VkYTlmYzNhYjU3ZWM6Y29tOmVuOlVT&amp;usg=AFQjCNHIqyqGN66dQ2cJr9BWvOs-WbzTRQ&amp;utm_source=dlvr.it&amp;utm_medium=twitter" xr:uid="{22682FC1-1CBC-4FB4-B228-896096C00C82}"/>
    <hyperlink ref="R1838" r:id="rId4" display="https://www.google.com/url?rct=j&amp;sa=t&amp;url=https%3A%2F%2Fkodepos.nomor.net%2F_kodepos.php%3F_i%3Dkota-kodepos%26daerah%3DProvinsi%26jobs%3D60113%26urut%3D%26asc%3D000101%26sby%3D000000%26no1%3D2%26prov%3DWest%2BPapua%26_en%3DENGLISH&amp;ct=ga&amp;cd=CAIyGmVlY2VkYTlmYzNhYjU3ZWM6Y29tOmVuOlVT&amp;usg=AFQjCNF9MQc-fHYmfA0DnGaUWxooG07icw&amp;utm_source=dlvr.it&amp;utm_medium=twitter" xr:uid="{62A3EEF6-0E37-4DA6-AA9A-6C501A750615}"/>
  </hyperlinks>
  <pageMargins left="0.7" right="0.7" top="0.75" bottom="0.75" header="0.3" footer="0.3"/>
  <pageSetup orientation="portrait" verticalDpi="0" r:id="rId5"/>
  <legacyDrawing r:id="rId6"/>
  <tableParts count="1">
    <tablePart r:id="rId7"/>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E1317"/>
  <sheetViews>
    <sheetView tabSelected="1" workbookViewId="0">
      <pane xSplit="1" ySplit="2" topLeftCell="B1300" activePane="bottomRight" state="frozen"/>
      <selection pane="topRight" activeCell="B1" sqref="B1"/>
      <selection pane="bottomLeft" activeCell="A3" sqref="A3"/>
      <selection pane="bottomRight" activeCell="A3" sqref="A3"/>
    </sheetView>
  </sheetViews>
  <sheetFormatPr defaultRowHeight="14.5" x14ac:dyDescent="0.35"/>
  <cols>
    <col min="1" max="1" width="9.1796875" style="1"/>
    <col min="2" max="2" width="7.81640625" customWidth="1"/>
    <col min="3" max="3" width="8.54296875" customWidth="1"/>
    <col min="4" max="4" width="6.7265625" customWidth="1"/>
    <col min="5" max="5" width="9.81640625" customWidth="1"/>
    <col min="6" max="6" width="7.7265625" customWidth="1"/>
    <col min="7" max="7" width="11" customWidth="1"/>
    <col min="8" max="8" width="8.54296875" customWidth="1"/>
    <col min="9" max="9" width="9.7265625" customWidth="1"/>
    <col min="10" max="10" width="10.54296875" style="3" customWidth="1"/>
    <col min="11" max="11" width="9.1796875" customWidth="1"/>
    <col min="12" max="12" width="9.1796875" hidden="1" customWidth="1"/>
    <col min="13" max="14" width="4.26953125" hidden="1" customWidth="1"/>
    <col min="15" max="15" width="10.26953125" hidden="1" customWidth="1"/>
    <col min="16" max="16" width="6.453125" hidden="1" customWidth="1"/>
    <col min="17" max="17" width="8.26953125" hidden="1" customWidth="1"/>
    <col min="18" max="18" width="9.54296875" hidden="1" customWidth="1"/>
    <col min="19" max="19" width="9.26953125" hidden="1" customWidth="1"/>
    <col min="20" max="20" width="9.54296875" hidden="1" customWidth="1"/>
    <col min="21" max="23" width="14.26953125" hidden="1" customWidth="1"/>
    <col min="24" max="24" width="11.81640625" hidden="1" customWidth="1"/>
    <col min="25" max="25" width="14.453125" hidden="1" customWidth="1"/>
    <col min="26" max="26" width="18.26953125" hidden="1" customWidth="1"/>
    <col min="27" max="27" width="5" style="3" hidden="1" customWidth="1"/>
    <col min="28" max="28" width="16" style="3" hidden="1" customWidth="1"/>
    <col min="29" max="29" width="16" style="6" bestFit="1" customWidth="1"/>
    <col min="30" max="30" width="8" style="2" bestFit="1" customWidth="1"/>
    <col min="31" max="31" width="9.1796875" style="3" bestFit="1" customWidth="1"/>
    <col min="32" max="32" width="10.6328125" style="3" bestFit="1" customWidth="1"/>
    <col min="33" max="33" width="11.08984375" style="3" bestFit="1" customWidth="1"/>
    <col min="34" max="34" width="9" style="3" bestFit="1" customWidth="1"/>
    <col min="35" max="35" width="8.81640625" bestFit="1" customWidth="1"/>
    <col min="36" max="36" width="16.81640625" bestFit="1" customWidth="1"/>
    <col min="37" max="37" width="12.54296875" bestFit="1" customWidth="1"/>
    <col min="38" max="38" width="10.08984375" bestFit="1" customWidth="1"/>
    <col min="39" max="39" width="7" bestFit="1" customWidth="1"/>
    <col min="40" max="40" width="7.6328125" bestFit="1" customWidth="1"/>
    <col min="41" max="41" width="15.36328125" bestFit="1" customWidth="1"/>
    <col min="42" max="42" width="12" bestFit="1" customWidth="1"/>
    <col min="43" max="43" width="9.6328125" bestFit="1" customWidth="1"/>
    <col min="44" max="44" width="15.54296875" bestFit="1" customWidth="1"/>
    <col min="45" max="45" width="9.81640625" bestFit="1" customWidth="1"/>
    <col min="46" max="46" width="10.90625" bestFit="1" customWidth="1"/>
    <col min="47" max="47" width="8.36328125" bestFit="1" customWidth="1"/>
    <col min="48" max="48" width="19.36328125" bestFit="1" customWidth="1"/>
    <col min="49" max="49" width="9.54296875" bestFit="1" customWidth="1"/>
    <col min="50" max="51" width="15.36328125" bestFit="1" customWidth="1"/>
    <col min="52" max="52" width="14.36328125" bestFit="1" customWidth="1"/>
  </cols>
  <sheetData>
    <row r="1" spans="1:57" x14ac:dyDescent="0.35">
      <c r="B1" s="25" t="s">
        <v>39</v>
      </c>
      <c r="C1" s="18"/>
      <c r="D1" s="18"/>
      <c r="E1" s="18"/>
      <c r="F1" s="18"/>
      <c r="G1" s="18"/>
      <c r="H1" s="27" t="s">
        <v>43</v>
      </c>
      <c r="I1" s="26"/>
      <c r="J1" s="26"/>
      <c r="K1" s="26"/>
      <c r="L1" s="29" t="s">
        <v>44</v>
      </c>
      <c r="M1" s="28"/>
      <c r="N1" s="28"/>
      <c r="O1" s="28"/>
      <c r="P1" s="28"/>
      <c r="Q1" s="28"/>
      <c r="R1" s="24" t="s">
        <v>42</v>
      </c>
      <c r="S1" s="21"/>
      <c r="T1" s="22"/>
      <c r="U1" s="23"/>
      <c r="V1" s="21"/>
      <c r="W1" s="21"/>
      <c r="X1" s="21"/>
      <c r="Y1" s="21"/>
      <c r="Z1" s="21"/>
      <c r="AA1" s="30" t="s">
        <v>40</v>
      </c>
      <c r="AB1" s="20"/>
      <c r="AC1" s="31" t="s">
        <v>41</v>
      </c>
      <c r="AD1"/>
      <c r="AE1"/>
      <c r="AF1"/>
      <c r="AG1"/>
      <c r="AH1"/>
    </row>
    <row r="2" spans="1:57" ht="30" customHeight="1" x14ac:dyDescent="0.35">
      <c r="A2" s="11" t="s">
        <v>5</v>
      </c>
      <c r="B2" s="8" t="s">
        <v>2</v>
      </c>
      <c r="C2" s="8" t="s">
        <v>8</v>
      </c>
      <c r="D2" s="9" t="s">
        <v>45</v>
      </c>
      <c r="E2" s="10" t="s">
        <v>4</v>
      </c>
      <c r="F2" s="8" t="s">
        <v>48</v>
      </c>
      <c r="G2" s="8" t="s">
        <v>11</v>
      </c>
      <c r="H2" s="8" t="s">
        <v>46</v>
      </c>
      <c r="I2" s="8" t="s">
        <v>47</v>
      </c>
      <c r="J2" s="8" t="s">
        <v>77</v>
      </c>
      <c r="K2" s="8" t="s">
        <v>10</v>
      </c>
      <c r="L2" s="8" t="s">
        <v>27</v>
      </c>
      <c r="M2" s="8" t="s">
        <v>15</v>
      </c>
      <c r="N2" s="8" t="s">
        <v>16</v>
      </c>
      <c r="O2" s="8" t="s">
        <v>13</v>
      </c>
      <c r="P2" s="8" t="s">
        <v>28</v>
      </c>
      <c r="Q2" s="8" t="s">
        <v>29</v>
      </c>
      <c r="R2" s="13" t="s">
        <v>31</v>
      </c>
      <c r="S2" s="13" t="s">
        <v>32</v>
      </c>
      <c r="T2" s="13" t="s">
        <v>33</v>
      </c>
      <c r="U2" s="13" t="s">
        <v>34</v>
      </c>
      <c r="V2" s="13" t="s">
        <v>35</v>
      </c>
      <c r="W2" s="13" t="s">
        <v>36</v>
      </c>
      <c r="X2" s="13" t="s">
        <v>137</v>
      </c>
      <c r="Y2" s="13" t="s">
        <v>37</v>
      </c>
      <c r="Z2" s="13" t="s">
        <v>170</v>
      </c>
      <c r="AA2" s="11" t="s">
        <v>12</v>
      </c>
      <c r="AB2" s="11" t="s">
        <v>38</v>
      </c>
      <c r="AC2" s="8" t="s">
        <v>26</v>
      </c>
      <c r="AD2" s="13" t="s">
        <v>6567</v>
      </c>
      <c r="AE2" s="13" t="s">
        <v>6568</v>
      </c>
      <c r="AF2" s="13" t="s">
        <v>6569</v>
      </c>
      <c r="AG2" s="13" t="s">
        <v>6570</v>
      </c>
      <c r="AH2" s="13" t="s">
        <v>6571</v>
      </c>
      <c r="AI2" s="13" t="s">
        <v>6572</v>
      </c>
      <c r="AJ2" s="13" t="s">
        <v>6573</v>
      </c>
      <c r="AK2" s="13" t="s">
        <v>6574</v>
      </c>
      <c r="AL2" s="13" t="s">
        <v>6575</v>
      </c>
      <c r="AM2" s="13" t="s">
        <v>6576</v>
      </c>
      <c r="AN2" s="13" t="s">
        <v>6577</v>
      </c>
      <c r="AO2" s="13" t="s">
        <v>6578</v>
      </c>
      <c r="AP2" s="13" t="s">
        <v>6579</v>
      </c>
      <c r="AQ2" s="13" t="s">
        <v>6580</v>
      </c>
      <c r="AR2" s="13" t="s">
        <v>6581</v>
      </c>
      <c r="AS2" s="13" t="s">
        <v>6582</v>
      </c>
      <c r="AT2" s="13" t="s">
        <v>197</v>
      </c>
      <c r="AU2" s="13" t="s">
        <v>6583</v>
      </c>
      <c r="AV2" s="13" t="s">
        <v>6584</v>
      </c>
      <c r="AW2" s="13" t="s">
        <v>6585</v>
      </c>
      <c r="AX2" s="13" t="s">
        <v>6586</v>
      </c>
      <c r="AY2" s="13" t="s">
        <v>6587</v>
      </c>
      <c r="AZ2" s="13" t="s">
        <v>6588</v>
      </c>
      <c r="BA2" s="3"/>
      <c r="BB2" s="3"/>
    </row>
    <row r="3" spans="1:57" ht="15" customHeight="1" x14ac:dyDescent="0.35">
      <c r="A3" s="66" t="s">
        <v>217</v>
      </c>
      <c r="B3" s="67"/>
      <c r="C3" s="67"/>
      <c r="D3" s="68"/>
      <c r="E3" s="70"/>
      <c r="F3" s="109" t="str">
        <f>HYPERLINK("https://pbs.twimg.com/profile_images/1431338559219253248/ikc4_izl_normal.jpg")</f>
        <v>https://pbs.twimg.com/profile_images/1431338559219253248/ikc4_izl_normal.jpg</v>
      </c>
      <c r="G3" s="67"/>
      <c r="H3" s="71"/>
      <c r="I3" s="72"/>
      <c r="J3" s="72"/>
      <c r="K3" s="71" t="s">
        <v>12061</v>
      </c>
      <c r="L3" s="75"/>
      <c r="M3" s="76"/>
      <c r="N3" s="76"/>
      <c r="O3" s="77"/>
      <c r="P3" s="78"/>
      <c r="Q3" s="78"/>
      <c r="R3" s="50"/>
      <c r="S3" s="50"/>
      <c r="T3" s="50"/>
      <c r="U3" s="50"/>
      <c r="V3" s="51"/>
      <c r="W3" s="51"/>
      <c r="X3" s="52"/>
      <c r="Y3" s="51"/>
      <c r="Z3" s="51"/>
      <c r="AA3" s="73"/>
      <c r="AB3" s="73"/>
      <c r="AC3" s="74"/>
      <c r="AD3" s="80" t="s">
        <v>7870</v>
      </c>
      <c r="AE3" s="85" t="s">
        <v>8952</v>
      </c>
      <c r="AF3" s="80">
        <v>1619</v>
      </c>
      <c r="AG3" s="80">
        <v>23</v>
      </c>
      <c r="AH3" s="80">
        <v>2220</v>
      </c>
      <c r="AI3" s="80">
        <v>1205</v>
      </c>
      <c r="AJ3" s="80"/>
      <c r="AK3" s="80" t="s">
        <v>10131</v>
      </c>
      <c r="AL3" s="80" t="s">
        <v>10745</v>
      </c>
      <c r="AM3" s="80"/>
      <c r="AN3" s="80"/>
      <c r="AO3" s="82">
        <v>42916.370034722226</v>
      </c>
      <c r="AP3" s="87" t="str">
        <f>HYPERLINK("https://pbs.twimg.com/profile_banners/880710711713943552/1498899561")</f>
        <v>https://pbs.twimg.com/profile_banners/880710711713943552/1498899561</v>
      </c>
      <c r="AQ3" s="80" t="b">
        <v>0</v>
      </c>
      <c r="AR3" s="80" t="b">
        <v>0</v>
      </c>
      <c r="AS3" s="80" t="b">
        <v>0</v>
      </c>
      <c r="AT3" s="80"/>
      <c r="AU3" s="80">
        <v>0</v>
      </c>
      <c r="AV3" s="87" t="str">
        <f>HYPERLINK("https://abs.twimg.com/images/themes/theme1/bg.png")</f>
        <v>https://abs.twimg.com/images/themes/theme1/bg.png</v>
      </c>
      <c r="AW3" s="80" t="b">
        <v>0</v>
      </c>
      <c r="AX3" s="80" t="s">
        <v>10746</v>
      </c>
      <c r="AY3" s="87" t="str">
        <f>HYPERLINK("https://twitter.com/labonnoangel")</f>
        <v>https://twitter.com/labonnoangel</v>
      </c>
      <c r="AZ3" s="80" t="s">
        <v>66</v>
      </c>
      <c r="BA3" s="3"/>
      <c r="BB3" s="3"/>
    </row>
    <row r="4" spans="1:57" x14ac:dyDescent="0.35">
      <c r="A4" s="66" t="s">
        <v>1272</v>
      </c>
      <c r="B4" s="67"/>
      <c r="C4" s="67"/>
      <c r="D4" s="68"/>
      <c r="E4" s="70"/>
      <c r="F4" s="109" t="str">
        <f>HYPERLINK("https://pbs.twimg.com/profile_images/1440187260381511680/VHDs5S7L_normal.jpg")</f>
        <v>https://pbs.twimg.com/profile_images/1440187260381511680/VHDs5S7L_normal.jpg</v>
      </c>
      <c r="G4" s="67"/>
      <c r="H4" s="71"/>
      <c r="I4" s="72"/>
      <c r="J4" s="72"/>
      <c r="K4" s="71" t="s">
        <v>10747</v>
      </c>
      <c r="L4" s="75"/>
      <c r="M4" s="76"/>
      <c r="N4" s="76"/>
      <c r="O4" s="77"/>
      <c r="P4" s="78"/>
      <c r="Q4" s="78"/>
      <c r="R4" s="92"/>
      <c r="S4" s="92"/>
      <c r="T4" s="92"/>
      <c r="U4" s="92"/>
      <c r="V4" s="52"/>
      <c r="W4" s="52"/>
      <c r="X4" s="52"/>
      <c r="Y4" s="52"/>
      <c r="Z4" s="51"/>
      <c r="AA4" s="73"/>
      <c r="AB4" s="73"/>
      <c r="AC4" s="74"/>
      <c r="AD4" s="80" t="s">
        <v>6589</v>
      </c>
      <c r="AE4" s="85" t="s">
        <v>6449</v>
      </c>
      <c r="AF4" s="80">
        <v>66</v>
      </c>
      <c r="AG4" s="80">
        <v>252181</v>
      </c>
      <c r="AH4" s="80">
        <v>3090</v>
      </c>
      <c r="AI4" s="80">
        <v>10</v>
      </c>
      <c r="AJ4" s="80"/>
      <c r="AK4" s="80" t="s">
        <v>8953</v>
      </c>
      <c r="AL4" s="80" t="s">
        <v>6543</v>
      </c>
      <c r="AM4" s="87" t="str">
        <f>HYPERLINK("https://t.co/Z8NYjzePhP")</f>
        <v>https://t.co/Z8NYjzePhP</v>
      </c>
      <c r="AN4" s="80"/>
      <c r="AO4" s="82">
        <v>39961.461689814816</v>
      </c>
      <c r="AP4" s="87" t="str">
        <f>HYPERLINK("https://pbs.twimg.com/profile_banners/43088704/1548867892")</f>
        <v>https://pbs.twimg.com/profile_banners/43088704/1548867892</v>
      </c>
      <c r="AQ4" s="80" t="b">
        <v>1</v>
      </c>
      <c r="AR4" s="80" t="b">
        <v>0</v>
      </c>
      <c r="AS4" s="80" t="b">
        <v>0</v>
      </c>
      <c r="AT4" s="80"/>
      <c r="AU4" s="80">
        <v>246</v>
      </c>
      <c r="AV4" s="87" t="str">
        <f>HYPERLINK("https://abs.twimg.com/images/themes/theme1/bg.png")</f>
        <v>https://abs.twimg.com/images/themes/theme1/bg.png</v>
      </c>
      <c r="AW4" s="80" t="b">
        <v>1</v>
      </c>
      <c r="AX4" s="80" t="s">
        <v>10746</v>
      </c>
      <c r="AY4" s="87" t="str">
        <f>HYPERLINK("https://twitter.com/erickthohir")</f>
        <v>https://twitter.com/erickthohir</v>
      </c>
      <c r="AZ4" s="80" t="s">
        <v>65</v>
      </c>
      <c r="BA4" s="2"/>
      <c r="BB4" s="3"/>
      <c r="BC4" s="3"/>
      <c r="BD4" s="3"/>
      <c r="BE4" s="3"/>
    </row>
    <row r="5" spans="1:57" x14ac:dyDescent="0.35">
      <c r="A5" s="66" t="s">
        <v>526</v>
      </c>
      <c r="B5" s="67"/>
      <c r="C5" s="67"/>
      <c r="D5" s="68"/>
      <c r="E5" s="70"/>
      <c r="F5" s="109" t="str">
        <f>HYPERLINK("https://pbs.twimg.com/profile_images/1431434807393742851/zr4RpExI_normal.jpg")</f>
        <v>https://pbs.twimg.com/profile_images/1431434807393742851/zr4RpExI_normal.jpg</v>
      </c>
      <c r="G5" s="67"/>
      <c r="H5" s="71"/>
      <c r="I5" s="72"/>
      <c r="J5" s="72"/>
      <c r="K5" s="71" t="s">
        <v>10748</v>
      </c>
      <c r="L5" s="75"/>
      <c r="M5" s="76"/>
      <c r="N5" s="76"/>
      <c r="O5" s="77"/>
      <c r="P5" s="78"/>
      <c r="Q5" s="78"/>
      <c r="R5" s="92"/>
      <c r="S5" s="92"/>
      <c r="T5" s="92"/>
      <c r="U5" s="92"/>
      <c r="V5" s="52"/>
      <c r="W5" s="52"/>
      <c r="X5" s="52"/>
      <c r="Y5" s="52"/>
      <c r="Z5" s="51"/>
      <c r="AA5" s="73"/>
      <c r="AB5" s="73"/>
      <c r="AC5" s="74"/>
      <c r="AD5" s="80" t="s">
        <v>6590</v>
      </c>
      <c r="AE5" s="85" t="s">
        <v>7871</v>
      </c>
      <c r="AF5" s="80">
        <v>743</v>
      </c>
      <c r="AG5" s="80">
        <v>957</v>
      </c>
      <c r="AH5" s="80">
        <v>2859</v>
      </c>
      <c r="AI5" s="80">
        <v>1486</v>
      </c>
      <c r="AJ5" s="80"/>
      <c r="AK5" s="80" t="s">
        <v>8954</v>
      </c>
      <c r="AL5" s="80"/>
      <c r="AM5" s="80"/>
      <c r="AN5" s="80"/>
      <c r="AO5" s="82">
        <v>43805.254837962966</v>
      </c>
      <c r="AP5" s="80"/>
      <c r="AQ5" s="80" t="b">
        <v>1</v>
      </c>
      <c r="AR5" s="80" t="b">
        <v>0</v>
      </c>
      <c r="AS5" s="80" t="b">
        <v>0</v>
      </c>
      <c r="AT5" s="80"/>
      <c r="AU5" s="80">
        <v>0</v>
      </c>
      <c r="AV5" s="80"/>
      <c r="AW5" s="80" t="b">
        <v>0</v>
      </c>
      <c r="AX5" s="80" t="s">
        <v>10746</v>
      </c>
      <c r="AY5" s="87" t="str">
        <f>HYPERLINK("https://twitter.com/madelin252")</f>
        <v>https://twitter.com/madelin252</v>
      </c>
      <c r="AZ5" s="80" t="s">
        <v>66</v>
      </c>
      <c r="BA5" s="2"/>
      <c r="BB5" s="3"/>
      <c r="BC5" s="3"/>
      <c r="BD5" s="3"/>
      <c r="BE5" s="3"/>
    </row>
    <row r="6" spans="1:57" x14ac:dyDescent="0.35">
      <c r="A6" s="66" t="s">
        <v>218</v>
      </c>
      <c r="B6" s="67"/>
      <c r="C6" s="67"/>
      <c r="D6" s="68"/>
      <c r="E6" s="70"/>
      <c r="F6" s="109" t="str">
        <f>HYPERLINK("https://pbs.twimg.com/profile_images/1439800160612147201/rlvNmUgZ_normal.jpg")</f>
        <v>https://pbs.twimg.com/profile_images/1439800160612147201/rlvNmUgZ_normal.jpg</v>
      </c>
      <c r="G6" s="67"/>
      <c r="H6" s="71"/>
      <c r="I6" s="72"/>
      <c r="J6" s="72"/>
      <c r="K6" s="71" t="s">
        <v>10749</v>
      </c>
      <c r="L6" s="75"/>
      <c r="M6" s="76"/>
      <c r="N6" s="76"/>
      <c r="O6" s="77"/>
      <c r="P6" s="78"/>
      <c r="Q6" s="78"/>
      <c r="R6" s="92"/>
      <c r="S6" s="92"/>
      <c r="T6" s="92"/>
      <c r="U6" s="92"/>
      <c r="V6" s="52"/>
      <c r="W6" s="52"/>
      <c r="X6" s="52"/>
      <c r="Y6" s="52"/>
      <c r="Z6" s="51"/>
      <c r="AA6" s="73"/>
      <c r="AB6" s="73"/>
      <c r="AC6" s="74"/>
      <c r="AD6" s="80" t="s">
        <v>6591</v>
      </c>
      <c r="AE6" s="85" t="s">
        <v>7872</v>
      </c>
      <c r="AF6" s="80">
        <v>380</v>
      </c>
      <c r="AG6" s="80">
        <v>8</v>
      </c>
      <c r="AH6" s="80">
        <v>958</v>
      </c>
      <c r="AI6" s="80">
        <v>519</v>
      </c>
      <c r="AJ6" s="80"/>
      <c r="AK6" s="80" t="s">
        <v>8955</v>
      </c>
      <c r="AL6" s="80"/>
      <c r="AM6" s="80"/>
      <c r="AN6" s="80"/>
      <c r="AO6" s="82">
        <v>44442.647453703707</v>
      </c>
      <c r="AP6" s="80"/>
      <c r="AQ6" s="80" t="b">
        <v>1</v>
      </c>
      <c r="AR6" s="80" t="b">
        <v>0</v>
      </c>
      <c r="AS6" s="80" t="b">
        <v>0</v>
      </c>
      <c r="AT6" s="80"/>
      <c r="AU6" s="80">
        <v>0</v>
      </c>
      <c r="AV6" s="80"/>
      <c r="AW6" s="80" t="b">
        <v>0</v>
      </c>
      <c r="AX6" s="80" t="s">
        <v>10746</v>
      </c>
      <c r="AY6" s="87" t="str">
        <f>HYPERLINK("https://twitter.com/fox19712405")</f>
        <v>https://twitter.com/fox19712405</v>
      </c>
      <c r="AZ6" s="80" t="s">
        <v>66</v>
      </c>
      <c r="BA6" s="2"/>
      <c r="BB6" s="3"/>
      <c r="BC6" s="3"/>
      <c r="BD6" s="3"/>
      <c r="BE6" s="3"/>
    </row>
    <row r="7" spans="1:57" x14ac:dyDescent="0.35">
      <c r="A7" s="66" t="s">
        <v>219</v>
      </c>
      <c r="B7" s="67"/>
      <c r="C7" s="67"/>
      <c r="D7" s="68"/>
      <c r="E7" s="70"/>
      <c r="F7" s="109" t="str">
        <f>HYPERLINK("https://pbs.twimg.com/profile_images/1103610784930619393/Sr97_Oib_normal.jpg")</f>
        <v>https://pbs.twimg.com/profile_images/1103610784930619393/Sr97_Oib_normal.jpg</v>
      </c>
      <c r="G7" s="67"/>
      <c r="H7" s="71"/>
      <c r="I7" s="72"/>
      <c r="J7" s="72"/>
      <c r="K7" s="71" t="s">
        <v>10750</v>
      </c>
      <c r="L7" s="75"/>
      <c r="M7" s="76"/>
      <c r="N7" s="76"/>
      <c r="O7" s="77"/>
      <c r="P7" s="78"/>
      <c r="Q7" s="78"/>
      <c r="R7" s="92"/>
      <c r="S7" s="92"/>
      <c r="T7" s="92"/>
      <c r="U7" s="92"/>
      <c r="V7" s="52"/>
      <c r="W7" s="52"/>
      <c r="X7" s="52"/>
      <c r="Y7" s="52"/>
      <c r="Z7" s="51"/>
      <c r="AA7" s="73"/>
      <c r="AB7" s="73"/>
      <c r="AC7" s="74"/>
      <c r="AD7" s="80" t="s">
        <v>6592</v>
      </c>
      <c r="AE7" s="85" t="s">
        <v>7873</v>
      </c>
      <c r="AF7" s="80">
        <v>7285</v>
      </c>
      <c r="AG7" s="80">
        <v>6640</v>
      </c>
      <c r="AH7" s="80">
        <v>52715</v>
      </c>
      <c r="AI7" s="80">
        <v>10119</v>
      </c>
      <c r="AJ7" s="80"/>
      <c r="AK7" s="80" t="s">
        <v>8956</v>
      </c>
      <c r="AL7" s="80"/>
      <c r="AM7" s="87" t="str">
        <f>HYPERLINK("https://t.co/c1AQYmjySe")</f>
        <v>https://t.co/c1AQYmjySe</v>
      </c>
      <c r="AN7" s="80"/>
      <c r="AO7" s="82">
        <v>40488.335798611108</v>
      </c>
      <c r="AP7" s="87" t="str">
        <f>HYPERLINK("https://pbs.twimg.com/profile_banners/212506085/1551956187")</f>
        <v>https://pbs.twimg.com/profile_banners/212506085/1551956187</v>
      </c>
      <c r="AQ7" s="80" t="b">
        <v>0</v>
      </c>
      <c r="AR7" s="80" t="b">
        <v>0</v>
      </c>
      <c r="AS7" s="80" t="b">
        <v>1</v>
      </c>
      <c r="AT7" s="80"/>
      <c r="AU7" s="80">
        <v>23</v>
      </c>
      <c r="AV7" s="87" t="str">
        <f>HYPERLINK("https://abs.twimg.com/images/themes/theme12/bg.gif")</f>
        <v>https://abs.twimg.com/images/themes/theme12/bg.gif</v>
      </c>
      <c r="AW7" s="80" t="b">
        <v>0</v>
      </c>
      <c r="AX7" s="80" t="s">
        <v>10746</v>
      </c>
      <c r="AY7" s="87" t="str">
        <f>HYPERLINK("https://twitter.com/mamavanenbas")</f>
        <v>https://twitter.com/mamavanenbas</v>
      </c>
      <c r="AZ7" s="80" t="s">
        <v>66</v>
      </c>
      <c r="BA7" s="2"/>
      <c r="BB7" s="3"/>
      <c r="BC7" s="3"/>
      <c r="BD7" s="3"/>
      <c r="BE7" s="3"/>
    </row>
    <row r="8" spans="1:57" x14ac:dyDescent="0.35">
      <c r="A8" s="66" t="s">
        <v>220</v>
      </c>
      <c r="B8" s="67"/>
      <c r="C8" s="67"/>
      <c r="D8" s="68"/>
      <c r="E8" s="70"/>
      <c r="F8" s="109" t="str">
        <f>HYPERLINK("https://pbs.twimg.com/profile_images/1440666837750988817/GsPqWhSc_normal.jpg")</f>
        <v>https://pbs.twimg.com/profile_images/1440666837750988817/GsPqWhSc_normal.jpg</v>
      </c>
      <c r="G8" s="67"/>
      <c r="H8" s="71"/>
      <c r="I8" s="72"/>
      <c r="J8" s="72"/>
      <c r="K8" s="71" t="s">
        <v>10751</v>
      </c>
      <c r="L8" s="75"/>
      <c r="M8" s="76"/>
      <c r="N8" s="76"/>
      <c r="O8" s="77"/>
      <c r="P8" s="78"/>
      <c r="Q8" s="78"/>
      <c r="R8" s="92"/>
      <c r="S8" s="92"/>
      <c r="T8" s="92"/>
      <c r="U8" s="92"/>
      <c r="V8" s="52"/>
      <c r="W8" s="52"/>
      <c r="X8" s="52"/>
      <c r="Y8" s="52"/>
      <c r="Z8" s="51"/>
      <c r="AA8" s="73"/>
      <c r="AB8" s="73"/>
      <c r="AC8" s="74"/>
      <c r="AD8" s="80" t="s">
        <v>6593</v>
      </c>
      <c r="AE8" s="85" t="s">
        <v>6241</v>
      </c>
      <c r="AF8" s="80">
        <v>891</v>
      </c>
      <c r="AG8" s="80">
        <v>814</v>
      </c>
      <c r="AH8" s="80">
        <v>15868</v>
      </c>
      <c r="AI8" s="80">
        <v>22980</v>
      </c>
      <c r="AJ8" s="80"/>
      <c r="AK8" s="80" t="s">
        <v>8957</v>
      </c>
      <c r="AL8" s="80" t="s">
        <v>10132</v>
      </c>
      <c r="AM8" s="80"/>
      <c r="AN8" s="80"/>
      <c r="AO8" s="82">
        <v>44127.424259259256</v>
      </c>
      <c r="AP8" s="87" t="str">
        <f>HYPERLINK("https://pbs.twimg.com/profile_banners/1319581649139499008/1631617553")</f>
        <v>https://pbs.twimg.com/profile_banners/1319581649139499008/1631617553</v>
      </c>
      <c r="AQ8" s="80" t="b">
        <v>1</v>
      </c>
      <c r="AR8" s="80" t="b">
        <v>0</v>
      </c>
      <c r="AS8" s="80" t="b">
        <v>0</v>
      </c>
      <c r="AT8" s="80"/>
      <c r="AU8" s="80">
        <v>3</v>
      </c>
      <c r="AV8" s="80"/>
      <c r="AW8" s="80" t="b">
        <v>0</v>
      </c>
      <c r="AX8" s="80" t="s">
        <v>10746</v>
      </c>
      <c r="AY8" s="87" t="str">
        <f>HYPERLINK("https://twitter.com/ilvtenyuw_")</f>
        <v>https://twitter.com/ilvtenyuw_</v>
      </c>
      <c r="AZ8" s="80" t="s">
        <v>66</v>
      </c>
      <c r="BA8" s="2"/>
      <c r="BB8" s="3"/>
      <c r="BC8" s="3"/>
      <c r="BD8" s="3"/>
      <c r="BE8" s="3"/>
    </row>
    <row r="9" spans="1:57" x14ac:dyDescent="0.35">
      <c r="A9" s="66" t="s">
        <v>221</v>
      </c>
      <c r="B9" s="67"/>
      <c r="C9" s="67"/>
      <c r="D9" s="68"/>
      <c r="E9" s="70"/>
      <c r="F9" s="109" t="str">
        <f>HYPERLINK("https://pbs.twimg.com/profile_images/1399862544978698240/5ZwRSNOh_normal.jpg")</f>
        <v>https://pbs.twimg.com/profile_images/1399862544978698240/5ZwRSNOh_normal.jpg</v>
      </c>
      <c r="G9" s="67"/>
      <c r="H9" s="71"/>
      <c r="I9" s="72"/>
      <c r="J9" s="72"/>
      <c r="K9" s="71" t="s">
        <v>10752</v>
      </c>
      <c r="L9" s="75"/>
      <c r="M9" s="76"/>
      <c r="N9" s="76"/>
      <c r="O9" s="77"/>
      <c r="P9" s="78"/>
      <c r="Q9" s="78"/>
      <c r="R9" s="92"/>
      <c r="S9" s="92"/>
      <c r="T9" s="92"/>
      <c r="U9" s="92"/>
      <c r="V9" s="52"/>
      <c r="W9" s="52"/>
      <c r="X9" s="52"/>
      <c r="Y9" s="52"/>
      <c r="Z9" s="51"/>
      <c r="AA9" s="73"/>
      <c r="AB9" s="73"/>
      <c r="AC9" s="74"/>
      <c r="AD9" s="80" t="s">
        <v>6594</v>
      </c>
      <c r="AE9" s="85" t="s">
        <v>7874</v>
      </c>
      <c r="AF9" s="80">
        <v>137</v>
      </c>
      <c r="AG9" s="80">
        <v>98</v>
      </c>
      <c r="AH9" s="80">
        <v>5069</v>
      </c>
      <c r="AI9" s="80">
        <v>14196</v>
      </c>
      <c r="AJ9" s="80"/>
      <c r="AK9" s="80" t="s">
        <v>8958</v>
      </c>
      <c r="AL9" s="80" t="s">
        <v>10133</v>
      </c>
      <c r="AM9" s="80"/>
      <c r="AN9" s="80"/>
      <c r="AO9" s="82">
        <v>40022.342870370368</v>
      </c>
      <c r="AP9" s="80"/>
      <c r="AQ9" s="80" t="b">
        <v>1</v>
      </c>
      <c r="AR9" s="80" t="b">
        <v>0</v>
      </c>
      <c r="AS9" s="80" t="b">
        <v>0</v>
      </c>
      <c r="AT9" s="80"/>
      <c r="AU9" s="80">
        <v>0</v>
      </c>
      <c r="AV9" s="87" t="str">
        <f>HYPERLINK("https://abs.twimg.com/images/themes/theme1/bg.png")</f>
        <v>https://abs.twimg.com/images/themes/theme1/bg.png</v>
      </c>
      <c r="AW9" s="80" t="b">
        <v>0</v>
      </c>
      <c r="AX9" s="80" t="s">
        <v>10746</v>
      </c>
      <c r="AY9" s="87" t="str">
        <f>HYPERLINK("https://twitter.com/imam_rachmayadi")</f>
        <v>https://twitter.com/imam_rachmayadi</v>
      </c>
      <c r="AZ9" s="80" t="s">
        <v>66</v>
      </c>
      <c r="BA9" s="2"/>
      <c r="BB9" s="3"/>
      <c r="BC9" s="3"/>
      <c r="BD9" s="3"/>
      <c r="BE9" s="3"/>
    </row>
    <row r="10" spans="1:57" x14ac:dyDescent="0.35">
      <c r="A10" s="66" t="s">
        <v>1273</v>
      </c>
      <c r="B10" s="67"/>
      <c r="C10" s="67"/>
      <c r="D10" s="68"/>
      <c r="E10" s="70"/>
      <c r="F10" s="109" t="str">
        <f>HYPERLINK("https://pbs.twimg.com/profile_images/1238008092664549377/DAhaqVJc_normal.jpg")</f>
        <v>https://pbs.twimg.com/profile_images/1238008092664549377/DAhaqVJc_normal.jpg</v>
      </c>
      <c r="G10" s="67"/>
      <c r="H10" s="71"/>
      <c r="I10" s="72"/>
      <c r="J10" s="72"/>
      <c r="K10" s="71" t="s">
        <v>10753</v>
      </c>
      <c r="L10" s="75"/>
      <c r="M10" s="76"/>
      <c r="N10" s="76"/>
      <c r="O10" s="77"/>
      <c r="P10" s="78"/>
      <c r="Q10" s="78"/>
      <c r="R10" s="92"/>
      <c r="S10" s="92"/>
      <c r="T10" s="92"/>
      <c r="U10" s="92"/>
      <c r="V10" s="52"/>
      <c r="W10" s="52"/>
      <c r="X10" s="52"/>
      <c r="Y10" s="52"/>
      <c r="Z10" s="51"/>
      <c r="AA10" s="73"/>
      <c r="AB10" s="73"/>
      <c r="AC10" s="74"/>
      <c r="AD10" s="80" t="s">
        <v>6595</v>
      </c>
      <c r="AE10" s="85" t="s">
        <v>6242</v>
      </c>
      <c r="AF10" s="80">
        <v>754</v>
      </c>
      <c r="AG10" s="80">
        <v>126384</v>
      </c>
      <c r="AH10" s="80">
        <v>58585</v>
      </c>
      <c r="AI10" s="80">
        <v>23244</v>
      </c>
      <c r="AJ10" s="80"/>
      <c r="AK10" s="80" t="s">
        <v>8959</v>
      </c>
      <c r="AL10" s="80" t="s">
        <v>6543</v>
      </c>
      <c r="AM10" s="87" t="str">
        <f>HYPERLINK("https://t.co/VrQtdU8Z78")</f>
        <v>https://t.co/VrQtdU8Z78</v>
      </c>
      <c r="AN10" s="80"/>
      <c r="AO10" s="82">
        <v>43474.560312499998</v>
      </c>
      <c r="AP10" s="87" t="str">
        <f>HYPERLINK("https://pbs.twimg.com/profile_banners/1082992095361609728/1614344355")</f>
        <v>https://pbs.twimg.com/profile_banners/1082992095361609728/1614344355</v>
      </c>
      <c r="AQ10" s="80" t="b">
        <v>0</v>
      </c>
      <c r="AR10" s="80" t="b">
        <v>0</v>
      </c>
      <c r="AS10" s="80" t="b">
        <v>0</v>
      </c>
      <c r="AT10" s="80"/>
      <c r="AU10" s="80">
        <v>83</v>
      </c>
      <c r="AV10" s="87" t="str">
        <f>HYPERLINK("https://abs.twimg.com/images/themes/theme1/bg.png")</f>
        <v>https://abs.twimg.com/images/themes/theme1/bg.png</v>
      </c>
      <c r="AW10" s="80" t="b">
        <v>0</v>
      </c>
      <c r="AX10" s="80" t="s">
        <v>10746</v>
      </c>
      <c r="AY10" s="87" t="str">
        <f>HYPERLINK("https://twitter.com/idtodayco")</f>
        <v>https://twitter.com/idtodayco</v>
      </c>
      <c r="AZ10" s="80" t="s">
        <v>65</v>
      </c>
      <c r="BA10" s="2"/>
      <c r="BB10" s="3"/>
      <c r="BC10" s="3"/>
      <c r="BD10" s="3"/>
      <c r="BE10" s="3"/>
    </row>
    <row r="11" spans="1:57" x14ac:dyDescent="0.35">
      <c r="A11" s="66" t="s">
        <v>222</v>
      </c>
      <c r="B11" s="67"/>
      <c r="C11" s="67"/>
      <c r="D11" s="68"/>
      <c r="E11" s="70"/>
      <c r="F11" s="109" t="str">
        <f>HYPERLINK("https://pbs.twimg.com/profile_images/1354639667568603141/Ocjf9fiA_normal.jpg")</f>
        <v>https://pbs.twimg.com/profile_images/1354639667568603141/Ocjf9fiA_normal.jpg</v>
      </c>
      <c r="G11" s="67"/>
      <c r="H11" s="71"/>
      <c r="I11" s="72"/>
      <c r="J11" s="72"/>
      <c r="K11" s="71" t="s">
        <v>10754</v>
      </c>
      <c r="L11" s="75"/>
      <c r="M11" s="76"/>
      <c r="N11" s="76"/>
      <c r="O11" s="77"/>
      <c r="P11" s="78"/>
      <c r="Q11" s="78"/>
      <c r="R11" s="92"/>
      <c r="S11" s="92"/>
      <c r="T11" s="92"/>
      <c r="U11" s="92"/>
      <c r="V11" s="52"/>
      <c r="W11" s="52"/>
      <c r="X11" s="52"/>
      <c r="Y11" s="52"/>
      <c r="Z11" s="51"/>
      <c r="AA11" s="73"/>
      <c r="AB11" s="73"/>
      <c r="AC11" s="74"/>
      <c r="AD11" s="80" t="s">
        <v>6596</v>
      </c>
      <c r="AE11" s="85" t="s">
        <v>7875</v>
      </c>
      <c r="AF11" s="80">
        <v>41</v>
      </c>
      <c r="AG11" s="80">
        <v>18</v>
      </c>
      <c r="AH11" s="80">
        <v>210</v>
      </c>
      <c r="AI11" s="80">
        <v>0</v>
      </c>
      <c r="AJ11" s="80"/>
      <c r="AK11" s="80" t="s">
        <v>8960</v>
      </c>
      <c r="AL11" s="80" t="s">
        <v>10134</v>
      </c>
      <c r="AM11" s="80"/>
      <c r="AN11" s="80"/>
      <c r="AO11" s="82">
        <v>44224.164629629631</v>
      </c>
      <c r="AP11" s="87" t="str">
        <f>HYPERLINK("https://pbs.twimg.com/profile_banners/1354639514979889152/1611806346")</f>
        <v>https://pbs.twimg.com/profile_banners/1354639514979889152/1611806346</v>
      </c>
      <c r="AQ11" s="80" t="b">
        <v>1</v>
      </c>
      <c r="AR11" s="80" t="b">
        <v>0</v>
      </c>
      <c r="AS11" s="80" t="b">
        <v>0</v>
      </c>
      <c r="AT11" s="80"/>
      <c r="AU11" s="80">
        <v>0</v>
      </c>
      <c r="AV11" s="80"/>
      <c r="AW11" s="80" t="b">
        <v>0</v>
      </c>
      <c r="AX11" s="80" t="s">
        <v>10746</v>
      </c>
      <c r="AY11" s="87" t="str">
        <f>HYPERLINK("https://twitter.com/raniafitri9")</f>
        <v>https://twitter.com/raniafitri9</v>
      </c>
      <c r="AZ11" s="80" t="s">
        <v>66</v>
      </c>
      <c r="BA11" s="2"/>
      <c r="BB11" s="3"/>
      <c r="BC11" s="3"/>
      <c r="BD11" s="3"/>
      <c r="BE11" s="3"/>
    </row>
    <row r="12" spans="1:57" x14ac:dyDescent="0.35">
      <c r="A12" s="66" t="s">
        <v>223</v>
      </c>
      <c r="B12" s="67"/>
      <c r="C12" s="67"/>
      <c r="D12" s="68"/>
      <c r="E12" s="70"/>
      <c r="F12" s="109" t="str">
        <f>HYPERLINK("https://pbs.twimg.com/profile_images/1442055547927220225/A_qOP4KA_normal.jpg")</f>
        <v>https://pbs.twimg.com/profile_images/1442055547927220225/A_qOP4KA_normal.jpg</v>
      </c>
      <c r="G12" s="67"/>
      <c r="H12" s="71"/>
      <c r="I12" s="72"/>
      <c r="J12" s="72"/>
      <c r="K12" s="71" t="s">
        <v>10755</v>
      </c>
      <c r="L12" s="75"/>
      <c r="M12" s="76"/>
      <c r="N12" s="76"/>
      <c r="O12" s="77"/>
      <c r="P12" s="78"/>
      <c r="Q12" s="78"/>
      <c r="R12" s="92"/>
      <c r="S12" s="92"/>
      <c r="T12" s="92"/>
      <c r="U12" s="92"/>
      <c r="V12" s="52"/>
      <c r="W12" s="52"/>
      <c r="X12" s="52"/>
      <c r="Y12" s="52"/>
      <c r="Z12" s="51"/>
      <c r="AA12" s="73"/>
      <c r="AB12" s="73"/>
      <c r="AC12" s="74"/>
      <c r="AD12" s="80" t="s">
        <v>6597</v>
      </c>
      <c r="AE12" s="85" t="s">
        <v>7876</v>
      </c>
      <c r="AF12" s="80">
        <v>2627</v>
      </c>
      <c r="AG12" s="80">
        <v>3362</v>
      </c>
      <c r="AH12" s="80">
        <v>44408</v>
      </c>
      <c r="AI12" s="80">
        <v>406</v>
      </c>
      <c r="AJ12" s="80"/>
      <c r="AK12" s="80" t="s">
        <v>8961</v>
      </c>
      <c r="AL12" s="80" t="s">
        <v>10135</v>
      </c>
      <c r="AM12" s="80"/>
      <c r="AN12" s="80"/>
      <c r="AO12" s="82">
        <v>44067.246921296297</v>
      </c>
      <c r="AP12" s="87" t="str">
        <f>HYPERLINK("https://pbs.twimg.com/profile_banners/1297774478831702016/1625723795")</f>
        <v>https://pbs.twimg.com/profile_banners/1297774478831702016/1625723795</v>
      </c>
      <c r="AQ12" s="80" t="b">
        <v>1</v>
      </c>
      <c r="AR12" s="80" t="b">
        <v>0</v>
      </c>
      <c r="AS12" s="80" t="b">
        <v>1</v>
      </c>
      <c r="AT12" s="80"/>
      <c r="AU12" s="80">
        <v>0</v>
      </c>
      <c r="AV12" s="80"/>
      <c r="AW12" s="80" t="b">
        <v>0</v>
      </c>
      <c r="AX12" s="80" t="s">
        <v>10746</v>
      </c>
      <c r="AY12" s="87" t="str">
        <f>HYPERLINK("https://twitter.com/princeofcrimes")</f>
        <v>https://twitter.com/princeofcrimes</v>
      </c>
      <c r="AZ12" s="80" t="s">
        <v>66</v>
      </c>
      <c r="BA12" s="2"/>
      <c r="BB12" s="3"/>
      <c r="BC12" s="3"/>
      <c r="BD12" s="3"/>
      <c r="BE12" s="3"/>
    </row>
    <row r="13" spans="1:57" x14ac:dyDescent="0.35">
      <c r="A13" s="66" t="s">
        <v>224</v>
      </c>
      <c r="B13" s="67"/>
      <c r="C13" s="67"/>
      <c r="D13" s="68"/>
      <c r="E13" s="70"/>
      <c r="F13" s="109" t="str">
        <f>HYPERLINK("https://pbs.twimg.com/profile_images/1397962160588746752/2p9vbGzX_normal.jpg")</f>
        <v>https://pbs.twimg.com/profile_images/1397962160588746752/2p9vbGzX_normal.jpg</v>
      </c>
      <c r="G13" s="67"/>
      <c r="H13" s="71"/>
      <c r="I13" s="72"/>
      <c r="J13" s="72"/>
      <c r="K13" s="71" t="s">
        <v>10756</v>
      </c>
      <c r="L13" s="75"/>
      <c r="M13" s="76"/>
      <c r="N13" s="76"/>
      <c r="O13" s="77"/>
      <c r="P13" s="78"/>
      <c r="Q13" s="78"/>
      <c r="R13" s="92"/>
      <c r="S13" s="92"/>
      <c r="T13" s="92"/>
      <c r="U13" s="92"/>
      <c r="V13" s="52"/>
      <c r="W13" s="52"/>
      <c r="X13" s="52"/>
      <c r="Y13" s="52"/>
      <c r="Z13" s="51"/>
      <c r="AA13" s="73"/>
      <c r="AB13" s="73"/>
      <c r="AC13" s="74"/>
      <c r="AD13" s="80" t="s">
        <v>6598</v>
      </c>
      <c r="AE13" s="85" t="s">
        <v>7877</v>
      </c>
      <c r="AF13" s="80">
        <v>132</v>
      </c>
      <c r="AG13" s="80">
        <v>237</v>
      </c>
      <c r="AH13" s="80">
        <v>8202</v>
      </c>
      <c r="AI13" s="80">
        <v>77</v>
      </c>
      <c r="AJ13" s="80"/>
      <c r="AK13" s="80" t="s">
        <v>8962</v>
      </c>
      <c r="AL13" s="80"/>
      <c r="AM13" s="87" t="str">
        <f>HYPERLINK("https://t.co/rieMfMc0Dq")</f>
        <v>https://t.co/rieMfMc0Dq</v>
      </c>
      <c r="AN13" s="80"/>
      <c r="AO13" s="82">
        <v>44088.232523148145</v>
      </c>
      <c r="AP13" s="87" t="str">
        <f>HYPERLINK("https://pbs.twimg.com/profile_banners/1305379410460069890/1622135274")</f>
        <v>https://pbs.twimg.com/profile_banners/1305379410460069890/1622135274</v>
      </c>
      <c r="AQ13" s="80" t="b">
        <v>1</v>
      </c>
      <c r="AR13" s="80" t="b">
        <v>0</v>
      </c>
      <c r="AS13" s="80" t="b">
        <v>0</v>
      </c>
      <c r="AT13" s="80"/>
      <c r="AU13" s="80">
        <v>0</v>
      </c>
      <c r="AV13" s="80"/>
      <c r="AW13" s="80" t="b">
        <v>0</v>
      </c>
      <c r="AX13" s="80" t="s">
        <v>10746</v>
      </c>
      <c r="AY13" s="87" t="str">
        <f>HYPERLINK("https://twitter.com/ofcourseynoot")</f>
        <v>https://twitter.com/ofcourseynoot</v>
      </c>
      <c r="AZ13" s="80" t="s">
        <v>66</v>
      </c>
      <c r="BA13" s="2"/>
      <c r="BB13" s="3"/>
      <c r="BC13" s="3"/>
      <c r="BD13" s="3"/>
      <c r="BE13" s="3"/>
    </row>
    <row r="14" spans="1:57" x14ac:dyDescent="0.35">
      <c r="A14" s="66" t="s">
        <v>1274</v>
      </c>
      <c r="B14" s="67"/>
      <c r="C14" s="67"/>
      <c r="D14" s="68"/>
      <c r="E14" s="70"/>
      <c r="F14" s="109" t="str">
        <f>HYPERLINK("https://pbs.twimg.com/profile_images/1336229256708276224/WoV33BS__normal.jpg")</f>
        <v>https://pbs.twimg.com/profile_images/1336229256708276224/WoV33BS__normal.jpg</v>
      </c>
      <c r="G14" s="67"/>
      <c r="H14" s="71"/>
      <c r="I14" s="72"/>
      <c r="J14" s="72"/>
      <c r="K14" s="71" t="s">
        <v>10757</v>
      </c>
      <c r="L14" s="75"/>
      <c r="M14" s="76"/>
      <c r="N14" s="76"/>
      <c r="O14" s="77"/>
      <c r="P14" s="78"/>
      <c r="Q14" s="78"/>
      <c r="R14" s="92"/>
      <c r="S14" s="92"/>
      <c r="T14" s="92"/>
      <c r="U14" s="92"/>
      <c r="V14" s="52"/>
      <c r="W14" s="52"/>
      <c r="X14" s="52"/>
      <c r="Y14" s="52"/>
      <c r="Z14" s="51"/>
      <c r="AA14" s="73"/>
      <c r="AB14" s="73"/>
      <c r="AC14" s="74"/>
      <c r="AD14" s="80" t="s">
        <v>6599</v>
      </c>
      <c r="AE14" s="85" t="s">
        <v>6243</v>
      </c>
      <c r="AF14" s="80">
        <v>4324</v>
      </c>
      <c r="AG14" s="80">
        <v>14861</v>
      </c>
      <c r="AH14" s="80">
        <v>271346</v>
      </c>
      <c r="AI14" s="80">
        <v>32</v>
      </c>
      <c r="AJ14" s="80"/>
      <c r="AK14" s="80" t="s">
        <v>8963</v>
      </c>
      <c r="AL14" s="80"/>
      <c r="AM14" s="87" t="str">
        <f>HYPERLINK("https://t.co/V3LrVffsG4")</f>
        <v>https://t.co/V3LrVffsG4</v>
      </c>
      <c r="AN14" s="80"/>
      <c r="AO14" s="82">
        <v>44173.350289351853</v>
      </c>
      <c r="AP14" s="87" t="str">
        <f>HYPERLINK("https://pbs.twimg.com/profile_banners/1336224063224594432/1607417904")</f>
        <v>https://pbs.twimg.com/profile_banners/1336224063224594432/1607417904</v>
      </c>
      <c r="AQ14" s="80" t="b">
        <v>1</v>
      </c>
      <c r="AR14" s="80" t="b">
        <v>0</v>
      </c>
      <c r="AS14" s="80" t="b">
        <v>0</v>
      </c>
      <c r="AT14" s="80"/>
      <c r="AU14" s="80">
        <v>302</v>
      </c>
      <c r="AV14" s="80"/>
      <c r="AW14" s="80" t="b">
        <v>0</v>
      </c>
      <c r="AX14" s="80" t="s">
        <v>10746</v>
      </c>
      <c r="AY14" s="87" t="str">
        <f>HYPERLINK("https://twitter.com/caratshopina")</f>
        <v>https://twitter.com/caratshopina</v>
      </c>
      <c r="AZ14" s="80" t="s">
        <v>65</v>
      </c>
      <c r="BA14" s="2"/>
      <c r="BB14" s="3"/>
      <c r="BC14" s="3"/>
      <c r="BD14" s="3"/>
      <c r="BE14" s="3"/>
    </row>
    <row r="15" spans="1:57" x14ac:dyDescent="0.35">
      <c r="A15" s="66" t="s">
        <v>225</v>
      </c>
      <c r="B15" s="67"/>
      <c r="C15" s="67"/>
      <c r="D15" s="68"/>
      <c r="E15" s="70"/>
      <c r="F15" s="109" t="str">
        <f>HYPERLINK("https://pbs.twimg.com/profile_images/1411171020317237248/qsUjuAo9_normal.jpg")</f>
        <v>https://pbs.twimg.com/profile_images/1411171020317237248/qsUjuAo9_normal.jpg</v>
      </c>
      <c r="G15" s="67"/>
      <c r="H15" s="71"/>
      <c r="I15" s="72"/>
      <c r="J15" s="72"/>
      <c r="K15" s="71" t="s">
        <v>10758</v>
      </c>
      <c r="L15" s="75"/>
      <c r="M15" s="76"/>
      <c r="N15" s="76"/>
      <c r="O15" s="77"/>
      <c r="P15" s="78"/>
      <c r="Q15" s="78"/>
      <c r="R15" s="92"/>
      <c r="S15" s="92"/>
      <c r="T15" s="92"/>
      <c r="U15" s="92"/>
      <c r="V15" s="52"/>
      <c r="W15" s="52"/>
      <c r="X15" s="52"/>
      <c r="Y15" s="52"/>
      <c r="Z15" s="51"/>
      <c r="AA15" s="73"/>
      <c r="AB15" s="73"/>
      <c r="AC15" s="74"/>
      <c r="AD15" s="80" t="s">
        <v>6600</v>
      </c>
      <c r="AE15" s="85" t="s">
        <v>7878</v>
      </c>
      <c r="AF15" s="80">
        <v>1156</v>
      </c>
      <c r="AG15" s="80">
        <v>1187</v>
      </c>
      <c r="AH15" s="80">
        <v>95827</v>
      </c>
      <c r="AI15" s="80">
        <v>32204</v>
      </c>
      <c r="AJ15" s="80"/>
      <c r="AK15" s="80" t="s">
        <v>8964</v>
      </c>
      <c r="AL15" s="80" t="s">
        <v>10136</v>
      </c>
      <c r="AM15" s="87" t="str">
        <f>HYPERLINK("https://t.co/vJF2nbrk6E")</f>
        <v>https://t.co/vJF2nbrk6E</v>
      </c>
      <c r="AN15" s="80"/>
      <c r="AO15" s="82">
        <v>41079.330925925926</v>
      </c>
      <c r="AP15" s="87" t="str">
        <f>HYPERLINK("https://pbs.twimg.com/profile_banners/612373630/1611761009")</f>
        <v>https://pbs.twimg.com/profile_banners/612373630/1611761009</v>
      </c>
      <c r="AQ15" s="80" t="b">
        <v>0</v>
      </c>
      <c r="AR15" s="80" t="b">
        <v>0</v>
      </c>
      <c r="AS15" s="80" t="b">
        <v>1</v>
      </c>
      <c r="AT15" s="80"/>
      <c r="AU15" s="80">
        <v>5</v>
      </c>
      <c r="AV15" s="87" t="str">
        <f>HYPERLINK("https://abs.twimg.com/images/themes/theme1/bg.png")</f>
        <v>https://abs.twimg.com/images/themes/theme1/bg.png</v>
      </c>
      <c r="AW15" s="80" t="b">
        <v>0</v>
      </c>
      <c r="AX15" s="80" t="s">
        <v>10746</v>
      </c>
      <c r="AY15" s="87" t="str">
        <f>HYPERLINK("https://twitter.com/nana_shazliana")</f>
        <v>https://twitter.com/nana_shazliana</v>
      </c>
      <c r="AZ15" s="80" t="s">
        <v>66</v>
      </c>
      <c r="BA15" s="2"/>
      <c r="BB15" s="3"/>
      <c r="BC15" s="3"/>
      <c r="BD15" s="3"/>
      <c r="BE15" s="3"/>
    </row>
    <row r="16" spans="1:57" x14ac:dyDescent="0.35">
      <c r="A16" s="66" t="s">
        <v>226</v>
      </c>
      <c r="B16" s="67"/>
      <c r="C16" s="67"/>
      <c r="D16" s="68"/>
      <c r="E16" s="70"/>
      <c r="F16" s="109" t="str">
        <f>HYPERLINK("https://pbs.twimg.com/profile_images/1438333980114239491/HlKn1Nai_normal.jpg")</f>
        <v>https://pbs.twimg.com/profile_images/1438333980114239491/HlKn1Nai_normal.jpg</v>
      </c>
      <c r="G16" s="67"/>
      <c r="H16" s="71"/>
      <c r="I16" s="72"/>
      <c r="J16" s="72"/>
      <c r="K16" s="71" t="s">
        <v>10759</v>
      </c>
      <c r="L16" s="75"/>
      <c r="M16" s="76"/>
      <c r="N16" s="76"/>
      <c r="O16" s="77"/>
      <c r="P16" s="78"/>
      <c r="Q16" s="78"/>
      <c r="R16" s="92"/>
      <c r="S16" s="92"/>
      <c r="T16" s="92"/>
      <c r="U16" s="92"/>
      <c r="V16" s="52"/>
      <c r="W16" s="52"/>
      <c r="X16" s="52"/>
      <c r="Y16" s="52"/>
      <c r="Z16" s="51"/>
      <c r="AA16" s="73"/>
      <c r="AB16" s="73"/>
      <c r="AC16" s="74"/>
      <c r="AD16" s="80" t="s">
        <v>6601</v>
      </c>
      <c r="AE16" s="85" t="s">
        <v>7879</v>
      </c>
      <c r="AF16" s="80">
        <v>490</v>
      </c>
      <c r="AG16" s="80">
        <v>6124</v>
      </c>
      <c r="AH16" s="80">
        <v>33010</v>
      </c>
      <c r="AI16" s="80">
        <v>4464</v>
      </c>
      <c r="AJ16" s="80"/>
      <c r="AK16" s="80" t="s">
        <v>8965</v>
      </c>
      <c r="AL16" s="80"/>
      <c r="AM16" s="80"/>
      <c r="AN16" s="80"/>
      <c r="AO16" s="82">
        <v>40590.139710648145</v>
      </c>
      <c r="AP16" s="87" t="str">
        <f>HYPERLINK("https://pbs.twimg.com/profile_banners/252884786/1631760517")</f>
        <v>https://pbs.twimg.com/profile_banners/252884786/1631760517</v>
      </c>
      <c r="AQ16" s="80" t="b">
        <v>0</v>
      </c>
      <c r="AR16" s="80" t="b">
        <v>0</v>
      </c>
      <c r="AS16" s="80" t="b">
        <v>0</v>
      </c>
      <c r="AT16" s="80"/>
      <c r="AU16" s="80">
        <v>13</v>
      </c>
      <c r="AV16" s="87" t="str">
        <f>HYPERLINK("https://abs.twimg.com/images/themes/theme16/bg.gif")</f>
        <v>https://abs.twimg.com/images/themes/theme16/bg.gif</v>
      </c>
      <c r="AW16" s="80" t="b">
        <v>0</v>
      </c>
      <c r="AX16" s="80" t="s">
        <v>10746</v>
      </c>
      <c r="AY16" s="87" t="str">
        <f>HYPERLINK("https://twitter.com/jeonchimz")</f>
        <v>https://twitter.com/jeonchimz</v>
      </c>
      <c r="AZ16" s="80" t="s">
        <v>66</v>
      </c>
      <c r="BA16" s="2"/>
      <c r="BB16" s="3"/>
      <c r="BC16" s="3"/>
      <c r="BD16" s="3"/>
      <c r="BE16" s="3"/>
    </row>
    <row r="17" spans="1:57" x14ac:dyDescent="0.35">
      <c r="A17" s="66" t="s">
        <v>1275</v>
      </c>
      <c r="B17" s="67"/>
      <c r="C17" s="67"/>
      <c r="D17" s="68"/>
      <c r="E17" s="70"/>
      <c r="F17" s="109" t="str">
        <f>HYPERLINK("https://pbs.twimg.com/profile_images/1374341163977637894/4T5fBe0C_normal.png")</f>
        <v>https://pbs.twimg.com/profile_images/1374341163977637894/4T5fBe0C_normal.png</v>
      </c>
      <c r="G17" s="67"/>
      <c r="H17" s="71"/>
      <c r="I17" s="72"/>
      <c r="J17" s="72"/>
      <c r="K17" s="71" t="s">
        <v>10760</v>
      </c>
      <c r="L17" s="75"/>
      <c r="M17" s="76"/>
      <c r="N17" s="76"/>
      <c r="O17" s="77"/>
      <c r="P17" s="78"/>
      <c r="Q17" s="78"/>
      <c r="R17" s="92"/>
      <c r="S17" s="92"/>
      <c r="T17" s="92"/>
      <c r="U17" s="92"/>
      <c r="V17" s="52"/>
      <c r="W17" s="52"/>
      <c r="X17" s="52"/>
      <c r="Y17" s="52"/>
      <c r="Z17" s="51"/>
      <c r="AA17" s="73"/>
      <c r="AB17" s="73"/>
      <c r="AC17" s="74"/>
      <c r="AD17" s="80" t="s">
        <v>6602</v>
      </c>
      <c r="AE17" s="85" t="s">
        <v>6244</v>
      </c>
      <c r="AF17" s="80">
        <v>2158</v>
      </c>
      <c r="AG17" s="80">
        <v>20174</v>
      </c>
      <c r="AH17" s="80">
        <v>164871</v>
      </c>
      <c r="AI17" s="80">
        <v>51</v>
      </c>
      <c r="AJ17" s="80"/>
      <c r="AK17" s="80" t="s">
        <v>8966</v>
      </c>
      <c r="AL17" s="80" t="s">
        <v>10137</v>
      </c>
      <c r="AM17" s="80"/>
      <c r="AN17" s="80"/>
      <c r="AO17" s="82">
        <v>44116.454710648148</v>
      </c>
      <c r="AP17" s="87" t="str">
        <f>HYPERLINK("https://pbs.twimg.com/profile_banners/1315606766114144256/1616503445")</f>
        <v>https://pbs.twimg.com/profile_banners/1315606766114144256/1616503445</v>
      </c>
      <c r="AQ17" s="80" t="b">
        <v>1</v>
      </c>
      <c r="AR17" s="80" t="b">
        <v>0</v>
      </c>
      <c r="AS17" s="80" t="b">
        <v>0</v>
      </c>
      <c r="AT17" s="80"/>
      <c r="AU17" s="80">
        <v>758</v>
      </c>
      <c r="AV17" s="80"/>
      <c r="AW17" s="80" t="b">
        <v>0</v>
      </c>
      <c r="AX17" s="80" t="s">
        <v>10746</v>
      </c>
      <c r="AY17" s="87" t="str">
        <f>HYPERLINK("https://twitter.com/jualanlabels")</f>
        <v>https://twitter.com/jualanlabels</v>
      </c>
      <c r="AZ17" s="80" t="s">
        <v>65</v>
      </c>
      <c r="BA17" s="2"/>
      <c r="BB17" s="3"/>
      <c r="BC17" s="3"/>
      <c r="BD17" s="3"/>
      <c r="BE17" s="3"/>
    </row>
    <row r="18" spans="1:57" x14ac:dyDescent="0.35">
      <c r="A18" s="66" t="s">
        <v>227</v>
      </c>
      <c r="B18" s="67"/>
      <c r="C18" s="67"/>
      <c r="D18" s="68"/>
      <c r="E18" s="70"/>
      <c r="F18" s="109" t="str">
        <f>HYPERLINK("https://pbs.twimg.com/profile_images/1425974313035853827/xsxHImsv_normal.jpg")</f>
        <v>https://pbs.twimg.com/profile_images/1425974313035853827/xsxHImsv_normal.jpg</v>
      </c>
      <c r="G18" s="67"/>
      <c r="H18" s="71"/>
      <c r="I18" s="72"/>
      <c r="J18" s="72"/>
      <c r="K18" s="71" t="s">
        <v>10761</v>
      </c>
      <c r="L18" s="75"/>
      <c r="M18" s="76"/>
      <c r="N18" s="76"/>
      <c r="O18" s="77"/>
      <c r="P18" s="78"/>
      <c r="Q18" s="78"/>
      <c r="R18" s="92"/>
      <c r="S18" s="92"/>
      <c r="T18" s="92"/>
      <c r="U18" s="92"/>
      <c r="V18" s="52"/>
      <c r="W18" s="52"/>
      <c r="X18" s="52"/>
      <c r="Y18" s="52"/>
      <c r="Z18" s="51"/>
      <c r="AA18" s="73"/>
      <c r="AB18" s="73"/>
      <c r="AC18" s="74"/>
      <c r="AD18" s="80" t="s">
        <v>6603</v>
      </c>
      <c r="AE18" s="85" t="s">
        <v>7880</v>
      </c>
      <c r="AF18" s="80">
        <v>245</v>
      </c>
      <c r="AG18" s="80">
        <v>20</v>
      </c>
      <c r="AH18" s="80">
        <v>2207</v>
      </c>
      <c r="AI18" s="80">
        <v>4331</v>
      </c>
      <c r="AJ18" s="80"/>
      <c r="AK18" s="80" t="s">
        <v>8967</v>
      </c>
      <c r="AL18" s="80"/>
      <c r="AM18" s="80"/>
      <c r="AN18" s="80"/>
      <c r="AO18" s="82">
        <v>43812.285324074073</v>
      </c>
      <c r="AP18" s="87" t="str">
        <f>HYPERLINK("https://pbs.twimg.com/profile_banners/1205379463644467200/1628813745")</f>
        <v>https://pbs.twimg.com/profile_banners/1205379463644467200/1628813745</v>
      </c>
      <c r="AQ18" s="80" t="b">
        <v>1</v>
      </c>
      <c r="AR18" s="80" t="b">
        <v>0</v>
      </c>
      <c r="AS18" s="80" t="b">
        <v>0</v>
      </c>
      <c r="AT18" s="80"/>
      <c r="AU18" s="80">
        <v>0</v>
      </c>
      <c r="AV18" s="80"/>
      <c r="AW18" s="80" t="b">
        <v>0</v>
      </c>
      <c r="AX18" s="80" t="s">
        <v>10746</v>
      </c>
      <c r="AY18" s="87" t="str">
        <f>HYPERLINK("https://twitter.com/_milkytael_")</f>
        <v>https://twitter.com/_milkytael_</v>
      </c>
      <c r="AZ18" s="80" t="s">
        <v>66</v>
      </c>
      <c r="BA18" s="2"/>
      <c r="BB18" s="3"/>
      <c r="BC18" s="3"/>
      <c r="BD18" s="3"/>
      <c r="BE18" s="3"/>
    </row>
    <row r="19" spans="1:57" x14ac:dyDescent="0.35">
      <c r="A19" s="66" t="s">
        <v>228</v>
      </c>
      <c r="B19" s="67"/>
      <c r="C19" s="67"/>
      <c r="D19" s="68"/>
      <c r="E19" s="70"/>
      <c r="F19" s="109" t="str">
        <f>HYPERLINK("https://pbs.twimg.com/profile_images/1380516843576729602/m0qWL4hy_normal.jpg")</f>
        <v>https://pbs.twimg.com/profile_images/1380516843576729602/m0qWL4hy_normal.jpg</v>
      </c>
      <c r="G19" s="67"/>
      <c r="H19" s="71"/>
      <c r="I19" s="72"/>
      <c r="J19" s="72"/>
      <c r="K19" s="71" t="s">
        <v>10762</v>
      </c>
      <c r="L19" s="75"/>
      <c r="M19" s="76"/>
      <c r="N19" s="76"/>
      <c r="O19" s="77"/>
      <c r="P19" s="78"/>
      <c r="Q19" s="78"/>
      <c r="R19" s="92"/>
      <c r="S19" s="92"/>
      <c r="T19" s="92"/>
      <c r="U19" s="92"/>
      <c r="V19" s="52"/>
      <c r="W19" s="52"/>
      <c r="X19" s="52"/>
      <c r="Y19" s="52"/>
      <c r="Z19" s="51"/>
      <c r="AA19" s="73"/>
      <c r="AB19" s="73"/>
      <c r="AC19" s="74"/>
      <c r="AD19" s="80" t="s">
        <v>6604</v>
      </c>
      <c r="AE19" s="85" t="s">
        <v>7881</v>
      </c>
      <c r="AF19" s="80">
        <v>36</v>
      </c>
      <c r="AG19" s="80">
        <v>37</v>
      </c>
      <c r="AH19" s="80">
        <v>6192</v>
      </c>
      <c r="AI19" s="80">
        <v>203</v>
      </c>
      <c r="AJ19" s="80"/>
      <c r="AK19" s="80" t="s">
        <v>8968</v>
      </c>
      <c r="AL19" s="80" t="s">
        <v>10138</v>
      </c>
      <c r="AM19" s="80"/>
      <c r="AN19" s="80"/>
      <c r="AO19" s="82">
        <v>43648.265682870369</v>
      </c>
      <c r="AP19" s="80"/>
      <c r="AQ19" s="80" t="b">
        <v>1</v>
      </c>
      <c r="AR19" s="80" t="b">
        <v>0</v>
      </c>
      <c r="AS19" s="80" t="b">
        <v>0</v>
      </c>
      <c r="AT19" s="80"/>
      <c r="AU19" s="80">
        <v>0</v>
      </c>
      <c r="AV19" s="80"/>
      <c r="AW19" s="80" t="b">
        <v>0</v>
      </c>
      <c r="AX19" s="80" t="s">
        <v>10746</v>
      </c>
      <c r="AY19" s="87" t="str">
        <f>HYPERLINK("https://twitter.com/sunupinasti")</f>
        <v>https://twitter.com/sunupinasti</v>
      </c>
      <c r="AZ19" s="80" t="s">
        <v>66</v>
      </c>
      <c r="BA19" s="2"/>
      <c r="BB19" s="3"/>
      <c r="BC19" s="3"/>
      <c r="BD19" s="3"/>
      <c r="BE19" s="3"/>
    </row>
    <row r="20" spans="1:57" x14ac:dyDescent="0.35">
      <c r="A20" s="66" t="s">
        <v>431</v>
      </c>
      <c r="B20" s="67"/>
      <c r="C20" s="67"/>
      <c r="D20" s="68"/>
      <c r="E20" s="70"/>
      <c r="F20" s="109" t="str">
        <f>HYPERLINK("https://pbs.twimg.com/profile_images/1435960723968970760/4cYRs0FC_normal.jpg")</f>
        <v>https://pbs.twimg.com/profile_images/1435960723968970760/4cYRs0FC_normal.jpg</v>
      </c>
      <c r="G20" s="67"/>
      <c r="H20" s="71"/>
      <c r="I20" s="72"/>
      <c r="J20" s="72"/>
      <c r="K20" s="71" t="s">
        <v>10763</v>
      </c>
      <c r="L20" s="75"/>
      <c r="M20" s="76"/>
      <c r="N20" s="76"/>
      <c r="O20" s="77"/>
      <c r="P20" s="78"/>
      <c r="Q20" s="78"/>
      <c r="R20" s="92"/>
      <c r="S20" s="92"/>
      <c r="T20" s="92"/>
      <c r="U20" s="92"/>
      <c r="V20" s="52"/>
      <c r="W20" s="52"/>
      <c r="X20" s="52"/>
      <c r="Y20" s="52"/>
      <c r="Z20" s="51"/>
      <c r="AA20" s="73"/>
      <c r="AB20" s="73"/>
      <c r="AC20" s="74"/>
      <c r="AD20" s="80" t="s">
        <v>431</v>
      </c>
      <c r="AE20" s="85" t="s">
        <v>7882</v>
      </c>
      <c r="AF20" s="80">
        <v>30</v>
      </c>
      <c r="AG20" s="80">
        <v>17107502</v>
      </c>
      <c r="AH20" s="80">
        <v>1870752</v>
      </c>
      <c r="AI20" s="80">
        <v>937</v>
      </c>
      <c r="AJ20" s="80"/>
      <c r="AK20" s="80" t="s">
        <v>8969</v>
      </c>
      <c r="AL20" s="80" t="s">
        <v>10139</v>
      </c>
      <c r="AM20" s="87" t="str">
        <f>HYPERLINK("https://t.co/qldGGYWfHu")</f>
        <v>https://t.co/qldGGYWfHu</v>
      </c>
      <c r="AN20" s="80"/>
      <c r="AO20" s="82">
        <v>40052.127141203702</v>
      </c>
      <c r="AP20" s="87" t="str">
        <f>HYPERLINK("https://pbs.twimg.com/profile_banners/69183155/1629263517")</f>
        <v>https://pbs.twimg.com/profile_banners/69183155/1629263517</v>
      </c>
      <c r="AQ20" s="80" t="b">
        <v>0</v>
      </c>
      <c r="AR20" s="80" t="b">
        <v>0</v>
      </c>
      <c r="AS20" s="80" t="b">
        <v>1</v>
      </c>
      <c r="AT20" s="80"/>
      <c r="AU20" s="80">
        <v>13179</v>
      </c>
      <c r="AV20" s="87" t="str">
        <f>HYPERLINK("https://abs.twimg.com/images/themes/theme1/bg.png")</f>
        <v>https://abs.twimg.com/images/themes/theme1/bg.png</v>
      </c>
      <c r="AW20" s="80" t="b">
        <v>1</v>
      </c>
      <c r="AX20" s="80" t="s">
        <v>10746</v>
      </c>
      <c r="AY20" s="87" t="str">
        <f>HYPERLINK("https://twitter.com/detikcom")</f>
        <v>https://twitter.com/detikcom</v>
      </c>
      <c r="AZ20" s="80" t="s">
        <v>66</v>
      </c>
      <c r="BA20" s="2"/>
      <c r="BB20" s="3"/>
      <c r="BC20" s="3"/>
      <c r="BD20" s="3"/>
      <c r="BE20" s="3"/>
    </row>
    <row r="21" spans="1:57" x14ac:dyDescent="0.35">
      <c r="A21" s="66" t="s">
        <v>229</v>
      </c>
      <c r="B21" s="67"/>
      <c r="C21" s="67"/>
      <c r="D21" s="68"/>
      <c r="E21" s="70"/>
      <c r="F21" s="109" t="str">
        <f>HYPERLINK("https://pbs.twimg.com/profile_images/1439669984666402817/LMKXY5Gf_normal.jpg")</f>
        <v>https://pbs.twimg.com/profile_images/1439669984666402817/LMKXY5Gf_normal.jpg</v>
      </c>
      <c r="G21" s="67"/>
      <c r="H21" s="71"/>
      <c r="I21" s="72"/>
      <c r="J21" s="72"/>
      <c r="K21" s="71" t="s">
        <v>10764</v>
      </c>
      <c r="L21" s="75"/>
      <c r="M21" s="76"/>
      <c r="N21" s="76"/>
      <c r="O21" s="77"/>
      <c r="P21" s="78"/>
      <c r="Q21" s="78"/>
      <c r="R21" s="92"/>
      <c r="S21" s="92"/>
      <c r="T21" s="92"/>
      <c r="U21" s="92"/>
      <c r="V21" s="52"/>
      <c r="W21" s="52"/>
      <c r="X21" s="52"/>
      <c r="Y21" s="52"/>
      <c r="Z21" s="51"/>
      <c r="AA21" s="73"/>
      <c r="AB21" s="73"/>
      <c r="AC21" s="74"/>
      <c r="AD21" s="80" t="s">
        <v>6605</v>
      </c>
      <c r="AE21" s="85" t="s">
        <v>7883</v>
      </c>
      <c r="AF21" s="80">
        <v>989</v>
      </c>
      <c r="AG21" s="80">
        <v>2743</v>
      </c>
      <c r="AH21" s="80">
        <v>179165</v>
      </c>
      <c r="AI21" s="80">
        <v>175624</v>
      </c>
      <c r="AJ21" s="80"/>
      <c r="AK21" s="80" t="s">
        <v>8970</v>
      </c>
      <c r="AL21" s="80" t="s">
        <v>10140</v>
      </c>
      <c r="AM21" s="80"/>
      <c r="AN21" s="80"/>
      <c r="AO21" s="82">
        <v>40488.493726851855</v>
      </c>
      <c r="AP21" s="87" t="str">
        <f>HYPERLINK("https://pbs.twimg.com/profile_banners/212550162/1628600732")</f>
        <v>https://pbs.twimg.com/profile_banners/212550162/1628600732</v>
      </c>
      <c r="AQ21" s="80" t="b">
        <v>0</v>
      </c>
      <c r="AR21" s="80" t="b">
        <v>0</v>
      </c>
      <c r="AS21" s="80" t="b">
        <v>0</v>
      </c>
      <c r="AT21" s="80"/>
      <c r="AU21" s="80">
        <v>2</v>
      </c>
      <c r="AV21" s="87" t="str">
        <f>HYPERLINK("https://abs.twimg.com/images/themes/theme11/bg.gif")</f>
        <v>https://abs.twimg.com/images/themes/theme11/bg.gif</v>
      </c>
      <c r="AW21" s="80" t="b">
        <v>0</v>
      </c>
      <c r="AX21" s="80" t="s">
        <v>10746</v>
      </c>
      <c r="AY21" s="87" t="str">
        <f>HYPERLINK("https://twitter.com/raihanadia__")</f>
        <v>https://twitter.com/raihanadia__</v>
      </c>
      <c r="AZ21" s="80" t="s">
        <v>66</v>
      </c>
      <c r="BA21" s="2"/>
      <c r="BB21" s="3"/>
      <c r="BC21" s="3"/>
      <c r="BD21" s="3"/>
      <c r="BE21" s="3"/>
    </row>
    <row r="22" spans="1:57" x14ac:dyDescent="0.35">
      <c r="A22" s="66" t="s">
        <v>230</v>
      </c>
      <c r="B22" s="67"/>
      <c r="C22" s="67"/>
      <c r="D22" s="68"/>
      <c r="E22" s="70"/>
      <c r="F22" s="109" t="str">
        <f>HYPERLINK("https://pbs.twimg.com/profile_images/1430172677403258892/ayh0EBol_normal.jpg")</f>
        <v>https://pbs.twimg.com/profile_images/1430172677403258892/ayh0EBol_normal.jpg</v>
      </c>
      <c r="G22" s="67"/>
      <c r="H22" s="71"/>
      <c r="I22" s="72"/>
      <c r="J22" s="72"/>
      <c r="K22" s="71" t="s">
        <v>10765</v>
      </c>
      <c r="L22" s="75"/>
      <c r="M22" s="76"/>
      <c r="N22" s="76"/>
      <c r="O22" s="77"/>
      <c r="P22" s="78"/>
      <c r="Q22" s="78"/>
      <c r="R22" s="92"/>
      <c r="S22" s="92"/>
      <c r="T22" s="92"/>
      <c r="U22" s="92"/>
      <c r="V22" s="52"/>
      <c r="W22" s="52"/>
      <c r="X22" s="52"/>
      <c r="Y22" s="52"/>
      <c r="Z22" s="51"/>
      <c r="AA22" s="73"/>
      <c r="AB22" s="73"/>
      <c r="AC22" s="74"/>
      <c r="AD22" s="80" t="s">
        <v>6606</v>
      </c>
      <c r="AE22" s="85" t="s">
        <v>7884</v>
      </c>
      <c r="AF22" s="80">
        <v>179</v>
      </c>
      <c r="AG22" s="80">
        <v>235</v>
      </c>
      <c r="AH22" s="80">
        <v>7448</v>
      </c>
      <c r="AI22" s="80">
        <v>3990</v>
      </c>
      <c r="AJ22" s="80"/>
      <c r="AK22" s="80" t="s">
        <v>8971</v>
      </c>
      <c r="AL22" s="80" t="s">
        <v>10141</v>
      </c>
      <c r="AM22" s="80"/>
      <c r="AN22" s="80"/>
      <c r="AO22" s="82">
        <v>43496.319409722222</v>
      </c>
      <c r="AP22" s="87" t="str">
        <f>HYPERLINK("https://pbs.twimg.com/profile_banners/1090877330019409921/1625633186")</f>
        <v>https://pbs.twimg.com/profile_banners/1090877330019409921/1625633186</v>
      </c>
      <c r="AQ22" s="80" t="b">
        <v>1</v>
      </c>
      <c r="AR22" s="80" t="b">
        <v>0</v>
      </c>
      <c r="AS22" s="80" t="b">
        <v>1</v>
      </c>
      <c r="AT22" s="80"/>
      <c r="AU22" s="80">
        <v>0</v>
      </c>
      <c r="AV22" s="80"/>
      <c r="AW22" s="80" t="b">
        <v>0</v>
      </c>
      <c r="AX22" s="80" t="s">
        <v>10746</v>
      </c>
      <c r="AY22" s="87" t="str">
        <f>HYPERLINK("https://twitter.com/belle_maaa")</f>
        <v>https://twitter.com/belle_maaa</v>
      </c>
      <c r="AZ22" s="80" t="s">
        <v>66</v>
      </c>
      <c r="BA22" s="2"/>
      <c r="BB22" s="3"/>
      <c r="BC22" s="3"/>
      <c r="BD22" s="3"/>
      <c r="BE22" s="3"/>
    </row>
    <row r="23" spans="1:57" x14ac:dyDescent="0.35">
      <c r="A23" s="66" t="s">
        <v>231</v>
      </c>
      <c r="B23" s="67"/>
      <c r="C23" s="67"/>
      <c r="D23" s="68"/>
      <c r="E23" s="70"/>
      <c r="F23" s="109" t="str">
        <f>HYPERLINK("https://pbs.twimg.com/profile_images/1338738213423235073/ATjT-0bb_normal.jpg")</f>
        <v>https://pbs.twimg.com/profile_images/1338738213423235073/ATjT-0bb_normal.jpg</v>
      </c>
      <c r="G23" s="67"/>
      <c r="H23" s="71"/>
      <c r="I23" s="72"/>
      <c r="J23" s="72"/>
      <c r="K23" s="71" t="s">
        <v>10766</v>
      </c>
      <c r="L23" s="75"/>
      <c r="M23" s="76"/>
      <c r="N23" s="76"/>
      <c r="O23" s="77"/>
      <c r="P23" s="78"/>
      <c r="Q23" s="78"/>
      <c r="R23" s="92"/>
      <c r="S23" s="92"/>
      <c r="T23" s="92"/>
      <c r="U23" s="92"/>
      <c r="V23" s="52"/>
      <c r="W23" s="52"/>
      <c r="X23" s="52"/>
      <c r="Y23" s="52"/>
      <c r="Z23" s="51"/>
      <c r="AA23" s="73"/>
      <c r="AB23" s="73"/>
      <c r="AC23" s="74"/>
      <c r="AD23" s="80" t="s">
        <v>6607</v>
      </c>
      <c r="AE23" s="85" t="s">
        <v>7885</v>
      </c>
      <c r="AF23" s="80">
        <v>4993</v>
      </c>
      <c r="AG23" s="80">
        <v>2637</v>
      </c>
      <c r="AH23" s="80">
        <v>3372</v>
      </c>
      <c r="AI23" s="80">
        <v>270</v>
      </c>
      <c r="AJ23" s="80"/>
      <c r="AK23" s="80" t="s">
        <v>8972</v>
      </c>
      <c r="AL23" s="80" t="s">
        <v>10142</v>
      </c>
      <c r="AM23" s="80"/>
      <c r="AN23" s="80"/>
      <c r="AO23" s="82">
        <v>44180.282268518517</v>
      </c>
      <c r="AP23" s="80"/>
      <c r="AQ23" s="80" t="b">
        <v>1</v>
      </c>
      <c r="AR23" s="80" t="b">
        <v>0</v>
      </c>
      <c r="AS23" s="80" t="b">
        <v>1</v>
      </c>
      <c r="AT23" s="80"/>
      <c r="AU23" s="80">
        <v>0</v>
      </c>
      <c r="AV23" s="80"/>
      <c r="AW23" s="80" t="b">
        <v>0</v>
      </c>
      <c r="AX23" s="80" t="s">
        <v>10746</v>
      </c>
      <c r="AY23" s="87" t="str">
        <f>HYPERLINK("https://twitter.com/jasajokmebelje1")</f>
        <v>https://twitter.com/jasajokmebelje1</v>
      </c>
      <c r="AZ23" s="80" t="s">
        <v>66</v>
      </c>
      <c r="BA23" s="2"/>
      <c r="BB23" s="3"/>
      <c r="BC23" s="3"/>
      <c r="BD23" s="3"/>
      <c r="BE23" s="3"/>
    </row>
    <row r="24" spans="1:57" x14ac:dyDescent="0.35">
      <c r="A24" s="66" t="s">
        <v>232</v>
      </c>
      <c r="B24" s="67"/>
      <c r="C24" s="67"/>
      <c r="D24" s="68"/>
      <c r="E24" s="70"/>
      <c r="F24" s="109" t="str">
        <f>HYPERLINK("https://pbs.twimg.com/profile_images/1431531298770731010/joVkc-EU_normal.jpg")</f>
        <v>https://pbs.twimg.com/profile_images/1431531298770731010/joVkc-EU_normal.jpg</v>
      </c>
      <c r="G24" s="67"/>
      <c r="H24" s="71"/>
      <c r="I24" s="72"/>
      <c r="J24" s="72"/>
      <c r="K24" s="71" t="s">
        <v>10767</v>
      </c>
      <c r="L24" s="75"/>
      <c r="M24" s="76"/>
      <c r="N24" s="76"/>
      <c r="O24" s="77"/>
      <c r="P24" s="78"/>
      <c r="Q24" s="78"/>
      <c r="R24" s="92"/>
      <c r="S24" s="92"/>
      <c r="T24" s="92"/>
      <c r="U24" s="92"/>
      <c r="V24" s="52"/>
      <c r="W24" s="52"/>
      <c r="X24" s="52"/>
      <c r="Y24" s="52"/>
      <c r="Z24" s="51"/>
      <c r="AA24" s="73"/>
      <c r="AB24" s="73"/>
      <c r="AC24" s="74"/>
      <c r="AD24" s="80" t="s">
        <v>6608</v>
      </c>
      <c r="AE24" s="85" t="s">
        <v>7886</v>
      </c>
      <c r="AF24" s="80">
        <v>439</v>
      </c>
      <c r="AG24" s="80">
        <v>429</v>
      </c>
      <c r="AH24" s="80">
        <v>518</v>
      </c>
      <c r="AI24" s="80">
        <v>196</v>
      </c>
      <c r="AJ24" s="80"/>
      <c r="AK24" s="80" t="s">
        <v>8973</v>
      </c>
      <c r="AL24" s="80" t="s">
        <v>10143</v>
      </c>
      <c r="AM24" s="87" t="str">
        <f>HYPERLINK("https://t.co/D4O5bidxGI")</f>
        <v>https://t.co/D4O5bidxGI</v>
      </c>
      <c r="AN24" s="80"/>
      <c r="AO24" s="82">
        <v>44407.260428240741</v>
      </c>
      <c r="AP24" s="87" t="str">
        <f>HYPERLINK("https://pbs.twimg.com/profile_banners/1420991242498842625/1632647720")</f>
        <v>https://pbs.twimg.com/profile_banners/1420991242498842625/1632647720</v>
      </c>
      <c r="AQ24" s="80" t="b">
        <v>1</v>
      </c>
      <c r="AR24" s="80" t="b">
        <v>0</v>
      </c>
      <c r="AS24" s="80" t="b">
        <v>0</v>
      </c>
      <c r="AT24" s="80"/>
      <c r="AU24" s="80">
        <v>0</v>
      </c>
      <c r="AV24" s="80"/>
      <c r="AW24" s="80" t="b">
        <v>0</v>
      </c>
      <c r="AX24" s="80" t="s">
        <v>10746</v>
      </c>
      <c r="AY24" s="87" t="str">
        <f>HYPERLINK("https://twitter.com/bemaiae")</f>
        <v>https://twitter.com/bemaiae</v>
      </c>
      <c r="AZ24" s="80" t="s">
        <v>66</v>
      </c>
      <c r="BA24" s="2"/>
      <c r="BB24" s="3"/>
      <c r="BC24" s="3"/>
      <c r="BD24" s="3"/>
      <c r="BE24" s="3"/>
    </row>
    <row r="25" spans="1:57" x14ac:dyDescent="0.35">
      <c r="A25" s="66" t="s">
        <v>1276</v>
      </c>
      <c r="B25" s="67"/>
      <c r="C25" s="67"/>
      <c r="D25" s="68"/>
      <c r="E25" s="70"/>
      <c r="F25" s="109" t="str">
        <f>HYPERLINK("https://pbs.twimg.com/profile_images/1434029424765136897/DPTzZWJA_normal.jpg")</f>
        <v>https://pbs.twimg.com/profile_images/1434029424765136897/DPTzZWJA_normal.jpg</v>
      </c>
      <c r="G25" s="67"/>
      <c r="H25" s="71"/>
      <c r="I25" s="72"/>
      <c r="J25" s="72"/>
      <c r="K25" s="71" t="s">
        <v>10768</v>
      </c>
      <c r="L25" s="75"/>
      <c r="M25" s="76"/>
      <c r="N25" s="76"/>
      <c r="O25" s="77"/>
      <c r="P25" s="78"/>
      <c r="Q25" s="78"/>
      <c r="R25" s="92"/>
      <c r="S25" s="92"/>
      <c r="T25" s="92"/>
      <c r="U25" s="92"/>
      <c r="V25" s="52"/>
      <c r="W25" s="52"/>
      <c r="X25" s="52"/>
      <c r="Y25" s="52"/>
      <c r="Z25" s="51"/>
      <c r="AA25" s="73"/>
      <c r="AB25" s="73"/>
      <c r="AC25" s="74"/>
      <c r="AD25" s="80" t="s">
        <v>6609</v>
      </c>
      <c r="AE25" s="85" t="s">
        <v>6245</v>
      </c>
      <c r="AF25" s="80">
        <v>12</v>
      </c>
      <c r="AG25" s="80">
        <v>1</v>
      </c>
      <c r="AH25" s="80">
        <v>31</v>
      </c>
      <c r="AI25" s="80">
        <v>15</v>
      </c>
      <c r="AJ25" s="80"/>
      <c r="AK25" s="80" t="s">
        <v>8974</v>
      </c>
      <c r="AL25" s="80"/>
      <c r="AM25" s="80"/>
      <c r="AN25" s="80"/>
      <c r="AO25" s="82">
        <v>44392.427928240744</v>
      </c>
      <c r="AP25" s="80"/>
      <c r="AQ25" s="80" t="b">
        <v>1</v>
      </c>
      <c r="AR25" s="80" t="b">
        <v>0</v>
      </c>
      <c r="AS25" s="80" t="b">
        <v>0</v>
      </c>
      <c r="AT25" s="80"/>
      <c r="AU25" s="80">
        <v>0</v>
      </c>
      <c r="AV25" s="80"/>
      <c r="AW25" s="80" t="b">
        <v>0</v>
      </c>
      <c r="AX25" s="80" t="s">
        <v>10746</v>
      </c>
      <c r="AY25" s="87" t="str">
        <f>HYPERLINK("https://twitter.com/sellbuytrad3")</f>
        <v>https://twitter.com/sellbuytrad3</v>
      </c>
      <c r="AZ25" s="80" t="s">
        <v>65</v>
      </c>
      <c r="BA25" s="2"/>
      <c r="BB25" s="3"/>
      <c r="BC25" s="3"/>
      <c r="BD25" s="3"/>
      <c r="BE25" s="3"/>
    </row>
    <row r="26" spans="1:57" x14ac:dyDescent="0.35">
      <c r="A26" s="66" t="s">
        <v>233</v>
      </c>
      <c r="B26" s="67"/>
      <c r="C26" s="67"/>
      <c r="D26" s="68"/>
      <c r="E26" s="70"/>
      <c r="F26" s="109" t="str">
        <f>HYPERLINK("https://pbs.twimg.com/profile_images/1432379309591719936/raiBOZcl_normal.jpg")</f>
        <v>https://pbs.twimg.com/profile_images/1432379309591719936/raiBOZcl_normal.jpg</v>
      </c>
      <c r="G26" s="67"/>
      <c r="H26" s="71"/>
      <c r="I26" s="72"/>
      <c r="J26" s="72"/>
      <c r="K26" s="71" t="s">
        <v>10769</v>
      </c>
      <c r="L26" s="75"/>
      <c r="M26" s="76"/>
      <c r="N26" s="76"/>
      <c r="O26" s="77"/>
      <c r="P26" s="78"/>
      <c r="Q26" s="78"/>
      <c r="R26" s="92"/>
      <c r="S26" s="92"/>
      <c r="T26" s="92"/>
      <c r="U26" s="92"/>
      <c r="V26" s="52"/>
      <c r="W26" s="52"/>
      <c r="X26" s="52"/>
      <c r="Y26" s="52"/>
      <c r="Z26" s="51"/>
      <c r="AA26" s="73"/>
      <c r="AB26" s="73"/>
      <c r="AC26" s="74"/>
      <c r="AD26" s="80" t="s">
        <v>6610</v>
      </c>
      <c r="AE26" s="85" t="s">
        <v>7887</v>
      </c>
      <c r="AF26" s="80">
        <v>0</v>
      </c>
      <c r="AG26" s="80">
        <v>0</v>
      </c>
      <c r="AH26" s="80">
        <v>1310</v>
      </c>
      <c r="AI26" s="80">
        <v>0</v>
      </c>
      <c r="AJ26" s="80"/>
      <c r="AK26" s="80" t="s">
        <v>8975</v>
      </c>
      <c r="AL26" s="80" t="s">
        <v>10144</v>
      </c>
      <c r="AM26" s="87" t="str">
        <f>HYPERLINK("https://t.co/zjar8qfQ94")</f>
        <v>https://t.co/zjar8qfQ94</v>
      </c>
      <c r="AN26" s="80"/>
      <c r="AO26" s="82">
        <v>44438.684664351851</v>
      </c>
      <c r="AP26" s="87" t="str">
        <f>HYPERLINK("https://pbs.twimg.com/profile_banners/1432378999024480259/1630341325")</f>
        <v>https://pbs.twimg.com/profile_banners/1432378999024480259/1630341325</v>
      </c>
      <c r="AQ26" s="80" t="b">
        <v>1</v>
      </c>
      <c r="AR26" s="80" t="b">
        <v>0</v>
      </c>
      <c r="AS26" s="80" t="b">
        <v>0</v>
      </c>
      <c r="AT26" s="80"/>
      <c r="AU26" s="80">
        <v>0</v>
      </c>
      <c r="AV26" s="80"/>
      <c r="AW26" s="80" t="b">
        <v>0</v>
      </c>
      <c r="AX26" s="80" t="s">
        <v>10746</v>
      </c>
      <c r="AY26" s="87" t="str">
        <f>HYPERLINK("https://twitter.com/wibwaktu")</f>
        <v>https://twitter.com/wibwaktu</v>
      </c>
      <c r="AZ26" s="80" t="s">
        <v>66</v>
      </c>
      <c r="BA26" s="2"/>
      <c r="BB26" s="3"/>
      <c r="BC26" s="3"/>
      <c r="BD26" s="3"/>
      <c r="BE26" s="3"/>
    </row>
    <row r="27" spans="1:57" x14ac:dyDescent="0.35">
      <c r="A27" s="66" t="s">
        <v>234</v>
      </c>
      <c r="B27" s="67"/>
      <c r="C27" s="67"/>
      <c r="D27" s="68"/>
      <c r="E27" s="70"/>
      <c r="F27" s="109" t="str">
        <f>HYPERLINK("https://pbs.twimg.com/profile_images/1082171269154463744/H8vF9yrS_normal.jpg")</f>
        <v>https://pbs.twimg.com/profile_images/1082171269154463744/H8vF9yrS_normal.jpg</v>
      </c>
      <c r="G27" s="67"/>
      <c r="H27" s="71"/>
      <c r="I27" s="72"/>
      <c r="J27" s="72"/>
      <c r="K27" s="71" t="s">
        <v>10770</v>
      </c>
      <c r="L27" s="75"/>
      <c r="M27" s="76"/>
      <c r="N27" s="76"/>
      <c r="O27" s="77"/>
      <c r="P27" s="78"/>
      <c r="Q27" s="78"/>
      <c r="R27" s="92"/>
      <c r="S27" s="92"/>
      <c r="T27" s="92"/>
      <c r="U27" s="92"/>
      <c r="V27" s="52"/>
      <c r="W27" s="52"/>
      <c r="X27" s="52"/>
      <c r="Y27" s="52"/>
      <c r="Z27" s="51"/>
      <c r="AA27" s="73"/>
      <c r="AB27" s="73"/>
      <c r="AC27" s="74"/>
      <c r="AD27" s="80" t="s">
        <v>6611</v>
      </c>
      <c r="AE27" s="85" t="s">
        <v>7888</v>
      </c>
      <c r="AF27" s="80">
        <v>2708</v>
      </c>
      <c r="AG27" s="80">
        <v>1863</v>
      </c>
      <c r="AH27" s="80">
        <v>41434</v>
      </c>
      <c r="AI27" s="80">
        <v>4</v>
      </c>
      <c r="AJ27" s="80"/>
      <c r="AK27" s="80" t="s">
        <v>8976</v>
      </c>
      <c r="AL27" s="80"/>
      <c r="AM27" s="80"/>
      <c r="AN27" s="80"/>
      <c r="AO27" s="82">
        <v>43131.180567129632</v>
      </c>
      <c r="AP27" s="87" t="str">
        <f>HYPERLINK("https://pbs.twimg.com/profile_banners/958555441771905024/1546846701")</f>
        <v>https://pbs.twimg.com/profile_banners/958555441771905024/1546846701</v>
      </c>
      <c r="AQ27" s="80" t="b">
        <v>0</v>
      </c>
      <c r="AR27" s="80" t="b">
        <v>0</v>
      </c>
      <c r="AS27" s="80" t="b">
        <v>0</v>
      </c>
      <c r="AT27" s="80"/>
      <c r="AU27" s="80">
        <v>10</v>
      </c>
      <c r="AV27" s="87" t="str">
        <f>HYPERLINK("https://abs.twimg.com/images/themes/theme1/bg.png")</f>
        <v>https://abs.twimg.com/images/themes/theme1/bg.png</v>
      </c>
      <c r="AW27" s="80" t="b">
        <v>0</v>
      </c>
      <c r="AX27" s="80" t="s">
        <v>10746</v>
      </c>
      <c r="AY27" s="87" t="str">
        <f>HYPERLINK("https://twitter.com/nobi_indonesia")</f>
        <v>https://twitter.com/nobi_indonesia</v>
      </c>
      <c r="AZ27" s="80" t="s">
        <v>66</v>
      </c>
      <c r="BA27" s="2"/>
      <c r="BB27" s="3"/>
      <c r="BC27" s="3"/>
      <c r="BD27" s="3"/>
      <c r="BE27" s="3"/>
    </row>
    <row r="28" spans="1:57" x14ac:dyDescent="0.35">
      <c r="A28" s="66" t="s">
        <v>235</v>
      </c>
      <c r="B28" s="67"/>
      <c r="C28" s="67"/>
      <c r="D28" s="68"/>
      <c r="E28" s="70"/>
      <c r="F28" s="109" t="str">
        <f>HYPERLINK("https://pbs.twimg.com/profile_images/1293220202927108096/Ya673LjM_normal.jpg")</f>
        <v>https://pbs.twimg.com/profile_images/1293220202927108096/Ya673LjM_normal.jpg</v>
      </c>
      <c r="G28" s="67"/>
      <c r="H28" s="71"/>
      <c r="I28" s="72"/>
      <c r="J28" s="72"/>
      <c r="K28" s="71" t="s">
        <v>10771</v>
      </c>
      <c r="L28" s="75"/>
      <c r="M28" s="76"/>
      <c r="N28" s="76"/>
      <c r="O28" s="77"/>
      <c r="P28" s="78"/>
      <c r="Q28" s="78"/>
      <c r="R28" s="92"/>
      <c r="S28" s="92"/>
      <c r="T28" s="92"/>
      <c r="U28" s="92"/>
      <c r="V28" s="52"/>
      <c r="W28" s="52"/>
      <c r="X28" s="52"/>
      <c r="Y28" s="52"/>
      <c r="Z28" s="51"/>
      <c r="AA28" s="73"/>
      <c r="AB28" s="73"/>
      <c r="AC28" s="74"/>
      <c r="AD28" s="80" t="s">
        <v>6612</v>
      </c>
      <c r="AE28" s="85" t="s">
        <v>7889</v>
      </c>
      <c r="AF28" s="80">
        <v>4697</v>
      </c>
      <c r="AG28" s="80">
        <v>4251</v>
      </c>
      <c r="AH28" s="80">
        <v>13415</v>
      </c>
      <c r="AI28" s="80">
        <v>15723</v>
      </c>
      <c r="AJ28" s="80"/>
      <c r="AK28" s="80" t="s">
        <v>8977</v>
      </c>
      <c r="AL28" s="80" t="s">
        <v>10145</v>
      </c>
      <c r="AM28" s="80"/>
      <c r="AN28" s="80"/>
      <c r="AO28" s="82">
        <v>39916.999664351853</v>
      </c>
      <c r="AP28" s="87" t="str">
        <f>HYPERLINK("https://pbs.twimg.com/profile_banners/30998641/1591320374")</f>
        <v>https://pbs.twimg.com/profile_banners/30998641/1591320374</v>
      </c>
      <c r="AQ28" s="80" t="b">
        <v>0</v>
      </c>
      <c r="AR28" s="80" t="b">
        <v>0</v>
      </c>
      <c r="AS28" s="80" t="b">
        <v>0</v>
      </c>
      <c r="AT28" s="80"/>
      <c r="AU28" s="80">
        <v>20</v>
      </c>
      <c r="AV28" s="87" t="str">
        <f>HYPERLINK("https://abs.twimg.com/images/themes/theme10/bg.gif")</f>
        <v>https://abs.twimg.com/images/themes/theme10/bg.gif</v>
      </c>
      <c r="AW28" s="80" t="b">
        <v>0</v>
      </c>
      <c r="AX28" s="80" t="s">
        <v>10746</v>
      </c>
      <c r="AY28" s="87" t="str">
        <f>HYPERLINK("https://twitter.com/opaz01")</f>
        <v>https://twitter.com/opaz01</v>
      </c>
      <c r="AZ28" s="80" t="s">
        <v>66</v>
      </c>
      <c r="BA28" s="2"/>
      <c r="BB28" s="3"/>
      <c r="BC28" s="3"/>
      <c r="BD28" s="3"/>
      <c r="BE28" s="3"/>
    </row>
    <row r="29" spans="1:57" x14ac:dyDescent="0.35">
      <c r="A29" s="66" t="s">
        <v>1277</v>
      </c>
      <c r="B29" s="67"/>
      <c r="C29" s="67"/>
      <c r="D29" s="68"/>
      <c r="E29" s="70"/>
      <c r="F29" s="109" t="str">
        <f>HYPERLINK("https://pbs.twimg.com/profile_images/1317716752420147200/frJ0shjh_normal.jpg")</f>
        <v>https://pbs.twimg.com/profile_images/1317716752420147200/frJ0shjh_normal.jpg</v>
      </c>
      <c r="G29" s="67"/>
      <c r="H29" s="71"/>
      <c r="I29" s="72"/>
      <c r="J29" s="72"/>
      <c r="K29" s="71" t="s">
        <v>10772</v>
      </c>
      <c r="L29" s="75"/>
      <c r="M29" s="76"/>
      <c r="N29" s="76"/>
      <c r="O29" s="77"/>
      <c r="P29" s="78"/>
      <c r="Q29" s="78"/>
      <c r="R29" s="92"/>
      <c r="S29" s="92"/>
      <c r="T29" s="92"/>
      <c r="U29" s="92"/>
      <c r="V29" s="52"/>
      <c r="W29" s="52"/>
      <c r="X29" s="52"/>
      <c r="Y29" s="52"/>
      <c r="Z29" s="51"/>
      <c r="AA29" s="73"/>
      <c r="AB29" s="73"/>
      <c r="AC29" s="74"/>
      <c r="AD29" s="80" t="s">
        <v>6613</v>
      </c>
      <c r="AE29" s="85" t="s">
        <v>6246</v>
      </c>
      <c r="AF29" s="80">
        <v>4110</v>
      </c>
      <c r="AG29" s="80">
        <v>4112</v>
      </c>
      <c r="AH29" s="80">
        <v>63993</v>
      </c>
      <c r="AI29" s="80">
        <v>106156</v>
      </c>
      <c r="AJ29" s="80"/>
      <c r="AK29" s="80" t="s">
        <v>8978</v>
      </c>
      <c r="AL29" s="80" t="s">
        <v>10146</v>
      </c>
      <c r="AM29" s="80"/>
      <c r="AN29" s="80"/>
      <c r="AO29" s="82">
        <v>41298.278645833336</v>
      </c>
      <c r="AP29" s="87" t="str">
        <f>HYPERLINK("https://pbs.twimg.com/profile_banners/1116129122/1619075318")</f>
        <v>https://pbs.twimg.com/profile_banners/1116129122/1619075318</v>
      </c>
      <c r="AQ29" s="80" t="b">
        <v>1</v>
      </c>
      <c r="AR29" s="80" t="b">
        <v>0</v>
      </c>
      <c r="AS29" s="80" t="b">
        <v>0</v>
      </c>
      <c r="AT29" s="80"/>
      <c r="AU29" s="80">
        <v>29</v>
      </c>
      <c r="AV29" s="87" t="str">
        <f>HYPERLINK("https://abs.twimg.com/images/themes/theme1/bg.png")</f>
        <v>https://abs.twimg.com/images/themes/theme1/bg.png</v>
      </c>
      <c r="AW29" s="80" t="b">
        <v>0</v>
      </c>
      <c r="AX29" s="80" t="s">
        <v>10746</v>
      </c>
      <c r="AY29" s="87" t="str">
        <f>HYPERLINK("https://twitter.com/bernardgyorgy")</f>
        <v>https://twitter.com/bernardgyorgy</v>
      </c>
      <c r="AZ29" s="80" t="s">
        <v>65</v>
      </c>
      <c r="BA29" s="2"/>
      <c r="BB29" s="3"/>
      <c r="BC29" s="3"/>
      <c r="BD29" s="3"/>
      <c r="BE29" s="3"/>
    </row>
    <row r="30" spans="1:57" x14ac:dyDescent="0.35">
      <c r="A30" s="66" t="s">
        <v>236</v>
      </c>
      <c r="B30" s="67"/>
      <c r="C30" s="67"/>
      <c r="D30" s="68"/>
      <c r="E30" s="70"/>
      <c r="F30" s="109" t="str">
        <f>HYPERLINK("https://pbs.twimg.com/profile_images/1440980559040110600/grqst2en_normal.jpg")</f>
        <v>https://pbs.twimg.com/profile_images/1440980559040110600/grqst2en_normal.jpg</v>
      </c>
      <c r="G30" s="67"/>
      <c r="H30" s="71"/>
      <c r="I30" s="72"/>
      <c r="J30" s="72"/>
      <c r="K30" s="71" t="s">
        <v>10773</v>
      </c>
      <c r="L30" s="75"/>
      <c r="M30" s="76"/>
      <c r="N30" s="76"/>
      <c r="O30" s="77"/>
      <c r="P30" s="78"/>
      <c r="Q30" s="78"/>
      <c r="R30" s="92"/>
      <c r="S30" s="92"/>
      <c r="T30" s="92"/>
      <c r="U30" s="92"/>
      <c r="V30" s="52"/>
      <c r="W30" s="52"/>
      <c r="X30" s="52"/>
      <c r="Y30" s="52"/>
      <c r="Z30" s="51"/>
      <c r="AA30" s="73"/>
      <c r="AB30" s="73"/>
      <c r="AC30" s="74"/>
      <c r="AD30" s="80" t="s">
        <v>6614</v>
      </c>
      <c r="AE30" s="85" t="s">
        <v>7890</v>
      </c>
      <c r="AF30" s="80">
        <v>131</v>
      </c>
      <c r="AG30" s="80">
        <v>97</v>
      </c>
      <c r="AH30" s="80">
        <v>5579</v>
      </c>
      <c r="AI30" s="80">
        <v>11243</v>
      </c>
      <c r="AJ30" s="80"/>
      <c r="AK30" s="80" t="s">
        <v>8979</v>
      </c>
      <c r="AL30" s="80" t="s">
        <v>10147</v>
      </c>
      <c r="AM30" s="80"/>
      <c r="AN30" s="80"/>
      <c r="AO30" s="82">
        <v>43776.504247685189</v>
      </c>
      <c r="AP30" s="87" t="str">
        <f>HYPERLINK("https://pbs.twimg.com/profile_banners/1192412858199339008/1629050712")</f>
        <v>https://pbs.twimg.com/profile_banners/1192412858199339008/1629050712</v>
      </c>
      <c r="AQ30" s="80" t="b">
        <v>1</v>
      </c>
      <c r="AR30" s="80" t="b">
        <v>0</v>
      </c>
      <c r="AS30" s="80" t="b">
        <v>1</v>
      </c>
      <c r="AT30" s="80"/>
      <c r="AU30" s="80">
        <v>0</v>
      </c>
      <c r="AV30" s="80"/>
      <c r="AW30" s="80" t="b">
        <v>0</v>
      </c>
      <c r="AX30" s="80" t="s">
        <v>10746</v>
      </c>
      <c r="AY30" s="87" t="str">
        <f>HYPERLINK("https://twitter.com/nrainatsnm")</f>
        <v>https://twitter.com/nrainatsnm</v>
      </c>
      <c r="AZ30" s="80" t="s">
        <v>66</v>
      </c>
      <c r="BA30" s="2"/>
      <c r="BB30" s="3"/>
      <c r="BC30" s="3"/>
      <c r="BD30" s="3"/>
      <c r="BE30" s="3"/>
    </row>
    <row r="31" spans="1:57" x14ac:dyDescent="0.35">
      <c r="A31" s="66" t="s">
        <v>237</v>
      </c>
      <c r="B31" s="67"/>
      <c r="C31" s="67"/>
      <c r="D31" s="68"/>
      <c r="E31" s="70"/>
      <c r="F31" s="109" t="str">
        <f>HYPERLINK("https://pbs.twimg.com/profile_images/1441685236325126150/vleopQJL_normal.jpg")</f>
        <v>https://pbs.twimg.com/profile_images/1441685236325126150/vleopQJL_normal.jpg</v>
      </c>
      <c r="G31" s="67"/>
      <c r="H31" s="71"/>
      <c r="I31" s="72"/>
      <c r="J31" s="72"/>
      <c r="K31" s="71" t="s">
        <v>10774</v>
      </c>
      <c r="L31" s="75"/>
      <c r="M31" s="76"/>
      <c r="N31" s="76"/>
      <c r="O31" s="77"/>
      <c r="P31" s="78"/>
      <c r="Q31" s="78"/>
      <c r="R31" s="92"/>
      <c r="S31" s="92"/>
      <c r="T31" s="92"/>
      <c r="U31" s="92"/>
      <c r="V31" s="52"/>
      <c r="W31" s="52"/>
      <c r="X31" s="52"/>
      <c r="Y31" s="52"/>
      <c r="Z31" s="51"/>
      <c r="AA31" s="73"/>
      <c r="AB31" s="73"/>
      <c r="AC31" s="74"/>
      <c r="AD31" s="80" t="s">
        <v>6615</v>
      </c>
      <c r="AE31" s="85" t="s">
        <v>7891</v>
      </c>
      <c r="AF31" s="80">
        <v>663</v>
      </c>
      <c r="AG31" s="80">
        <v>1391</v>
      </c>
      <c r="AH31" s="80">
        <v>74457</v>
      </c>
      <c r="AI31" s="80">
        <v>3732</v>
      </c>
      <c r="AJ31" s="80"/>
      <c r="AK31" s="80" t="s">
        <v>8980</v>
      </c>
      <c r="AL31" s="80"/>
      <c r="AM31" s="87" t="str">
        <f>HYPERLINK("https://t.co/1kTp81RWJv")</f>
        <v>https://t.co/1kTp81RWJv</v>
      </c>
      <c r="AN31" s="80"/>
      <c r="AO31" s="82">
        <v>41627.570208333331</v>
      </c>
      <c r="AP31" s="87" t="str">
        <f>HYPERLINK("https://pbs.twimg.com/profile_banners/2253545916/1611160886")</f>
        <v>https://pbs.twimg.com/profile_banners/2253545916/1611160886</v>
      </c>
      <c r="AQ31" s="80" t="b">
        <v>0</v>
      </c>
      <c r="AR31" s="80" t="b">
        <v>0</v>
      </c>
      <c r="AS31" s="80" t="b">
        <v>1</v>
      </c>
      <c r="AT31" s="80"/>
      <c r="AU31" s="80">
        <v>2</v>
      </c>
      <c r="AV31" s="87" t="str">
        <f>HYPERLINK("https://abs.twimg.com/images/themes/theme7/bg.gif")</f>
        <v>https://abs.twimg.com/images/themes/theme7/bg.gif</v>
      </c>
      <c r="AW31" s="80" t="b">
        <v>0</v>
      </c>
      <c r="AX31" s="80" t="s">
        <v>10746</v>
      </c>
      <c r="AY31" s="87" t="str">
        <f>HYPERLINK("https://twitter.com/syhrnajihah")</f>
        <v>https://twitter.com/syhrnajihah</v>
      </c>
      <c r="AZ31" s="80" t="s">
        <v>66</v>
      </c>
      <c r="BA31" s="2"/>
      <c r="BB31" s="3"/>
      <c r="BC31" s="3"/>
      <c r="BD31" s="3"/>
      <c r="BE31" s="3"/>
    </row>
    <row r="32" spans="1:57" x14ac:dyDescent="0.35">
      <c r="A32" s="66" t="s">
        <v>238</v>
      </c>
      <c r="B32" s="67"/>
      <c r="C32" s="67"/>
      <c r="D32" s="68"/>
      <c r="E32" s="70"/>
      <c r="F32" s="109" t="str">
        <f>HYPERLINK("https://pbs.twimg.com/profile_images/1434084161044639745/qX4Dfa8E_normal.jpg")</f>
        <v>https://pbs.twimg.com/profile_images/1434084161044639745/qX4Dfa8E_normal.jpg</v>
      </c>
      <c r="G32" s="67"/>
      <c r="H32" s="71"/>
      <c r="I32" s="72"/>
      <c r="J32" s="72"/>
      <c r="K32" s="71" t="s">
        <v>10775</v>
      </c>
      <c r="L32" s="75"/>
      <c r="M32" s="76"/>
      <c r="N32" s="76"/>
      <c r="O32" s="77"/>
      <c r="P32" s="78"/>
      <c r="Q32" s="78"/>
      <c r="R32" s="92"/>
      <c r="S32" s="92"/>
      <c r="T32" s="92"/>
      <c r="U32" s="92"/>
      <c r="V32" s="52"/>
      <c r="W32" s="52"/>
      <c r="X32" s="52"/>
      <c r="Y32" s="52"/>
      <c r="Z32" s="51"/>
      <c r="AA32" s="73"/>
      <c r="AB32" s="73"/>
      <c r="AC32" s="74"/>
      <c r="AD32" s="80" t="s">
        <v>6616</v>
      </c>
      <c r="AE32" s="85" t="s">
        <v>7892</v>
      </c>
      <c r="AF32" s="80">
        <v>126</v>
      </c>
      <c r="AG32" s="80">
        <v>93</v>
      </c>
      <c r="AH32" s="80">
        <v>2114</v>
      </c>
      <c r="AI32" s="80">
        <v>13600</v>
      </c>
      <c r="AJ32" s="80"/>
      <c r="AK32" s="80" t="s">
        <v>8981</v>
      </c>
      <c r="AL32" s="80" t="s">
        <v>6543</v>
      </c>
      <c r="AM32" s="80"/>
      <c r="AN32" s="80"/>
      <c r="AO32" s="82">
        <v>43845.13689814815</v>
      </c>
      <c r="AP32" s="87" t="str">
        <f>HYPERLINK("https://pbs.twimg.com/profile_banners/1217284481322631170/1630754701")</f>
        <v>https://pbs.twimg.com/profile_banners/1217284481322631170/1630754701</v>
      </c>
      <c r="AQ32" s="80" t="b">
        <v>1</v>
      </c>
      <c r="AR32" s="80" t="b">
        <v>0</v>
      </c>
      <c r="AS32" s="80" t="b">
        <v>0</v>
      </c>
      <c r="AT32" s="80"/>
      <c r="AU32" s="80">
        <v>0</v>
      </c>
      <c r="AV32" s="80"/>
      <c r="AW32" s="80" t="b">
        <v>0</v>
      </c>
      <c r="AX32" s="80" t="s">
        <v>10746</v>
      </c>
      <c r="AY32" s="87" t="str">
        <f>HYPERLINK("https://twitter.com/ankoenka")</f>
        <v>https://twitter.com/ankoenka</v>
      </c>
      <c r="AZ32" s="80" t="s">
        <v>66</v>
      </c>
      <c r="BA32" s="2"/>
      <c r="BB32" s="3"/>
      <c r="BC32" s="3"/>
      <c r="BD32" s="3"/>
      <c r="BE32" s="3"/>
    </row>
    <row r="33" spans="1:57" x14ac:dyDescent="0.35">
      <c r="A33" s="66" t="s">
        <v>248</v>
      </c>
      <c r="B33" s="67"/>
      <c r="C33" s="67"/>
      <c r="D33" s="68"/>
      <c r="E33" s="70"/>
      <c r="F33" s="109" t="str">
        <f>HYPERLINK("https://pbs.twimg.com/profile_images/1430321021148491778/Fu_IXU_d_normal.jpg")</f>
        <v>https://pbs.twimg.com/profile_images/1430321021148491778/Fu_IXU_d_normal.jpg</v>
      </c>
      <c r="G33" s="67"/>
      <c r="H33" s="71"/>
      <c r="I33" s="72"/>
      <c r="J33" s="72"/>
      <c r="K33" s="71" t="s">
        <v>10776</v>
      </c>
      <c r="L33" s="75"/>
      <c r="M33" s="76"/>
      <c r="N33" s="76"/>
      <c r="O33" s="77"/>
      <c r="P33" s="78"/>
      <c r="Q33" s="78"/>
      <c r="R33" s="92"/>
      <c r="S33" s="92"/>
      <c r="T33" s="92"/>
      <c r="U33" s="92"/>
      <c r="V33" s="52"/>
      <c r="W33" s="52"/>
      <c r="X33" s="52"/>
      <c r="Y33" s="52"/>
      <c r="Z33" s="51"/>
      <c r="AA33" s="73"/>
      <c r="AB33" s="73"/>
      <c r="AC33" s="74"/>
      <c r="AD33" s="80" t="s">
        <v>6617</v>
      </c>
      <c r="AE33" s="85" t="s">
        <v>7893</v>
      </c>
      <c r="AF33" s="80">
        <v>188</v>
      </c>
      <c r="AG33" s="80">
        <v>181</v>
      </c>
      <c r="AH33" s="80">
        <v>8048</v>
      </c>
      <c r="AI33" s="80">
        <v>10789</v>
      </c>
      <c r="AJ33" s="80"/>
      <c r="AK33" s="80" t="s">
        <v>8982</v>
      </c>
      <c r="AL33" s="80" t="s">
        <v>10148</v>
      </c>
      <c r="AM33" s="80"/>
      <c r="AN33" s="80"/>
      <c r="AO33" s="82">
        <v>44256.106458333335</v>
      </c>
      <c r="AP33" s="87" t="str">
        <f>HYPERLINK("https://pbs.twimg.com/profile_banners/1366214901706883073/1630157888")</f>
        <v>https://pbs.twimg.com/profile_banners/1366214901706883073/1630157888</v>
      </c>
      <c r="AQ33" s="80" t="b">
        <v>1</v>
      </c>
      <c r="AR33" s="80" t="b">
        <v>0</v>
      </c>
      <c r="AS33" s="80" t="b">
        <v>0</v>
      </c>
      <c r="AT33" s="80"/>
      <c r="AU33" s="80">
        <v>0</v>
      </c>
      <c r="AV33" s="80"/>
      <c r="AW33" s="80" t="b">
        <v>0</v>
      </c>
      <c r="AX33" s="80" t="s">
        <v>10746</v>
      </c>
      <c r="AY33" s="87" t="str">
        <f>HYPERLINK("https://twitter.com/mooneunhye1")</f>
        <v>https://twitter.com/mooneunhye1</v>
      </c>
      <c r="AZ33" s="80" t="s">
        <v>66</v>
      </c>
      <c r="BA33" s="2"/>
      <c r="BB33" s="3"/>
      <c r="BC33" s="3"/>
      <c r="BD33" s="3"/>
      <c r="BE33" s="3"/>
    </row>
    <row r="34" spans="1:57" x14ac:dyDescent="0.35">
      <c r="A34" s="66" t="s">
        <v>239</v>
      </c>
      <c r="B34" s="67"/>
      <c r="C34" s="67"/>
      <c r="D34" s="68"/>
      <c r="E34" s="70"/>
      <c r="F34" s="109" t="str">
        <f>HYPERLINK("https://pbs.twimg.com/profile_images/1431483863302242310/ncKit6gq_normal.jpg")</f>
        <v>https://pbs.twimg.com/profile_images/1431483863302242310/ncKit6gq_normal.jpg</v>
      </c>
      <c r="G34" s="67"/>
      <c r="H34" s="71"/>
      <c r="I34" s="72"/>
      <c r="J34" s="72"/>
      <c r="K34" s="71" t="s">
        <v>10777</v>
      </c>
      <c r="L34" s="75"/>
      <c r="M34" s="76"/>
      <c r="N34" s="76"/>
      <c r="O34" s="77"/>
      <c r="P34" s="78"/>
      <c r="Q34" s="78"/>
      <c r="R34" s="92"/>
      <c r="S34" s="92"/>
      <c r="T34" s="92"/>
      <c r="U34" s="92"/>
      <c r="V34" s="52"/>
      <c r="W34" s="52"/>
      <c r="X34" s="52"/>
      <c r="Y34" s="52"/>
      <c r="Z34" s="51"/>
      <c r="AA34" s="73"/>
      <c r="AB34" s="73"/>
      <c r="AC34" s="74"/>
      <c r="AD34" s="80" t="s">
        <v>6618</v>
      </c>
      <c r="AE34" s="85" t="s">
        <v>7894</v>
      </c>
      <c r="AF34" s="80">
        <v>92</v>
      </c>
      <c r="AG34" s="80">
        <v>462</v>
      </c>
      <c r="AH34" s="80">
        <v>29522</v>
      </c>
      <c r="AI34" s="80">
        <v>68936</v>
      </c>
      <c r="AJ34" s="80"/>
      <c r="AK34" s="80" t="s">
        <v>8983</v>
      </c>
      <c r="AL34" s="80"/>
      <c r="AM34" s="80"/>
      <c r="AN34" s="80"/>
      <c r="AO34" s="82">
        <v>44054.69427083333</v>
      </c>
      <c r="AP34" s="87" t="str">
        <f>HYPERLINK("https://pbs.twimg.com/profile_banners/1293225569459384320/1630769119")</f>
        <v>https://pbs.twimg.com/profile_banners/1293225569459384320/1630769119</v>
      </c>
      <c r="AQ34" s="80" t="b">
        <v>1</v>
      </c>
      <c r="AR34" s="80" t="b">
        <v>0</v>
      </c>
      <c r="AS34" s="80" t="b">
        <v>0</v>
      </c>
      <c r="AT34" s="80"/>
      <c r="AU34" s="80">
        <v>2</v>
      </c>
      <c r="AV34" s="80"/>
      <c r="AW34" s="80" t="b">
        <v>0</v>
      </c>
      <c r="AX34" s="80" t="s">
        <v>10746</v>
      </c>
      <c r="AY34" s="87" t="str">
        <f>HYPERLINK("https://twitter.com/stepbymoo")</f>
        <v>https://twitter.com/stepbymoo</v>
      </c>
      <c r="AZ34" s="80" t="s">
        <v>66</v>
      </c>
      <c r="BA34" s="2"/>
      <c r="BB34" s="3"/>
      <c r="BC34" s="3"/>
      <c r="BD34" s="3"/>
      <c r="BE34" s="3"/>
    </row>
    <row r="35" spans="1:57" x14ac:dyDescent="0.35">
      <c r="A35" s="66" t="s">
        <v>240</v>
      </c>
      <c r="B35" s="67"/>
      <c r="C35" s="67"/>
      <c r="D35" s="68"/>
      <c r="E35" s="70"/>
      <c r="F35" s="109" t="str">
        <f>HYPERLINK("https://pbs.twimg.com/profile_images/1438472958888984576/t7N953IO_normal.jpg")</f>
        <v>https://pbs.twimg.com/profile_images/1438472958888984576/t7N953IO_normal.jpg</v>
      </c>
      <c r="G35" s="67"/>
      <c r="H35" s="71"/>
      <c r="I35" s="72"/>
      <c r="J35" s="72"/>
      <c r="K35" s="71" t="s">
        <v>10778</v>
      </c>
      <c r="L35" s="75"/>
      <c r="M35" s="76"/>
      <c r="N35" s="76"/>
      <c r="O35" s="77"/>
      <c r="P35" s="78"/>
      <c r="Q35" s="78"/>
      <c r="R35" s="92"/>
      <c r="S35" s="92"/>
      <c r="T35" s="92"/>
      <c r="U35" s="92"/>
      <c r="V35" s="52"/>
      <c r="W35" s="52"/>
      <c r="X35" s="52"/>
      <c r="Y35" s="52"/>
      <c r="Z35" s="51"/>
      <c r="AA35" s="73"/>
      <c r="AB35" s="73"/>
      <c r="AC35" s="74"/>
      <c r="AD35" s="80" t="s">
        <v>6619</v>
      </c>
      <c r="AE35" s="85" t="s">
        <v>7895</v>
      </c>
      <c r="AF35" s="80">
        <v>482</v>
      </c>
      <c r="AG35" s="80">
        <v>897</v>
      </c>
      <c r="AH35" s="80">
        <v>43653</v>
      </c>
      <c r="AI35" s="80">
        <v>1114</v>
      </c>
      <c r="AJ35" s="80"/>
      <c r="AK35" s="80" t="s">
        <v>8984</v>
      </c>
      <c r="AL35" s="80"/>
      <c r="AM35" s="80"/>
      <c r="AN35" s="80"/>
      <c r="AO35" s="82">
        <v>40563.546099537038</v>
      </c>
      <c r="AP35" s="87" t="str">
        <f>HYPERLINK("https://pbs.twimg.com/profile_banners/240664440/1627920202")</f>
        <v>https://pbs.twimg.com/profile_banners/240664440/1627920202</v>
      </c>
      <c r="AQ35" s="80" t="b">
        <v>1</v>
      </c>
      <c r="AR35" s="80" t="b">
        <v>0</v>
      </c>
      <c r="AS35" s="80" t="b">
        <v>1</v>
      </c>
      <c r="AT35" s="80"/>
      <c r="AU35" s="80">
        <v>0</v>
      </c>
      <c r="AV35" s="87" t="str">
        <f>HYPERLINK("https://abs.twimg.com/images/themes/theme1/bg.png")</f>
        <v>https://abs.twimg.com/images/themes/theme1/bg.png</v>
      </c>
      <c r="AW35" s="80" t="b">
        <v>0</v>
      </c>
      <c r="AX35" s="80" t="s">
        <v>10746</v>
      </c>
      <c r="AY35" s="87" t="str">
        <f>HYPERLINK("https://twitter.com/aprrldw")</f>
        <v>https://twitter.com/aprrldw</v>
      </c>
      <c r="AZ35" s="80" t="s">
        <v>66</v>
      </c>
      <c r="BA35" s="2"/>
      <c r="BB35" s="3"/>
      <c r="BC35" s="3"/>
      <c r="BD35" s="3"/>
      <c r="BE35" s="3"/>
    </row>
    <row r="36" spans="1:57" x14ac:dyDescent="0.35">
      <c r="A36" s="66" t="s">
        <v>242</v>
      </c>
      <c r="B36" s="67"/>
      <c r="C36" s="67"/>
      <c r="D36" s="68"/>
      <c r="E36" s="70"/>
      <c r="F36" s="109" t="str">
        <f>HYPERLINK("https://pbs.twimg.com/profile_images/1440954027005517824/ICm7VCL3_normal.jpg")</f>
        <v>https://pbs.twimg.com/profile_images/1440954027005517824/ICm7VCL3_normal.jpg</v>
      </c>
      <c r="G36" s="67"/>
      <c r="H36" s="71"/>
      <c r="I36" s="72"/>
      <c r="J36" s="72"/>
      <c r="K36" s="71" t="s">
        <v>10779</v>
      </c>
      <c r="L36" s="75"/>
      <c r="M36" s="76"/>
      <c r="N36" s="76"/>
      <c r="O36" s="77"/>
      <c r="P36" s="78"/>
      <c r="Q36" s="78"/>
      <c r="R36" s="92"/>
      <c r="S36" s="92"/>
      <c r="T36" s="92"/>
      <c r="U36" s="92"/>
      <c r="V36" s="52"/>
      <c r="W36" s="52"/>
      <c r="X36" s="52"/>
      <c r="Y36" s="52"/>
      <c r="Z36" s="51"/>
      <c r="AA36" s="73"/>
      <c r="AB36" s="73"/>
      <c r="AC36" s="74"/>
      <c r="AD36" s="80" t="s">
        <v>6620</v>
      </c>
      <c r="AE36" s="85" t="s">
        <v>7896</v>
      </c>
      <c r="AF36" s="80">
        <v>1550</v>
      </c>
      <c r="AG36" s="80">
        <v>23838</v>
      </c>
      <c r="AH36" s="80">
        <v>56448</v>
      </c>
      <c r="AI36" s="80">
        <v>10481</v>
      </c>
      <c r="AJ36" s="80"/>
      <c r="AK36" s="80" t="s">
        <v>8985</v>
      </c>
      <c r="AL36" s="80" t="s">
        <v>6543</v>
      </c>
      <c r="AM36" s="80"/>
      <c r="AN36" s="80"/>
      <c r="AO36" s="82">
        <v>43438.449745370373</v>
      </c>
      <c r="AP36" s="87" t="str">
        <f>HYPERLINK("https://pbs.twimg.com/profile_banners/1069906064756199424/1568590016")</f>
        <v>https://pbs.twimg.com/profile_banners/1069906064756199424/1568590016</v>
      </c>
      <c r="AQ36" s="80" t="b">
        <v>1</v>
      </c>
      <c r="AR36" s="80" t="b">
        <v>0</v>
      </c>
      <c r="AS36" s="80" t="b">
        <v>1</v>
      </c>
      <c r="AT36" s="80"/>
      <c r="AU36" s="80">
        <v>88</v>
      </c>
      <c r="AV36" s="80"/>
      <c r="AW36" s="80" t="b">
        <v>0</v>
      </c>
      <c r="AX36" s="80" t="s">
        <v>10746</v>
      </c>
      <c r="AY36" s="87" t="str">
        <f>HYPERLINK("https://twitter.com/apamungkasa")</f>
        <v>https://twitter.com/apamungkasa</v>
      </c>
      <c r="AZ36" s="80" t="s">
        <v>66</v>
      </c>
      <c r="BA36" s="2"/>
      <c r="BB36" s="3"/>
      <c r="BC36" s="3"/>
      <c r="BD36" s="3"/>
      <c r="BE36" s="3"/>
    </row>
    <row r="37" spans="1:57" x14ac:dyDescent="0.35">
      <c r="A37" s="66" t="s">
        <v>241</v>
      </c>
      <c r="B37" s="67"/>
      <c r="C37" s="67"/>
      <c r="D37" s="68"/>
      <c r="E37" s="70"/>
      <c r="F37" s="109" t="str">
        <f>HYPERLINK("https://pbs.twimg.com/profile_images/1395600732523417602/fgwCFVrB_normal.jpg")</f>
        <v>https://pbs.twimg.com/profile_images/1395600732523417602/fgwCFVrB_normal.jpg</v>
      </c>
      <c r="G37" s="67"/>
      <c r="H37" s="71"/>
      <c r="I37" s="72"/>
      <c r="J37" s="72"/>
      <c r="K37" s="71" t="s">
        <v>10780</v>
      </c>
      <c r="L37" s="75"/>
      <c r="M37" s="76"/>
      <c r="N37" s="76"/>
      <c r="O37" s="77"/>
      <c r="P37" s="78"/>
      <c r="Q37" s="78"/>
      <c r="R37" s="92"/>
      <c r="S37" s="92"/>
      <c r="T37" s="92"/>
      <c r="U37" s="92"/>
      <c r="V37" s="52"/>
      <c r="W37" s="52"/>
      <c r="X37" s="52"/>
      <c r="Y37" s="52"/>
      <c r="Z37" s="51"/>
      <c r="AA37" s="73"/>
      <c r="AB37" s="73"/>
      <c r="AC37" s="74"/>
      <c r="AD37" s="80" t="s">
        <v>6621</v>
      </c>
      <c r="AE37" s="85" t="s">
        <v>7897</v>
      </c>
      <c r="AF37" s="80">
        <v>274</v>
      </c>
      <c r="AG37" s="80">
        <v>262</v>
      </c>
      <c r="AH37" s="80">
        <v>43506</v>
      </c>
      <c r="AI37" s="80">
        <v>92017</v>
      </c>
      <c r="AJ37" s="80"/>
      <c r="AK37" s="80" t="s">
        <v>8986</v>
      </c>
      <c r="AL37" s="80" t="s">
        <v>10149</v>
      </c>
      <c r="AM37" s="80"/>
      <c r="AN37" s="80"/>
      <c r="AO37" s="82">
        <v>44237.614895833336</v>
      </c>
      <c r="AP37" s="87" t="str">
        <f>HYPERLINK("https://pbs.twimg.com/profile_banners/1359513746519982082/1630618895")</f>
        <v>https://pbs.twimg.com/profile_banners/1359513746519982082/1630618895</v>
      </c>
      <c r="AQ37" s="80" t="b">
        <v>1</v>
      </c>
      <c r="AR37" s="80" t="b">
        <v>0</v>
      </c>
      <c r="AS37" s="80" t="b">
        <v>0</v>
      </c>
      <c r="AT37" s="80"/>
      <c r="AU37" s="80">
        <v>0</v>
      </c>
      <c r="AV37" s="80"/>
      <c r="AW37" s="80" t="b">
        <v>0</v>
      </c>
      <c r="AX37" s="80" t="s">
        <v>10746</v>
      </c>
      <c r="AY37" s="87" t="str">
        <f>HYPERLINK("https://twitter.com/j4withthesun")</f>
        <v>https://twitter.com/j4withthesun</v>
      </c>
      <c r="AZ37" s="80" t="s">
        <v>66</v>
      </c>
      <c r="BA37" s="2"/>
      <c r="BB37" s="3"/>
      <c r="BC37" s="3"/>
      <c r="BD37" s="3"/>
      <c r="BE37" s="3"/>
    </row>
    <row r="38" spans="1:57" x14ac:dyDescent="0.35">
      <c r="A38" s="66" t="s">
        <v>243</v>
      </c>
      <c r="B38" s="67"/>
      <c r="C38" s="67"/>
      <c r="D38" s="68"/>
      <c r="E38" s="70"/>
      <c r="F38" s="109" t="str">
        <f>HYPERLINK("https://pbs.twimg.com/profile_images/1429798926551437312/XXOsvYxK_normal.jpg")</f>
        <v>https://pbs.twimg.com/profile_images/1429798926551437312/XXOsvYxK_normal.jpg</v>
      </c>
      <c r="G38" s="67"/>
      <c r="H38" s="71"/>
      <c r="I38" s="72"/>
      <c r="J38" s="72"/>
      <c r="K38" s="71" t="s">
        <v>10781</v>
      </c>
      <c r="L38" s="75"/>
      <c r="M38" s="76"/>
      <c r="N38" s="76"/>
      <c r="O38" s="77"/>
      <c r="P38" s="78"/>
      <c r="Q38" s="78"/>
      <c r="R38" s="92"/>
      <c r="S38" s="92"/>
      <c r="T38" s="92"/>
      <c r="U38" s="92"/>
      <c r="V38" s="52"/>
      <c r="W38" s="52"/>
      <c r="X38" s="52"/>
      <c r="Y38" s="52"/>
      <c r="Z38" s="51"/>
      <c r="AA38" s="73"/>
      <c r="AB38" s="73"/>
      <c r="AC38" s="74"/>
      <c r="AD38" s="80" t="s">
        <v>6622</v>
      </c>
      <c r="AE38" s="85" t="s">
        <v>7898</v>
      </c>
      <c r="AF38" s="80">
        <v>590</v>
      </c>
      <c r="AG38" s="80">
        <v>780</v>
      </c>
      <c r="AH38" s="80">
        <v>78558</v>
      </c>
      <c r="AI38" s="80">
        <v>559</v>
      </c>
      <c r="AJ38" s="80"/>
      <c r="AK38" s="80"/>
      <c r="AL38" s="80"/>
      <c r="AM38" s="87" t="str">
        <f>HYPERLINK("https://t.co/W4ICnVeTpv")</f>
        <v>https://t.co/W4ICnVeTpv</v>
      </c>
      <c r="AN38" s="80"/>
      <c r="AO38" s="82">
        <v>40245.334409722222</v>
      </c>
      <c r="AP38" s="87" t="str">
        <f>HYPERLINK("https://pbs.twimg.com/profile_banners/121033432/1591581695")</f>
        <v>https://pbs.twimg.com/profile_banners/121033432/1591581695</v>
      </c>
      <c r="AQ38" s="80" t="b">
        <v>0</v>
      </c>
      <c r="AR38" s="80" t="b">
        <v>0</v>
      </c>
      <c r="AS38" s="80" t="b">
        <v>1</v>
      </c>
      <c r="AT38" s="80"/>
      <c r="AU38" s="80">
        <v>1</v>
      </c>
      <c r="AV38" s="87" t="str">
        <f>HYPERLINK("https://abs.twimg.com/images/themes/theme1/bg.png")</f>
        <v>https://abs.twimg.com/images/themes/theme1/bg.png</v>
      </c>
      <c r="AW38" s="80" t="b">
        <v>0</v>
      </c>
      <c r="AX38" s="80" t="s">
        <v>10746</v>
      </c>
      <c r="AY38" s="87" t="str">
        <f>HYPERLINK("https://twitter.com/nadyaazzh")</f>
        <v>https://twitter.com/nadyaazzh</v>
      </c>
      <c r="AZ38" s="80" t="s">
        <v>66</v>
      </c>
      <c r="BA38" s="2"/>
      <c r="BB38" s="3"/>
      <c r="BC38" s="3"/>
      <c r="BD38" s="3"/>
      <c r="BE38" s="3"/>
    </row>
    <row r="39" spans="1:57" x14ac:dyDescent="0.35">
      <c r="A39" s="66" t="s">
        <v>244</v>
      </c>
      <c r="B39" s="67"/>
      <c r="C39" s="67"/>
      <c r="D39" s="68"/>
      <c r="E39" s="70"/>
      <c r="F39" s="109" t="str">
        <f>HYPERLINK("https://pbs.twimg.com/profile_images/1438834695068741637/6ytx5qaq_normal.jpg")</f>
        <v>https://pbs.twimg.com/profile_images/1438834695068741637/6ytx5qaq_normal.jpg</v>
      </c>
      <c r="G39" s="67"/>
      <c r="H39" s="71"/>
      <c r="I39" s="72"/>
      <c r="J39" s="72"/>
      <c r="K39" s="71" t="s">
        <v>10782</v>
      </c>
      <c r="L39" s="75"/>
      <c r="M39" s="76"/>
      <c r="N39" s="76"/>
      <c r="O39" s="77"/>
      <c r="P39" s="78"/>
      <c r="Q39" s="78"/>
      <c r="R39" s="92"/>
      <c r="S39" s="92"/>
      <c r="T39" s="92"/>
      <c r="U39" s="92"/>
      <c r="V39" s="52"/>
      <c r="W39" s="52"/>
      <c r="X39" s="52"/>
      <c r="Y39" s="52"/>
      <c r="Z39" s="51"/>
      <c r="AA39" s="73"/>
      <c r="AB39" s="73"/>
      <c r="AC39" s="74"/>
      <c r="AD39" s="80" t="s">
        <v>6623</v>
      </c>
      <c r="AE39" s="85" t="s">
        <v>7899</v>
      </c>
      <c r="AF39" s="80">
        <v>440</v>
      </c>
      <c r="AG39" s="80">
        <v>451</v>
      </c>
      <c r="AH39" s="80">
        <v>32608</v>
      </c>
      <c r="AI39" s="80">
        <v>47444</v>
      </c>
      <c r="AJ39" s="80"/>
      <c r="AK39" s="80" t="s">
        <v>8987</v>
      </c>
      <c r="AL39" s="80" t="s">
        <v>10150</v>
      </c>
      <c r="AM39" s="80"/>
      <c r="AN39" s="80"/>
      <c r="AO39" s="82">
        <v>41563.551851851851</v>
      </c>
      <c r="AP39" s="87" t="str">
        <f>HYPERLINK("https://pbs.twimg.com/profile_banners/1964764334/1631960790")</f>
        <v>https://pbs.twimg.com/profile_banners/1964764334/1631960790</v>
      </c>
      <c r="AQ39" s="80" t="b">
        <v>0</v>
      </c>
      <c r="AR39" s="80" t="b">
        <v>0</v>
      </c>
      <c r="AS39" s="80" t="b">
        <v>1</v>
      </c>
      <c r="AT39" s="80"/>
      <c r="AU39" s="80">
        <v>2</v>
      </c>
      <c r="AV39" s="87" t="str">
        <f>HYPERLINK("https://abs.twimg.com/images/themes/theme1/bg.png")</f>
        <v>https://abs.twimg.com/images/themes/theme1/bg.png</v>
      </c>
      <c r="AW39" s="80" t="b">
        <v>0</v>
      </c>
      <c r="AX39" s="80" t="s">
        <v>10746</v>
      </c>
      <c r="AY39" s="87" t="str">
        <f>HYPERLINK("https://twitter.com/choicrush")</f>
        <v>https://twitter.com/choicrush</v>
      </c>
      <c r="AZ39" s="80" t="s">
        <v>66</v>
      </c>
      <c r="BA39" s="2"/>
      <c r="BB39" s="3"/>
      <c r="BC39" s="3"/>
      <c r="BD39" s="3"/>
      <c r="BE39" s="3"/>
    </row>
    <row r="40" spans="1:57" x14ac:dyDescent="0.35">
      <c r="A40" s="66" t="s">
        <v>245</v>
      </c>
      <c r="B40" s="67"/>
      <c r="C40" s="67"/>
      <c r="D40" s="68"/>
      <c r="E40" s="70"/>
      <c r="F40" s="109" t="str">
        <f>HYPERLINK("https://pbs.twimg.com/profile_images/1424575386487201795/56SlER5x_normal.jpg")</f>
        <v>https://pbs.twimg.com/profile_images/1424575386487201795/56SlER5x_normal.jpg</v>
      </c>
      <c r="G40" s="67"/>
      <c r="H40" s="71"/>
      <c r="I40" s="72"/>
      <c r="J40" s="72"/>
      <c r="K40" s="71" t="s">
        <v>10783</v>
      </c>
      <c r="L40" s="75"/>
      <c r="M40" s="76"/>
      <c r="N40" s="76"/>
      <c r="O40" s="77"/>
      <c r="P40" s="78"/>
      <c r="Q40" s="78"/>
      <c r="R40" s="92"/>
      <c r="S40" s="92"/>
      <c r="T40" s="92"/>
      <c r="U40" s="92"/>
      <c r="V40" s="52"/>
      <c r="W40" s="52"/>
      <c r="X40" s="52"/>
      <c r="Y40" s="52"/>
      <c r="Z40" s="51"/>
      <c r="AA40" s="73"/>
      <c r="AB40" s="73"/>
      <c r="AC40" s="74"/>
      <c r="AD40" s="80" t="s">
        <v>6624</v>
      </c>
      <c r="AE40" s="85" t="s">
        <v>7900</v>
      </c>
      <c r="AF40" s="80">
        <v>839</v>
      </c>
      <c r="AG40" s="80">
        <v>542</v>
      </c>
      <c r="AH40" s="80">
        <v>46882</v>
      </c>
      <c r="AI40" s="80">
        <v>11851</v>
      </c>
      <c r="AJ40" s="80"/>
      <c r="AK40" s="80" t="s">
        <v>8988</v>
      </c>
      <c r="AL40" s="80" t="s">
        <v>10151</v>
      </c>
      <c r="AM40" s="80"/>
      <c r="AN40" s="80"/>
      <c r="AO40" s="82">
        <v>41063.598344907405</v>
      </c>
      <c r="AP40" s="87" t="str">
        <f>HYPERLINK("https://pbs.twimg.com/profile_banners/598369832/1628480215")</f>
        <v>https://pbs.twimg.com/profile_banners/598369832/1628480215</v>
      </c>
      <c r="AQ40" s="80" t="b">
        <v>0</v>
      </c>
      <c r="AR40" s="80" t="b">
        <v>0</v>
      </c>
      <c r="AS40" s="80" t="b">
        <v>1</v>
      </c>
      <c r="AT40" s="80"/>
      <c r="AU40" s="80">
        <v>0</v>
      </c>
      <c r="AV40" s="87" t="str">
        <f>HYPERLINK("https://abs.twimg.com/images/themes/theme1/bg.png")</f>
        <v>https://abs.twimg.com/images/themes/theme1/bg.png</v>
      </c>
      <c r="AW40" s="80" t="b">
        <v>0</v>
      </c>
      <c r="AX40" s="80" t="s">
        <v>10746</v>
      </c>
      <c r="AY40" s="87" t="str">
        <f>HYPERLINK("https://twitter.com/_shafeeeeeee")</f>
        <v>https://twitter.com/_shafeeeeeee</v>
      </c>
      <c r="AZ40" s="80" t="s">
        <v>66</v>
      </c>
      <c r="BA40" s="2"/>
      <c r="BB40" s="3"/>
      <c r="BC40" s="3"/>
      <c r="BD40" s="3"/>
      <c r="BE40" s="3"/>
    </row>
    <row r="41" spans="1:57" x14ac:dyDescent="0.35">
      <c r="A41" s="66" t="s">
        <v>1278</v>
      </c>
      <c r="B41" s="67"/>
      <c r="C41" s="67"/>
      <c r="D41" s="68"/>
      <c r="E41" s="70"/>
      <c r="F41" s="109" t="str">
        <f>HYPERLINK("https://pbs.twimg.com/profile_images/1348490344027983872/U6wdeUXB_normal.jpg")</f>
        <v>https://pbs.twimg.com/profile_images/1348490344027983872/U6wdeUXB_normal.jpg</v>
      </c>
      <c r="G41" s="67"/>
      <c r="H41" s="71"/>
      <c r="I41" s="72"/>
      <c r="J41" s="72"/>
      <c r="K41" s="71" t="s">
        <v>10784</v>
      </c>
      <c r="L41" s="75"/>
      <c r="M41" s="76"/>
      <c r="N41" s="76"/>
      <c r="O41" s="77"/>
      <c r="P41" s="78"/>
      <c r="Q41" s="78"/>
      <c r="R41" s="92"/>
      <c r="S41" s="92"/>
      <c r="T41" s="92"/>
      <c r="U41" s="92"/>
      <c r="V41" s="52"/>
      <c r="W41" s="52"/>
      <c r="X41" s="52"/>
      <c r="Y41" s="52"/>
      <c r="Z41" s="51"/>
      <c r="AA41" s="73"/>
      <c r="AB41" s="73"/>
      <c r="AC41" s="74"/>
      <c r="AD41" s="80" t="s">
        <v>6625</v>
      </c>
      <c r="AE41" s="85" t="s">
        <v>6247</v>
      </c>
      <c r="AF41" s="80">
        <v>420</v>
      </c>
      <c r="AG41" s="80">
        <v>962</v>
      </c>
      <c r="AH41" s="80">
        <v>23123</v>
      </c>
      <c r="AI41" s="80">
        <v>1412</v>
      </c>
      <c r="AJ41" s="80"/>
      <c r="AK41" s="80" t="s">
        <v>8989</v>
      </c>
      <c r="AL41" s="80" t="s">
        <v>10152</v>
      </c>
      <c r="AM41" s="87" t="str">
        <f>HYPERLINK("https://t.co/sakOWMYTOq")</f>
        <v>https://t.co/sakOWMYTOq</v>
      </c>
      <c r="AN41" s="80"/>
      <c r="AO41" s="82">
        <v>41028.396203703705</v>
      </c>
      <c r="AP41" s="87" t="str">
        <f>HYPERLINK("https://pbs.twimg.com/profile_banners/566151445/1529975456")</f>
        <v>https://pbs.twimg.com/profile_banners/566151445/1529975456</v>
      </c>
      <c r="AQ41" s="80" t="b">
        <v>0</v>
      </c>
      <c r="AR41" s="80" t="b">
        <v>0</v>
      </c>
      <c r="AS41" s="80" t="b">
        <v>0</v>
      </c>
      <c r="AT41" s="80"/>
      <c r="AU41" s="80">
        <v>4</v>
      </c>
      <c r="AV41" s="87" t="str">
        <f>HYPERLINK("https://abs.twimg.com/images/themes/theme15/bg.png")</f>
        <v>https://abs.twimg.com/images/themes/theme15/bg.png</v>
      </c>
      <c r="AW41" s="80" t="b">
        <v>0</v>
      </c>
      <c r="AX41" s="80" t="s">
        <v>10746</v>
      </c>
      <c r="AY41" s="87" t="str">
        <f>HYPERLINK("https://twitter.com/aidatetttttt")</f>
        <v>https://twitter.com/aidatetttttt</v>
      </c>
      <c r="AZ41" s="80" t="s">
        <v>65</v>
      </c>
      <c r="BA41" s="2"/>
      <c r="BB41" s="3"/>
      <c r="BC41" s="3"/>
      <c r="BD41" s="3"/>
      <c r="BE41" s="3"/>
    </row>
    <row r="42" spans="1:57" x14ac:dyDescent="0.35">
      <c r="A42" s="66" t="s">
        <v>246</v>
      </c>
      <c r="B42" s="67"/>
      <c r="C42" s="67"/>
      <c r="D42" s="68"/>
      <c r="E42" s="70"/>
      <c r="F42" s="109" t="str">
        <f>HYPERLINK("https://pbs.twimg.com/profile_images/1152903864586080257/2oHgZubS_normal.jpg")</f>
        <v>https://pbs.twimg.com/profile_images/1152903864586080257/2oHgZubS_normal.jpg</v>
      </c>
      <c r="G42" s="67"/>
      <c r="H42" s="71"/>
      <c r="I42" s="72"/>
      <c r="J42" s="72"/>
      <c r="K42" s="71" t="s">
        <v>10785</v>
      </c>
      <c r="L42" s="75"/>
      <c r="M42" s="76"/>
      <c r="N42" s="76"/>
      <c r="O42" s="77"/>
      <c r="P42" s="78"/>
      <c r="Q42" s="78"/>
      <c r="R42" s="92"/>
      <c r="S42" s="92"/>
      <c r="T42" s="92"/>
      <c r="U42" s="92"/>
      <c r="V42" s="52"/>
      <c r="W42" s="52"/>
      <c r="X42" s="52"/>
      <c r="Y42" s="52"/>
      <c r="Z42" s="51"/>
      <c r="AA42" s="73"/>
      <c r="AB42" s="73"/>
      <c r="AC42" s="74"/>
      <c r="AD42" s="80" t="s">
        <v>6626</v>
      </c>
      <c r="AE42" s="85" t="s">
        <v>6248</v>
      </c>
      <c r="AF42" s="80">
        <v>57</v>
      </c>
      <c r="AG42" s="80">
        <v>151</v>
      </c>
      <c r="AH42" s="80">
        <v>2648</v>
      </c>
      <c r="AI42" s="80">
        <v>14</v>
      </c>
      <c r="AJ42" s="80"/>
      <c r="AK42" s="80" t="s">
        <v>8990</v>
      </c>
      <c r="AL42" s="80" t="s">
        <v>10153</v>
      </c>
      <c r="AM42" s="80"/>
      <c r="AN42" s="80"/>
      <c r="AO42" s="82">
        <v>43350.152615740742</v>
      </c>
      <c r="AP42" s="87" t="str">
        <f>HYPERLINK("https://pbs.twimg.com/profile_banners/1037908256356614144/1586244677")</f>
        <v>https://pbs.twimg.com/profile_banners/1037908256356614144/1586244677</v>
      </c>
      <c r="AQ42" s="80" t="b">
        <v>1</v>
      </c>
      <c r="AR42" s="80" t="b">
        <v>0</v>
      </c>
      <c r="AS42" s="80" t="b">
        <v>0</v>
      </c>
      <c r="AT42" s="80"/>
      <c r="AU42" s="80">
        <v>0</v>
      </c>
      <c r="AV42" s="80"/>
      <c r="AW42" s="80" t="b">
        <v>0</v>
      </c>
      <c r="AX42" s="80" t="s">
        <v>10746</v>
      </c>
      <c r="AY42" s="87" t="str">
        <f>HYPERLINK("https://twitter.com/bpomtanahbumbu")</f>
        <v>https://twitter.com/bpomtanahbumbu</v>
      </c>
      <c r="AZ42" s="80" t="s">
        <v>66</v>
      </c>
      <c r="BA42" s="2"/>
      <c r="BB42" s="3"/>
      <c r="BC42" s="3"/>
      <c r="BD42" s="3"/>
      <c r="BE42" s="3"/>
    </row>
    <row r="43" spans="1:57" x14ac:dyDescent="0.35">
      <c r="A43" s="66" t="s">
        <v>247</v>
      </c>
      <c r="B43" s="67"/>
      <c r="C43" s="67"/>
      <c r="D43" s="68"/>
      <c r="E43" s="70"/>
      <c r="F43" s="109" t="str">
        <f>HYPERLINK("https://pbs.twimg.com/profile_images/555395252161245184/yPWgFQXb_normal.jpeg")</f>
        <v>https://pbs.twimg.com/profile_images/555395252161245184/yPWgFQXb_normal.jpeg</v>
      </c>
      <c r="G43" s="67"/>
      <c r="H43" s="71"/>
      <c r="I43" s="72"/>
      <c r="J43" s="72"/>
      <c r="K43" s="71" t="s">
        <v>10786</v>
      </c>
      <c r="L43" s="75"/>
      <c r="M43" s="76"/>
      <c r="N43" s="76"/>
      <c r="O43" s="77"/>
      <c r="P43" s="78"/>
      <c r="Q43" s="78"/>
      <c r="R43" s="92"/>
      <c r="S43" s="92"/>
      <c r="T43" s="92"/>
      <c r="U43" s="92"/>
      <c r="V43" s="52"/>
      <c r="W43" s="52"/>
      <c r="X43" s="52"/>
      <c r="Y43" s="52"/>
      <c r="Z43" s="51"/>
      <c r="AA43" s="73"/>
      <c r="AB43" s="73"/>
      <c r="AC43" s="74"/>
      <c r="AD43" s="80" t="s">
        <v>6627</v>
      </c>
      <c r="AE43" s="85" t="s">
        <v>7901</v>
      </c>
      <c r="AF43" s="80">
        <v>1114</v>
      </c>
      <c r="AG43" s="80">
        <v>1058</v>
      </c>
      <c r="AH43" s="80">
        <v>12281</v>
      </c>
      <c r="AI43" s="80">
        <v>0</v>
      </c>
      <c r="AJ43" s="80"/>
      <c r="AK43" s="80"/>
      <c r="AL43" s="80"/>
      <c r="AM43" s="80"/>
      <c r="AN43" s="80"/>
      <c r="AO43" s="82">
        <v>42018.669861111113</v>
      </c>
      <c r="AP43" s="87" t="str">
        <f>HYPERLINK("https://pbs.twimg.com/profile_banners/2983039796/1421331326")</f>
        <v>https://pbs.twimg.com/profile_banners/2983039796/1421331326</v>
      </c>
      <c r="AQ43" s="80" t="b">
        <v>1</v>
      </c>
      <c r="AR43" s="80" t="b">
        <v>0</v>
      </c>
      <c r="AS43" s="80" t="b">
        <v>0</v>
      </c>
      <c r="AT43" s="80"/>
      <c r="AU43" s="80">
        <v>2</v>
      </c>
      <c r="AV43" s="87" t="str">
        <f>HYPERLINK("https://abs.twimg.com/images/themes/theme1/bg.png")</f>
        <v>https://abs.twimg.com/images/themes/theme1/bg.png</v>
      </c>
      <c r="AW43" s="80" t="b">
        <v>0</v>
      </c>
      <c r="AX43" s="80" t="s">
        <v>10746</v>
      </c>
      <c r="AY43" s="87" t="str">
        <f>HYPERLINK("https://twitter.com/kamusbesarkbbi")</f>
        <v>https://twitter.com/kamusbesarkbbi</v>
      </c>
      <c r="AZ43" s="80" t="s">
        <v>66</v>
      </c>
      <c r="BA43" s="2"/>
      <c r="BB43" s="3"/>
      <c r="BC43" s="3"/>
      <c r="BD43" s="3"/>
      <c r="BE43" s="3"/>
    </row>
    <row r="44" spans="1:57" x14ac:dyDescent="0.35">
      <c r="A44" s="66" t="s">
        <v>249</v>
      </c>
      <c r="B44" s="67"/>
      <c r="C44" s="67"/>
      <c r="D44" s="68"/>
      <c r="E44" s="70"/>
      <c r="F44" s="109" t="str">
        <f>HYPERLINK("https://pbs.twimg.com/profile_images/1431940047641612294/gRwEX3kz_normal.jpg")</f>
        <v>https://pbs.twimg.com/profile_images/1431940047641612294/gRwEX3kz_normal.jpg</v>
      </c>
      <c r="G44" s="67"/>
      <c r="H44" s="71"/>
      <c r="I44" s="72"/>
      <c r="J44" s="72"/>
      <c r="K44" s="71" t="s">
        <v>10787</v>
      </c>
      <c r="L44" s="75"/>
      <c r="M44" s="76"/>
      <c r="N44" s="76"/>
      <c r="O44" s="77"/>
      <c r="P44" s="78"/>
      <c r="Q44" s="78"/>
      <c r="R44" s="92"/>
      <c r="S44" s="92"/>
      <c r="T44" s="92"/>
      <c r="U44" s="92"/>
      <c r="V44" s="52"/>
      <c r="W44" s="52"/>
      <c r="X44" s="52"/>
      <c r="Y44" s="52"/>
      <c r="Z44" s="51"/>
      <c r="AA44" s="73"/>
      <c r="AB44" s="73"/>
      <c r="AC44" s="74"/>
      <c r="AD44" s="80" t="s">
        <v>6628</v>
      </c>
      <c r="AE44" s="85" t="s">
        <v>7902</v>
      </c>
      <c r="AF44" s="80">
        <v>441</v>
      </c>
      <c r="AG44" s="80">
        <v>313</v>
      </c>
      <c r="AH44" s="80">
        <v>131856</v>
      </c>
      <c r="AI44" s="80">
        <v>249062</v>
      </c>
      <c r="AJ44" s="80"/>
      <c r="AK44" s="80" t="s">
        <v>8991</v>
      </c>
      <c r="AL44" s="80" t="s">
        <v>10154</v>
      </c>
      <c r="AM44" s="80"/>
      <c r="AN44" s="80"/>
      <c r="AO44" s="82">
        <v>43300.705150462964</v>
      </c>
      <c r="AP44" s="87" t="str">
        <f>HYPERLINK("https://pbs.twimg.com/profile_banners/1019989094317740032/1604935626")</f>
        <v>https://pbs.twimg.com/profile_banners/1019989094317740032/1604935626</v>
      </c>
      <c r="AQ44" s="80" t="b">
        <v>1</v>
      </c>
      <c r="AR44" s="80" t="b">
        <v>0</v>
      </c>
      <c r="AS44" s="80" t="b">
        <v>0</v>
      </c>
      <c r="AT44" s="80"/>
      <c r="AU44" s="80">
        <v>2</v>
      </c>
      <c r="AV44" s="80"/>
      <c r="AW44" s="80" t="b">
        <v>0</v>
      </c>
      <c r="AX44" s="80" t="s">
        <v>10746</v>
      </c>
      <c r="AY44" s="87" t="str">
        <f>HYPERLINK("https://twitter.com/sleepingmoo")</f>
        <v>https://twitter.com/sleepingmoo</v>
      </c>
      <c r="AZ44" s="80" t="s">
        <v>66</v>
      </c>
      <c r="BA44" s="2"/>
      <c r="BB44" s="3"/>
      <c r="BC44" s="3"/>
      <c r="BD44" s="3"/>
      <c r="BE44" s="3"/>
    </row>
    <row r="45" spans="1:57" x14ac:dyDescent="0.35">
      <c r="A45" s="66" t="s">
        <v>250</v>
      </c>
      <c r="B45" s="67"/>
      <c r="C45" s="67"/>
      <c r="D45" s="68"/>
      <c r="E45" s="70"/>
      <c r="F45" s="109" t="str">
        <f>HYPERLINK("https://pbs.twimg.com/profile_images/1401535021840703489/TOYDQr68_normal.jpg")</f>
        <v>https://pbs.twimg.com/profile_images/1401535021840703489/TOYDQr68_normal.jpg</v>
      </c>
      <c r="G45" s="67"/>
      <c r="H45" s="71"/>
      <c r="I45" s="72"/>
      <c r="J45" s="72"/>
      <c r="K45" s="71" t="s">
        <v>10788</v>
      </c>
      <c r="L45" s="75"/>
      <c r="M45" s="76"/>
      <c r="N45" s="76"/>
      <c r="O45" s="77"/>
      <c r="P45" s="78"/>
      <c r="Q45" s="78"/>
      <c r="R45" s="92"/>
      <c r="S45" s="92"/>
      <c r="T45" s="92"/>
      <c r="U45" s="92"/>
      <c r="V45" s="52"/>
      <c r="W45" s="52"/>
      <c r="X45" s="52"/>
      <c r="Y45" s="52"/>
      <c r="Z45" s="51"/>
      <c r="AA45" s="73"/>
      <c r="AB45" s="73"/>
      <c r="AC45" s="74"/>
      <c r="AD45" s="80" t="s">
        <v>6629</v>
      </c>
      <c r="AE45" s="85" t="s">
        <v>7903</v>
      </c>
      <c r="AF45" s="80">
        <v>1417</v>
      </c>
      <c r="AG45" s="80">
        <v>916</v>
      </c>
      <c r="AH45" s="80">
        <v>33949</v>
      </c>
      <c r="AI45" s="80">
        <v>20180</v>
      </c>
      <c r="AJ45" s="80"/>
      <c r="AK45" s="80" t="s">
        <v>8992</v>
      </c>
      <c r="AL45" s="80" t="s">
        <v>10155</v>
      </c>
      <c r="AM45" s="80"/>
      <c r="AN45" s="80"/>
      <c r="AO45" s="82">
        <v>42271.736817129633</v>
      </c>
      <c r="AP45" s="87" t="str">
        <f>HYPERLINK("https://pbs.twimg.com/profile_banners/3672722779/1617126228")</f>
        <v>https://pbs.twimg.com/profile_banners/3672722779/1617126228</v>
      </c>
      <c r="AQ45" s="80" t="b">
        <v>0</v>
      </c>
      <c r="AR45" s="80" t="b">
        <v>0</v>
      </c>
      <c r="AS45" s="80" t="b">
        <v>1</v>
      </c>
      <c r="AT45" s="80"/>
      <c r="AU45" s="80">
        <v>0</v>
      </c>
      <c r="AV45" s="87" t="str">
        <f>HYPERLINK("https://abs.twimg.com/images/themes/theme1/bg.png")</f>
        <v>https://abs.twimg.com/images/themes/theme1/bg.png</v>
      </c>
      <c r="AW45" s="80" t="b">
        <v>0</v>
      </c>
      <c r="AX45" s="80" t="s">
        <v>10746</v>
      </c>
      <c r="AY45" s="87" t="str">
        <f>HYPERLINK("https://twitter.com/mang_ib")</f>
        <v>https://twitter.com/mang_ib</v>
      </c>
      <c r="AZ45" s="80" t="s">
        <v>66</v>
      </c>
      <c r="BA45" s="2"/>
      <c r="BB45" s="3"/>
      <c r="BC45" s="3"/>
      <c r="BD45" s="3"/>
      <c r="BE45" s="3"/>
    </row>
    <row r="46" spans="1:57" x14ac:dyDescent="0.35">
      <c r="A46" s="66" t="s">
        <v>855</v>
      </c>
      <c r="B46" s="67"/>
      <c r="C46" s="67"/>
      <c r="D46" s="68"/>
      <c r="E46" s="70"/>
      <c r="F46" s="109" t="str">
        <f>HYPERLINK("https://pbs.twimg.com/profile_images/1131478927409438722/pkzlS130_normal.jpg")</f>
        <v>https://pbs.twimg.com/profile_images/1131478927409438722/pkzlS130_normal.jpg</v>
      </c>
      <c r="G46" s="67"/>
      <c r="H46" s="71"/>
      <c r="I46" s="72"/>
      <c r="J46" s="72"/>
      <c r="K46" s="71" t="s">
        <v>10789</v>
      </c>
      <c r="L46" s="75"/>
      <c r="M46" s="76"/>
      <c r="N46" s="76"/>
      <c r="O46" s="77"/>
      <c r="P46" s="78"/>
      <c r="Q46" s="78"/>
      <c r="R46" s="92"/>
      <c r="S46" s="92"/>
      <c r="T46" s="92"/>
      <c r="U46" s="92"/>
      <c r="V46" s="52"/>
      <c r="W46" s="52"/>
      <c r="X46" s="52"/>
      <c r="Y46" s="52"/>
      <c r="Z46" s="51"/>
      <c r="AA46" s="73"/>
      <c r="AB46" s="73"/>
      <c r="AC46" s="74"/>
      <c r="AD46" s="80" t="s">
        <v>6630</v>
      </c>
      <c r="AE46" s="85" t="s">
        <v>7904</v>
      </c>
      <c r="AF46" s="80">
        <v>3067</v>
      </c>
      <c r="AG46" s="80">
        <v>4502</v>
      </c>
      <c r="AH46" s="80">
        <v>66038</v>
      </c>
      <c r="AI46" s="80">
        <v>46494</v>
      </c>
      <c r="AJ46" s="80"/>
      <c r="AK46" s="80" t="s">
        <v>8993</v>
      </c>
      <c r="AL46" s="80" t="s">
        <v>6543</v>
      </c>
      <c r="AM46" s="80"/>
      <c r="AN46" s="80"/>
      <c r="AO46" s="82">
        <v>40015.212337962963</v>
      </c>
      <c r="AP46" s="87" t="str">
        <f>HYPERLINK("https://pbs.twimg.com/profile_banners/58711038/1358099518")</f>
        <v>https://pbs.twimg.com/profile_banners/58711038/1358099518</v>
      </c>
      <c r="AQ46" s="80" t="b">
        <v>0</v>
      </c>
      <c r="AR46" s="80" t="b">
        <v>0</v>
      </c>
      <c r="AS46" s="80" t="b">
        <v>1</v>
      </c>
      <c r="AT46" s="80"/>
      <c r="AU46" s="80">
        <v>6</v>
      </c>
      <c r="AV46" s="87" t="str">
        <f>HYPERLINK("https://abs.twimg.com/images/themes/theme9/bg.gif")</f>
        <v>https://abs.twimg.com/images/themes/theme9/bg.gif</v>
      </c>
      <c r="AW46" s="80" t="b">
        <v>0</v>
      </c>
      <c r="AX46" s="80" t="s">
        <v>10746</v>
      </c>
      <c r="AY46" s="87" t="str">
        <f>HYPERLINK("https://twitter.com/shafigh")</f>
        <v>https://twitter.com/shafigh</v>
      </c>
      <c r="AZ46" s="80" t="s">
        <v>66</v>
      </c>
      <c r="BA46" s="2"/>
      <c r="BB46" s="3"/>
      <c r="BC46" s="3"/>
      <c r="BD46" s="3"/>
      <c r="BE46" s="3"/>
    </row>
    <row r="47" spans="1:57" x14ac:dyDescent="0.35">
      <c r="A47" s="66" t="s">
        <v>251</v>
      </c>
      <c r="B47" s="67"/>
      <c r="C47" s="67"/>
      <c r="D47" s="68"/>
      <c r="E47" s="70"/>
      <c r="F47" s="109" t="str">
        <f>HYPERLINK("https://pbs.twimg.com/profile_images/888647610248044544/-rwzns9C_normal.jpg")</f>
        <v>https://pbs.twimg.com/profile_images/888647610248044544/-rwzns9C_normal.jpg</v>
      </c>
      <c r="G47" s="67"/>
      <c r="H47" s="71"/>
      <c r="I47" s="72"/>
      <c r="J47" s="72"/>
      <c r="K47" s="71" t="s">
        <v>10790</v>
      </c>
      <c r="L47" s="75"/>
      <c r="M47" s="76"/>
      <c r="N47" s="76"/>
      <c r="O47" s="77"/>
      <c r="P47" s="78"/>
      <c r="Q47" s="78"/>
      <c r="R47" s="92"/>
      <c r="S47" s="92"/>
      <c r="T47" s="92"/>
      <c r="U47" s="92"/>
      <c r="V47" s="52"/>
      <c r="W47" s="52"/>
      <c r="X47" s="52"/>
      <c r="Y47" s="52"/>
      <c r="Z47" s="51"/>
      <c r="AA47" s="73"/>
      <c r="AB47" s="73"/>
      <c r="AC47" s="74"/>
      <c r="AD47" s="80" t="s">
        <v>251</v>
      </c>
      <c r="AE47" s="85" t="s">
        <v>7905</v>
      </c>
      <c r="AF47" s="80">
        <v>23</v>
      </c>
      <c r="AG47" s="80">
        <v>95</v>
      </c>
      <c r="AH47" s="80">
        <v>13495</v>
      </c>
      <c r="AI47" s="80">
        <v>0</v>
      </c>
      <c r="AJ47" s="80"/>
      <c r="AK47" s="80" t="s">
        <v>8994</v>
      </c>
      <c r="AL47" s="80" t="s">
        <v>10156</v>
      </c>
      <c r="AM47" s="87" t="str">
        <f>HYPERLINK("https://t.co/ptA1hZ2oJP")</f>
        <v>https://t.co/ptA1hZ2oJP</v>
      </c>
      <c r="AN47" s="80"/>
      <c r="AO47" s="82">
        <v>40647.667303240742</v>
      </c>
      <c r="AP47" s="87" t="str">
        <f>HYPERLINK("https://pbs.twimg.com/profile_banners/282125025/1500815896")</f>
        <v>https://pbs.twimg.com/profile_banners/282125025/1500815896</v>
      </c>
      <c r="AQ47" s="80" t="b">
        <v>0</v>
      </c>
      <c r="AR47" s="80" t="b">
        <v>0</v>
      </c>
      <c r="AS47" s="80" t="b">
        <v>1</v>
      </c>
      <c r="AT47" s="80"/>
      <c r="AU47" s="80">
        <v>0</v>
      </c>
      <c r="AV47" s="87" t="str">
        <f>HYPERLINK("https://abs.twimg.com/images/themes/theme1/bg.png")</f>
        <v>https://abs.twimg.com/images/themes/theme1/bg.png</v>
      </c>
      <c r="AW47" s="80" t="b">
        <v>0</v>
      </c>
      <c r="AX47" s="80" t="s">
        <v>10746</v>
      </c>
      <c r="AY47" s="87" t="str">
        <f>HYPERLINK("https://twitter.com/sumselterkini")</f>
        <v>https://twitter.com/sumselterkini</v>
      </c>
      <c r="AZ47" s="80" t="s">
        <v>66</v>
      </c>
      <c r="BA47" s="2"/>
      <c r="BB47" s="3"/>
      <c r="BC47" s="3"/>
      <c r="BD47" s="3"/>
      <c r="BE47" s="3"/>
    </row>
    <row r="48" spans="1:57" x14ac:dyDescent="0.35">
      <c r="A48" s="66" t="s">
        <v>252</v>
      </c>
      <c r="B48" s="67"/>
      <c r="C48" s="67"/>
      <c r="D48" s="68"/>
      <c r="E48" s="70"/>
      <c r="F48" s="109" t="str">
        <f>HYPERLINK("https://pbs.twimg.com/profile_images/1436952547906908161/Ej3D91NJ_normal.jpg")</f>
        <v>https://pbs.twimg.com/profile_images/1436952547906908161/Ej3D91NJ_normal.jpg</v>
      </c>
      <c r="G48" s="67"/>
      <c r="H48" s="71"/>
      <c r="I48" s="72"/>
      <c r="J48" s="72"/>
      <c r="K48" s="71" t="s">
        <v>10791</v>
      </c>
      <c r="L48" s="75"/>
      <c r="M48" s="76"/>
      <c r="N48" s="76"/>
      <c r="O48" s="77"/>
      <c r="P48" s="78"/>
      <c r="Q48" s="78"/>
      <c r="R48" s="92"/>
      <c r="S48" s="92"/>
      <c r="T48" s="92"/>
      <c r="U48" s="92"/>
      <c r="V48" s="52"/>
      <c r="W48" s="52"/>
      <c r="X48" s="52"/>
      <c r="Y48" s="52"/>
      <c r="Z48" s="51"/>
      <c r="AA48" s="73"/>
      <c r="AB48" s="73"/>
      <c r="AC48" s="74"/>
      <c r="AD48" s="80" t="s">
        <v>6631</v>
      </c>
      <c r="AE48" s="85" t="s">
        <v>7906</v>
      </c>
      <c r="AF48" s="80">
        <v>594</v>
      </c>
      <c r="AG48" s="80">
        <v>1070</v>
      </c>
      <c r="AH48" s="80">
        <v>65256</v>
      </c>
      <c r="AI48" s="80">
        <v>109584</v>
      </c>
      <c r="AJ48" s="80"/>
      <c r="AK48" s="80"/>
      <c r="AL48" s="80" t="s">
        <v>10147</v>
      </c>
      <c r="AM48" s="80"/>
      <c r="AN48" s="80"/>
      <c r="AO48" s="82">
        <v>41144.368159722224</v>
      </c>
      <c r="AP48" s="87" t="str">
        <f>HYPERLINK("https://pbs.twimg.com/profile_banners/775521727/1630511837")</f>
        <v>https://pbs.twimg.com/profile_banners/775521727/1630511837</v>
      </c>
      <c r="AQ48" s="80" t="b">
        <v>0</v>
      </c>
      <c r="AR48" s="80" t="b">
        <v>0</v>
      </c>
      <c r="AS48" s="80" t="b">
        <v>1</v>
      </c>
      <c r="AT48" s="80"/>
      <c r="AU48" s="80">
        <v>11</v>
      </c>
      <c r="AV48" s="87" t="str">
        <f>HYPERLINK("https://abs.twimg.com/images/themes/theme14/bg.gif")</f>
        <v>https://abs.twimg.com/images/themes/theme14/bg.gif</v>
      </c>
      <c r="AW48" s="80" t="b">
        <v>0</v>
      </c>
      <c r="AX48" s="80" t="s">
        <v>10746</v>
      </c>
      <c r="AY48" s="87" t="str">
        <f>HYPERLINK("https://twitter.com/mylovefarhan")</f>
        <v>https://twitter.com/mylovefarhan</v>
      </c>
      <c r="AZ48" s="80" t="s">
        <v>66</v>
      </c>
      <c r="BA48" s="2"/>
      <c r="BB48" s="3"/>
      <c r="BC48" s="3"/>
      <c r="BD48" s="3"/>
      <c r="BE48" s="3"/>
    </row>
    <row r="49" spans="1:57" x14ac:dyDescent="0.35">
      <c r="A49" s="66" t="s">
        <v>253</v>
      </c>
      <c r="B49" s="67"/>
      <c r="C49" s="67"/>
      <c r="D49" s="68"/>
      <c r="E49" s="70"/>
      <c r="F49" s="109" t="str">
        <f>HYPERLINK("https://pbs.twimg.com/profile_images/1431277235487477763/mMbEf-iG_normal.jpg")</f>
        <v>https://pbs.twimg.com/profile_images/1431277235487477763/mMbEf-iG_normal.jpg</v>
      </c>
      <c r="G49" s="67"/>
      <c r="H49" s="71"/>
      <c r="I49" s="72"/>
      <c r="J49" s="72"/>
      <c r="K49" s="71" t="s">
        <v>10792</v>
      </c>
      <c r="L49" s="75"/>
      <c r="M49" s="76"/>
      <c r="N49" s="76"/>
      <c r="O49" s="77"/>
      <c r="P49" s="78"/>
      <c r="Q49" s="78"/>
      <c r="R49" s="92"/>
      <c r="S49" s="92"/>
      <c r="T49" s="92"/>
      <c r="U49" s="92"/>
      <c r="V49" s="52"/>
      <c r="W49" s="52"/>
      <c r="X49" s="52"/>
      <c r="Y49" s="52"/>
      <c r="Z49" s="51"/>
      <c r="AA49" s="73"/>
      <c r="AB49" s="73"/>
      <c r="AC49" s="74"/>
      <c r="AD49" s="80" t="s">
        <v>6632</v>
      </c>
      <c r="AE49" s="85" t="s">
        <v>7907</v>
      </c>
      <c r="AF49" s="80">
        <v>7</v>
      </c>
      <c r="AG49" s="80">
        <v>11</v>
      </c>
      <c r="AH49" s="80">
        <v>1080</v>
      </c>
      <c r="AI49" s="80">
        <v>0</v>
      </c>
      <c r="AJ49" s="80"/>
      <c r="AK49" s="80" t="s">
        <v>8995</v>
      </c>
      <c r="AL49" s="80"/>
      <c r="AM49" s="80"/>
      <c r="AN49" s="80"/>
      <c r="AO49" s="82">
        <v>44435.643923611111</v>
      </c>
      <c r="AP49" s="80"/>
      <c r="AQ49" s="80" t="b">
        <v>1</v>
      </c>
      <c r="AR49" s="80" t="b">
        <v>0</v>
      </c>
      <c r="AS49" s="80" t="b">
        <v>0</v>
      </c>
      <c r="AT49" s="80"/>
      <c r="AU49" s="80">
        <v>0</v>
      </c>
      <c r="AV49" s="80"/>
      <c r="AW49" s="80" t="b">
        <v>0</v>
      </c>
      <c r="AX49" s="80" t="s">
        <v>10746</v>
      </c>
      <c r="AY49" s="87" t="str">
        <f>HYPERLINK("https://twitter.com/malangdorn2")</f>
        <v>https://twitter.com/malangdorn2</v>
      </c>
      <c r="AZ49" s="80" t="s">
        <v>66</v>
      </c>
      <c r="BA49" s="2"/>
      <c r="BB49" s="3"/>
      <c r="BC49" s="3"/>
      <c r="BD49" s="3"/>
      <c r="BE49" s="3"/>
    </row>
    <row r="50" spans="1:57" x14ac:dyDescent="0.35">
      <c r="A50" s="66" t="s">
        <v>254</v>
      </c>
      <c r="B50" s="67"/>
      <c r="C50" s="67"/>
      <c r="D50" s="68"/>
      <c r="E50" s="70"/>
      <c r="F50" s="109" t="str">
        <f>HYPERLINK("https://pbs.twimg.com/profile_images/1440913363429560324/ljC0ym2-_normal.jpg")</f>
        <v>https://pbs.twimg.com/profile_images/1440913363429560324/ljC0ym2-_normal.jpg</v>
      </c>
      <c r="G50" s="67"/>
      <c r="H50" s="71"/>
      <c r="I50" s="72"/>
      <c r="J50" s="72"/>
      <c r="K50" s="71" t="s">
        <v>10793</v>
      </c>
      <c r="L50" s="75"/>
      <c r="M50" s="76"/>
      <c r="N50" s="76"/>
      <c r="O50" s="77"/>
      <c r="P50" s="78"/>
      <c r="Q50" s="78"/>
      <c r="R50" s="92"/>
      <c r="S50" s="92"/>
      <c r="T50" s="92"/>
      <c r="U50" s="92"/>
      <c r="V50" s="52"/>
      <c r="W50" s="52"/>
      <c r="X50" s="52"/>
      <c r="Y50" s="52"/>
      <c r="Z50" s="51"/>
      <c r="AA50" s="73"/>
      <c r="AB50" s="73"/>
      <c r="AC50" s="74"/>
      <c r="AD50" s="80" t="s">
        <v>6633</v>
      </c>
      <c r="AE50" s="85" t="s">
        <v>7908</v>
      </c>
      <c r="AF50" s="80">
        <v>757</v>
      </c>
      <c r="AG50" s="80">
        <v>845</v>
      </c>
      <c r="AH50" s="80">
        <v>17183</v>
      </c>
      <c r="AI50" s="80">
        <v>9356</v>
      </c>
      <c r="AJ50" s="80"/>
      <c r="AK50" s="80" t="s">
        <v>8996</v>
      </c>
      <c r="AL50" s="80" t="s">
        <v>10157</v>
      </c>
      <c r="AM50" s="87" t="str">
        <f>HYPERLINK("https://t.co/YYh8ciN2lg")</f>
        <v>https://t.co/YYh8ciN2lg</v>
      </c>
      <c r="AN50" s="80"/>
      <c r="AO50" s="82">
        <v>44000.523946759262</v>
      </c>
      <c r="AP50" s="80"/>
      <c r="AQ50" s="80" t="b">
        <v>1</v>
      </c>
      <c r="AR50" s="80" t="b">
        <v>0</v>
      </c>
      <c r="AS50" s="80" t="b">
        <v>0</v>
      </c>
      <c r="AT50" s="80"/>
      <c r="AU50" s="80">
        <v>0</v>
      </c>
      <c r="AV50" s="80"/>
      <c r="AW50" s="80" t="b">
        <v>0</v>
      </c>
      <c r="AX50" s="80" t="s">
        <v>10746</v>
      </c>
      <c r="AY50" s="87" t="str">
        <f>HYPERLINK("https://twitter.com/ggukiexly")</f>
        <v>https://twitter.com/ggukiexly</v>
      </c>
      <c r="AZ50" s="80" t="s">
        <v>66</v>
      </c>
      <c r="BA50" s="2"/>
      <c r="BB50" s="3"/>
      <c r="BC50" s="3"/>
      <c r="BD50" s="3"/>
      <c r="BE50" s="3"/>
    </row>
    <row r="51" spans="1:57" x14ac:dyDescent="0.35">
      <c r="A51" s="66" t="s">
        <v>255</v>
      </c>
      <c r="B51" s="67"/>
      <c r="C51" s="67"/>
      <c r="D51" s="68"/>
      <c r="E51" s="70"/>
      <c r="F51" s="109" t="str">
        <f>HYPERLINK("https://pbs.twimg.com/profile_images/1426837324034297861/_gv3AUi8_normal.jpg")</f>
        <v>https://pbs.twimg.com/profile_images/1426837324034297861/_gv3AUi8_normal.jpg</v>
      </c>
      <c r="G51" s="67"/>
      <c r="H51" s="71"/>
      <c r="I51" s="72"/>
      <c r="J51" s="72"/>
      <c r="K51" s="71" t="s">
        <v>10794</v>
      </c>
      <c r="L51" s="75"/>
      <c r="M51" s="76"/>
      <c r="N51" s="76"/>
      <c r="O51" s="77"/>
      <c r="P51" s="78"/>
      <c r="Q51" s="78"/>
      <c r="R51" s="92"/>
      <c r="S51" s="92"/>
      <c r="T51" s="92"/>
      <c r="U51" s="92"/>
      <c r="V51" s="52"/>
      <c r="W51" s="52"/>
      <c r="X51" s="52"/>
      <c r="Y51" s="52"/>
      <c r="Z51" s="51"/>
      <c r="AA51" s="73"/>
      <c r="AB51" s="73"/>
      <c r="AC51" s="74"/>
      <c r="AD51" s="80" t="s">
        <v>6634</v>
      </c>
      <c r="AE51" s="85" t="s">
        <v>7909</v>
      </c>
      <c r="AF51" s="80">
        <v>2452</v>
      </c>
      <c r="AG51" s="80">
        <v>3234</v>
      </c>
      <c r="AH51" s="80">
        <v>26189</v>
      </c>
      <c r="AI51" s="80">
        <v>2202</v>
      </c>
      <c r="AJ51" s="80"/>
      <c r="AK51" s="80" t="s">
        <v>8997</v>
      </c>
      <c r="AL51" s="80" t="s">
        <v>10158</v>
      </c>
      <c r="AM51" s="80"/>
      <c r="AN51" s="80"/>
      <c r="AO51" s="82">
        <v>42404.01761574074</v>
      </c>
      <c r="AP51" s="87" t="str">
        <f>HYPERLINK("https://pbs.twimg.com/profile_banners/4856480833/1621834755")</f>
        <v>https://pbs.twimg.com/profile_banners/4856480833/1621834755</v>
      </c>
      <c r="AQ51" s="80" t="b">
        <v>1</v>
      </c>
      <c r="AR51" s="80" t="b">
        <v>0</v>
      </c>
      <c r="AS51" s="80" t="b">
        <v>0</v>
      </c>
      <c r="AT51" s="80"/>
      <c r="AU51" s="80">
        <v>2</v>
      </c>
      <c r="AV51" s="80"/>
      <c r="AW51" s="80" t="b">
        <v>0</v>
      </c>
      <c r="AX51" s="80" t="s">
        <v>10746</v>
      </c>
      <c r="AY51" s="87" t="str">
        <f>HYPERLINK("https://twitter.com/wakapoldur")</f>
        <v>https://twitter.com/wakapoldur</v>
      </c>
      <c r="AZ51" s="80" t="s">
        <v>66</v>
      </c>
      <c r="BA51" s="2"/>
      <c r="BB51" s="3"/>
      <c r="BC51" s="3"/>
      <c r="BD51" s="3"/>
      <c r="BE51" s="3"/>
    </row>
    <row r="52" spans="1:57" x14ac:dyDescent="0.35">
      <c r="A52" s="66" t="s">
        <v>1279</v>
      </c>
      <c r="B52" s="67"/>
      <c r="C52" s="67"/>
      <c r="D52" s="68"/>
      <c r="E52" s="70"/>
      <c r="F52" s="109" t="str">
        <f>HYPERLINK("https://pbs.twimg.com/profile_images/1427627153131200530/CxUsUrSu_normal.jpg")</f>
        <v>https://pbs.twimg.com/profile_images/1427627153131200530/CxUsUrSu_normal.jpg</v>
      </c>
      <c r="G52" s="67"/>
      <c r="H52" s="71"/>
      <c r="I52" s="72"/>
      <c r="J52" s="72"/>
      <c r="K52" s="71" t="s">
        <v>10795</v>
      </c>
      <c r="L52" s="75"/>
      <c r="M52" s="76"/>
      <c r="N52" s="76"/>
      <c r="O52" s="77"/>
      <c r="P52" s="78"/>
      <c r="Q52" s="78"/>
      <c r="R52" s="92"/>
      <c r="S52" s="92"/>
      <c r="T52" s="92"/>
      <c r="U52" s="92"/>
      <c r="V52" s="52"/>
      <c r="W52" s="52"/>
      <c r="X52" s="52"/>
      <c r="Y52" s="52"/>
      <c r="Z52" s="51"/>
      <c r="AA52" s="73"/>
      <c r="AB52" s="73"/>
      <c r="AC52" s="74"/>
      <c r="AD52" s="80" t="s">
        <v>6635</v>
      </c>
      <c r="AE52" s="85" t="s">
        <v>6249</v>
      </c>
      <c r="AF52" s="80">
        <v>6263</v>
      </c>
      <c r="AG52" s="80">
        <v>8735</v>
      </c>
      <c r="AH52" s="80">
        <v>10762</v>
      </c>
      <c r="AI52" s="80">
        <v>6871</v>
      </c>
      <c r="AJ52" s="80"/>
      <c r="AK52" s="80" t="s">
        <v>8998</v>
      </c>
      <c r="AL52" s="80"/>
      <c r="AM52" s="80"/>
      <c r="AN52" s="80"/>
      <c r="AO52" s="82">
        <v>41644.786689814813</v>
      </c>
      <c r="AP52" s="87" t="str">
        <f>HYPERLINK("https://pbs.twimg.com/profile_banners/2277977551/1631081235")</f>
        <v>https://pbs.twimg.com/profile_banners/2277977551/1631081235</v>
      </c>
      <c r="AQ52" s="80" t="b">
        <v>1</v>
      </c>
      <c r="AR52" s="80" t="b">
        <v>0</v>
      </c>
      <c r="AS52" s="80" t="b">
        <v>0</v>
      </c>
      <c r="AT52" s="80"/>
      <c r="AU52" s="80">
        <v>3</v>
      </c>
      <c r="AV52" s="87" t="str">
        <f>HYPERLINK("https://abs.twimg.com/images/themes/theme1/bg.png")</f>
        <v>https://abs.twimg.com/images/themes/theme1/bg.png</v>
      </c>
      <c r="AW52" s="80" t="b">
        <v>0</v>
      </c>
      <c r="AX52" s="80" t="s">
        <v>10746</v>
      </c>
      <c r="AY52" s="87" t="str">
        <f>HYPERLINK("https://twitter.com/suneo138")</f>
        <v>https://twitter.com/suneo138</v>
      </c>
      <c r="AZ52" s="80" t="s">
        <v>65</v>
      </c>
      <c r="BA52" s="2"/>
      <c r="BB52" s="3"/>
      <c r="BC52" s="3"/>
      <c r="BD52" s="3"/>
      <c r="BE52" s="3"/>
    </row>
    <row r="53" spans="1:57" x14ac:dyDescent="0.35">
      <c r="A53" s="66" t="s">
        <v>1156</v>
      </c>
      <c r="B53" s="67"/>
      <c r="C53" s="67"/>
      <c r="D53" s="68"/>
      <c r="E53" s="70"/>
      <c r="F53" s="109" t="str">
        <f>HYPERLINK("https://pbs.twimg.com/profile_images/1436919955828604933/ss6ZnITh_normal.jpg")</f>
        <v>https://pbs.twimg.com/profile_images/1436919955828604933/ss6ZnITh_normal.jpg</v>
      </c>
      <c r="G53" s="67"/>
      <c r="H53" s="71"/>
      <c r="I53" s="72"/>
      <c r="J53" s="72"/>
      <c r="K53" s="71" t="s">
        <v>10796</v>
      </c>
      <c r="L53" s="75"/>
      <c r="M53" s="76"/>
      <c r="N53" s="76"/>
      <c r="O53" s="77"/>
      <c r="P53" s="78"/>
      <c r="Q53" s="78"/>
      <c r="R53" s="92"/>
      <c r="S53" s="92"/>
      <c r="T53" s="92"/>
      <c r="U53" s="92"/>
      <c r="V53" s="52"/>
      <c r="W53" s="52"/>
      <c r="X53" s="52"/>
      <c r="Y53" s="52"/>
      <c r="Z53" s="51"/>
      <c r="AA53" s="73"/>
      <c r="AB53" s="73"/>
      <c r="AC53" s="74"/>
      <c r="AD53" s="80" t="s">
        <v>6636</v>
      </c>
      <c r="AE53" s="85" t="s">
        <v>7910</v>
      </c>
      <c r="AF53" s="80">
        <v>11229</v>
      </c>
      <c r="AG53" s="80">
        <v>16653</v>
      </c>
      <c r="AH53" s="80">
        <v>53419</v>
      </c>
      <c r="AI53" s="80">
        <v>116548</v>
      </c>
      <c r="AJ53" s="80"/>
      <c r="AK53" s="80" t="s">
        <v>8999</v>
      </c>
      <c r="AL53" s="80" t="s">
        <v>10159</v>
      </c>
      <c r="AM53" s="80"/>
      <c r="AN53" s="80"/>
      <c r="AO53" s="82">
        <v>43932.666701388887</v>
      </c>
      <c r="AP53" s="87" t="str">
        <f>HYPERLINK("https://pbs.twimg.com/profile_banners/1249004237004009474/1626715709")</f>
        <v>https://pbs.twimg.com/profile_banners/1249004237004009474/1626715709</v>
      </c>
      <c r="AQ53" s="80" t="b">
        <v>1</v>
      </c>
      <c r="AR53" s="80" t="b">
        <v>0</v>
      </c>
      <c r="AS53" s="80" t="b">
        <v>0</v>
      </c>
      <c r="AT53" s="80"/>
      <c r="AU53" s="80">
        <v>4</v>
      </c>
      <c r="AV53" s="80"/>
      <c r="AW53" s="80" t="b">
        <v>0</v>
      </c>
      <c r="AX53" s="80" t="s">
        <v>10746</v>
      </c>
      <c r="AY53" s="87" t="str">
        <f>HYPERLINK("https://twitter.com/gojekmilitan")</f>
        <v>https://twitter.com/gojekmilitan</v>
      </c>
      <c r="AZ53" s="80" t="s">
        <v>66</v>
      </c>
      <c r="BA53" s="2"/>
      <c r="BB53" s="3"/>
      <c r="BC53" s="3"/>
      <c r="BD53" s="3"/>
      <c r="BE53" s="3"/>
    </row>
    <row r="54" spans="1:57" x14ac:dyDescent="0.35">
      <c r="A54" s="66" t="s">
        <v>256</v>
      </c>
      <c r="B54" s="67"/>
      <c r="C54" s="67"/>
      <c r="D54" s="68"/>
      <c r="E54" s="70"/>
      <c r="F54" s="109" t="str">
        <f>HYPERLINK("https://pbs.twimg.com/profile_images/1414745126480474133/Wfsm2Mjk_normal.jpg")</f>
        <v>https://pbs.twimg.com/profile_images/1414745126480474133/Wfsm2Mjk_normal.jpg</v>
      </c>
      <c r="G54" s="67"/>
      <c r="H54" s="71"/>
      <c r="I54" s="72"/>
      <c r="J54" s="72"/>
      <c r="K54" s="71" t="s">
        <v>10797</v>
      </c>
      <c r="L54" s="75"/>
      <c r="M54" s="76"/>
      <c r="N54" s="76"/>
      <c r="O54" s="77"/>
      <c r="P54" s="78"/>
      <c r="Q54" s="78"/>
      <c r="R54" s="92"/>
      <c r="S54" s="92"/>
      <c r="T54" s="92"/>
      <c r="U54" s="92"/>
      <c r="V54" s="52"/>
      <c r="W54" s="52"/>
      <c r="X54" s="52"/>
      <c r="Y54" s="52"/>
      <c r="Z54" s="51"/>
      <c r="AA54" s="73"/>
      <c r="AB54" s="73"/>
      <c r="AC54" s="74"/>
      <c r="AD54" s="80" t="s">
        <v>6637</v>
      </c>
      <c r="AE54" s="85" t="s">
        <v>7911</v>
      </c>
      <c r="AF54" s="80">
        <v>167</v>
      </c>
      <c r="AG54" s="80">
        <v>344</v>
      </c>
      <c r="AH54" s="80">
        <v>17225</v>
      </c>
      <c r="AI54" s="80">
        <v>120</v>
      </c>
      <c r="AJ54" s="80"/>
      <c r="AK54" s="80" t="s">
        <v>9000</v>
      </c>
      <c r="AL54" s="80" t="s">
        <v>10160</v>
      </c>
      <c r="AM54" s="87" t="str">
        <f>HYPERLINK("https://t.co/7SHJhTyGjm")</f>
        <v>https://t.co/7SHJhTyGjm</v>
      </c>
      <c r="AN54" s="80"/>
      <c r="AO54" s="82">
        <v>41109.805509259262</v>
      </c>
      <c r="AP54" s="87" t="str">
        <f>HYPERLINK("https://pbs.twimg.com/profile_banners/705627337/1413894708")</f>
        <v>https://pbs.twimg.com/profile_banners/705627337/1413894708</v>
      </c>
      <c r="AQ54" s="80" t="b">
        <v>0</v>
      </c>
      <c r="AR54" s="80" t="b">
        <v>0</v>
      </c>
      <c r="AS54" s="80" t="b">
        <v>1</v>
      </c>
      <c r="AT54" s="80"/>
      <c r="AU54" s="80">
        <v>0</v>
      </c>
      <c r="AV54" s="87" t="str">
        <f>HYPERLINK("https://abs.twimg.com/images/themes/theme9/bg.gif")</f>
        <v>https://abs.twimg.com/images/themes/theme9/bg.gif</v>
      </c>
      <c r="AW54" s="80" t="b">
        <v>0</v>
      </c>
      <c r="AX54" s="80" t="s">
        <v>10746</v>
      </c>
      <c r="AY54" s="87" t="str">
        <f>HYPERLINK("https://twitter.com/rezakrisna28")</f>
        <v>https://twitter.com/rezakrisna28</v>
      </c>
      <c r="AZ54" s="80" t="s">
        <v>66</v>
      </c>
      <c r="BA54" s="2"/>
      <c r="BB54" s="3"/>
      <c r="BC54" s="3"/>
      <c r="BD54" s="3"/>
      <c r="BE54" s="3"/>
    </row>
    <row r="55" spans="1:57" x14ac:dyDescent="0.35">
      <c r="A55" s="66" t="s">
        <v>1280</v>
      </c>
      <c r="B55" s="67"/>
      <c r="C55" s="67"/>
      <c r="D55" s="68"/>
      <c r="E55" s="70"/>
      <c r="F55" s="109" t="str">
        <f>HYPERLINK("https://pbs.twimg.com/profile_images/1437731175141810185/FoooZvvR_normal.jpg")</f>
        <v>https://pbs.twimg.com/profile_images/1437731175141810185/FoooZvvR_normal.jpg</v>
      </c>
      <c r="G55" s="67"/>
      <c r="H55" s="71"/>
      <c r="I55" s="72"/>
      <c r="J55" s="72"/>
      <c r="K55" s="71" t="s">
        <v>10798</v>
      </c>
      <c r="L55" s="75"/>
      <c r="M55" s="76"/>
      <c r="N55" s="76"/>
      <c r="O55" s="77"/>
      <c r="P55" s="78"/>
      <c r="Q55" s="78"/>
      <c r="R55" s="92"/>
      <c r="S55" s="92"/>
      <c r="T55" s="92"/>
      <c r="U55" s="92"/>
      <c r="V55" s="52"/>
      <c r="W55" s="52"/>
      <c r="X55" s="52"/>
      <c r="Y55" s="52"/>
      <c r="Z55" s="51"/>
      <c r="AA55" s="73"/>
      <c r="AB55" s="73"/>
      <c r="AC55" s="74"/>
      <c r="AD55" s="80" t="s">
        <v>6638</v>
      </c>
      <c r="AE55" s="85" t="s">
        <v>6250</v>
      </c>
      <c r="AF55" s="80">
        <v>564</v>
      </c>
      <c r="AG55" s="80">
        <v>127</v>
      </c>
      <c r="AH55" s="80">
        <v>1249</v>
      </c>
      <c r="AI55" s="80">
        <v>705</v>
      </c>
      <c r="AJ55" s="80"/>
      <c r="AK55" s="80" t="s">
        <v>9001</v>
      </c>
      <c r="AL55" s="80"/>
      <c r="AM55" s="80"/>
      <c r="AN55" s="80"/>
      <c r="AO55" s="82">
        <v>41107.265949074077</v>
      </c>
      <c r="AP55" s="87" t="str">
        <f>HYPERLINK("https://pbs.twimg.com/profile_banners/700496978/1617813825")</f>
        <v>https://pbs.twimg.com/profile_banners/700496978/1617813825</v>
      </c>
      <c r="AQ55" s="80" t="b">
        <v>1</v>
      </c>
      <c r="AR55" s="80" t="b">
        <v>0</v>
      </c>
      <c r="AS55" s="80" t="b">
        <v>1</v>
      </c>
      <c r="AT55" s="80"/>
      <c r="AU55" s="80">
        <v>0</v>
      </c>
      <c r="AV55" s="87" t="str">
        <f>HYPERLINK("https://abs.twimg.com/images/themes/theme1/bg.png")</f>
        <v>https://abs.twimg.com/images/themes/theme1/bg.png</v>
      </c>
      <c r="AW55" s="80" t="b">
        <v>0</v>
      </c>
      <c r="AX55" s="80" t="s">
        <v>10746</v>
      </c>
      <c r="AY55" s="87" t="str">
        <f>HYPERLINK("https://twitter.com/enakmurahbanyaq")</f>
        <v>https://twitter.com/enakmurahbanyaq</v>
      </c>
      <c r="AZ55" s="80" t="s">
        <v>65</v>
      </c>
      <c r="BA55" s="2"/>
      <c r="BB55" s="3"/>
      <c r="BC55" s="3"/>
      <c r="BD55" s="3"/>
      <c r="BE55" s="3"/>
    </row>
    <row r="56" spans="1:57" x14ac:dyDescent="0.35">
      <c r="A56" s="66" t="s">
        <v>257</v>
      </c>
      <c r="B56" s="67"/>
      <c r="C56" s="67"/>
      <c r="D56" s="68"/>
      <c r="E56" s="70"/>
      <c r="F56" s="109" t="str">
        <f>HYPERLINK("https://pbs.twimg.com/profile_images/1439952733151236102/OyaFrb-J_normal.jpg")</f>
        <v>https://pbs.twimg.com/profile_images/1439952733151236102/OyaFrb-J_normal.jpg</v>
      </c>
      <c r="G56" s="67"/>
      <c r="H56" s="71"/>
      <c r="I56" s="72"/>
      <c r="J56" s="72"/>
      <c r="K56" s="71" t="s">
        <v>10799</v>
      </c>
      <c r="L56" s="75"/>
      <c r="M56" s="76"/>
      <c r="N56" s="76"/>
      <c r="O56" s="77"/>
      <c r="P56" s="78"/>
      <c r="Q56" s="78"/>
      <c r="R56" s="92"/>
      <c r="S56" s="92"/>
      <c r="T56" s="92"/>
      <c r="U56" s="92"/>
      <c r="V56" s="52"/>
      <c r="W56" s="52"/>
      <c r="X56" s="52"/>
      <c r="Y56" s="52"/>
      <c r="Z56" s="51"/>
      <c r="AA56" s="73"/>
      <c r="AB56" s="73"/>
      <c r="AC56" s="74"/>
      <c r="AD56" s="80" t="s">
        <v>6639</v>
      </c>
      <c r="AE56" s="85" t="s">
        <v>7912</v>
      </c>
      <c r="AF56" s="80">
        <v>295</v>
      </c>
      <c r="AG56" s="80">
        <v>182</v>
      </c>
      <c r="AH56" s="80">
        <v>7544</v>
      </c>
      <c r="AI56" s="80">
        <v>10005</v>
      </c>
      <c r="AJ56" s="80"/>
      <c r="AK56" s="80" t="s">
        <v>9002</v>
      </c>
      <c r="AL56" s="80" t="s">
        <v>10161</v>
      </c>
      <c r="AM56" s="80"/>
      <c r="AN56" s="80"/>
      <c r="AO56" s="82">
        <v>44033.502465277779</v>
      </c>
      <c r="AP56" s="87" t="str">
        <f>HYPERLINK("https://pbs.twimg.com/profile_banners/1285545787242340352/1627629586")</f>
        <v>https://pbs.twimg.com/profile_banners/1285545787242340352/1627629586</v>
      </c>
      <c r="AQ56" s="80" t="b">
        <v>1</v>
      </c>
      <c r="AR56" s="80" t="b">
        <v>0</v>
      </c>
      <c r="AS56" s="80" t="b">
        <v>0</v>
      </c>
      <c r="AT56" s="80"/>
      <c r="AU56" s="80">
        <v>0</v>
      </c>
      <c r="AV56" s="80"/>
      <c r="AW56" s="80" t="b">
        <v>0</v>
      </c>
      <c r="AX56" s="80" t="s">
        <v>10746</v>
      </c>
      <c r="AY56" s="87" t="str">
        <f>HYPERLINK("https://twitter.com/whaisya")</f>
        <v>https://twitter.com/whaisya</v>
      </c>
      <c r="AZ56" s="80" t="s">
        <v>66</v>
      </c>
      <c r="BA56" s="2"/>
      <c r="BB56" s="3"/>
      <c r="BC56" s="3"/>
      <c r="BD56" s="3"/>
      <c r="BE56" s="3"/>
    </row>
    <row r="57" spans="1:57" x14ac:dyDescent="0.35">
      <c r="A57" s="66" t="s">
        <v>258</v>
      </c>
      <c r="B57" s="67"/>
      <c r="C57" s="67"/>
      <c r="D57" s="68"/>
      <c r="E57" s="70"/>
      <c r="F57" s="109" t="str">
        <f>HYPERLINK("https://pbs.twimg.com/profile_images/1409485781719076873/V5MX43cb_normal.jpg")</f>
        <v>https://pbs.twimg.com/profile_images/1409485781719076873/V5MX43cb_normal.jpg</v>
      </c>
      <c r="G57" s="67"/>
      <c r="H57" s="71"/>
      <c r="I57" s="72"/>
      <c r="J57" s="72"/>
      <c r="K57" s="71" t="s">
        <v>10800</v>
      </c>
      <c r="L57" s="75"/>
      <c r="M57" s="76"/>
      <c r="N57" s="76"/>
      <c r="O57" s="77"/>
      <c r="P57" s="78"/>
      <c r="Q57" s="78"/>
      <c r="R57" s="92"/>
      <c r="S57" s="92"/>
      <c r="T57" s="92"/>
      <c r="U57" s="92"/>
      <c r="V57" s="52"/>
      <c r="W57" s="52"/>
      <c r="X57" s="52"/>
      <c r="Y57" s="52"/>
      <c r="Z57" s="51"/>
      <c r="AA57" s="73"/>
      <c r="AB57" s="73"/>
      <c r="AC57" s="74"/>
      <c r="AD57" s="80" t="s">
        <v>6640</v>
      </c>
      <c r="AE57" s="85" t="s">
        <v>7913</v>
      </c>
      <c r="AF57" s="80">
        <v>149</v>
      </c>
      <c r="AG57" s="80">
        <v>229</v>
      </c>
      <c r="AH57" s="80">
        <v>867</v>
      </c>
      <c r="AI57" s="80">
        <v>246</v>
      </c>
      <c r="AJ57" s="80"/>
      <c r="AK57" s="80" t="s">
        <v>9003</v>
      </c>
      <c r="AL57" s="80" t="s">
        <v>10162</v>
      </c>
      <c r="AM57" s="80"/>
      <c r="AN57" s="80"/>
      <c r="AO57" s="82">
        <v>44157.534270833334</v>
      </c>
      <c r="AP57" s="87" t="str">
        <f>HYPERLINK("https://pbs.twimg.com/profile_banners/1330493415558144000/1607723206")</f>
        <v>https://pbs.twimg.com/profile_banners/1330493415558144000/1607723206</v>
      </c>
      <c r="AQ57" s="80" t="b">
        <v>1</v>
      </c>
      <c r="AR57" s="80" t="b">
        <v>0</v>
      </c>
      <c r="AS57" s="80" t="b">
        <v>0</v>
      </c>
      <c r="AT57" s="80"/>
      <c r="AU57" s="80">
        <v>0</v>
      </c>
      <c r="AV57" s="80"/>
      <c r="AW57" s="80" t="b">
        <v>0</v>
      </c>
      <c r="AX57" s="80" t="s">
        <v>10746</v>
      </c>
      <c r="AY57" s="87" t="str">
        <f>HYPERLINK("https://twitter.com/sprinklesmy")</f>
        <v>https://twitter.com/sprinklesmy</v>
      </c>
      <c r="AZ57" s="80" t="s">
        <v>66</v>
      </c>
      <c r="BA57" s="2"/>
      <c r="BB57" s="3"/>
      <c r="BC57" s="3"/>
      <c r="BD57" s="3"/>
      <c r="BE57" s="3"/>
    </row>
    <row r="58" spans="1:57" x14ac:dyDescent="0.35">
      <c r="A58" s="66" t="s">
        <v>259</v>
      </c>
      <c r="B58" s="67"/>
      <c r="C58" s="67"/>
      <c r="D58" s="68"/>
      <c r="E58" s="70"/>
      <c r="F58" s="109" t="str">
        <f>HYPERLINK("https://pbs.twimg.com/profile_images/1433213270643470337/_6wwYdZg_normal.jpg")</f>
        <v>https://pbs.twimg.com/profile_images/1433213270643470337/_6wwYdZg_normal.jpg</v>
      </c>
      <c r="G58" s="67"/>
      <c r="H58" s="71"/>
      <c r="I58" s="72"/>
      <c r="J58" s="72"/>
      <c r="K58" s="71" t="s">
        <v>10801</v>
      </c>
      <c r="L58" s="75"/>
      <c r="M58" s="76"/>
      <c r="N58" s="76"/>
      <c r="O58" s="77"/>
      <c r="P58" s="78"/>
      <c r="Q58" s="78"/>
      <c r="R58" s="92"/>
      <c r="S58" s="92"/>
      <c r="T58" s="92"/>
      <c r="U58" s="92"/>
      <c r="V58" s="52"/>
      <c r="W58" s="52"/>
      <c r="X58" s="52"/>
      <c r="Y58" s="52"/>
      <c r="Z58" s="51"/>
      <c r="AA58" s="73"/>
      <c r="AB58" s="73"/>
      <c r="AC58" s="74"/>
      <c r="AD58" s="80" t="s">
        <v>6641</v>
      </c>
      <c r="AE58" s="85" t="s">
        <v>7914</v>
      </c>
      <c r="AF58" s="80">
        <v>158</v>
      </c>
      <c r="AG58" s="80">
        <v>130</v>
      </c>
      <c r="AH58" s="80">
        <v>202</v>
      </c>
      <c r="AI58" s="80">
        <v>362</v>
      </c>
      <c r="AJ58" s="80"/>
      <c r="AK58" s="80" t="s">
        <v>9004</v>
      </c>
      <c r="AL58" s="85" t="s">
        <v>10163</v>
      </c>
      <c r="AM58" s="80"/>
      <c r="AN58" s="80"/>
      <c r="AO58" s="82">
        <v>43176.176712962966</v>
      </c>
      <c r="AP58" s="87" t="str">
        <f>HYPERLINK("https://pbs.twimg.com/profile_banners/974861501646356480/1626064415")</f>
        <v>https://pbs.twimg.com/profile_banners/974861501646356480/1626064415</v>
      </c>
      <c r="AQ58" s="80" t="b">
        <v>1</v>
      </c>
      <c r="AR58" s="80" t="b">
        <v>0</v>
      </c>
      <c r="AS58" s="80" t="b">
        <v>0</v>
      </c>
      <c r="AT58" s="80"/>
      <c r="AU58" s="80">
        <v>0</v>
      </c>
      <c r="AV58" s="80"/>
      <c r="AW58" s="80" t="b">
        <v>0</v>
      </c>
      <c r="AX58" s="80" t="s">
        <v>10746</v>
      </c>
      <c r="AY58" s="87" t="str">
        <f>HYPERLINK("https://twitter.com/sxash4")</f>
        <v>https://twitter.com/sxash4</v>
      </c>
      <c r="AZ58" s="80" t="s">
        <v>66</v>
      </c>
      <c r="BA58" s="2"/>
      <c r="BB58" s="3"/>
      <c r="BC58" s="3"/>
      <c r="BD58" s="3"/>
      <c r="BE58" s="3"/>
    </row>
    <row r="59" spans="1:57" x14ac:dyDescent="0.35">
      <c r="A59" s="66" t="s">
        <v>260</v>
      </c>
      <c r="B59" s="67"/>
      <c r="C59" s="67"/>
      <c r="D59" s="68"/>
      <c r="E59" s="70"/>
      <c r="F59" s="109" t="str">
        <f>HYPERLINK("https://pbs.twimg.com/profile_images/1442601858573369352/cy4LKK0K_normal.jpg")</f>
        <v>https://pbs.twimg.com/profile_images/1442601858573369352/cy4LKK0K_normal.jpg</v>
      </c>
      <c r="G59" s="67"/>
      <c r="H59" s="71"/>
      <c r="I59" s="72"/>
      <c r="J59" s="72"/>
      <c r="K59" s="71" t="s">
        <v>10802</v>
      </c>
      <c r="L59" s="75"/>
      <c r="M59" s="76"/>
      <c r="N59" s="76"/>
      <c r="O59" s="77"/>
      <c r="P59" s="78"/>
      <c r="Q59" s="78"/>
      <c r="R59" s="92"/>
      <c r="S59" s="92"/>
      <c r="T59" s="92"/>
      <c r="U59" s="92"/>
      <c r="V59" s="52"/>
      <c r="W59" s="52"/>
      <c r="X59" s="52"/>
      <c r="Y59" s="52"/>
      <c r="Z59" s="51"/>
      <c r="AA59" s="73"/>
      <c r="AB59" s="73"/>
      <c r="AC59" s="74"/>
      <c r="AD59" s="80" t="s">
        <v>6642</v>
      </c>
      <c r="AE59" s="85" t="s">
        <v>7915</v>
      </c>
      <c r="AF59" s="80">
        <v>1035</v>
      </c>
      <c r="AG59" s="80">
        <v>476</v>
      </c>
      <c r="AH59" s="80">
        <v>75698</v>
      </c>
      <c r="AI59" s="80">
        <v>72233</v>
      </c>
      <c r="AJ59" s="80"/>
      <c r="AK59" s="80" t="s">
        <v>9005</v>
      </c>
      <c r="AL59" s="80" t="s">
        <v>10157</v>
      </c>
      <c r="AM59" s="80"/>
      <c r="AN59" s="80"/>
      <c r="AO59" s="82">
        <v>42872.373738425929</v>
      </c>
      <c r="AP59" s="87" t="str">
        <f>HYPERLINK("https://pbs.twimg.com/profile_banners/864766989369098240/1549279435")</f>
        <v>https://pbs.twimg.com/profile_banners/864766989369098240/1549279435</v>
      </c>
      <c r="AQ59" s="80" t="b">
        <v>0</v>
      </c>
      <c r="AR59" s="80" t="b">
        <v>0</v>
      </c>
      <c r="AS59" s="80" t="b">
        <v>1</v>
      </c>
      <c r="AT59" s="80"/>
      <c r="AU59" s="80">
        <v>6</v>
      </c>
      <c r="AV59" s="87" t="str">
        <f>HYPERLINK("https://abs.twimg.com/images/themes/theme1/bg.png")</f>
        <v>https://abs.twimg.com/images/themes/theme1/bg.png</v>
      </c>
      <c r="AW59" s="80" t="b">
        <v>0</v>
      </c>
      <c r="AX59" s="80" t="s">
        <v>10746</v>
      </c>
      <c r="AY59" s="87" t="str">
        <f>HYPERLINK("https://twitter.com/staykrna")</f>
        <v>https://twitter.com/staykrna</v>
      </c>
      <c r="AZ59" s="80" t="s">
        <v>66</v>
      </c>
      <c r="BA59" s="2"/>
      <c r="BB59" s="3"/>
      <c r="BC59" s="3"/>
      <c r="BD59" s="3"/>
      <c r="BE59" s="3"/>
    </row>
    <row r="60" spans="1:57" x14ac:dyDescent="0.35">
      <c r="A60" s="66" t="s">
        <v>1281</v>
      </c>
      <c r="B60" s="67"/>
      <c r="C60" s="67"/>
      <c r="D60" s="68"/>
      <c r="E60" s="70"/>
      <c r="F60" s="109" t="str">
        <f>HYPERLINK("https://pbs.twimg.com/profile_images/1429824878962647044/QAWxddO2_normal.jpg")</f>
        <v>https://pbs.twimg.com/profile_images/1429824878962647044/QAWxddO2_normal.jpg</v>
      </c>
      <c r="G60" s="67"/>
      <c r="H60" s="71"/>
      <c r="I60" s="72"/>
      <c r="J60" s="72"/>
      <c r="K60" s="71" t="s">
        <v>10803</v>
      </c>
      <c r="L60" s="75"/>
      <c r="M60" s="76"/>
      <c r="N60" s="76"/>
      <c r="O60" s="77"/>
      <c r="P60" s="78"/>
      <c r="Q60" s="78"/>
      <c r="R60" s="92"/>
      <c r="S60" s="92"/>
      <c r="T60" s="92"/>
      <c r="U60" s="92"/>
      <c r="V60" s="52"/>
      <c r="W60" s="52"/>
      <c r="X60" s="52"/>
      <c r="Y60" s="52"/>
      <c r="Z60" s="51"/>
      <c r="AA60" s="73"/>
      <c r="AB60" s="73"/>
      <c r="AC60" s="74"/>
      <c r="AD60" s="80" t="s">
        <v>6643</v>
      </c>
      <c r="AE60" s="85" t="s">
        <v>6251</v>
      </c>
      <c r="AF60" s="80">
        <v>983</v>
      </c>
      <c r="AG60" s="80">
        <v>1345</v>
      </c>
      <c r="AH60" s="80">
        <v>102259</v>
      </c>
      <c r="AI60" s="80">
        <v>92</v>
      </c>
      <c r="AJ60" s="80"/>
      <c r="AK60" s="80" t="s">
        <v>9006</v>
      </c>
      <c r="AL60" s="80" t="s">
        <v>10164</v>
      </c>
      <c r="AM60" s="80"/>
      <c r="AN60" s="80"/>
      <c r="AO60" s="82">
        <v>43123.613715277781</v>
      </c>
      <c r="AP60" s="87" t="str">
        <f>HYPERLINK("https://pbs.twimg.com/profile_banners/955813307876704257/1619353891")</f>
        <v>https://pbs.twimg.com/profile_banners/955813307876704257/1619353891</v>
      </c>
      <c r="AQ60" s="80" t="b">
        <v>1</v>
      </c>
      <c r="AR60" s="80" t="b">
        <v>0</v>
      </c>
      <c r="AS60" s="80" t="b">
        <v>1</v>
      </c>
      <c r="AT60" s="80"/>
      <c r="AU60" s="80">
        <v>10</v>
      </c>
      <c r="AV60" s="80"/>
      <c r="AW60" s="80" t="b">
        <v>0</v>
      </c>
      <c r="AX60" s="80" t="s">
        <v>10746</v>
      </c>
      <c r="AY60" s="87" t="str">
        <f>HYPERLINK("https://twitter.com/princehanjisung")</f>
        <v>https://twitter.com/princehanjisung</v>
      </c>
      <c r="AZ60" s="80" t="s">
        <v>65</v>
      </c>
      <c r="BA60" s="2"/>
      <c r="BB60" s="3"/>
      <c r="BC60" s="3"/>
      <c r="BD60" s="3"/>
      <c r="BE60" s="3"/>
    </row>
    <row r="61" spans="1:57" x14ac:dyDescent="0.35">
      <c r="A61" s="66" t="s">
        <v>261</v>
      </c>
      <c r="B61" s="67"/>
      <c r="C61" s="67"/>
      <c r="D61" s="68"/>
      <c r="E61" s="70"/>
      <c r="F61" s="109" t="str">
        <f>HYPERLINK("https://pbs.twimg.com/profile_images/1370546568164560896/aY6IfxrA_normal.jpg")</f>
        <v>https://pbs.twimg.com/profile_images/1370546568164560896/aY6IfxrA_normal.jpg</v>
      </c>
      <c r="G61" s="67"/>
      <c r="H61" s="71"/>
      <c r="I61" s="72"/>
      <c r="J61" s="72"/>
      <c r="K61" s="71" t="s">
        <v>10804</v>
      </c>
      <c r="L61" s="75"/>
      <c r="M61" s="76"/>
      <c r="N61" s="76"/>
      <c r="O61" s="77"/>
      <c r="P61" s="78"/>
      <c r="Q61" s="78"/>
      <c r="R61" s="92"/>
      <c r="S61" s="92"/>
      <c r="T61" s="92"/>
      <c r="U61" s="92"/>
      <c r="V61" s="52"/>
      <c r="W61" s="52"/>
      <c r="X61" s="52"/>
      <c r="Y61" s="52"/>
      <c r="Z61" s="51"/>
      <c r="AA61" s="73"/>
      <c r="AB61" s="73"/>
      <c r="AC61" s="74"/>
      <c r="AD61" s="80" t="s">
        <v>6644</v>
      </c>
      <c r="AE61" s="85" t="s">
        <v>7916</v>
      </c>
      <c r="AF61" s="80">
        <v>120</v>
      </c>
      <c r="AG61" s="80">
        <v>95</v>
      </c>
      <c r="AH61" s="80">
        <v>303</v>
      </c>
      <c r="AI61" s="80">
        <v>0</v>
      </c>
      <c r="AJ61" s="80"/>
      <c r="AK61" s="80" t="s">
        <v>9007</v>
      </c>
      <c r="AL61" s="80" t="s">
        <v>10165</v>
      </c>
      <c r="AM61" s="87" t="str">
        <f>HYPERLINK("https://t.co/BV5mUVuJVI")</f>
        <v>https://t.co/BV5mUVuJVI</v>
      </c>
      <c r="AN61" s="80"/>
      <c r="AO61" s="82">
        <v>44268.058495370373</v>
      </c>
      <c r="AP61" s="87" t="str">
        <f>HYPERLINK("https://pbs.twimg.com/profile_banners/1370546137648693251/1630244173")</f>
        <v>https://pbs.twimg.com/profile_banners/1370546137648693251/1630244173</v>
      </c>
      <c r="AQ61" s="80" t="b">
        <v>1</v>
      </c>
      <c r="AR61" s="80" t="b">
        <v>0</v>
      </c>
      <c r="AS61" s="80" t="b">
        <v>0</v>
      </c>
      <c r="AT61" s="80"/>
      <c r="AU61" s="80">
        <v>0</v>
      </c>
      <c r="AV61" s="80"/>
      <c r="AW61" s="80" t="b">
        <v>0</v>
      </c>
      <c r="AX61" s="80" t="s">
        <v>10746</v>
      </c>
      <c r="AY61" s="87" t="str">
        <f>HYPERLINK("https://twitter.com/lowkerid1")</f>
        <v>https://twitter.com/lowkerid1</v>
      </c>
      <c r="AZ61" s="80" t="s">
        <v>66</v>
      </c>
      <c r="BA61" s="2"/>
      <c r="BB61" s="3"/>
      <c r="BC61" s="3"/>
      <c r="BD61" s="3"/>
      <c r="BE61" s="3"/>
    </row>
    <row r="62" spans="1:57" x14ac:dyDescent="0.35">
      <c r="A62" s="66" t="s">
        <v>1282</v>
      </c>
      <c r="B62" s="67"/>
      <c r="C62" s="67"/>
      <c r="D62" s="68"/>
      <c r="E62" s="70"/>
      <c r="F62" s="109" t="str">
        <f>HYPERLINK("https://pbs.twimg.com/profile_images/1370426755564011521/RuYB_FKl_normal.jpg")</f>
        <v>https://pbs.twimg.com/profile_images/1370426755564011521/RuYB_FKl_normal.jpg</v>
      </c>
      <c r="G62" s="67"/>
      <c r="H62" s="71"/>
      <c r="I62" s="72"/>
      <c r="J62" s="72"/>
      <c r="K62" s="71" t="s">
        <v>10805</v>
      </c>
      <c r="L62" s="75"/>
      <c r="M62" s="76"/>
      <c r="N62" s="76"/>
      <c r="O62" s="77"/>
      <c r="P62" s="78"/>
      <c r="Q62" s="78"/>
      <c r="R62" s="92"/>
      <c r="S62" s="92"/>
      <c r="T62" s="92"/>
      <c r="U62" s="92"/>
      <c r="V62" s="52"/>
      <c r="W62" s="52"/>
      <c r="X62" s="52"/>
      <c r="Y62" s="52"/>
      <c r="Z62" s="51"/>
      <c r="AA62" s="73"/>
      <c r="AB62" s="73"/>
      <c r="AC62" s="74"/>
      <c r="AD62" s="80" t="s">
        <v>6645</v>
      </c>
      <c r="AE62" s="85" t="s">
        <v>7917</v>
      </c>
      <c r="AF62" s="80">
        <v>416</v>
      </c>
      <c r="AG62" s="80">
        <v>246</v>
      </c>
      <c r="AH62" s="80">
        <v>1760</v>
      </c>
      <c r="AI62" s="80">
        <v>99</v>
      </c>
      <c r="AJ62" s="80"/>
      <c r="AK62" s="80" t="s">
        <v>9008</v>
      </c>
      <c r="AL62" s="80" t="s">
        <v>10134</v>
      </c>
      <c r="AM62" s="87" t="str">
        <f>HYPERLINK("https://t.co/fvQo4mZnPF")</f>
        <v>https://t.co/fvQo4mZnPF</v>
      </c>
      <c r="AN62" s="80"/>
      <c r="AO62" s="82">
        <v>43787.673981481479</v>
      </c>
      <c r="AP62" s="87" t="str">
        <f>HYPERLINK("https://pbs.twimg.com/profile_banners/1196460635594186752/1615570220")</f>
        <v>https://pbs.twimg.com/profile_banners/1196460635594186752/1615570220</v>
      </c>
      <c r="AQ62" s="80" t="b">
        <v>1</v>
      </c>
      <c r="AR62" s="80" t="b">
        <v>0</v>
      </c>
      <c r="AS62" s="80" t="b">
        <v>0</v>
      </c>
      <c r="AT62" s="80"/>
      <c r="AU62" s="80">
        <v>0</v>
      </c>
      <c r="AV62" s="80"/>
      <c r="AW62" s="80" t="b">
        <v>0</v>
      </c>
      <c r="AX62" s="80" t="s">
        <v>10746</v>
      </c>
      <c r="AY62" s="87" t="str">
        <f>HYPERLINK("https://twitter.com/lowker_indojob")</f>
        <v>https://twitter.com/lowker_indojob</v>
      </c>
      <c r="AZ62" s="80" t="s">
        <v>65</v>
      </c>
      <c r="BA62" s="2"/>
      <c r="BB62" s="3"/>
      <c r="BC62" s="3"/>
      <c r="BD62" s="3"/>
      <c r="BE62" s="3"/>
    </row>
    <row r="63" spans="1:57" x14ac:dyDescent="0.35">
      <c r="A63" s="66" t="s">
        <v>262</v>
      </c>
      <c r="B63" s="67"/>
      <c r="C63" s="67"/>
      <c r="D63" s="68"/>
      <c r="E63" s="70"/>
      <c r="F63" s="109" t="str">
        <f>HYPERLINK("https://pbs.twimg.com/profile_images/2737035976/652eb3eaeeaa1f765824730f32d24bfc_normal.jpeg")</f>
        <v>https://pbs.twimg.com/profile_images/2737035976/652eb3eaeeaa1f765824730f32d24bfc_normal.jpeg</v>
      </c>
      <c r="G63" s="67"/>
      <c r="H63" s="71"/>
      <c r="I63" s="72"/>
      <c r="J63" s="72"/>
      <c r="K63" s="71" t="s">
        <v>10806</v>
      </c>
      <c r="L63" s="75"/>
      <c r="M63" s="76"/>
      <c r="N63" s="76"/>
      <c r="O63" s="77"/>
      <c r="P63" s="78"/>
      <c r="Q63" s="78"/>
      <c r="R63" s="92"/>
      <c r="S63" s="92"/>
      <c r="T63" s="92"/>
      <c r="U63" s="92"/>
      <c r="V63" s="52"/>
      <c r="W63" s="52"/>
      <c r="X63" s="52"/>
      <c r="Y63" s="52"/>
      <c r="Z63" s="51"/>
      <c r="AA63" s="73"/>
      <c r="AB63" s="73"/>
      <c r="AC63" s="74"/>
      <c r="AD63" s="80" t="s">
        <v>6646</v>
      </c>
      <c r="AE63" s="85" t="s">
        <v>7918</v>
      </c>
      <c r="AF63" s="80">
        <v>104</v>
      </c>
      <c r="AG63" s="80">
        <v>111</v>
      </c>
      <c r="AH63" s="80">
        <v>746</v>
      </c>
      <c r="AI63" s="80">
        <v>19</v>
      </c>
      <c r="AJ63" s="80"/>
      <c r="AK63" s="80" t="s">
        <v>9009</v>
      </c>
      <c r="AL63" s="80" t="s">
        <v>10165</v>
      </c>
      <c r="AM63" s="87" t="str">
        <f>HYPERLINK("https://t.co/JQno4Kc75K")</f>
        <v>https://t.co/JQno4Kc75K</v>
      </c>
      <c r="AN63" s="80"/>
      <c r="AO63" s="82">
        <v>40088.487361111111</v>
      </c>
      <c r="AP63" s="80"/>
      <c r="AQ63" s="80" t="b">
        <v>1</v>
      </c>
      <c r="AR63" s="80" t="b">
        <v>0</v>
      </c>
      <c r="AS63" s="80" t="b">
        <v>1</v>
      </c>
      <c r="AT63" s="80"/>
      <c r="AU63" s="80">
        <v>4</v>
      </c>
      <c r="AV63" s="87" t="str">
        <f>HYPERLINK("https://abs.twimg.com/images/themes/theme1/bg.png")</f>
        <v>https://abs.twimg.com/images/themes/theme1/bg.png</v>
      </c>
      <c r="AW63" s="80" t="b">
        <v>0</v>
      </c>
      <c r="AX63" s="80" t="s">
        <v>10746</v>
      </c>
      <c r="AY63" s="87" t="str">
        <f>HYPERLINK("https://twitter.com/dwi_wahyudi")</f>
        <v>https://twitter.com/dwi_wahyudi</v>
      </c>
      <c r="AZ63" s="80" t="s">
        <v>66</v>
      </c>
      <c r="BA63" s="2"/>
      <c r="BB63" s="3"/>
      <c r="BC63" s="3"/>
      <c r="BD63" s="3"/>
      <c r="BE63" s="3"/>
    </row>
    <row r="64" spans="1:57" x14ac:dyDescent="0.35">
      <c r="A64" s="66" t="s">
        <v>263</v>
      </c>
      <c r="B64" s="67"/>
      <c r="C64" s="67"/>
      <c r="D64" s="68"/>
      <c r="E64" s="70"/>
      <c r="F64" s="109" t="str">
        <f>HYPERLINK("https://pbs.twimg.com/profile_images/1332958330650759170/Cz_n6rYr_normal.jpg")</f>
        <v>https://pbs.twimg.com/profile_images/1332958330650759170/Cz_n6rYr_normal.jpg</v>
      </c>
      <c r="G64" s="67"/>
      <c r="H64" s="71"/>
      <c r="I64" s="72"/>
      <c r="J64" s="72"/>
      <c r="K64" s="71" t="s">
        <v>10807</v>
      </c>
      <c r="L64" s="75"/>
      <c r="M64" s="76"/>
      <c r="N64" s="76"/>
      <c r="O64" s="77"/>
      <c r="P64" s="78"/>
      <c r="Q64" s="78"/>
      <c r="R64" s="92"/>
      <c r="S64" s="92"/>
      <c r="T64" s="92"/>
      <c r="U64" s="92"/>
      <c r="V64" s="52"/>
      <c r="W64" s="52"/>
      <c r="X64" s="52"/>
      <c r="Y64" s="52"/>
      <c r="Z64" s="51"/>
      <c r="AA64" s="73"/>
      <c r="AB64" s="73"/>
      <c r="AC64" s="74"/>
      <c r="AD64" s="80" t="s">
        <v>6647</v>
      </c>
      <c r="AE64" s="85" t="s">
        <v>7919</v>
      </c>
      <c r="AF64" s="80">
        <v>3410</v>
      </c>
      <c r="AG64" s="80">
        <v>322</v>
      </c>
      <c r="AH64" s="80">
        <v>750</v>
      </c>
      <c r="AI64" s="80">
        <v>932</v>
      </c>
      <c r="AJ64" s="80"/>
      <c r="AK64" s="80" t="s">
        <v>9010</v>
      </c>
      <c r="AL64" s="80" t="s">
        <v>10166</v>
      </c>
      <c r="AM64" s="87" t="str">
        <f>HYPERLINK("https://t.co/9XbJxyjoOB")</f>
        <v>https://t.co/9XbJxyjoOB</v>
      </c>
      <c r="AN64" s="80"/>
      <c r="AO64" s="82">
        <v>42697.791284722225</v>
      </c>
      <c r="AP64" s="87" t="str">
        <f>HYPERLINK("https://pbs.twimg.com/profile_banners/801500427854479362/1606282155")</f>
        <v>https://pbs.twimg.com/profile_banners/801500427854479362/1606282155</v>
      </c>
      <c r="AQ64" s="80" t="b">
        <v>0</v>
      </c>
      <c r="AR64" s="80" t="b">
        <v>0</v>
      </c>
      <c r="AS64" s="80" t="b">
        <v>0</v>
      </c>
      <c r="AT64" s="80"/>
      <c r="AU64" s="80">
        <v>1</v>
      </c>
      <c r="AV64" s="87" t="str">
        <f>HYPERLINK("https://abs.twimg.com/images/themes/theme1/bg.png")</f>
        <v>https://abs.twimg.com/images/themes/theme1/bg.png</v>
      </c>
      <c r="AW64" s="80" t="b">
        <v>0</v>
      </c>
      <c r="AX64" s="80" t="s">
        <v>10746</v>
      </c>
      <c r="AY64" s="87" t="str">
        <f>HYPERLINK("https://twitter.com/bilaljaveid954")</f>
        <v>https://twitter.com/bilaljaveid954</v>
      </c>
      <c r="AZ64" s="80" t="s">
        <v>66</v>
      </c>
      <c r="BA64" s="2"/>
      <c r="BB64" s="3"/>
      <c r="BC64" s="3"/>
      <c r="BD64" s="3"/>
      <c r="BE64" s="3"/>
    </row>
    <row r="65" spans="1:57" x14ac:dyDescent="0.35">
      <c r="A65" s="66" t="s">
        <v>264</v>
      </c>
      <c r="B65" s="67"/>
      <c r="C65" s="67"/>
      <c r="D65" s="68"/>
      <c r="E65" s="70"/>
      <c r="F65" s="109" t="str">
        <f>HYPERLINK("https://pbs.twimg.com/profile_images/1442457542936854530/CRfl9YoR_normal.jpg")</f>
        <v>https://pbs.twimg.com/profile_images/1442457542936854530/CRfl9YoR_normal.jpg</v>
      </c>
      <c r="G65" s="67"/>
      <c r="H65" s="71"/>
      <c r="I65" s="72"/>
      <c r="J65" s="72"/>
      <c r="K65" s="71" t="s">
        <v>10808</v>
      </c>
      <c r="L65" s="75"/>
      <c r="M65" s="76"/>
      <c r="N65" s="76"/>
      <c r="O65" s="77"/>
      <c r="P65" s="78"/>
      <c r="Q65" s="78"/>
      <c r="R65" s="92"/>
      <c r="S65" s="92"/>
      <c r="T65" s="92"/>
      <c r="U65" s="92"/>
      <c r="V65" s="52"/>
      <c r="W65" s="52"/>
      <c r="X65" s="52"/>
      <c r="Y65" s="52"/>
      <c r="Z65" s="51"/>
      <c r="AA65" s="73"/>
      <c r="AB65" s="73"/>
      <c r="AC65" s="74"/>
      <c r="AD65" s="80" t="s">
        <v>6648</v>
      </c>
      <c r="AE65" s="85" t="s">
        <v>7920</v>
      </c>
      <c r="AF65" s="80">
        <v>302</v>
      </c>
      <c r="AG65" s="80">
        <v>2545</v>
      </c>
      <c r="AH65" s="80">
        <v>2877</v>
      </c>
      <c r="AI65" s="80">
        <v>336</v>
      </c>
      <c r="AJ65" s="80"/>
      <c r="AK65" s="80" t="s">
        <v>9011</v>
      </c>
      <c r="AL65" s="80" t="s">
        <v>6543</v>
      </c>
      <c r="AM65" s="80"/>
      <c r="AN65" s="80"/>
      <c r="AO65" s="82">
        <v>41185.649513888886</v>
      </c>
      <c r="AP65" s="87" t="str">
        <f>HYPERLINK("https://pbs.twimg.com/profile_banners/859889257/1600682701")</f>
        <v>https://pbs.twimg.com/profile_banners/859889257/1600682701</v>
      </c>
      <c r="AQ65" s="80" t="b">
        <v>0</v>
      </c>
      <c r="AR65" s="80" t="b">
        <v>0</v>
      </c>
      <c r="AS65" s="80" t="b">
        <v>1</v>
      </c>
      <c r="AT65" s="80"/>
      <c r="AU65" s="80">
        <v>0</v>
      </c>
      <c r="AV65" s="87" t="str">
        <f>HYPERLINK("https://abs.twimg.com/images/themes/theme1/bg.png")</f>
        <v>https://abs.twimg.com/images/themes/theme1/bg.png</v>
      </c>
      <c r="AW65" s="80" t="b">
        <v>0</v>
      </c>
      <c r="AX65" s="80" t="s">
        <v>10746</v>
      </c>
      <c r="AY65" s="87" t="str">
        <f>HYPERLINK("https://twitter.com/arangomah")</f>
        <v>https://twitter.com/arangomah</v>
      </c>
      <c r="AZ65" s="80" t="s">
        <v>66</v>
      </c>
      <c r="BA65" s="2"/>
      <c r="BB65" s="3"/>
      <c r="BC65" s="3"/>
      <c r="BD65" s="3"/>
      <c r="BE65" s="3"/>
    </row>
    <row r="66" spans="1:57" x14ac:dyDescent="0.35">
      <c r="A66" s="66" t="s">
        <v>265</v>
      </c>
      <c r="B66" s="67"/>
      <c r="C66" s="67"/>
      <c r="D66" s="68"/>
      <c r="E66" s="70"/>
      <c r="F66" s="109" t="str">
        <f>HYPERLINK("https://pbs.twimg.com/profile_images/1351154192556183552/v9oeyfWf_normal.jpg")</f>
        <v>https://pbs.twimg.com/profile_images/1351154192556183552/v9oeyfWf_normal.jpg</v>
      </c>
      <c r="G66" s="67"/>
      <c r="H66" s="71"/>
      <c r="I66" s="72"/>
      <c r="J66" s="72"/>
      <c r="K66" s="71" t="s">
        <v>10809</v>
      </c>
      <c r="L66" s="75"/>
      <c r="M66" s="76"/>
      <c r="N66" s="76"/>
      <c r="O66" s="77"/>
      <c r="P66" s="78"/>
      <c r="Q66" s="78"/>
      <c r="R66" s="92"/>
      <c r="S66" s="92"/>
      <c r="T66" s="92"/>
      <c r="U66" s="92"/>
      <c r="V66" s="52"/>
      <c r="W66" s="52"/>
      <c r="X66" s="52"/>
      <c r="Y66" s="52"/>
      <c r="Z66" s="51"/>
      <c r="AA66" s="73"/>
      <c r="AB66" s="73"/>
      <c r="AC66" s="74"/>
      <c r="AD66" s="80" t="s">
        <v>6649</v>
      </c>
      <c r="AE66" s="85" t="s">
        <v>7921</v>
      </c>
      <c r="AF66" s="80">
        <v>490</v>
      </c>
      <c r="AG66" s="80">
        <v>327</v>
      </c>
      <c r="AH66" s="80">
        <v>1176</v>
      </c>
      <c r="AI66" s="80">
        <v>1651</v>
      </c>
      <c r="AJ66" s="80"/>
      <c r="AK66" s="80" t="s">
        <v>9012</v>
      </c>
      <c r="AL66" s="80"/>
      <c r="AM66" s="80"/>
      <c r="AN66" s="80"/>
      <c r="AO66" s="82">
        <v>44107.402407407404</v>
      </c>
      <c r="AP66" s="87" t="str">
        <f>HYPERLINK("https://pbs.twimg.com/profile_banners/1312326355279736832/1606243780")</f>
        <v>https://pbs.twimg.com/profile_banners/1312326355279736832/1606243780</v>
      </c>
      <c r="AQ66" s="80" t="b">
        <v>1</v>
      </c>
      <c r="AR66" s="80" t="b">
        <v>0</v>
      </c>
      <c r="AS66" s="80" t="b">
        <v>0</v>
      </c>
      <c r="AT66" s="80"/>
      <c r="AU66" s="80">
        <v>1</v>
      </c>
      <c r="AV66" s="80"/>
      <c r="AW66" s="80" t="b">
        <v>0</v>
      </c>
      <c r="AX66" s="80" t="s">
        <v>10746</v>
      </c>
      <c r="AY66" s="87" t="str">
        <f>HYPERLINK("https://twitter.com/demgons")</f>
        <v>https://twitter.com/demgons</v>
      </c>
      <c r="AZ66" s="80" t="s">
        <v>66</v>
      </c>
      <c r="BA66" s="2"/>
      <c r="BB66" s="3"/>
      <c r="BC66" s="3"/>
      <c r="BD66" s="3"/>
      <c r="BE66" s="3"/>
    </row>
    <row r="67" spans="1:57" x14ac:dyDescent="0.35">
      <c r="A67" s="66" t="s">
        <v>266</v>
      </c>
      <c r="B67" s="67"/>
      <c r="C67" s="67"/>
      <c r="D67" s="68"/>
      <c r="E67" s="70"/>
      <c r="F67" s="109" t="str">
        <f>HYPERLINK("https://pbs.twimg.com/profile_images/1403346138900533248/hQ017-zT_normal.jpg")</f>
        <v>https://pbs.twimg.com/profile_images/1403346138900533248/hQ017-zT_normal.jpg</v>
      </c>
      <c r="G67" s="67"/>
      <c r="H67" s="71"/>
      <c r="I67" s="72"/>
      <c r="J67" s="72"/>
      <c r="K67" s="71" t="s">
        <v>10810</v>
      </c>
      <c r="L67" s="75"/>
      <c r="M67" s="76"/>
      <c r="N67" s="76"/>
      <c r="O67" s="77"/>
      <c r="P67" s="78"/>
      <c r="Q67" s="78"/>
      <c r="R67" s="92"/>
      <c r="S67" s="92"/>
      <c r="T67" s="92"/>
      <c r="U67" s="92"/>
      <c r="V67" s="52"/>
      <c r="W67" s="52"/>
      <c r="X67" s="52"/>
      <c r="Y67" s="52"/>
      <c r="Z67" s="51"/>
      <c r="AA67" s="73"/>
      <c r="AB67" s="73"/>
      <c r="AC67" s="74"/>
      <c r="AD67" s="80" t="s">
        <v>6650</v>
      </c>
      <c r="AE67" s="85" t="s">
        <v>7922</v>
      </c>
      <c r="AF67" s="80">
        <v>2677</v>
      </c>
      <c r="AG67" s="80">
        <v>2476</v>
      </c>
      <c r="AH67" s="80">
        <v>2973</v>
      </c>
      <c r="AI67" s="80">
        <v>259</v>
      </c>
      <c r="AJ67" s="80"/>
      <c r="AK67" s="80" t="s">
        <v>9013</v>
      </c>
      <c r="AL67" s="80"/>
      <c r="AM67" s="80"/>
      <c r="AN67" s="80"/>
      <c r="AO67" s="82">
        <v>43649.459467592591</v>
      </c>
      <c r="AP67" s="80"/>
      <c r="AQ67" s="80" t="b">
        <v>1</v>
      </c>
      <c r="AR67" s="80" t="b">
        <v>0</v>
      </c>
      <c r="AS67" s="80" t="b">
        <v>0</v>
      </c>
      <c r="AT67" s="80"/>
      <c r="AU67" s="80">
        <v>0</v>
      </c>
      <c r="AV67" s="80"/>
      <c r="AW67" s="80" t="b">
        <v>0</v>
      </c>
      <c r="AX67" s="80" t="s">
        <v>10746</v>
      </c>
      <c r="AY67" s="87" t="str">
        <f>HYPERLINK("https://twitter.com/nsntrmj")</f>
        <v>https://twitter.com/nsntrmj</v>
      </c>
      <c r="AZ67" s="80" t="s">
        <v>66</v>
      </c>
      <c r="BA67" s="2"/>
      <c r="BB67" s="3"/>
      <c r="BC67" s="3"/>
      <c r="BD67" s="3"/>
      <c r="BE67" s="3"/>
    </row>
    <row r="68" spans="1:57" x14ac:dyDescent="0.35">
      <c r="A68" s="66" t="s">
        <v>1283</v>
      </c>
      <c r="B68" s="67"/>
      <c r="C68" s="67"/>
      <c r="D68" s="68"/>
      <c r="E68" s="70"/>
      <c r="F68" s="109" t="str">
        <f>HYPERLINK("https://pbs.twimg.com/profile_images/1299550083097059332/uK26iMOu_normal.jpg")</f>
        <v>https://pbs.twimg.com/profile_images/1299550083097059332/uK26iMOu_normal.jpg</v>
      </c>
      <c r="G68" s="67"/>
      <c r="H68" s="71"/>
      <c r="I68" s="72"/>
      <c r="J68" s="72"/>
      <c r="K68" s="71" t="s">
        <v>10811</v>
      </c>
      <c r="L68" s="75"/>
      <c r="M68" s="76"/>
      <c r="N68" s="76"/>
      <c r="O68" s="77"/>
      <c r="P68" s="78"/>
      <c r="Q68" s="78"/>
      <c r="R68" s="92"/>
      <c r="S68" s="92"/>
      <c r="T68" s="92"/>
      <c r="U68" s="92"/>
      <c r="V68" s="52"/>
      <c r="W68" s="52"/>
      <c r="X68" s="52"/>
      <c r="Y68" s="52"/>
      <c r="Z68" s="51"/>
      <c r="AA68" s="73"/>
      <c r="AB68" s="73"/>
      <c r="AC68" s="74"/>
      <c r="AD68" s="80" t="s">
        <v>6651</v>
      </c>
      <c r="AE68" s="85" t="s">
        <v>7923</v>
      </c>
      <c r="AF68" s="80">
        <v>58</v>
      </c>
      <c r="AG68" s="80">
        <v>16084634</v>
      </c>
      <c r="AH68" s="80">
        <v>3503</v>
      </c>
      <c r="AI68" s="80">
        <v>14</v>
      </c>
      <c r="AJ68" s="80"/>
      <c r="AK68" s="80" t="s">
        <v>9014</v>
      </c>
      <c r="AL68" s="80" t="s">
        <v>10134</v>
      </c>
      <c r="AM68" s="80"/>
      <c r="AN68" s="80"/>
      <c r="AO68" s="82">
        <v>40789.22315972222</v>
      </c>
      <c r="AP68" s="87" t="str">
        <f>HYPERLINK("https://pbs.twimg.com/profile_banners/366987179/1598685765")</f>
        <v>https://pbs.twimg.com/profile_banners/366987179/1598685765</v>
      </c>
      <c r="AQ68" s="80" t="b">
        <v>0</v>
      </c>
      <c r="AR68" s="80" t="b">
        <v>0</v>
      </c>
      <c r="AS68" s="80" t="b">
        <v>1</v>
      </c>
      <c r="AT68" s="80"/>
      <c r="AU68" s="80">
        <v>4228</v>
      </c>
      <c r="AV68" s="87" t="str">
        <f>HYPERLINK("https://abs.twimg.com/images/themes/theme14/bg.gif")</f>
        <v>https://abs.twimg.com/images/themes/theme14/bg.gif</v>
      </c>
      <c r="AW68" s="80" t="b">
        <v>1</v>
      </c>
      <c r="AX68" s="80" t="s">
        <v>10746</v>
      </c>
      <c r="AY68" s="87" t="str">
        <f>HYPERLINK("https://twitter.com/jokowi")</f>
        <v>https://twitter.com/jokowi</v>
      </c>
      <c r="AZ68" s="80" t="s">
        <v>65</v>
      </c>
      <c r="BA68" s="2"/>
      <c r="BB68" s="3"/>
      <c r="BC68" s="3"/>
      <c r="BD68" s="3"/>
      <c r="BE68" s="3"/>
    </row>
    <row r="69" spans="1:57" x14ac:dyDescent="0.35">
      <c r="A69" s="66" t="s">
        <v>267</v>
      </c>
      <c r="B69" s="67"/>
      <c r="C69" s="67"/>
      <c r="D69" s="68"/>
      <c r="E69" s="70"/>
      <c r="F69" s="109" t="str">
        <f>HYPERLINK("https://pbs.twimg.com/profile_images/1388237946600361984/PKBXWly1_normal.jpg")</f>
        <v>https://pbs.twimg.com/profile_images/1388237946600361984/PKBXWly1_normal.jpg</v>
      </c>
      <c r="G69" s="67"/>
      <c r="H69" s="71"/>
      <c r="I69" s="72"/>
      <c r="J69" s="72"/>
      <c r="K69" s="71" t="s">
        <v>10812</v>
      </c>
      <c r="L69" s="75"/>
      <c r="M69" s="76"/>
      <c r="N69" s="76"/>
      <c r="O69" s="77"/>
      <c r="P69" s="78"/>
      <c r="Q69" s="78"/>
      <c r="R69" s="92"/>
      <c r="S69" s="92"/>
      <c r="T69" s="92"/>
      <c r="U69" s="92"/>
      <c r="V69" s="52"/>
      <c r="W69" s="52"/>
      <c r="X69" s="52"/>
      <c r="Y69" s="52"/>
      <c r="Z69" s="51"/>
      <c r="AA69" s="73"/>
      <c r="AB69" s="73"/>
      <c r="AC69" s="74"/>
      <c r="AD69" s="80" t="s">
        <v>6652</v>
      </c>
      <c r="AE69" s="85" t="s">
        <v>7924</v>
      </c>
      <c r="AF69" s="80">
        <v>62</v>
      </c>
      <c r="AG69" s="80">
        <v>53</v>
      </c>
      <c r="AH69" s="80">
        <v>868</v>
      </c>
      <c r="AI69" s="80">
        <v>11</v>
      </c>
      <c r="AJ69" s="80"/>
      <c r="AK69" s="80" t="s">
        <v>9015</v>
      </c>
      <c r="AL69" s="80"/>
      <c r="AM69" s="87" t="str">
        <f>HYPERLINK("https://t.co/L3NUnpltG3")</f>
        <v>https://t.co/L3NUnpltG3</v>
      </c>
      <c r="AN69" s="80"/>
      <c r="AO69" s="82">
        <v>44316.876921296294</v>
      </c>
      <c r="AP69" s="87" t="str">
        <f>HYPERLINK("https://pbs.twimg.com/profile_banners/1388237336924737537/1629693582")</f>
        <v>https://pbs.twimg.com/profile_banners/1388237336924737537/1629693582</v>
      </c>
      <c r="AQ69" s="80" t="b">
        <v>1</v>
      </c>
      <c r="AR69" s="80" t="b">
        <v>0</v>
      </c>
      <c r="AS69" s="80" t="b">
        <v>0</v>
      </c>
      <c r="AT69" s="80"/>
      <c r="AU69" s="80">
        <v>0</v>
      </c>
      <c r="AV69" s="80"/>
      <c r="AW69" s="80" t="b">
        <v>0</v>
      </c>
      <c r="AX69" s="80" t="s">
        <v>10746</v>
      </c>
      <c r="AY69" s="87" t="str">
        <f>HYPERLINK("https://twitter.com/bicaradotnews")</f>
        <v>https://twitter.com/bicaradotnews</v>
      </c>
      <c r="AZ69" s="80" t="s">
        <v>66</v>
      </c>
      <c r="BA69" s="2"/>
      <c r="BB69" s="3"/>
      <c r="BC69" s="3"/>
      <c r="BD69" s="3"/>
      <c r="BE69" s="3"/>
    </row>
    <row r="70" spans="1:57" x14ac:dyDescent="0.35">
      <c r="A70" s="66" t="s">
        <v>268</v>
      </c>
      <c r="B70" s="67"/>
      <c r="C70" s="67"/>
      <c r="D70" s="68"/>
      <c r="E70" s="70"/>
      <c r="F70" s="109" t="str">
        <f>HYPERLINK("https://pbs.twimg.com/profile_images/1026349211770474497/HHl7SpNC_normal.jpg")</f>
        <v>https://pbs.twimg.com/profile_images/1026349211770474497/HHl7SpNC_normal.jpg</v>
      </c>
      <c r="G70" s="67"/>
      <c r="H70" s="71"/>
      <c r="I70" s="72"/>
      <c r="J70" s="72"/>
      <c r="K70" s="71" t="s">
        <v>10813</v>
      </c>
      <c r="L70" s="75"/>
      <c r="M70" s="76"/>
      <c r="N70" s="76"/>
      <c r="O70" s="77"/>
      <c r="P70" s="78"/>
      <c r="Q70" s="78"/>
      <c r="R70" s="92"/>
      <c r="S70" s="92"/>
      <c r="T70" s="92"/>
      <c r="U70" s="92"/>
      <c r="V70" s="52"/>
      <c r="W70" s="52"/>
      <c r="X70" s="52"/>
      <c r="Y70" s="52"/>
      <c r="Z70" s="51"/>
      <c r="AA70" s="73"/>
      <c r="AB70" s="73"/>
      <c r="AC70" s="74"/>
      <c r="AD70" s="80" t="s">
        <v>6653</v>
      </c>
      <c r="AE70" s="85" t="s">
        <v>6252</v>
      </c>
      <c r="AF70" s="80">
        <v>229</v>
      </c>
      <c r="AG70" s="80">
        <v>181477</v>
      </c>
      <c r="AH70" s="80">
        <v>13900</v>
      </c>
      <c r="AI70" s="80">
        <v>11701</v>
      </c>
      <c r="AJ70" s="80"/>
      <c r="AK70" s="80" t="s">
        <v>9016</v>
      </c>
      <c r="AL70" s="80" t="s">
        <v>10167</v>
      </c>
      <c r="AM70" s="87" t="str">
        <f>HYPERLINK("https://t.co/dhIORpsGiv")</f>
        <v>https://t.co/dhIORpsGiv</v>
      </c>
      <c r="AN70" s="80"/>
      <c r="AO70" s="82">
        <v>42432.263958333337</v>
      </c>
      <c r="AP70" s="87" t="str">
        <f>HYPERLINK("https://pbs.twimg.com/profile_banners/705276546735407104/1628595015")</f>
        <v>https://pbs.twimg.com/profile_banners/705276546735407104/1628595015</v>
      </c>
      <c r="AQ70" s="80" t="b">
        <v>0</v>
      </c>
      <c r="AR70" s="80" t="b">
        <v>0</v>
      </c>
      <c r="AS70" s="80" t="b">
        <v>1</v>
      </c>
      <c r="AT70" s="80"/>
      <c r="AU70" s="80">
        <v>140</v>
      </c>
      <c r="AV70" s="87" t="str">
        <f>HYPERLINK("https://abs.twimg.com/images/themes/theme1/bg.png")</f>
        <v>https://abs.twimg.com/images/themes/theme1/bg.png</v>
      </c>
      <c r="AW70" s="80" t="b">
        <v>1</v>
      </c>
      <c r="AX70" s="80" t="s">
        <v>10746</v>
      </c>
      <c r="AY70" s="87" t="str">
        <f>HYPERLINK("https://twitter.com/kejaksaanri")</f>
        <v>https://twitter.com/kejaksaanri</v>
      </c>
      <c r="AZ70" s="80" t="s">
        <v>66</v>
      </c>
      <c r="BA70" s="2"/>
      <c r="BB70" s="3"/>
      <c r="BC70" s="3"/>
      <c r="BD70" s="3"/>
      <c r="BE70" s="3"/>
    </row>
    <row r="71" spans="1:57" x14ac:dyDescent="0.35">
      <c r="A71" s="66" t="s">
        <v>269</v>
      </c>
      <c r="B71" s="67"/>
      <c r="C71" s="67"/>
      <c r="D71" s="68"/>
      <c r="E71" s="70"/>
      <c r="F71" s="109" t="str">
        <f>HYPERLINK("https://pbs.twimg.com/profile_images/1440491582772285444/oYakBxb1_normal.jpg")</f>
        <v>https://pbs.twimg.com/profile_images/1440491582772285444/oYakBxb1_normal.jpg</v>
      </c>
      <c r="G71" s="67"/>
      <c r="H71" s="71"/>
      <c r="I71" s="72"/>
      <c r="J71" s="72"/>
      <c r="K71" s="71" t="s">
        <v>10814</v>
      </c>
      <c r="L71" s="75"/>
      <c r="M71" s="76"/>
      <c r="N71" s="76"/>
      <c r="O71" s="77"/>
      <c r="P71" s="78"/>
      <c r="Q71" s="78"/>
      <c r="R71" s="92"/>
      <c r="S71" s="92"/>
      <c r="T71" s="92"/>
      <c r="U71" s="92"/>
      <c r="V71" s="52"/>
      <c r="W71" s="52"/>
      <c r="X71" s="52"/>
      <c r="Y71" s="52"/>
      <c r="Z71" s="51"/>
      <c r="AA71" s="73"/>
      <c r="AB71" s="73"/>
      <c r="AC71" s="74"/>
      <c r="AD71" s="80" t="s">
        <v>6654</v>
      </c>
      <c r="AE71" s="85" t="s">
        <v>7925</v>
      </c>
      <c r="AF71" s="80">
        <v>76</v>
      </c>
      <c r="AG71" s="80">
        <v>235</v>
      </c>
      <c r="AH71" s="80">
        <v>1695</v>
      </c>
      <c r="AI71" s="80">
        <v>940</v>
      </c>
      <c r="AJ71" s="80"/>
      <c r="AK71" s="80" t="s">
        <v>9017</v>
      </c>
      <c r="AL71" s="80" t="s">
        <v>10168</v>
      </c>
      <c r="AM71" s="87" t="str">
        <f>HYPERLINK("https://t.co/Eo6Xj9yKLQ")</f>
        <v>https://t.co/Eo6Xj9yKLQ</v>
      </c>
      <c r="AN71" s="80"/>
      <c r="AO71" s="82">
        <v>43943.239756944444</v>
      </c>
      <c r="AP71" s="87" t="str">
        <f>HYPERLINK("https://pbs.twimg.com/profile_banners/1252835716599443458/1587534657")</f>
        <v>https://pbs.twimg.com/profile_banners/1252835716599443458/1587534657</v>
      </c>
      <c r="AQ71" s="80" t="b">
        <v>1</v>
      </c>
      <c r="AR71" s="80" t="b">
        <v>0</v>
      </c>
      <c r="AS71" s="80" t="b">
        <v>0</v>
      </c>
      <c r="AT71" s="80"/>
      <c r="AU71" s="80">
        <v>0</v>
      </c>
      <c r="AV71" s="80"/>
      <c r="AW71" s="80" t="b">
        <v>0</v>
      </c>
      <c r="AX71" s="80" t="s">
        <v>10746</v>
      </c>
      <c r="AY71" s="87" t="str">
        <f>HYPERLINK("https://twitter.com/kn_sungaipenuh")</f>
        <v>https://twitter.com/kn_sungaipenuh</v>
      </c>
      <c r="AZ71" s="80" t="s">
        <v>66</v>
      </c>
      <c r="BA71" s="2"/>
      <c r="BB71" s="3"/>
      <c r="BC71" s="3"/>
      <c r="BD71" s="3"/>
      <c r="BE71" s="3"/>
    </row>
    <row r="72" spans="1:57" x14ac:dyDescent="0.35">
      <c r="A72" s="66" t="s">
        <v>270</v>
      </c>
      <c r="B72" s="67"/>
      <c r="C72" s="67"/>
      <c r="D72" s="68"/>
      <c r="E72" s="70"/>
      <c r="F72" s="109" t="str">
        <f>HYPERLINK("https://pbs.twimg.com/profile_images/1432748448017784832/xpsWJuvW_normal.jpg")</f>
        <v>https://pbs.twimg.com/profile_images/1432748448017784832/xpsWJuvW_normal.jpg</v>
      </c>
      <c r="G72" s="67"/>
      <c r="H72" s="71"/>
      <c r="I72" s="72"/>
      <c r="J72" s="72"/>
      <c r="K72" s="71" t="s">
        <v>10815</v>
      </c>
      <c r="L72" s="75"/>
      <c r="M72" s="76"/>
      <c r="N72" s="76"/>
      <c r="O72" s="77"/>
      <c r="P72" s="78"/>
      <c r="Q72" s="78"/>
      <c r="R72" s="92"/>
      <c r="S72" s="92"/>
      <c r="T72" s="92"/>
      <c r="U72" s="92"/>
      <c r="V72" s="52"/>
      <c r="W72" s="52"/>
      <c r="X72" s="52"/>
      <c r="Y72" s="52"/>
      <c r="Z72" s="51"/>
      <c r="AA72" s="73"/>
      <c r="AB72" s="73"/>
      <c r="AC72" s="74"/>
      <c r="AD72" s="80" t="s">
        <v>6655</v>
      </c>
      <c r="AE72" s="85" t="s">
        <v>7926</v>
      </c>
      <c r="AF72" s="80">
        <v>2</v>
      </c>
      <c r="AG72" s="80">
        <v>6</v>
      </c>
      <c r="AH72" s="80">
        <v>1928</v>
      </c>
      <c r="AI72" s="80">
        <v>4</v>
      </c>
      <c r="AJ72" s="80"/>
      <c r="AK72" s="80" t="s">
        <v>9018</v>
      </c>
      <c r="AL72" s="80"/>
      <c r="AM72" s="80"/>
      <c r="AN72" s="80"/>
      <c r="AO72" s="82">
        <v>44439.693958333337</v>
      </c>
      <c r="AP72" s="80"/>
      <c r="AQ72" s="80" t="b">
        <v>1</v>
      </c>
      <c r="AR72" s="80" t="b">
        <v>0</v>
      </c>
      <c r="AS72" s="80" t="b">
        <v>0</v>
      </c>
      <c r="AT72" s="80"/>
      <c r="AU72" s="80">
        <v>0</v>
      </c>
      <c r="AV72" s="80"/>
      <c r="AW72" s="80" t="b">
        <v>0</v>
      </c>
      <c r="AX72" s="80" t="s">
        <v>10746</v>
      </c>
      <c r="AY72" s="87" t="str">
        <f>HYPERLINK("https://twitter.com/malangsorn6")</f>
        <v>https://twitter.com/malangsorn6</v>
      </c>
      <c r="AZ72" s="80" t="s">
        <v>66</v>
      </c>
      <c r="BA72" s="2"/>
      <c r="BB72" s="3"/>
      <c r="BC72" s="3"/>
      <c r="BD72" s="3"/>
      <c r="BE72" s="3"/>
    </row>
    <row r="73" spans="1:57" x14ac:dyDescent="0.35">
      <c r="A73" s="66" t="s">
        <v>271</v>
      </c>
      <c r="B73" s="67"/>
      <c r="C73" s="67"/>
      <c r="D73" s="68"/>
      <c r="E73" s="70"/>
      <c r="F73" s="109" t="str">
        <f>HYPERLINK("https://pbs.twimg.com/profile_images/1334045778097029123/daCvrGbn_normal.jpg")</f>
        <v>https://pbs.twimg.com/profile_images/1334045778097029123/daCvrGbn_normal.jpg</v>
      </c>
      <c r="G73" s="67"/>
      <c r="H73" s="71"/>
      <c r="I73" s="72"/>
      <c r="J73" s="72"/>
      <c r="K73" s="71" t="s">
        <v>10816</v>
      </c>
      <c r="L73" s="75"/>
      <c r="M73" s="76"/>
      <c r="N73" s="76"/>
      <c r="O73" s="77"/>
      <c r="P73" s="78"/>
      <c r="Q73" s="78"/>
      <c r="R73" s="92"/>
      <c r="S73" s="92"/>
      <c r="T73" s="92"/>
      <c r="U73" s="92"/>
      <c r="V73" s="52"/>
      <c r="W73" s="52"/>
      <c r="X73" s="52"/>
      <c r="Y73" s="52"/>
      <c r="Z73" s="51"/>
      <c r="AA73" s="73"/>
      <c r="AB73" s="73"/>
      <c r="AC73" s="74"/>
      <c r="AD73" s="80" t="s">
        <v>6656</v>
      </c>
      <c r="AE73" s="85" t="s">
        <v>6253</v>
      </c>
      <c r="AF73" s="80">
        <v>789</v>
      </c>
      <c r="AG73" s="80">
        <v>1602</v>
      </c>
      <c r="AH73" s="80">
        <v>146858</v>
      </c>
      <c r="AI73" s="80">
        <v>41878</v>
      </c>
      <c r="AJ73" s="80"/>
      <c r="AK73" s="80" t="s">
        <v>9019</v>
      </c>
      <c r="AL73" s="80" t="s">
        <v>10169</v>
      </c>
      <c r="AM73" s="87" t="str">
        <f>HYPERLINK("https://t.co/qguypnxL00")</f>
        <v>https://t.co/qguypnxL00</v>
      </c>
      <c r="AN73" s="80"/>
      <c r="AO73" s="82">
        <v>40098.158912037034</v>
      </c>
      <c r="AP73" s="87" t="str">
        <f>HYPERLINK("https://pbs.twimg.com/profile_banners/81755703/1596423874")</f>
        <v>https://pbs.twimg.com/profile_banners/81755703/1596423874</v>
      </c>
      <c r="AQ73" s="80" t="b">
        <v>0</v>
      </c>
      <c r="AR73" s="80" t="b">
        <v>0</v>
      </c>
      <c r="AS73" s="80" t="b">
        <v>1</v>
      </c>
      <c r="AT73" s="80"/>
      <c r="AU73" s="80">
        <v>35</v>
      </c>
      <c r="AV73" s="87" t="str">
        <f>HYPERLINK("https://abs.twimg.com/images/themes/theme15/bg.png")</f>
        <v>https://abs.twimg.com/images/themes/theme15/bg.png</v>
      </c>
      <c r="AW73" s="80" t="b">
        <v>0</v>
      </c>
      <c r="AX73" s="80" t="s">
        <v>10746</v>
      </c>
      <c r="AY73" s="87" t="str">
        <f>HYPERLINK("https://twitter.com/15death")</f>
        <v>https://twitter.com/15death</v>
      </c>
      <c r="AZ73" s="80" t="s">
        <v>66</v>
      </c>
      <c r="BA73" s="2"/>
      <c r="BB73" s="3"/>
      <c r="BC73" s="3"/>
      <c r="BD73" s="3"/>
      <c r="BE73" s="3"/>
    </row>
    <row r="74" spans="1:57" x14ac:dyDescent="0.35">
      <c r="A74" s="66" t="s">
        <v>272</v>
      </c>
      <c r="B74" s="67"/>
      <c r="C74" s="67"/>
      <c r="D74" s="68"/>
      <c r="E74" s="70"/>
      <c r="F74" s="109" t="str">
        <f>HYPERLINK("https://pbs.twimg.com/profile_images/1400067327127744518/nbn8ct4r_normal.jpg")</f>
        <v>https://pbs.twimg.com/profile_images/1400067327127744518/nbn8ct4r_normal.jpg</v>
      </c>
      <c r="G74" s="67"/>
      <c r="H74" s="71"/>
      <c r="I74" s="72"/>
      <c r="J74" s="72"/>
      <c r="K74" s="71" t="s">
        <v>10817</v>
      </c>
      <c r="L74" s="75"/>
      <c r="M74" s="76"/>
      <c r="N74" s="76"/>
      <c r="O74" s="77"/>
      <c r="P74" s="78"/>
      <c r="Q74" s="78"/>
      <c r="R74" s="92"/>
      <c r="S74" s="92"/>
      <c r="T74" s="92"/>
      <c r="U74" s="92"/>
      <c r="V74" s="52"/>
      <c r="W74" s="52"/>
      <c r="X74" s="52"/>
      <c r="Y74" s="52"/>
      <c r="Z74" s="51"/>
      <c r="AA74" s="73"/>
      <c r="AB74" s="73"/>
      <c r="AC74" s="74"/>
      <c r="AD74" s="80" t="s">
        <v>6657</v>
      </c>
      <c r="AE74" s="85" t="s">
        <v>7927</v>
      </c>
      <c r="AF74" s="80">
        <v>14</v>
      </c>
      <c r="AG74" s="80">
        <v>15</v>
      </c>
      <c r="AH74" s="80">
        <v>2184</v>
      </c>
      <c r="AI74" s="80">
        <v>22</v>
      </c>
      <c r="AJ74" s="80"/>
      <c r="AK74" s="80" t="s">
        <v>9020</v>
      </c>
      <c r="AL74" s="80" t="s">
        <v>10170</v>
      </c>
      <c r="AM74" s="80"/>
      <c r="AN74" s="80"/>
      <c r="AO74" s="82">
        <v>44234.549791666665</v>
      </c>
      <c r="AP74" s="87" t="str">
        <f>HYPERLINK("https://pbs.twimg.com/profile_banners/1358402913765183488/1622637296")</f>
        <v>https://pbs.twimg.com/profile_banners/1358402913765183488/1622637296</v>
      </c>
      <c r="AQ74" s="80" t="b">
        <v>1</v>
      </c>
      <c r="AR74" s="80" t="b">
        <v>0</v>
      </c>
      <c r="AS74" s="80" t="b">
        <v>0</v>
      </c>
      <c r="AT74" s="80"/>
      <c r="AU74" s="80">
        <v>0</v>
      </c>
      <c r="AV74" s="80"/>
      <c r="AW74" s="80" t="b">
        <v>0</v>
      </c>
      <c r="AX74" s="80" t="s">
        <v>10746</v>
      </c>
      <c r="AY74" s="87" t="str">
        <f>HYPERLINK("https://twitter.com/tarrriiishop")</f>
        <v>https://twitter.com/tarrriiishop</v>
      </c>
      <c r="AZ74" s="80" t="s">
        <v>66</v>
      </c>
      <c r="BA74" s="2"/>
      <c r="BB74" s="3"/>
      <c r="BC74" s="3"/>
      <c r="BD74" s="3"/>
      <c r="BE74" s="3"/>
    </row>
    <row r="75" spans="1:57" x14ac:dyDescent="0.35">
      <c r="A75" s="66" t="s">
        <v>1284</v>
      </c>
      <c r="B75" s="67"/>
      <c r="C75" s="67"/>
      <c r="D75" s="68"/>
      <c r="E75" s="70"/>
      <c r="F75" s="109" t="str">
        <f>HYPERLINK("https://pbs.twimg.com/profile_images/1341430310337069057/lbJaOczn_normal.png")</f>
        <v>https://pbs.twimg.com/profile_images/1341430310337069057/lbJaOczn_normal.png</v>
      </c>
      <c r="G75" s="67"/>
      <c r="H75" s="71"/>
      <c r="I75" s="72"/>
      <c r="J75" s="72"/>
      <c r="K75" s="71" t="s">
        <v>10818</v>
      </c>
      <c r="L75" s="75"/>
      <c r="M75" s="76"/>
      <c r="N75" s="76"/>
      <c r="O75" s="77"/>
      <c r="P75" s="78"/>
      <c r="Q75" s="78"/>
      <c r="R75" s="92"/>
      <c r="S75" s="92"/>
      <c r="T75" s="92"/>
      <c r="U75" s="92"/>
      <c r="V75" s="52"/>
      <c r="W75" s="52"/>
      <c r="X75" s="52"/>
      <c r="Y75" s="52"/>
      <c r="Z75" s="51"/>
      <c r="AA75" s="73"/>
      <c r="AB75" s="73"/>
      <c r="AC75" s="74"/>
      <c r="AD75" s="80" t="s">
        <v>6658</v>
      </c>
      <c r="AE75" s="85" t="s">
        <v>7928</v>
      </c>
      <c r="AF75" s="80">
        <v>3179</v>
      </c>
      <c r="AG75" s="80">
        <v>34286</v>
      </c>
      <c r="AH75" s="80">
        <v>359790</v>
      </c>
      <c r="AI75" s="80">
        <v>137</v>
      </c>
      <c r="AJ75" s="80"/>
      <c r="AK75" s="80" t="s">
        <v>9021</v>
      </c>
      <c r="AL75" s="80" t="s">
        <v>10171</v>
      </c>
      <c r="AM75" s="87" t="str">
        <f>HYPERLINK("https://t.co/3AkkVL6LqZ")</f>
        <v>https://t.co/3AkkVL6LqZ</v>
      </c>
      <c r="AN75" s="80"/>
      <c r="AO75" s="82">
        <v>43909.227442129632</v>
      </c>
      <c r="AP75" s="87" t="str">
        <f>HYPERLINK("https://pbs.twimg.com/profile_banners/1240510156745494528/1592494409")</f>
        <v>https://pbs.twimg.com/profile_banners/1240510156745494528/1592494409</v>
      </c>
      <c r="AQ75" s="80" t="b">
        <v>1</v>
      </c>
      <c r="AR75" s="80" t="b">
        <v>0</v>
      </c>
      <c r="AS75" s="80" t="b">
        <v>0</v>
      </c>
      <c r="AT75" s="80"/>
      <c r="AU75" s="80">
        <v>882</v>
      </c>
      <c r="AV75" s="80"/>
      <c r="AW75" s="80" t="b">
        <v>0</v>
      </c>
      <c r="AX75" s="80" t="s">
        <v>10746</v>
      </c>
      <c r="AY75" s="87" t="str">
        <f>HYPERLINK("https://twitter.com/jajanbighit")</f>
        <v>https://twitter.com/jajanbighit</v>
      </c>
      <c r="AZ75" s="80" t="s">
        <v>65</v>
      </c>
      <c r="BA75" s="2"/>
      <c r="BB75" s="3"/>
      <c r="BC75" s="3"/>
      <c r="BD75" s="3"/>
      <c r="BE75" s="3"/>
    </row>
    <row r="76" spans="1:57" x14ac:dyDescent="0.35">
      <c r="A76" s="66" t="s">
        <v>1285</v>
      </c>
      <c r="B76" s="67"/>
      <c r="C76" s="67"/>
      <c r="D76" s="68"/>
      <c r="E76" s="70"/>
      <c r="F76" s="109" t="str">
        <f>HYPERLINK("https://pbs.twimg.com/profile_images/1433277793853317126/-5xDu-kR_normal.jpg")</f>
        <v>https://pbs.twimg.com/profile_images/1433277793853317126/-5xDu-kR_normal.jpg</v>
      </c>
      <c r="G76" s="67"/>
      <c r="H76" s="71"/>
      <c r="I76" s="72"/>
      <c r="J76" s="72"/>
      <c r="K76" s="71" t="s">
        <v>10819</v>
      </c>
      <c r="L76" s="75"/>
      <c r="M76" s="76"/>
      <c r="N76" s="76"/>
      <c r="O76" s="77"/>
      <c r="P76" s="78"/>
      <c r="Q76" s="78"/>
      <c r="R76" s="92"/>
      <c r="S76" s="92"/>
      <c r="T76" s="92"/>
      <c r="U76" s="92"/>
      <c r="V76" s="52"/>
      <c r="W76" s="52"/>
      <c r="X76" s="52"/>
      <c r="Y76" s="52"/>
      <c r="Z76" s="51"/>
      <c r="AA76" s="73"/>
      <c r="AB76" s="73"/>
      <c r="AC76" s="74"/>
      <c r="AD76" s="80" t="s">
        <v>6659</v>
      </c>
      <c r="AE76" s="85" t="s">
        <v>6254</v>
      </c>
      <c r="AF76" s="80">
        <v>35</v>
      </c>
      <c r="AG76" s="80">
        <v>26</v>
      </c>
      <c r="AH76" s="80">
        <v>844</v>
      </c>
      <c r="AI76" s="80">
        <v>109</v>
      </c>
      <c r="AJ76" s="80"/>
      <c r="AK76" s="80" t="s">
        <v>9022</v>
      </c>
      <c r="AL76" s="80" t="s">
        <v>10172</v>
      </c>
      <c r="AM76" s="87" t="str">
        <f>HYPERLINK("https://t.co/TqbmhGyjyU")</f>
        <v>https://t.co/TqbmhGyjyU</v>
      </c>
      <c r="AN76" s="80"/>
      <c r="AO76" s="82">
        <v>44441.12672453704</v>
      </c>
      <c r="AP76" s="87" t="str">
        <f>HYPERLINK("https://pbs.twimg.com/profile_banners/1433263907360047107/1632198784")</f>
        <v>https://pbs.twimg.com/profile_banners/1433263907360047107/1632198784</v>
      </c>
      <c r="AQ76" s="80" t="b">
        <v>1</v>
      </c>
      <c r="AR76" s="80" t="b">
        <v>0</v>
      </c>
      <c r="AS76" s="80" t="b">
        <v>0</v>
      </c>
      <c r="AT76" s="80"/>
      <c r="AU76" s="80">
        <v>0</v>
      </c>
      <c r="AV76" s="80"/>
      <c r="AW76" s="80" t="b">
        <v>0</v>
      </c>
      <c r="AX76" s="80" t="s">
        <v>10746</v>
      </c>
      <c r="AY76" s="87" t="str">
        <f>HYPERLINK("https://twitter.com/babesjkvstore")</f>
        <v>https://twitter.com/babesjkvstore</v>
      </c>
      <c r="AZ76" s="80" t="s">
        <v>65</v>
      </c>
      <c r="BA76" s="2"/>
      <c r="BB76" s="3"/>
      <c r="BC76" s="3"/>
      <c r="BD76" s="3"/>
      <c r="BE76" s="3"/>
    </row>
    <row r="77" spans="1:57" x14ac:dyDescent="0.35">
      <c r="A77" s="66" t="s">
        <v>273</v>
      </c>
      <c r="B77" s="67"/>
      <c r="C77" s="67"/>
      <c r="D77" s="68"/>
      <c r="E77" s="70"/>
      <c r="F77" s="109" t="str">
        <f>HYPERLINK("https://pbs.twimg.com/profile_images/1304409180288086016/CaVHmqsQ_normal.jpg")</f>
        <v>https://pbs.twimg.com/profile_images/1304409180288086016/CaVHmqsQ_normal.jpg</v>
      </c>
      <c r="G77" s="67"/>
      <c r="H77" s="71"/>
      <c r="I77" s="72"/>
      <c r="J77" s="72"/>
      <c r="K77" s="71" t="s">
        <v>10820</v>
      </c>
      <c r="L77" s="75"/>
      <c r="M77" s="76"/>
      <c r="N77" s="76"/>
      <c r="O77" s="77"/>
      <c r="P77" s="78"/>
      <c r="Q77" s="78"/>
      <c r="R77" s="92"/>
      <c r="S77" s="92"/>
      <c r="T77" s="92"/>
      <c r="U77" s="92"/>
      <c r="V77" s="52"/>
      <c r="W77" s="52"/>
      <c r="X77" s="52"/>
      <c r="Y77" s="52"/>
      <c r="Z77" s="51"/>
      <c r="AA77" s="73"/>
      <c r="AB77" s="73"/>
      <c r="AC77" s="74"/>
      <c r="AD77" s="80" t="s">
        <v>6660</v>
      </c>
      <c r="AE77" s="85" t="s">
        <v>7929</v>
      </c>
      <c r="AF77" s="80">
        <v>26</v>
      </c>
      <c r="AG77" s="80">
        <v>55</v>
      </c>
      <c r="AH77" s="80">
        <v>3576</v>
      </c>
      <c r="AI77" s="80">
        <v>162</v>
      </c>
      <c r="AJ77" s="80"/>
      <c r="AK77" s="80" t="s">
        <v>9023</v>
      </c>
      <c r="AL77" s="80"/>
      <c r="AM77" s="87" t="str">
        <f>HYPERLINK("https://t.co/qC9gKUkc7v")</f>
        <v>https://t.co/qC9gKUkc7v</v>
      </c>
      <c r="AN77" s="80"/>
      <c r="AO77" s="82">
        <v>43614.989490740743</v>
      </c>
      <c r="AP77" s="87" t="str">
        <f>HYPERLINK("https://pbs.twimg.com/profile_banners/1133881924575846402/1599830746")</f>
        <v>https://pbs.twimg.com/profile_banners/1133881924575846402/1599830746</v>
      </c>
      <c r="AQ77" s="80" t="b">
        <v>1</v>
      </c>
      <c r="AR77" s="80" t="b">
        <v>0</v>
      </c>
      <c r="AS77" s="80" t="b">
        <v>0</v>
      </c>
      <c r="AT77" s="80"/>
      <c r="AU77" s="80">
        <v>0</v>
      </c>
      <c r="AV77" s="80"/>
      <c r="AW77" s="80" t="b">
        <v>0</v>
      </c>
      <c r="AX77" s="80" t="s">
        <v>10746</v>
      </c>
      <c r="AY77" s="87" t="str">
        <f>HYPERLINK("https://twitter.com/galaxyou_")</f>
        <v>https://twitter.com/galaxyou_</v>
      </c>
      <c r="AZ77" s="80" t="s">
        <v>66</v>
      </c>
      <c r="BA77" s="2"/>
      <c r="BB77" s="3"/>
      <c r="BC77" s="3"/>
      <c r="BD77" s="3"/>
      <c r="BE77" s="3"/>
    </row>
    <row r="78" spans="1:57" x14ac:dyDescent="0.35">
      <c r="A78" s="66" t="s">
        <v>274</v>
      </c>
      <c r="B78" s="67"/>
      <c r="C78" s="67"/>
      <c r="D78" s="68"/>
      <c r="E78" s="70"/>
      <c r="F78" s="109" t="str">
        <f>HYPERLINK("https://pbs.twimg.com/profile_images/1427211324069539854/P-Yt7j9b_normal.jpg")</f>
        <v>https://pbs.twimg.com/profile_images/1427211324069539854/P-Yt7j9b_normal.jpg</v>
      </c>
      <c r="G78" s="67"/>
      <c r="H78" s="71"/>
      <c r="I78" s="72"/>
      <c r="J78" s="72"/>
      <c r="K78" s="71" t="s">
        <v>10821</v>
      </c>
      <c r="L78" s="75"/>
      <c r="M78" s="76"/>
      <c r="N78" s="76"/>
      <c r="O78" s="77"/>
      <c r="P78" s="78"/>
      <c r="Q78" s="78"/>
      <c r="R78" s="92"/>
      <c r="S78" s="92"/>
      <c r="T78" s="92"/>
      <c r="U78" s="92"/>
      <c r="V78" s="52"/>
      <c r="W78" s="52"/>
      <c r="X78" s="52"/>
      <c r="Y78" s="52"/>
      <c r="Z78" s="51"/>
      <c r="AA78" s="73"/>
      <c r="AB78" s="73"/>
      <c r="AC78" s="74"/>
      <c r="AD78" s="80" t="s">
        <v>6661</v>
      </c>
      <c r="AE78" s="85" t="s">
        <v>7930</v>
      </c>
      <c r="AF78" s="80">
        <v>2132</v>
      </c>
      <c r="AG78" s="80">
        <v>2211</v>
      </c>
      <c r="AH78" s="80">
        <v>32100</v>
      </c>
      <c r="AI78" s="80">
        <v>29990</v>
      </c>
      <c r="AJ78" s="80"/>
      <c r="AK78" s="80" t="s">
        <v>9024</v>
      </c>
      <c r="AL78" s="80" t="s">
        <v>10173</v>
      </c>
      <c r="AM78" s="80"/>
      <c r="AN78" s="80"/>
      <c r="AO78" s="82">
        <v>43846.257476851853</v>
      </c>
      <c r="AP78" s="87" t="str">
        <f>HYPERLINK("https://pbs.twimg.com/profile_banners/1217690568609808384/1589388101")</f>
        <v>https://pbs.twimg.com/profile_banners/1217690568609808384/1589388101</v>
      </c>
      <c r="AQ78" s="80" t="b">
        <v>1</v>
      </c>
      <c r="AR78" s="80" t="b">
        <v>0</v>
      </c>
      <c r="AS78" s="80" t="b">
        <v>0</v>
      </c>
      <c r="AT78" s="80"/>
      <c r="AU78" s="80">
        <v>0</v>
      </c>
      <c r="AV78" s="80"/>
      <c r="AW78" s="80" t="b">
        <v>0</v>
      </c>
      <c r="AX78" s="80" t="s">
        <v>10746</v>
      </c>
      <c r="AY78" s="87" t="str">
        <f>HYPERLINK("https://twitter.com/semupetualang")</f>
        <v>https://twitter.com/semupetualang</v>
      </c>
      <c r="AZ78" s="80" t="s">
        <v>66</v>
      </c>
      <c r="BA78" s="2"/>
      <c r="BB78" s="3"/>
      <c r="BC78" s="3"/>
      <c r="BD78" s="3"/>
      <c r="BE78" s="3"/>
    </row>
    <row r="79" spans="1:57" x14ac:dyDescent="0.35">
      <c r="A79" s="66" t="s">
        <v>357</v>
      </c>
      <c r="B79" s="67"/>
      <c r="C79" s="67"/>
      <c r="D79" s="68"/>
      <c r="E79" s="70"/>
      <c r="F79" s="109" t="str">
        <f>HYPERLINK("https://pbs.twimg.com/profile_images/1372795753656057857/w9mDheRu_normal.jpg")</f>
        <v>https://pbs.twimg.com/profile_images/1372795753656057857/w9mDheRu_normal.jpg</v>
      </c>
      <c r="G79" s="67"/>
      <c r="H79" s="71"/>
      <c r="I79" s="72"/>
      <c r="J79" s="72"/>
      <c r="K79" s="71" t="s">
        <v>10822</v>
      </c>
      <c r="L79" s="75"/>
      <c r="M79" s="76"/>
      <c r="N79" s="76"/>
      <c r="O79" s="77"/>
      <c r="P79" s="78"/>
      <c r="Q79" s="78"/>
      <c r="R79" s="92"/>
      <c r="S79" s="92"/>
      <c r="T79" s="92"/>
      <c r="U79" s="92"/>
      <c r="V79" s="52"/>
      <c r="W79" s="52"/>
      <c r="X79" s="52"/>
      <c r="Y79" s="52"/>
      <c r="Z79" s="51"/>
      <c r="AA79" s="73"/>
      <c r="AB79" s="73"/>
      <c r="AC79" s="74"/>
      <c r="AD79" s="80" t="s">
        <v>6662</v>
      </c>
      <c r="AE79" s="85" t="s">
        <v>7931</v>
      </c>
      <c r="AF79" s="80">
        <v>2775</v>
      </c>
      <c r="AG79" s="80">
        <v>1649</v>
      </c>
      <c r="AH79" s="80">
        <v>1332</v>
      </c>
      <c r="AI79" s="80">
        <v>1497</v>
      </c>
      <c r="AJ79" s="80"/>
      <c r="AK79" s="80" t="s">
        <v>9025</v>
      </c>
      <c r="AL79" s="80"/>
      <c r="AM79" s="80"/>
      <c r="AN79" s="80"/>
      <c r="AO79" s="82">
        <v>44274.264606481483</v>
      </c>
      <c r="AP79" s="87" t="str">
        <f>HYPERLINK("https://pbs.twimg.com/profile_banners/1372794477861949443/1616135064")</f>
        <v>https://pbs.twimg.com/profile_banners/1372794477861949443/1616135064</v>
      </c>
      <c r="AQ79" s="80" t="b">
        <v>1</v>
      </c>
      <c r="AR79" s="80" t="b">
        <v>0</v>
      </c>
      <c r="AS79" s="80" t="b">
        <v>0</v>
      </c>
      <c r="AT79" s="80"/>
      <c r="AU79" s="80">
        <v>0</v>
      </c>
      <c r="AV79" s="80"/>
      <c r="AW79" s="80" t="b">
        <v>0</v>
      </c>
      <c r="AX79" s="80" t="s">
        <v>10746</v>
      </c>
      <c r="AY79" s="87" t="str">
        <f>HYPERLINK("https://twitter.com/kardosony")</f>
        <v>https://twitter.com/kardosony</v>
      </c>
      <c r="AZ79" s="80" t="s">
        <v>66</v>
      </c>
      <c r="BA79" s="2"/>
      <c r="BB79" s="3"/>
      <c r="BC79" s="3"/>
      <c r="BD79" s="3"/>
      <c r="BE79" s="3"/>
    </row>
    <row r="80" spans="1:57" x14ac:dyDescent="0.35">
      <c r="A80" s="66" t="s">
        <v>275</v>
      </c>
      <c r="B80" s="67"/>
      <c r="C80" s="67"/>
      <c r="D80" s="68"/>
      <c r="E80" s="70"/>
      <c r="F80" s="109" t="str">
        <f>HYPERLINK("https://pbs.twimg.com/profile_images/1404322491972001792/CL7SnwHA_normal.jpg")</f>
        <v>https://pbs.twimg.com/profile_images/1404322491972001792/CL7SnwHA_normal.jpg</v>
      </c>
      <c r="G80" s="67"/>
      <c r="H80" s="71"/>
      <c r="I80" s="72"/>
      <c r="J80" s="72"/>
      <c r="K80" s="71" t="s">
        <v>10823</v>
      </c>
      <c r="L80" s="75"/>
      <c r="M80" s="76"/>
      <c r="N80" s="76"/>
      <c r="O80" s="77"/>
      <c r="P80" s="78"/>
      <c r="Q80" s="78"/>
      <c r="R80" s="92"/>
      <c r="S80" s="92"/>
      <c r="T80" s="92"/>
      <c r="U80" s="92"/>
      <c r="V80" s="52"/>
      <c r="W80" s="52"/>
      <c r="X80" s="52"/>
      <c r="Y80" s="52"/>
      <c r="Z80" s="51"/>
      <c r="AA80" s="73"/>
      <c r="AB80" s="73"/>
      <c r="AC80" s="74"/>
      <c r="AD80" s="80" t="s">
        <v>6663</v>
      </c>
      <c r="AE80" s="85" t="s">
        <v>7932</v>
      </c>
      <c r="AF80" s="80">
        <v>50</v>
      </c>
      <c r="AG80" s="80">
        <v>89</v>
      </c>
      <c r="AH80" s="80">
        <v>8724</v>
      </c>
      <c r="AI80" s="80">
        <v>1154</v>
      </c>
      <c r="AJ80" s="80"/>
      <c r="AK80" s="80" t="s">
        <v>9026</v>
      </c>
      <c r="AL80" s="80" t="s">
        <v>10174</v>
      </c>
      <c r="AM80" s="80"/>
      <c r="AN80" s="80"/>
      <c r="AO80" s="82">
        <v>43022.082118055558</v>
      </c>
      <c r="AP80" s="87" t="str">
        <f>HYPERLINK("https://pbs.twimg.com/profile_banners/919019487331999745/1623651943")</f>
        <v>https://pbs.twimg.com/profile_banners/919019487331999745/1623651943</v>
      </c>
      <c r="AQ80" s="80" t="b">
        <v>1</v>
      </c>
      <c r="AR80" s="80" t="b">
        <v>0</v>
      </c>
      <c r="AS80" s="80" t="b">
        <v>0</v>
      </c>
      <c r="AT80" s="80"/>
      <c r="AU80" s="80">
        <v>0</v>
      </c>
      <c r="AV80" s="80"/>
      <c r="AW80" s="80" t="b">
        <v>0</v>
      </c>
      <c r="AX80" s="80" t="s">
        <v>10746</v>
      </c>
      <c r="AY80" s="87" t="str">
        <f>HYPERLINK("https://twitter.com/serendypitae")</f>
        <v>https://twitter.com/serendypitae</v>
      </c>
      <c r="AZ80" s="80" t="s">
        <v>66</v>
      </c>
      <c r="BA80" s="2"/>
      <c r="BB80" s="3"/>
      <c r="BC80" s="3"/>
      <c r="BD80" s="3"/>
      <c r="BE80" s="3"/>
    </row>
    <row r="81" spans="1:57" x14ac:dyDescent="0.35">
      <c r="A81" s="66" t="s">
        <v>276</v>
      </c>
      <c r="B81" s="67"/>
      <c r="C81" s="67"/>
      <c r="D81" s="68"/>
      <c r="E81" s="70"/>
      <c r="F81" s="109" t="str">
        <f>HYPERLINK("https://pbs.twimg.com/profile_images/1435114742222245891/86GheVE2_normal.jpg")</f>
        <v>https://pbs.twimg.com/profile_images/1435114742222245891/86GheVE2_normal.jpg</v>
      </c>
      <c r="G81" s="67"/>
      <c r="H81" s="71"/>
      <c r="I81" s="72"/>
      <c r="J81" s="72"/>
      <c r="K81" s="71" t="s">
        <v>10824</v>
      </c>
      <c r="L81" s="75"/>
      <c r="M81" s="76"/>
      <c r="N81" s="76"/>
      <c r="O81" s="77"/>
      <c r="P81" s="78"/>
      <c r="Q81" s="78"/>
      <c r="R81" s="92"/>
      <c r="S81" s="92"/>
      <c r="T81" s="92"/>
      <c r="U81" s="92"/>
      <c r="V81" s="52"/>
      <c r="W81" s="52"/>
      <c r="X81" s="52"/>
      <c r="Y81" s="52"/>
      <c r="Z81" s="51"/>
      <c r="AA81" s="73"/>
      <c r="AB81" s="73"/>
      <c r="AC81" s="74"/>
      <c r="AD81" s="80" t="s">
        <v>6664</v>
      </c>
      <c r="AE81" s="85" t="s">
        <v>7933</v>
      </c>
      <c r="AF81" s="80">
        <v>35</v>
      </c>
      <c r="AG81" s="80">
        <v>43</v>
      </c>
      <c r="AH81" s="80">
        <v>941</v>
      </c>
      <c r="AI81" s="80">
        <v>3587</v>
      </c>
      <c r="AJ81" s="80"/>
      <c r="AK81" s="80" t="s">
        <v>9027</v>
      </c>
      <c r="AL81" s="80"/>
      <c r="AM81" s="80"/>
      <c r="AN81" s="80"/>
      <c r="AO81" s="82">
        <v>44205.125393518516</v>
      </c>
      <c r="AP81" s="87" t="str">
        <f>HYPERLINK("https://pbs.twimg.com/profile_banners/1347739978764206081/1629889787")</f>
        <v>https://pbs.twimg.com/profile_banners/1347739978764206081/1629889787</v>
      </c>
      <c r="AQ81" s="80" t="b">
        <v>1</v>
      </c>
      <c r="AR81" s="80" t="b">
        <v>0</v>
      </c>
      <c r="AS81" s="80" t="b">
        <v>0</v>
      </c>
      <c r="AT81" s="80"/>
      <c r="AU81" s="80">
        <v>0</v>
      </c>
      <c r="AV81" s="80"/>
      <c r="AW81" s="80" t="b">
        <v>0</v>
      </c>
      <c r="AX81" s="80" t="s">
        <v>10746</v>
      </c>
      <c r="AY81" s="87" t="str">
        <f>HYPERLINK("https://twitter.com/momogeezz")</f>
        <v>https://twitter.com/momogeezz</v>
      </c>
      <c r="AZ81" s="80" t="s">
        <v>66</v>
      </c>
      <c r="BA81" s="2"/>
      <c r="BB81" s="3"/>
      <c r="BC81" s="3"/>
      <c r="BD81" s="3"/>
      <c r="BE81" s="3"/>
    </row>
    <row r="82" spans="1:57" x14ac:dyDescent="0.35">
      <c r="A82" s="66" t="s">
        <v>1286</v>
      </c>
      <c r="B82" s="67"/>
      <c r="C82" s="67"/>
      <c r="D82" s="68"/>
      <c r="E82" s="70"/>
      <c r="F82" s="109" t="str">
        <f>HYPERLINK("https://pbs.twimg.com/profile_images/1438896286552395777/wuD_BOzg_normal.jpg")</f>
        <v>https://pbs.twimg.com/profile_images/1438896286552395777/wuD_BOzg_normal.jpg</v>
      </c>
      <c r="G82" s="67"/>
      <c r="H82" s="71"/>
      <c r="I82" s="72"/>
      <c r="J82" s="72"/>
      <c r="K82" s="71" t="s">
        <v>10825</v>
      </c>
      <c r="L82" s="75"/>
      <c r="M82" s="76"/>
      <c r="N82" s="76"/>
      <c r="O82" s="77"/>
      <c r="P82" s="78"/>
      <c r="Q82" s="78"/>
      <c r="R82" s="92"/>
      <c r="S82" s="92"/>
      <c r="T82" s="92"/>
      <c r="U82" s="92"/>
      <c r="V82" s="52"/>
      <c r="W82" s="52"/>
      <c r="X82" s="52"/>
      <c r="Y82" s="52"/>
      <c r="Z82" s="51"/>
      <c r="AA82" s="73"/>
      <c r="AB82" s="73"/>
      <c r="AC82" s="74"/>
      <c r="AD82" s="80" t="s">
        <v>6665</v>
      </c>
      <c r="AE82" s="85" t="s">
        <v>6255</v>
      </c>
      <c r="AF82" s="80">
        <v>793</v>
      </c>
      <c r="AG82" s="80">
        <v>882</v>
      </c>
      <c r="AH82" s="80">
        <v>3743</v>
      </c>
      <c r="AI82" s="80">
        <v>672</v>
      </c>
      <c r="AJ82" s="80"/>
      <c r="AK82" s="80" t="s">
        <v>9028</v>
      </c>
      <c r="AL82" s="80" t="s">
        <v>10175</v>
      </c>
      <c r="AM82" s="87" t="str">
        <f>HYPERLINK("https://t.co/STep2yfKUp")</f>
        <v>https://t.co/STep2yfKUp</v>
      </c>
      <c r="AN82" s="80"/>
      <c r="AO82" s="82">
        <v>44354.041805555556</v>
      </c>
      <c r="AP82" s="87" t="str">
        <f>HYPERLINK("https://pbs.twimg.com/profile_banners/1401705479936434178/1630415620")</f>
        <v>https://pbs.twimg.com/profile_banners/1401705479936434178/1630415620</v>
      </c>
      <c r="AQ82" s="80" t="b">
        <v>1</v>
      </c>
      <c r="AR82" s="80" t="b">
        <v>0</v>
      </c>
      <c r="AS82" s="80" t="b">
        <v>0</v>
      </c>
      <c r="AT82" s="80"/>
      <c r="AU82" s="80">
        <v>0</v>
      </c>
      <c r="AV82" s="80"/>
      <c r="AW82" s="80" t="b">
        <v>0</v>
      </c>
      <c r="AX82" s="80" t="s">
        <v>10746</v>
      </c>
      <c r="AY82" s="87" t="str">
        <f>HYPERLINK("https://twitter.com/stfuidcabtyou")</f>
        <v>https://twitter.com/stfuidcabtyou</v>
      </c>
      <c r="AZ82" s="80" t="s">
        <v>65</v>
      </c>
      <c r="BA82" s="2"/>
      <c r="BB82" s="3"/>
      <c r="BC82" s="3"/>
      <c r="BD82" s="3"/>
      <c r="BE82" s="3"/>
    </row>
    <row r="83" spans="1:57" x14ac:dyDescent="0.35">
      <c r="A83" s="66" t="s">
        <v>277</v>
      </c>
      <c r="B83" s="67"/>
      <c r="C83" s="67"/>
      <c r="D83" s="68"/>
      <c r="E83" s="70"/>
      <c r="F83" s="109" t="str">
        <f>HYPERLINK("https://pbs.twimg.com/profile_images/1422066866214690817/mtiMhC6G_normal.jpg")</f>
        <v>https://pbs.twimg.com/profile_images/1422066866214690817/mtiMhC6G_normal.jpg</v>
      </c>
      <c r="G83" s="67"/>
      <c r="H83" s="71"/>
      <c r="I83" s="72"/>
      <c r="J83" s="72"/>
      <c r="K83" s="71" t="s">
        <v>10826</v>
      </c>
      <c r="L83" s="75"/>
      <c r="M83" s="76"/>
      <c r="N83" s="76"/>
      <c r="O83" s="77"/>
      <c r="P83" s="78"/>
      <c r="Q83" s="78"/>
      <c r="R83" s="92"/>
      <c r="S83" s="92"/>
      <c r="T83" s="92"/>
      <c r="U83" s="92"/>
      <c r="V83" s="52"/>
      <c r="W83" s="52"/>
      <c r="X83" s="52"/>
      <c r="Y83" s="52"/>
      <c r="Z83" s="51"/>
      <c r="AA83" s="73"/>
      <c r="AB83" s="73"/>
      <c r="AC83" s="74"/>
      <c r="AD83" s="80" t="s">
        <v>6666</v>
      </c>
      <c r="AE83" s="85" t="s">
        <v>7934</v>
      </c>
      <c r="AF83" s="80">
        <v>1262</v>
      </c>
      <c r="AG83" s="80">
        <v>1194</v>
      </c>
      <c r="AH83" s="80">
        <v>6964</v>
      </c>
      <c r="AI83" s="80">
        <v>5146</v>
      </c>
      <c r="AJ83" s="80"/>
      <c r="AK83" s="80" t="s">
        <v>9029</v>
      </c>
      <c r="AL83" s="80"/>
      <c r="AM83" s="80"/>
      <c r="AN83" s="80"/>
      <c r="AO83" s="82">
        <v>44143.38144675926</v>
      </c>
      <c r="AP83" s="87" t="str">
        <f>HYPERLINK("https://pbs.twimg.com/profile_banners/1325364675534467073/1604827371")</f>
        <v>https://pbs.twimg.com/profile_banners/1325364675534467073/1604827371</v>
      </c>
      <c r="AQ83" s="80" t="b">
        <v>1</v>
      </c>
      <c r="AR83" s="80" t="b">
        <v>0</v>
      </c>
      <c r="AS83" s="80" t="b">
        <v>0</v>
      </c>
      <c r="AT83" s="80"/>
      <c r="AU83" s="80">
        <v>0</v>
      </c>
      <c r="AV83" s="80"/>
      <c r="AW83" s="80" t="b">
        <v>0</v>
      </c>
      <c r="AX83" s="80" t="s">
        <v>10746</v>
      </c>
      <c r="AY83" s="87" t="str">
        <f>HYPERLINK("https://twitter.com/__wantankri")</f>
        <v>https://twitter.com/__wantankri</v>
      </c>
      <c r="AZ83" s="80" t="s">
        <v>66</v>
      </c>
      <c r="BA83" s="2"/>
      <c r="BB83" s="3"/>
      <c r="BC83" s="3"/>
      <c r="BD83" s="3"/>
      <c r="BE83" s="3"/>
    </row>
    <row r="84" spans="1:57" x14ac:dyDescent="0.35">
      <c r="A84" s="66" t="s">
        <v>278</v>
      </c>
      <c r="B84" s="67"/>
      <c r="C84" s="67"/>
      <c r="D84" s="68"/>
      <c r="E84" s="70"/>
      <c r="F84" s="109" t="str">
        <f>HYPERLINK("https://pbs.twimg.com/profile_images/1432308785645719552/icl8BIGI_normal.jpg")</f>
        <v>https://pbs.twimg.com/profile_images/1432308785645719552/icl8BIGI_normal.jpg</v>
      </c>
      <c r="G84" s="67"/>
      <c r="H84" s="71"/>
      <c r="I84" s="72"/>
      <c r="J84" s="72"/>
      <c r="K84" s="71" t="s">
        <v>10827</v>
      </c>
      <c r="L84" s="75"/>
      <c r="M84" s="76"/>
      <c r="N84" s="76"/>
      <c r="O84" s="77"/>
      <c r="P84" s="78"/>
      <c r="Q84" s="78"/>
      <c r="R84" s="92"/>
      <c r="S84" s="92"/>
      <c r="T84" s="92"/>
      <c r="U84" s="92"/>
      <c r="V84" s="52"/>
      <c r="W84" s="52"/>
      <c r="X84" s="52"/>
      <c r="Y84" s="52"/>
      <c r="Z84" s="51"/>
      <c r="AA84" s="73"/>
      <c r="AB84" s="73"/>
      <c r="AC84" s="74"/>
      <c r="AD84" s="80" t="s">
        <v>6667</v>
      </c>
      <c r="AE84" s="85" t="s">
        <v>7935</v>
      </c>
      <c r="AF84" s="80">
        <v>2634</v>
      </c>
      <c r="AG84" s="80">
        <v>75461</v>
      </c>
      <c r="AH84" s="80">
        <v>66404</v>
      </c>
      <c r="AI84" s="80">
        <v>134099</v>
      </c>
      <c r="AJ84" s="80"/>
      <c r="AK84" s="80" t="s">
        <v>9030</v>
      </c>
      <c r="AL84" s="80" t="s">
        <v>10176</v>
      </c>
      <c r="AM84" s="80"/>
      <c r="AN84" s="80"/>
      <c r="AO84" s="82">
        <v>43881.464467592596</v>
      </c>
      <c r="AP84" s="87" t="str">
        <f>HYPERLINK("https://pbs.twimg.com/profile_banners/1230449121632256000/1626270199")</f>
        <v>https://pbs.twimg.com/profile_banners/1230449121632256000/1626270199</v>
      </c>
      <c r="AQ84" s="80" t="b">
        <v>1</v>
      </c>
      <c r="AR84" s="80" t="b">
        <v>0</v>
      </c>
      <c r="AS84" s="80" t="b">
        <v>0</v>
      </c>
      <c r="AT84" s="80"/>
      <c r="AU84" s="80">
        <v>52</v>
      </c>
      <c r="AV84" s="80"/>
      <c r="AW84" s="80" t="b">
        <v>0</v>
      </c>
      <c r="AX84" s="80" t="s">
        <v>10746</v>
      </c>
      <c r="AY84" s="87" t="str">
        <f>HYPERLINK("https://twitter.com/jalalmisai_2")</f>
        <v>https://twitter.com/jalalmisai_2</v>
      </c>
      <c r="AZ84" s="80" t="s">
        <v>66</v>
      </c>
      <c r="BA84" s="2"/>
      <c r="BB84" s="3"/>
      <c r="BC84" s="3"/>
      <c r="BD84" s="3"/>
      <c r="BE84" s="3"/>
    </row>
    <row r="85" spans="1:57" x14ac:dyDescent="0.35">
      <c r="A85" s="66" t="s">
        <v>335</v>
      </c>
      <c r="B85" s="67"/>
      <c r="C85" s="67"/>
      <c r="D85" s="68"/>
      <c r="E85" s="70"/>
      <c r="F85" s="109" t="str">
        <f>HYPERLINK("https://pbs.twimg.com/profile_images/1409364757623185412/aK1A9LPz_normal.jpg")</f>
        <v>https://pbs.twimg.com/profile_images/1409364757623185412/aK1A9LPz_normal.jpg</v>
      </c>
      <c r="G85" s="67"/>
      <c r="H85" s="71"/>
      <c r="I85" s="72"/>
      <c r="J85" s="72"/>
      <c r="K85" s="71" t="s">
        <v>10828</v>
      </c>
      <c r="L85" s="75"/>
      <c r="M85" s="76"/>
      <c r="N85" s="76"/>
      <c r="O85" s="77"/>
      <c r="P85" s="78"/>
      <c r="Q85" s="78"/>
      <c r="R85" s="92"/>
      <c r="S85" s="92"/>
      <c r="T85" s="92"/>
      <c r="U85" s="92"/>
      <c r="V85" s="52"/>
      <c r="W85" s="52"/>
      <c r="X85" s="52"/>
      <c r="Y85" s="52"/>
      <c r="Z85" s="51"/>
      <c r="AA85" s="73"/>
      <c r="AB85" s="73"/>
      <c r="AC85" s="74"/>
      <c r="AD85" s="80" t="s">
        <v>6668</v>
      </c>
      <c r="AE85" s="85" t="s">
        <v>6261</v>
      </c>
      <c r="AF85" s="80">
        <v>183</v>
      </c>
      <c r="AG85" s="80">
        <v>458</v>
      </c>
      <c r="AH85" s="80">
        <v>8120</v>
      </c>
      <c r="AI85" s="80">
        <v>1961</v>
      </c>
      <c r="AJ85" s="80"/>
      <c r="AK85" s="80" t="s">
        <v>9031</v>
      </c>
      <c r="AL85" s="80"/>
      <c r="AM85" s="80"/>
      <c r="AN85" s="80"/>
      <c r="AO85" s="82">
        <v>42385.265694444446</v>
      </c>
      <c r="AP85" s="87" t="str">
        <f>HYPERLINK("https://pbs.twimg.com/profile_banners/4766895456/1614157109")</f>
        <v>https://pbs.twimg.com/profile_banners/4766895456/1614157109</v>
      </c>
      <c r="AQ85" s="80" t="b">
        <v>1</v>
      </c>
      <c r="AR85" s="80" t="b">
        <v>0</v>
      </c>
      <c r="AS85" s="80" t="b">
        <v>1</v>
      </c>
      <c r="AT85" s="80"/>
      <c r="AU85" s="80">
        <v>0</v>
      </c>
      <c r="AV85" s="80"/>
      <c r="AW85" s="80" t="b">
        <v>0</v>
      </c>
      <c r="AX85" s="80" t="s">
        <v>10746</v>
      </c>
      <c r="AY85" s="87" t="str">
        <f>HYPERLINK("https://twitter.com/amierah___")</f>
        <v>https://twitter.com/amierah___</v>
      </c>
      <c r="AZ85" s="80" t="s">
        <v>66</v>
      </c>
      <c r="BA85" s="2"/>
      <c r="BB85" s="3"/>
      <c r="BC85" s="3"/>
      <c r="BD85" s="3"/>
      <c r="BE85" s="3"/>
    </row>
    <row r="86" spans="1:57" x14ac:dyDescent="0.35">
      <c r="A86" s="66" t="s">
        <v>279</v>
      </c>
      <c r="B86" s="67"/>
      <c r="C86" s="67"/>
      <c r="D86" s="68"/>
      <c r="E86" s="70"/>
      <c r="F86" s="109" t="str">
        <f>HYPERLINK("https://pbs.twimg.com/profile_images/1203519749948239874/hvb-OYKX_normal.jpg")</f>
        <v>https://pbs.twimg.com/profile_images/1203519749948239874/hvb-OYKX_normal.jpg</v>
      </c>
      <c r="G86" s="67"/>
      <c r="H86" s="71"/>
      <c r="I86" s="72"/>
      <c r="J86" s="72"/>
      <c r="K86" s="71" t="s">
        <v>10829</v>
      </c>
      <c r="L86" s="75"/>
      <c r="M86" s="76"/>
      <c r="N86" s="76"/>
      <c r="O86" s="77"/>
      <c r="P86" s="78"/>
      <c r="Q86" s="78"/>
      <c r="R86" s="92"/>
      <c r="S86" s="92"/>
      <c r="T86" s="92"/>
      <c r="U86" s="92"/>
      <c r="V86" s="52"/>
      <c r="W86" s="52"/>
      <c r="X86" s="52"/>
      <c r="Y86" s="52"/>
      <c r="Z86" s="51"/>
      <c r="AA86" s="73"/>
      <c r="AB86" s="73"/>
      <c r="AC86" s="74"/>
      <c r="AD86" s="80" t="s">
        <v>6669</v>
      </c>
      <c r="AE86" s="85" t="s">
        <v>7936</v>
      </c>
      <c r="AF86" s="80">
        <v>116</v>
      </c>
      <c r="AG86" s="80">
        <v>107</v>
      </c>
      <c r="AH86" s="80">
        <v>1618</v>
      </c>
      <c r="AI86" s="80">
        <v>5820</v>
      </c>
      <c r="AJ86" s="80"/>
      <c r="AK86" s="80" t="s">
        <v>9032</v>
      </c>
      <c r="AL86" s="80"/>
      <c r="AM86" s="80"/>
      <c r="AN86" s="80"/>
      <c r="AO86" s="82">
        <v>43274.009039351855</v>
      </c>
      <c r="AP86" s="87" t="str">
        <f>HYPERLINK("https://pbs.twimg.com/profile_banners/1010314748452204544/1579867314")</f>
        <v>https://pbs.twimg.com/profile_banners/1010314748452204544/1579867314</v>
      </c>
      <c r="AQ86" s="80" t="b">
        <v>1</v>
      </c>
      <c r="AR86" s="80" t="b">
        <v>0</v>
      </c>
      <c r="AS86" s="80" t="b">
        <v>0</v>
      </c>
      <c r="AT86" s="80"/>
      <c r="AU86" s="80">
        <v>0</v>
      </c>
      <c r="AV86" s="80"/>
      <c r="AW86" s="80" t="b">
        <v>0</v>
      </c>
      <c r="AX86" s="80" t="s">
        <v>10746</v>
      </c>
      <c r="AY86" s="87" t="str">
        <f>HYPERLINK("https://twitter.com/zidanzainudin_")</f>
        <v>https://twitter.com/zidanzainudin_</v>
      </c>
      <c r="AZ86" s="80" t="s">
        <v>66</v>
      </c>
      <c r="BA86" s="2"/>
      <c r="BB86" s="3"/>
      <c r="BC86" s="3"/>
      <c r="BD86" s="3"/>
      <c r="BE86" s="3"/>
    </row>
    <row r="87" spans="1:57" x14ac:dyDescent="0.35">
      <c r="A87" s="66" t="s">
        <v>280</v>
      </c>
      <c r="B87" s="67"/>
      <c r="C87" s="67"/>
      <c r="D87" s="68"/>
      <c r="E87" s="70"/>
      <c r="F87" s="109" t="str">
        <f>HYPERLINK("https://pbs.twimg.com/profile_images/1393511664851439619/8-0jz544_normal.jpg")</f>
        <v>https://pbs.twimg.com/profile_images/1393511664851439619/8-0jz544_normal.jpg</v>
      </c>
      <c r="G87" s="67"/>
      <c r="H87" s="71"/>
      <c r="I87" s="72"/>
      <c r="J87" s="72"/>
      <c r="K87" s="71" t="s">
        <v>10830</v>
      </c>
      <c r="L87" s="75"/>
      <c r="M87" s="76"/>
      <c r="N87" s="76"/>
      <c r="O87" s="77"/>
      <c r="P87" s="78"/>
      <c r="Q87" s="78"/>
      <c r="R87" s="92"/>
      <c r="S87" s="92"/>
      <c r="T87" s="92"/>
      <c r="U87" s="92"/>
      <c r="V87" s="52"/>
      <c r="W87" s="52"/>
      <c r="X87" s="52"/>
      <c r="Y87" s="52"/>
      <c r="Z87" s="51"/>
      <c r="AA87" s="73"/>
      <c r="AB87" s="73"/>
      <c r="AC87" s="74"/>
      <c r="AD87" s="80" t="s">
        <v>6670</v>
      </c>
      <c r="AE87" s="85" t="s">
        <v>7937</v>
      </c>
      <c r="AF87" s="80">
        <v>2920</v>
      </c>
      <c r="AG87" s="80">
        <v>2700</v>
      </c>
      <c r="AH87" s="80">
        <v>93367</v>
      </c>
      <c r="AI87" s="80">
        <v>6797</v>
      </c>
      <c r="AJ87" s="80"/>
      <c r="AK87" s="80" t="s">
        <v>9033</v>
      </c>
      <c r="AL87" s="80" t="s">
        <v>10177</v>
      </c>
      <c r="AM87" s="80"/>
      <c r="AN87" s="80"/>
      <c r="AO87" s="82">
        <v>41076.572777777779</v>
      </c>
      <c r="AP87" s="87" t="str">
        <f>HYPERLINK("https://pbs.twimg.com/profile_banners/609998771/1597663577")</f>
        <v>https://pbs.twimg.com/profile_banners/609998771/1597663577</v>
      </c>
      <c r="AQ87" s="80" t="b">
        <v>0</v>
      </c>
      <c r="AR87" s="80" t="b">
        <v>0</v>
      </c>
      <c r="AS87" s="80" t="b">
        <v>0</v>
      </c>
      <c r="AT87" s="80"/>
      <c r="AU87" s="80">
        <v>0</v>
      </c>
      <c r="AV87" s="87" t="str">
        <f>HYPERLINK("https://abs.twimg.com/images/themes/theme1/bg.png")</f>
        <v>https://abs.twimg.com/images/themes/theme1/bg.png</v>
      </c>
      <c r="AW87" s="80" t="b">
        <v>0</v>
      </c>
      <c r="AX87" s="80" t="s">
        <v>10746</v>
      </c>
      <c r="AY87" s="87" t="str">
        <f>HYPERLINK("https://twitter.com/moekartho")</f>
        <v>https://twitter.com/moekartho</v>
      </c>
      <c r="AZ87" s="80" t="s">
        <v>66</v>
      </c>
      <c r="BA87" s="2"/>
      <c r="BB87" s="3"/>
      <c r="BC87" s="3"/>
      <c r="BD87" s="3"/>
      <c r="BE87" s="3"/>
    </row>
    <row r="88" spans="1:57" x14ac:dyDescent="0.35">
      <c r="A88" s="66" t="s">
        <v>281</v>
      </c>
      <c r="B88" s="67"/>
      <c r="C88" s="67"/>
      <c r="D88" s="68"/>
      <c r="E88" s="70"/>
      <c r="F88" s="109" t="str">
        <f>HYPERLINK("https://pbs.twimg.com/profile_images/1406601824816099329/U883rcvo_normal.jpg")</f>
        <v>https://pbs.twimg.com/profile_images/1406601824816099329/U883rcvo_normal.jpg</v>
      </c>
      <c r="G88" s="67"/>
      <c r="H88" s="71"/>
      <c r="I88" s="72"/>
      <c r="J88" s="72"/>
      <c r="K88" s="71" t="s">
        <v>10831</v>
      </c>
      <c r="L88" s="75"/>
      <c r="M88" s="76"/>
      <c r="N88" s="76"/>
      <c r="O88" s="77"/>
      <c r="P88" s="78"/>
      <c r="Q88" s="78"/>
      <c r="R88" s="92"/>
      <c r="S88" s="92"/>
      <c r="T88" s="92"/>
      <c r="U88" s="92"/>
      <c r="V88" s="52"/>
      <c r="W88" s="52"/>
      <c r="X88" s="52"/>
      <c r="Y88" s="52"/>
      <c r="Z88" s="51"/>
      <c r="AA88" s="73"/>
      <c r="AB88" s="73"/>
      <c r="AC88" s="74"/>
      <c r="AD88" s="80" t="s">
        <v>6671</v>
      </c>
      <c r="AE88" s="85" t="s">
        <v>7938</v>
      </c>
      <c r="AF88" s="80">
        <v>7069</v>
      </c>
      <c r="AG88" s="80">
        <v>6654</v>
      </c>
      <c r="AH88" s="80">
        <v>154847</v>
      </c>
      <c r="AI88" s="80">
        <v>259886</v>
      </c>
      <c r="AJ88" s="80"/>
      <c r="AK88" s="80" t="s">
        <v>9034</v>
      </c>
      <c r="AL88" s="80" t="s">
        <v>6543</v>
      </c>
      <c r="AM88" s="80"/>
      <c r="AN88" s="80"/>
      <c r="AO88" s="82">
        <v>40122.279641203706</v>
      </c>
      <c r="AP88" s="87" t="str">
        <f>HYPERLINK("https://pbs.twimg.com/profile_banners/87632140/1407679496")</f>
        <v>https://pbs.twimg.com/profile_banners/87632140/1407679496</v>
      </c>
      <c r="AQ88" s="80" t="b">
        <v>0</v>
      </c>
      <c r="AR88" s="80" t="b">
        <v>0</v>
      </c>
      <c r="AS88" s="80" t="b">
        <v>0</v>
      </c>
      <c r="AT88" s="80"/>
      <c r="AU88" s="80">
        <v>5</v>
      </c>
      <c r="AV88" s="87" t="str">
        <f>HYPERLINK("https://abs.twimg.com/images/themes/theme18/bg.gif")</f>
        <v>https://abs.twimg.com/images/themes/theme18/bg.gif</v>
      </c>
      <c r="AW88" s="80" t="b">
        <v>0</v>
      </c>
      <c r="AX88" s="80" t="s">
        <v>10746</v>
      </c>
      <c r="AY88" s="87" t="str">
        <f>HYPERLINK("https://twitter.com/paulus_willy")</f>
        <v>https://twitter.com/paulus_willy</v>
      </c>
      <c r="AZ88" s="80" t="s">
        <v>66</v>
      </c>
      <c r="BA88" s="2"/>
      <c r="BB88" s="3"/>
      <c r="BC88" s="3"/>
      <c r="BD88" s="3"/>
      <c r="BE88" s="3"/>
    </row>
    <row r="89" spans="1:57" x14ac:dyDescent="0.35">
      <c r="A89" s="66" t="s">
        <v>282</v>
      </c>
      <c r="B89" s="67"/>
      <c r="C89" s="67"/>
      <c r="D89" s="68"/>
      <c r="E89" s="70"/>
      <c r="F89" s="109" t="str">
        <f>HYPERLINK("https://pbs.twimg.com/profile_images/1442267911666634759/lB-aKF4Z_normal.jpg")</f>
        <v>https://pbs.twimg.com/profile_images/1442267911666634759/lB-aKF4Z_normal.jpg</v>
      </c>
      <c r="G89" s="67"/>
      <c r="H89" s="71"/>
      <c r="I89" s="72"/>
      <c r="J89" s="72"/>
      <c r="K89" s="71" t="s">
        <v>10832</v>
      </c>
      <c r="L89" s="75"/>
      <c r="M89" s="76"/>
      <c r="N89" s="76"/>
      <c r="O89" s="77"/>
      <c r="P89" s="78"/>
      <c r="Q89" s="78"/>
      <c r="R89" s="92"/>
      <c r="S89" s="92"/>
      <c r="T89" s="92"/>
      <c r="U89" s="92"/>
      <c r="V89" s="52"/>
      <c r="W89" s="52"/>
      <c r="X89" s="52"/>
      <c r="Y89" s="52"/>
      <c r="Z89" s="51"/>
      <c r="AA89" s="73"/>
      <c r="AB89" s="73"/>
      <c r="AC89" s="74"/>
      <c r="AD89" s="80" t="s">
        <v>6672</v>
      </c>
      <c r="AE89" s="85" t="s">
        <v>7939</v>
      </c>
      <c r="AF89" s="80">
        <v>969</v>
      </c>
      <c r="AG89" s="80">
        <v>1060</v>
      </c>
      <c r="AH89" s="80">
        <v>189262</v>
      </c>
      <c r="AI89" s="80">
        <v>22201</v>
      </c>
      <c r="AJ89" s="80"/>
      <c r="AK89" s="80" t="s">
        <v>9035</v>
      </c>
      <c r="AL89" s="80" t="s">
        <v>10178</v>
      </c>
      <c r="AM89" s="87" t="str">
        <f>HYPERLINK("https://t.co/FqbmU9gr72")</f>
        <v>https://t.co/FqbmU9gr72</v>
      </c>
      <c r="AN89" s="80"/>
      <c r="AO89" s="82">
        <v>41623.657013888886</v>
      </c>
      <c r="AP89" s="87" t="str">
        <f>HYPERLINK("https://pbs.twimg.com/profile_banners/2247391938/1417157313")</f>
        <v>https://pbs.twimg.com/profile_banners/2247391938/1417157313</v>
      </c>
      <c r="AQ89" s="80" t="b">
        <v>0</v>
      </c>
      <c r="AR89" s="80" t="b">
        <v>0</v>
      </c>
      <c r="AS89" s="80" t="b">
        <v>1</v>
      </c>
      <c r="AT89" s="80"/>
      <c r="AU89" s="80">
        <v>13</v>
      </c>
      <c r="AV89" s="87" t="str">
        <f>HYPERLINK("https://abs.twimg.com/images/themes/theme1/bg.png")</f>
        <v>https://abs.twimg.com/images/themes/theme1/bg.png</v>
      </c>
      <c r="AW89" s="80" t="b">
        <v>0</v>
      </c>
      <c r="AX89" s="80" t="s">
        <v>10746</v>
      </c>
      <c r="AY89" s="87" t="str">
        <f>HYPERLINK("https://twitter.com/beastieu")</f>
        <v>https://twitter.com/beastieu</v>
      </c>
      <c r="AZ89" s="80" t="s">
        <v>66</v>
      </c>
      <c r="BA89" s="2"/>
      <c r="BB89" s="3"/>
      <c r="BC89" s="3"/>
      <c r="BD89" s="3"/>
      <c r="BE89" s="3"/>
    </row>
    <row r="90" spans="1:57" x14ac:dyDescent="0.35">
      <c r="A90" s="66" t="s">
        <v>283</v>
      </c>
      <c r="B90" s="67"/>
      <c r="C90" s="67"/>
      <c r="D90" s="68"/>
      <c r="E90" s="70"/>
      <c r="F90" s="109" t="str">
        <f>HYPERLINK("https://pbs.twimg.com/profile_images/1422567122924752896/9AsHRZrA_normal.jpg")</f>
        <v>https://pbs.twimg.com/profile_images/1422567122924752896/9AsHRZrA_normal.jpg</v>
      </c>
      <c r="G90" s="67"/>
      <c r="H90" s="71"/>
      <c r="I90" s="72"/>
      <c r="J90" s="72"/>
      <c r="K90" s="71" t="s">
        <v>10833</v>
      </c>
      <c r="L90" s="75"/>
      <c r="M90" s="76"/>
      <c r="N90" s="76"/>
      <c r="O90" s="77"/>
      <c r="P90" s="78"/>
      <c r="Q90" s="78"/>
      <c r="R90" s="92"/>
      <c r="S90" s="92"/>
      <c r="T90" s="92"/>
      <c r="U90" s="92"/>
      <c r="V90" s="52"/>
      <c r="W90" s="52"/>
      <c r="X90" s="52"/>
      <c r="Y90" s="52"/>
      <c r="Z90" s="51"/>
      <c r="AA90" s="73"/>
      <c r="AB90" s="73"/>
      <c r="AC90" s="74"/>
      <c r="AD90" s="80" t="s">
        <v>6673</v>
      </c>
      <c r="AE90" s="85" t="s">
        <v>7940</v>
      </c>
      <c r="AF90" s="80">
        <v>385</v>
      </c>
      <c r="AG90" s="80">
        <v>269</v>
      </c>
      <c r="AH90" s="80">
        <v>79546</v>
      </c>
      <c r="AI90" s="80">
        <v>32302</v>
      </c>
      <c r="AJ90" s="80"/>
      <c r="AK90" s="80" t="s">
        <v>9036</v>
      </c>
      <c r="AL90" s="80" t="s">
        <v>10179</v>
      </c>
      <c r="AM90" s="87" t="str">
        <f>HYPERLINK("https://t.co/u5vSHtK8BR")</f>
        <v>https://t.co/u5vSHtK8BR</v>
      </c>
      <c r="AN90" s="80"/>
      <c r="AO90" s="82">
        <v>43856.36787037037</v>
      </c>
      <c r="AP90" s="87" t="str">
        <f>HYPERLINK("https://pbs.twimg.com/profile_banners/1221354457037885440/1632737394")</f>
        <v>https://pbs.twimg.com/profile_banners/1221354457037885440/1632737394</v>
      </c>
      <c r="AQ90" s="80" t="b">
        <v>1</v>
      </c>
      <c r="AR90" s="80" t="b">
        <v>0</v>
      </c>
      <c r="AS90" s="80" t="b">
        <v>1</v>
      </c>
      <c r="AT90" s="80"/>
      <c r="AU90" s="80">
        <v>0</v>
      </c>
      <c r="AV90" s="80"/>
      <c r="AW90" s="80" t="b">
        <v>0</v>
      </c>
      <c r="AX90" s="80" t="s">
        <v>10746</v>
      </c>
      <c r="AY90" s="87" t="str">
        <f>HYPERLINK("https://twitter.com/fassyaplease")</f>
        <v>https://twitter.com/fassyaplease</v>
      </c>
      <c r="AZ90" s="80" t="s">
        <v>66</v>
      </c>
      <c r="BA90" s="2"/>
      <c r="BB90" s="3"/>
      <c r="BC90" s="3"/>
      <c r="BD90" s="3"/>
      <c r="BE90" s="3"/>
    </row>
    <row r="91" spans="1:57" x14ac:dyDescent="0.35">
      <c r="A91" s="66" t="s">
        <v>284</v>
      </c>
      <c r="B91" s="67"/>
      <c r="C91" s="67"/>
      <c r="D91" s="68"/>
      <c r="E91" s="70"/>
      <c r="F91" s="109" t="str">
        <f>HYPERLINK("https://pbs.twimg.com/profile_images/1437695603446726659/SnY1FzhZ_normal.jpg")</f>
        <v>https://pbs.twimg.com/profile_images/1437695603446726659/SnY1FzhZ_normal.jpg</v>
      </c>
      <c r="G91" s="67"/>
      <c r="H91" s="71"/>
      <c r="I91" s="72"/>
      <c r="J91" s="72"/>
      <c r="K91" s="71" t="s">
        <v>10834</v>
      </c>
      <c r="L91" s="75"/>
      <c r="M91" s="76"/>
      <c r="N91" s="76"/>
      <c r="O91" s="77"/>
      <c r="P91" s="78"/>
      <c r="Q91" s="78"/>
      <c r="R91" s="92"/>
      <c r="S91" s="92"/>
      <c r="T91" s="92"/>
      <c r="U91" s="92"/>
      <c r="V91" s="52"/>
      <c r="W91" s="52"/>
      <c r="X91" s="52"/>
      <c r="Y91" s="52"/>
      <c r="Z91" s="51"/>
      <c r="AA91" s="73"/>
      <c r="AB91" s="73"/>
      <c r="AC91" s="74"/>
      <c r="AD91" s="80" t="s">
        <v>6674</v>
      </c>
      <c r="AE91" s="85" t="s">
        <v>7941</v>
      </c>
      <c r="AF91" s="80">
        <v>1961</v>
      </c>
      <c r="AG91" s="80">
        <v>2214</v>
      </c>
      <c r="AH91" s="80">
        <v>91328</v>
      </c>
      <c r="AI91" s="80">
        <v>192108</v>
      </c>
      <c r="AJ91" s="80"/>
      <c r="AK91" s="80"/>
      <c r="AL91" s="80" t="s">
        <v>10180</v>
      </c>
      <c r="AM91" s="80"/>
      <c r="AN91" s="80"/>
      <c r="AO91" s="82">
        <v>43388.51321759259</v>
      </c>
      <c r="AP91" s="80"/>
      <c r="AQ91" s="80" t="b">
        <v>1</v>
      </c>
      <c r="AR91" s="80" t="b">
        <v>0</v>
      </c>
      <c r="AS91" s="80" t="b">
        <v>1</v>
      </c>
      <c r="AT91" s="80"/>
      <c r="AU91" s="80">
        <v>0</v>
      </c>
      <c r="AV91" s="80"/>
      <c r="AW91" s="80" t="b">
        <v>0</v>
      </c>
      <c r="AX91" s="80" t="s">
        <v>10746</v>
      </c>
      <c r="AY91" s="87" t="str">
        <f>HYPERLINK("https://twitter.com/asipfrappucino")</f>
        <v>https://twitter.com/asipfrappucino</v>
      </c>
      <c r="AZ91" s="80" t="s">
        <v>66</v>
      </c>
      <c r="BA91" s="2"/>
      <c r="BB91" s="3"/>
      <c r="BC91" s="3"/>
      <c r="BD91" s="3"/>
      <c r="BE91" s="3"/>
    </row>
    <row r="92" spans="1:57" x14ac:dyDescent="0.35">
      <c r="A92" s="66" t="s">
        <v>285</v>
      </c>
      <c r="B92" s="67"/>
      <c r="C92" s="67"/>
      <c r="D92" s="68"/>
      <c r="E92" s="70"/>
      <c r="F92" s="109" t="str">
        <f>HYPERLINK("https://pbs.twimg.com/profile_images/1431534572500504578/q1JSFcgX_normal.jpg")</f>
        <v>https://pbs.twimg.com/profile_images/1431534572500504578/q1JSFcgX_normal.jpg</v>
      </c>
      <c r="G92" s="67"/>
      <c r="H92" s="71"/>
      <c r="I92" s="72"/>
      <c r="J92" s="72"/>
      <c r="K92" s="71" t="s">
        <v>10835</v>
      </c>
      <c r="L92" s="75"/>
      <c r="M92" s="76"/>
      <c r="N92" s="76"/>
      <c r="O92" s="77"/>
      <c r="P92" s="78"/>
      <c r="Q92" s="78"/>
      <c r="R92" s="92"/>
      <c r="S92" s="92"/>
      <c r="T92" s="92"/>
      <c r="U92" s="92"/>
      <c r="V92" s="52"/>
      <c r="W92" s="52"/>
      <c r="X92" s="52"/>
      <c r="Y92" s="52"/>
      <c r="Z92" s="51"/>
      <c r="AA92" s="73"/>
      <c r="AB92" s="73"/>
      <c r="AC92" s="74"/>
      <c r="AD92" s="80" t="s">
        <v>6675</v>
      </c>
      <c r="AE92" s="85" t="s">
        <v>7942</v>
      </c>
      <c r="AF92" s="80">
        <v>3637</v>
      </c>
      <c r="AG92" s="80">
        <v>232173</v>
      </c>
      <c r="AH92" s="80">
        <v>34567</v>
      </c>
      <c r="AI92" s="80">
        <v>587</v>
      </c>
      <c r="AJ92" s="80"/>
      <c r="AK92" s="80" t="s">
        <v>9037</v>
      </c>
      <c r="AL92" s="80" t="s">
        <v>10181</v>
      </c>
      <c r="AM92" s="80"/>
      <c r="AN92" s="80"/>
      <c r="AO92" s="82">
        <v>41577.707986111112</v>
      </c>
      <c r="AP92" s="87" t="str">
        <f>HYPERLINK("https://pbs.twimg.com/profile_banners/2165123186/1626612391")</f>
        <v>https://pbs.twimg.com/profile_banners/2165123186/1626612391</v>
      </c>
      <c r="AQ92" s="80" t="b">
        <v>1</v>
      </c>
      <c r="AR92" s="80" t="b">
        <v>0</v>
      </c>
      <c r="AS92" s="80" t="b">
        <v>1</v>
      </c>
      <c r="AT92" s="80"/>
      <c r="AU92" s="80">
        <v>33</v>
      </c>
      <c r="AV92" s="87" t="str">
        <f>HYPERLINK("https://abs.twimg.com/images/themes/theme1/bg.png")</f>
        <v>https://abs.twimg.com/images/themes/theme1/bg.png</v>
      </c>
      <c r="AW92" s="80" t="b">
        <v>0</v>
      </c>
      <c r="AX92" s="80" t="s">
        <v>10746</v>
      </c>
      <c r="AY92" s="87" t="str">
        <f>HYPERLINK("https://twitter.com/hatiakueg0")</f>
        <v>https://twitter.com/hatiakueg0</v>
      </c>
      <c r="AZ92" s="80" t="s">
        <v>66</v>
      </c>
      <c r="BA92" s="2"/>
      <c r="BB92" s="3"/>
      <c r="BC92" s="3"/>
      <c r="BD92" s="3"/>
      <c r="BE92" s="3"/>
    </row>
    <row r="93" spans="1:57" x14ac:dyDescent="0.35">
      <c r="A93" s="66" t="s">
        <v>286</v>
      </c>
      <c r="B93" s="67"/>
      <c r="C93" s="67"/>
      <c r="D93" s="68"/>
      <c r="E93" s="70"/>
      <c r="F93" s="109" t="str">
        <f>HYPERLINK("https://pbs.twimg.com/profile_images/1408450976000872457/BO0ujDT1_normal.jpg")</f>
        <v>https://pbs.twimg.com/profile_images/1408450976000872457/BO0ujDT1_normal.jpg</v>
      </c>
      <c r="G93" s="67"/>
      <c r="H93" s="71"/>
      <c r="I93" s="72"/>
      <c r="J93" s="72"/>
      <c r="K93" s="71" t="s">
        <v>10836</v>
      </c>
      <c r="L93" s="75"/>
      <c r="M93" s="76"/>
      <c r="N93" s="76"/>
      <c r="O93" s="77"/>
      <c r="P93" s="78"/>
      <c r="Q93" s="78"/>
      <c r="R93" s="92"/>
      <c r="S93" s="92"/>
      <c r="T93" s="92"/>
      <c r="U93" s="92"/>
      <c r="V93" s="52"/>
      <c r="W93" s="52"/>
      <c r="X93" s="52"/>
      <c r="Y93" s="52"/>
      <c r="Z93" s="51"/>
      <c r="AA93" s="73"/>
      <c r="AB93" s="73"/>
      <c r="AC93" s="74"/>
      <c r="AD93" s="80" t="s">
        <v>6676</v>
      </c>
      <c r="AE93" s="85" t="s">
        <v>7943</v>
      </c>
      <c r="AF93" s="80">
        <v>6313</v>
      </c>
      <c r="AG93" s="80">
        <v>52915</v>
      </c>
      <c r="AH93" s="80">
        <v>558727</v>
      </c>
      <c r="AI93" s="80">
        <v>503302</v>
      </c>
      <c r="AJ93" s="80"/>
      <c r="AK93" s="80" t="s">
        <v>9038</v>
      </c>
      <c r="AL93" s="80" t="s">
        <v>10152</v>
      </c>
      <c r="AM93" s="80"/>
      <c r="AN93" s="80"/>
      <c r="AO93" s="82">
        <v>41323.506064814814</v>
      </c>
      <c r="AP93" s="87" t="str">
        <f>HYPERLINK("https://pbs.twimg.com/profile_banners/1192969188/1630598951")</f>
        <v>https://pbs.twimg.com/profile_banners/1192969188/1630598951</v>
      </c>
      <c r="AQ93" s="80" t="b">
        <v>1</v>
      </c>
      <c r="AR93" s="80" t="b">
        <v>0</v>
      </c>
      <c r="AS93" s="80" t="b">
        <v>1</v>
      </c>
      <c r="AT93" s="80"/>
      <c r="AU93" s="80">
        <v>61</v>
      </c>
      <c r="AV93" s="87" t="str">
        <f>HYPERLINK("https://abs.twimg.com/images/themes/theme1/bg.png")</f>
        <v>https://abs.twimg.com/images/themes/theme1/bg.png</v>
      </c>
      <c r="AW93" s="80" t="b">
        <v>0</v>
      </c>
      <c r="AX93" s="80" t="s">
        <v>10746</v>
      </c>
      <c r="AY93" s="87" t="str">
        <f>HYPERLINK("https://twitter.com/theisyraf")</f>
        <v>https://twitter.com/theisyraf</v>
      </c>
      <c r="AZ93" s="80" t="s">
        <v>66</v>
      </c>
      <c r="BA93" s="2"/>
      <c r="BB93" s="3"/>
      <c r="BC93" s="3"/>
      <c r="BD93" s="3"/>
      <c r="BE93" s="3"/>
    </row>
    <row r="94" spans="1:57" x14ac:dyDescent="0.35">
      <c r="A94" s="66" t="s">
        <v>287</v>
      </c>
      <c r="B94" s="67"/>
      <c r="C94" s="67"/>
      <c r="D94" s="68"/>
      <c r="E94" s="70"/>
      <c r="F94" s="109" t="str">
        <f>HYPERLINK("https://pbs.twimg.com/profile_images/1442412139746979841/qujWRGO5_normal.jpg")</f>
        <v>https://pbs.twimg.com/profile_images/1442412139746979841/qujWRGO5_normal.jpg</v>
      </c>
      <c r="G94" s="67"/>
      <c r="H94" s="71"/>
      <c r="I94" s="72"/>
      <c r="J94" s="72"/>
      <c r="K94" s="71" t="s">
        <v>10837</v>
      </c>
      <c r="L94" s="75"/>
      <c r="M94" s="76"/>
      <c r="N94" s="76"/>
      <c r="O94" s="77"/>
      <c r="P94" s="78"/>
      <c r="Q94" s="78"/>
      <c r="R94" s="92"/>
      <c r="S94" s="92"/>
      <c r="T94" s="92"/>
      <c r="U94" s="92"/>
      <c r="V94" s="52"/>
      <c r="W94" s="52"/>
      <c r="X94" s="52"/>
      <c r="Y94" s="52"/>
      <c r="Z94" s="51"/>
      <c r="AA94" s="73"/>
      <c r="AB94" s="73"/>
      <c r="AC94" s="74"/>
      <c r="AD94" s="80" t="s">
        <v>6677</v>
      </c>
      <c r="AE94" s="85" t="s">
        <v>7944</v>
      </c>
      <c r="AF94" s="80">
        <v>208</v>
      </c>
      <c r="AG94" s="80">
        <v>227</v>
      </c>
      <c r="AH94" s="80">
        <v>36613</v>
      </c>
      <c r="AI94" s="80">
        <v>7726</v>
      </c>
      <c r="AJ94" s="80"/>
      <c r="AK94" s="80" t="s">
        <v>9039</v>
      </c>
      <c r="AL94" s="80"/>
      <c r="AM94" s="80"/>
      <c r="AN94" s="80"/>
      <c r="AO94" s="82">
        <v>42203.713761574072</v>
      </c>
      <c r="AP94" s="87" t="str">
        <f>HYPERLINK("https://pbs.twimg.com/profile_banners/3283512792/1628324167")</f>
        <v>https://pbs.twimg.com/profile_banners/3283512792/1628324167</v>
      </c>
      <c r="AQ94" s="80" t="b">
        <v>0</v>
      </c>
      <c r="AR94" s="80" t="b">
        <v>0</v>
      </c>
      <c r="AS94" s="80" t="b">
        <v>1</v>
      </c>
      <c r="AT94" s="80"/>
      <c r="AU94" s="80">
        <v>2</v>
      </c>
      <c r="AV94" s="87" t="str">
        <f>HYPERLINK("https://abs.twimg.com/images/themes/theme1/bg.png")</f>
        <v>https://abs.twimg.com/images/themes/theme1/bg.png</v>
      </c>
      <c r="AW94" s="80" t="b">
        <v>0</v>
      </c>
      <c r="AX94" s="80" t="s">
        <v>10746</v>
      </c>
      <c r="AY94" s="87" t="str">
        <f>HYPERLINK("https://twitter.com/drxnkxntxgxr__")</f>
        <v>https://twitter.com/drxnkxntxgxr__</v>
      </c>
      <c r="AZ94" s="80" t="s">
        <v>66</v>
      </c>
      <c r="BA94" s="2"/>
      <c r="BB94" s="3"/>
      <c r="BC94" s="3"/>
      <c r="BD94" s="3"/>
      <c r="BE94" s="3"/>
    </row>
    <row r="95" spans="1:57" x14ac:dyDescent="0.35">
      <c r="A95" s="66" t="s">
        <v>288</v>
      </c>
      <c r="B95" s="67"/>
      <c r="C95" s="67"/>
      <c r="D95" s="68"/>
      <c r="E95" s="70"/>
      <c r="F95" s="109" t="str">
        <f>HYPERLINK("https://pbs.twimg.com/profile_images/1442505685376245761/NymbsisH_normal.jpg")</f>
        <v>https://pbs.twimg.com/profile_images/1442505685376245761/NymbsisH_normal.jpg</v>
      </c>
      <c r="G95" s="67"/>
      <c r="H95" s="71"/>
      <c r="I95" s="72"/>
      <c r="J95" s="72"/>
      <c r="K95" s="71" t="s">
        <v>10838</v>
      </c>
      <c r="L95" s="75"/>
      <c r="M95" s="76"/>
      <c r="N95" s="76"/>
      <c r="O95" s="77"/>
      <c r="P95" s="78"/>
      <c r="Q95" s="78"/>
      <c r="R95" s="92"/>
      <c r="S95" s="92"/>
      <c r="T95" s="92"/>
      <c r="U95" s="92"/>
      <c r="V95" s="52"/>
      <c r="W95" s="52"/>
      <c r="X95" s="52"/>
      <c r="Y95" s="52"/>
      <c r="Z95" s="51"/>
      <c r="AA95" s="73"/>
      <c r="AB95" s="73"/>
      <c r="AC95" s="74"/>
      <c r="AD95" s="80" t="s">
        <v>6678</v>
      </c>
      <c r="AE95" s="85" t="s">
        <v>7945</v>
      </c>
      <c r="AF95" s="80">
        <v>427</v>
      </c>
      <c r="AG95" s="80">
        <v>467</v>
      </c>
      <c r="AH95" s="80">
        <v>50933</v>
      </c>
      <c r="AI95" s="80">
        <v>44114</v>
      </c>
      <c r="AJ95" s="80"/>
      <c r="AK95" s="80"/>
      <c r="AL95" s="80"/>
      <c r="AM95" s="80"/>
      <c r="AN95" s="80"/>
      <c r="AO95" s="82">
        <v>42860.289386574077</v>
      </c>
      <c r="AP95" s="87" t="str">
        <f>HYPERLINK("https://pbs.twimg.com/profile_banners/860387767007592448/1630430256")</f>
        <v>https://pbs.twimg.com/profile_banners/860387767007592448/1630430256</v>
      </c>
      <c r="AQ95" s="80" t="b">
        <v>1</v>
      </c>
      <c r="AR95" s="80" t="b">
        <v>0</v>
      </c>
      <c r="AS95" s="80" t="b">
        <v>0</v>
      </c>
      <c r="AT95" s="80"/>
      <c r="AU95" s="80">
        <v>1</v>
      </c>
      <c r="AV95" s="80"/>
      <c r="AW95" s="80" t="b">
        <v>0</v>
      </c>
      <c r="AX95" s="80" t="s">
        <v>10746</v>
      </c>
      <c r="AY95" s="87" t="str">
        <f>HYPERLINK("https://twitter.com/maktiri_")</f>
        <v>https://twitter.com/maktiri_</v>
      </c>
      <c r="AZ95" s="80" t="s">
        <v>66</v>
      </c>
      <c r="BA95" s="2"/>
      <c r="BB95" s="3"/>
      <c r="BC95" s="3"/>
      <c r="BD95" s="3"/>
      <c r="BE95" s="3"/>
    </row>
    <row r="96" spans="1:57" x14ac:dyDescent="0.35">
      <c r="A96" s="66" t="s">
        <v>289</v>
      </c>
      <c r="B96" s="67"/>
      <c r="C96" s="67"/>
      <c r="D96" s="68"/>
      <c r="E96" s="70"/>
      <c r="F96" s="109" t="str">
        <f>HYPERLINK("https://pbs.twimg.com/profile_images/1326849323070488576/dvsJzgu2_normal.jpg")</f>
        <v>https://pbs.twimg.com/profile_images/1326849323070488576/dvsJzgu2_normal.jpg</v>
      </c>
      <c r="G96" s="67"/>
      <c r="H96" s="71"/>
      <c r="I96" s="72"/>
      <c r="J96" s="72"/>
      <c r="K96" s="71" t="s">
        <v>10839</v>
      </c>
      <c r="L96" s="75"/>
      <c r="M96" s="76"/>
      <c r="N96" s="76"/>
      <c r="O96" s="77"/>
      <c r="P96" s="78"/>
      <c r="Q96" s="78"/>
      <c r="R96" s="92"/>
      <c r="S96" s="92"/>
      <c r="T96" s="92"/>
      <c r="U96" s="92"/>
      <c r="V96" s="52"/>
      <c r="W96" s="52"/>
      <c r="X96" s="52"/>
      <c r="Y96" s="52"/>
      <c r="Z96" s="51"/>
      <c r="AA96" s="73"/>
      <c r="AB96" s="73"/>
      <c r="AC96" s="74"/>
      <c r="AD96" s="80" t="s">
        <v>6679</v>
      </c>
      <c r="AE96" s="85" t="s">
        <v>7946</v>
      </c>
      <c r="AF96" s="80">
        <v>45</v>
      </c>
      <c r="AG96" s="80">
        <v>32</v>
      </c>
      <c r="AH96" s="80">
        <v>11836</v>
      </c>
      <c r="AI96" s="80">
        <v>2789</v>
      </c>
      <c r="AJ96" s="80"/>
      <c r="AK96" s="80" t="s">
        <v>9040</v>
      </c>
      <c r="AL96" s="80" t="s">
        <v>10182</v>
      </c>
      <c r="AM96" s="80"/>
      <c r="AN96" s="80"/>
      <c r="AO96" s="82">
        <v>43000.314398148148</v>
      </c>
      <c r="AP96" s="80"/>
      <c r="AQ96" s="80" t="b">
        <v>1</v>
      </c>
      <c r="AR96" s="80" t="b">
        <v>0</v>
      </c>
      <c r="AS96" s="80" t="b">
        <v>1</v>
      </c>
      <c r="AT96" s="80"/>
      <c r="AU96" s="80">
        <v>0</v>
      </c>
      <c r="AV96" s="80"/>
      <c r="AW96" s="80" t="b">
        <v>0</v>
      </c>
      <c r="AX96" s="80" t="s">
        <v>10746</v>
      </c>
      <c r="AY96" s="87" t="str">
        <f>HYPERLINK("https://twitter.com/shvfx")</f>
        <v>https://twitter.com/shvfx</v>
      </c>
      <c r="AZ96" s="80" t="s">
        <v>66</v>
      </c>
      <c r="BA96" s="2"/>
      <c r="BB96" s="3"/>
      <c r="BC96" s="3"/>
      <c r="BD96" s="3"/>
      <c r="BE96" s="3"/>
    </row>
    <row r="97" spans="1:57" x14ac:dyDescent="0.35">
      <c r="A97" s="66" t="s">
        <v>290</v>
      </c>
      <c r="B97" s="67"/>
      <c r="C97" s="67"/>
      <c r="D97" s="68"/>
      <c r="E97" s="70"/>
      <c r="F97" s="109" t="str">
        <f>HYPERLINK("https://pbs.twimg.com/profile_images/1442104198703710213/bfhmZeB1_normal.jpg")</f>
        <v>https://pbs.twimg.com/profile_images/1442104198703710213/bfhmZeB1_normal.jpg</v>
      </c>
      <c r="G97" s="67"/>
      <c r="H97" s="71"/>
      <c r="I97" s="72"/>
      <c r="J97" s="72"/>
      <c r="K97" s="71" t="s">
        <v>10840</v>
      </c>
      <c r="L97" s="75"/>
      <c r="M97" s="76"/>
      <c r="N97" s="76"/>
      <c r="O97" s="77"/>
      <c r="P97" s="78"/>
      <c r="Q97" s="78"/>
      <c r="R97" s="92"/>
      <c r="S97" s="92"/>
      <c r="T97" s="92"/>
      <c r="U97" s="92"/>
      <c r="V97" s="52"/>
      <c r="W97" s="52"/>
      <c r="X97" s="52"/>
      <c r="Y97" s="52"/>
      <c r="Z97" s="51"/>
      <c r="AA97" s="73"/>
      <c r="AB97" s="73"/>
      <c r="AC97" s="74"/>
      <c r="AD97" s="80" t="s">
        <v>6680</v>
      </c>
      <c r="AE97" s="85" t="s">
        <v>7947</v>
      </c>
      <c r="AF97" s="80">
        <v>358</v>
      </c>
      <c r="AG97" s="80">
        <v>108</v>
      </c>
      <c r="AH97" s="80">
        <v>44811</v>
      </c>
      <c r="AI97" s="80">
        <v>2566</v>
      </c>
      <c r="AJ97" s="80"/>
      <c r="AK97" s="80" t="s">
        <v>9041</v>
      </c>
      <c r="AL97" s="80" t="s">
        <v>10183</v>
      </c>
      <c r="AM97" s="80"/>
      <c r="AN97" s="80"/>
      <c r="AO97" s="82">
        <v>42639.52008101852</v>
      </c>
      <c r="AP97" s="87" t="str">
        <f>HYPERLINK("https://pbs.twimg.com/profile_banners/780383646750351360/1630966928")</f>
        <v>https://pbs.twimg.com/profile_banners/780383646750351360/1630966928</v>
      </c>
      <c r="AQ97" s="80" t="b">
        <v>1</v>
      </c>
      <c r="AR97" s="80" t="b">
        <v>0</v>
      </c>
      <c r="AS97" s="80" t="b">
        <v>1</v>
      </c>
      <c r="AT97" s="80"/>
      <c r="AU97" s="80">
        <v>1</v>
      </c>
      <c r="AV97" s="80"/>
      <c r="AW97" s="80" t="b">
        <v>0</v>
      </c>
      <c r="AX97" s="80" t="s">
        <v>10746</v>
      </c>
      <c r="AY97" s="87" t="str">
        <f>HYPERLINK("https://twitter.com/ayrhazel")</f>
        <v>https://twitter.com/ayrhazel</v>
      </c>
      <c r="AZ97" s="80" t="s">
        <v>66</v>
      </c>
      <c r="BA97" s="2"/>
      <c r="BB97" s="3"/>
      <c r="BC97" s="3"/>
      <c r="BD97" s="3"/>
      <c r="BE97" s="3"/>
    </row>
    <row r="98" spans="1:57" x14ac:dyDescent="0.35">
      <c r="A98" s="66" t="s">
        <v>291</v>
      </c>
      <c r="B98" s="67"/>
      <c r="C98" s="67"/>
      <c r="D98" s="68"/>
      <c r="E98" s="70"/>
      <c r="F98" s="109" t="str">
        <f>HYPERLINK("https://pbs.twimg.com/profile_images/1263666490349219840/Lkm_oklY_normal.jpg")</f>
        <v>https://pbs.twimg.com/profile_images/1263666490349219840/Lkm_oklY_normal.jpg</v>
      </c>
      <c r="G98" s="67"/>
      <c r="H98" s="71"/>
      <c r="I98" s="72"/>
      <c r="J98" s="72"/>
      <c r="K98" s="71" t="s">
        <v>10841</v>
      </c>
      <c r="L98" s="75"/>
      <c r="M98" s="76"/>
      <c r="N98" s="76"/>
      <c r="O98" s="77"/>
      <c r="P98" s="78"/>
      <c r="Q98" s="78"/>
      <c r="R98" s="92"/>
      <c r="S98" s="92"/>
      <c r="T98" s="92"/>
      <c r="U98" s="92"/>
      <c r="V98" s="52"/>
      <c r="W98" s="52"/>
      <c r="X98" s="52"/>
      <c r="Y98" s="52"/>
      <c r="Z98" s="51"/>
      <c r="AA98" s="73"/>
      <c r="AB98" s="73"/>
      <c r="AC98" s="74"/>
      <c r="AD98" s="80" t="s">
        <v>6681</v>
      </c>
      <c r="AE98" s="85" t="s">
        <v>7948</v>
      </c>
      <c r="AF98" s="80">
        <v>450</v>
      </c>
      <c r="AG98" s="80">
        <v>400</v>
      </c>
      <c r="AH98" s="80">
        <v>19834</v>
      </c>
      <c r="AI98" s="80">
        <v>30525</v>
      </c>
      <c r="AJ98" s="80"/>
      <c r="AK98" s="80" t="s">
        <v>9042</v>
      </c>
      <c r="AL98" s="80"/>
      <c r="AM98" s="80"/>
      <c r="AN98" s="80"/>
      <c r="AO98" s="82">
        <v>40842.332187499997</v>
      </c>
      <c r="AP98" s="87" t="str">
        <f>HYPERLINK("https://pbs.twimg.com/profile_banners/398576367/1580894330")</f>
        <v>https://pbs.twimg.com/profile_banners/398576367/1580894330</v>
      </c>
      <c r="AQ98" s="80" t="b">
        <v>0</v>
      </c>
      <c r="AR98" s="80" t="b">
        <v>0</v>
      </c>
      <c r="AS98" s="80" t="b">
        <v>1</v>
      </c>
      <c r="AT98" s="80"/>
      <c r="AU98" s="80">
        <v>0</v>
      </c>
      <c r="AV98" s="87" t="str">
        <f>HYPERLINK("https://abs.twimg.com/images/themes/theme17/bg.gif")</f>
        <v>https://abs.twimg.com/images/themes/theme17/bg.gif</v>
      </c>
      <c r="AW98" s="80" t="b">
        <v>0</v>
      </c>
      <c r="AX98" s="80" t="s">
        <v>10746</v>
      </c>
      <c r="AY98" s="87" t="str">
        <f>HYPERLINK("https://twitter.com/firzana_hazirah")</f>
        <v>https://twitter.com/firzana_hazirah</v>
      </c>
      <c r="AZ98" s="80" t="s">
        <v>66</v>
      </c>
      <c r="BA98" s="2"/>
      <c r="BB98" s="3"/>
      <c r="BC98" s="3"/>
      <c r="BD98" s="3"/>
      <c r="BE98" s="3"/>
    </row>
    <row r="99" spans="1:57" x14ac:dyDescent="0.35">
      <c r="A99" s="66" t="s">
        <v>292</v>
      </c>
      <c r="B99" s="67"/>
      <c r="C99" s="67"/>
      <c r="D99" s="68"/>
      <c r="E99" s="70"/>
      <c r="F99" s="109" t="str">
        <f>HYPERLINK("https://pbs.twimg.com/profile_images/1320752267193057281/czkEDDIo_normal.jpg")</f>
        <v>https://pbs.twimg.com/profile_images/1320752267193057281/czkEDDIo_normal.jpg</v>
      </c>
      <c r="G99" s="67"/>
      <c r="H99" s="71"/>
      <c r="I99" s="72"/>
      <c r="J99" s="72"/>
      <c r="K99" s="71" t="s">
        <v>10842</v>
      </c>
      <c r="L99" s="75"/>
      <c r="M99" s="76"/>
      <c r="N99" s="76"/>
      <c r="O99" s="77"/>
      <c r="P99" s="78"/>
      <c r="Q99" s="78"/>
      <c r="R99" s="92"/>
      <c r="S99" s="92"/>
      <c r="T99" s="92"/>
      <c r="U99" s="92"/>
      <c r="V99" s="52"/>
      <c r="W99" s="52"/>
      <c r="X99" s="52"/>
      <c r="Y99" s="52"/>
      <c r="Z99" s="51"/>
      <c r="AA99" s="73"/>
      <c r="AB99" s="73"/>
      <c r="AC99" s="74"/>
      <c r="AD99" s="80" t="s">
        <v>6682</v>
      </c>
      <c r="AE99" s="85" t="s">
        <v>7949</v>
      </c>
      <c r="AF99" s="80">
        <v>577</v>
      </c>
      <c r="AG99" s="80">
        <v>448</v>
      </c>
      <c r="AH99" s="80">
        <v>4683</v>
      </c>
      <c r="AI99" s="80">
        <v>40</v>
      </c>
      <c r="AJ99" s="80"/>
      <c r="AK99" s="80" t="s">
        <v>9043</v>
      </c>
      <c r="AL99" s="80" t="s">
        <v>10184</v>
      </c>
      <c r="AM99" s="80"/>
      <c r="AN99" s="80"/>
      <c r="AO99" s="82">
        <v>40184.876631944448</v>
      </c>
      <c r="AP99" s="87" t="str">
        <f>HYPERLINK("https://pbs.twimg.com/profile_banners/102478633/1603378099")</f>
        <v>https://pbs.twimg.com/profile_banners/102478633/1603378099</v>
      </c>
      <c r="AQ99" s="80" t="b">
        <v>0</v>
      </c>
      <c r="AR99" s="80" t="b">
        <v>0</v>
      </c>
      <c r="AS99" s="80" t="b">
        <v>0</v>
      </c>
      <c r="AT99" s="80"/>
      <c r="AU99" s="80">
        <v>2</v>
      </c>
      <c r="AV99" s="87" t="str">
        <f>HYPERLINK("https://abs.twimg.com/images/themes/theme1/bg.png")</f>
        <v>https://abs.twimg.com/images/themes/theme1/bg.png</v>
      </c>
      <c r="AW99" s="80" t="b">
        <v>0</v>
      </c>
      <c r="AX99" s="80" t="s">
        <v>10746</v>
      </c>
      <c r="AY99" s="87" t="str">
        <f>HYPERLINK("https://twitter.com/pradanadika29")</f>
        <v>https://twitter.com/pradanadika29</v>
      </c>
      <c r="AZ99" s="80" t="s">
        <v>66</v>
      </c>
      <c r="BA99" s="2"/>
      <c r="BB99" s="3"/>
      <c r="BC99" s="3"/>
      <c r="BD99" s="3"/>
      <c r="BE99" s="3"/>
    </row>
    <row r="100" spans="1:57" x14ac:dyDescent="0.35">
      <c r="A100" s="66" t="s">
        <v>293</v>
      </c>
      <c r="B100" s="67"/>
      <c r="C100" s="67"/>
      <c r="D100" s="68"/>
      <c r="E100" s="70"/>
      <c r="F100" s="109" t="str">
        <f>HYPERLINK("https://pbs.twimg.com/profile_images/1276680323644837888/WZyMsvbb_normal.jpg")</f>
        <v>https://pbs.twimg.com/profile_images/1276680323644837888/WZyMsvbb_normal.jpg</v>
      </c>
      <c r="G100" s="67"/>
      <c r="H100" s="71"/>
      <c r="I100" s="72"/>
      <c r="J100" s="72"/>
      <c r="K100" s="71" t="s">
        <v>10843</v>
      </c>
      <c r="L100" s="75"/>
      <c r="M100" s="76"/>
      <c r="N100" s="76"/>
      <c r="O100" s="77"/>
      <c r="P100" s="78"/>
      <c r="Q100" s="78"/>
      <c r="R100" s="92"/>
      <c r="S100" s="92"/>
      <c r="T100" s="92"/>
      <c r="U100" s="92"/>
      <c r="V100" s="52"/>
      <c r="W100" s="52"/>
      <c r="X100" s="52"/>
      <c r="Y100" s="52"/>
      <c r="Z100" s="51"/>
      <c r="AA100" s="73"/>
      <c r="AB100" s="73"/>
      <c r="AC100" s="74"/>
      <c r="AD100" s="80" t="s">
        <v>6683</v>
      </c>
      <c r="AE100" s="85" t="s">
        <v>7950</v>
      </c>
      <c r="AF100" s="80">
        <v>384</v>
      </c>
      <c r="AG100" s="80">
        <v>572</v>
      </c>
      <c r="AH100" s="80">
        <v>64582</v>
      </c>
      <c r="AI100" s="80">
        <v>2212</v>
      </c>
      <c r="AJ100" s="80"/>
      <c r="AK100" s="80" t="s">
        <v>9044</v>
      </c>
      <c r="AL100" s="80"/>
      <c r="AM100" s="80"/>
      <c r="AN100" s="80"/>
      <c r="AO100" s="82">
        <v>40883.314699074072</v>
      </c>
      <c r="AP100" s="87" t="str">
        <f>HYPERLINK("https://pbs.twimg.com/profile_banners/429673482/1452178395")</f>
        <v>https://pbs.twimg.com/profile_banners/429673482/1452178395</v>
      </c>
      <c r="AQ100" s="80" t="b">
        <v>0</v>
      </c>
      <c r="AR100" s="80" t="b">
        <v>0</v>
      </c>
      <c r="AS100" s="80" t="b">
        <v>1</v>
      </c>
      <c r="AT100" s="80"/>
      <c r="AU100" s="80">
        <v>2</v>
      </c>
      <c r="AV100" s="87" t="str">
        <f>HYPERLINK("https://abs.twimg.com/images/themes/theme12/bg.gif")</f>
        <v>https://abs.twimg.com/images/themes/theme12/bg.gif</v>
      </c>
      <c r="AW100" s="80" t="b">
        <v>0</v>
      </c>
      <c r="AX100" s="80" t="s">
        <v>10746</v>
      </c>
      <c r="AY100" s="87" t="str">
        <f>HYPERLINK("https://twitter.com/pikapocoyo")</f>
        <v>https://twitter.com/pikapocoyo</v>
      </c>
      <c r="AZ100" s="80" t="s">
        <v>66</v>
      </c>
      <c r="BA100" s="2"/>
      <c r="BB100" s="3"/>
      <c r="BC100" s="3"/>
      <c r="BD100" s="3"/>
      <c r="BE100" s="3"/>
    </row>
    <row r="101" spans="1:57" x14ac:dyDescent="0.35">
      <c r="A101" s="66" t="s">
        <v>294</v>
      </c>
      <c r="B101" s="67"/>
      <c r="C101" s="67"/>
      <c r="D101" s="68"/>
      <c r="E101" s="70"/>
      <c r="F101" s="109" t="str">
        <f>HYPERLINK("https://pbs.twimg.com/profile_images/1064812002529296385/AS_j0jXy_normal.jpg")</f>
        <v>https://pbs.twimg.com/profile_images/1064812002529296385/AS_j0jXy_normal.jpg</v>
      </c>
      <c r="G101" s="67"/>
      <c r="H101" s="71"/>
      <c r="I101" s="72"/>
      <c r="J101" s="72"/>
      <c r="K101" s="71" t="s">
        <v>10844</v>
      </c>
      <c r="L101" s="75"/>
      <c r="M101" s="76"/>
      <c r="N101" s="76"/>
      <c r="O101" s="77"/>
      <c r="P101" s="78"/>
      <c r="Q101" s="78"/>
      <c r="R101" s="92"/>
      <c r="S101" s="92"/>
      <c r="T101" s="92"/>
      <c r="U101" s="92"/>
      <c r="V101" s="52"/>
      <c r="W101" s="52"/>
      <c r="X101" s="52"/>
      <c r="Y101" s="52"/>
      <c r="Z101" s="51"/>
      <c r="AA101" s="73"/>
      <c r="AB101" s="73"/>
      <c r="AC101" s="74"/>
      <c r="AD101" s="80" t="s">
        <v>6684</v>
      </c>
      <c r="AE101" s="85" t="s">
        <v>7951</v>
      </c>
      <c r="AF101" s="80">
        <v>721</v>
      </c>
      <c r="AG101" s="80">
        <v>443</v>
      </c>
      <c r="AH101" s="80">
        <v>3884</v>
      </c>
      <c r="AI101" s="80">
        <v>42</v>
      </c>
      <c r="AJ101" s="80"/>
      <c r="AK101" s="80" t="s">
        <v>9045</v>
      </c>
      <c r="AL101" s="80" t="s">
        <v>10184</v>
      </c>
      <c r="AM101" s="80"/>
      <c r="AN101" s="80"/>
      <c r="AO101" s="82">
        <v>40902.260613425926</v>
      </c>
      <c r="AP101" s="87" t="str">
        <f>HYPERLINK("https://pbs.twimg.com/profile_banners/446017133/1601568502")</f>
        <v>https://pbs.twimg.com/profile_banners/446017133/1601568502</v>
      </c>
      <c r="AQ101" s="80" t="b">
        <v>1</v>
      </c>
      <c r="AR101" s="80" t="b">
        <v>0</v>
      </c>
      <c r="AS101" s="80" t="b">
        <v>1</v>
      </c>
      <c r="AT101" s="80"/>
      <c r="AU101" s="80">
        <v>0</v>
      </c>
      <c r="AV101" s="87" t="str">
        <f>HYPERLINK("https://abs.twimg.com/images/themes/theme1/bg.png")</f>
        <v>https://abs.twimg.com/images/themes/theme1/bg.png</v>
      </c>
      <c r="AW101" s="80" t="b">
        <v>0</v>
      </c>
      <c r="AX101" s="80" t="s">
        <v>10746</v>
      </c>
      <c r="AY101" s="87" t="str">
        <f>HYPERLINK("https://twitter.com/ariefskie")</f>
        <v>https://twitter.com/ariefskie</v>
      </c>
      <c r="AZ101" s="80" t="s">
        <v>66</v>
      </c>
      <c r="BA101" s="2"/>
      <c r="BB101" s="3"/>
      <c r="BC101" s="3"/>
      <c r="BD101" s="3"/>
      <c r="BE101" s="3"/>
    </row>
    <row r="102" spans="1:57" x14ac:dyDescent="0.35">
      <c r="A102" s="66" t="s">
        <v>295</v>
      </c>
      <c r="B102" s="67"/>
      <c r="C102" s="67"/>
      <c r="D102" s="68"/>
      <c r="E102" s="70"/>
      <c r="F102" s="109" t="str">
        <f>HYPERLINK("https://pbs.twimg.com/profile_images/1287026195297497090/ksuNfii3_normal.jpg")</f>
        <v>https://pbs.twimg.com/profile_images/1287026195297497090/ksuNfii3_normal.jpg</v>
      </c>
      <c r="G102" s="67"/>
      <c r="H102" s="71"/>
      <c r="I102" s="72"/>
      <c r="J102" s="72"/>
      <c r="K102" s="71" t="s">
        <v>10845</v>
      </c>
      <c r="L102" s="75"/>
      <c r="M102" s="76"/>
      <c r="N102" s="76"/>
      <c r="O102" s="77"/>
      <c r="P102" s="78"/>
      <c r="Q102" s="78"/>
      <c r="R102" s="92"/>
      <c r="S102" s="92"/>
      <c r="T102" s="92"/>
      <c r="U102" s="92"/>
      <c r="V102" s="52"/>
      <c r="W102" s="52"/>
      <c r="X102" s="52"/>
      <c r="Y102" s="52"/>
      <c r="Z102" s="51"/>
      <c r="AA102" s="73"/>
      <c r="AB102" s="73"/>
      <c r="AC102" s="74"/>
      <c r="AD102" s="80" t="s">
        <v>6685</v>
      </c>
      <c r="AE102" s="85" t="s">
        <v>7952</v>
      </c>
      <c r="AF102" s="80">
        <v>2535</v>
      </c>
      <c r="AG102" s="80">
        <v>7224</v>
      </c>
      <c r="AH102" s="80">
        <v>85826</v>
      </c>
      <c r="AI102" s="80">
        <v>3616</v>
      </c>
      <c r="AJ102" s="80"/>
      <c r="AK102" s="80" t="s">
        <v>9046</v>
      </c>
      <c r="AL102" s="80"/>
      <c r="AM102" s="80"/>
      <c r="AN102" s="80"/>
      <c r="AO102" s="82">
        <v>44009.352476851855</v>
      </c>
      <c r="AP102" s="80"/>
      <c r="AQ102" s="80" t="b">
        <v>1</v>
      </c>
      <c r="AR102" s="80" t="b">
        <v>0</v>
      </c>
      <c r="AS102" s="80" t="b">
        <v>0</v>
      </c>
      <c r="AT102" s="80"/>
      <c r="AU102" s="80">
        <v>0</v>
      </c>
      <c r="AV102" s="80"/>
      <c r="AW102" s="80" t="b">
        <v>0</v>
      </c>
      <c r="AX102" s="80" t="s">
        <v>10746</v>
      </c>
      <c r="AY102" s="87" t="str">
        <f>HYPERLINK("https://twitter.com/anaklolina2")</f>
        <v>https://twitter.com/anaklolina2</v>
      </c>
      <c r="AZ102" s="80" t="s">
        <v>66</v>
      </c>
      <c r="BA102" s="2"/>
      <c r="BB102" s="3"/>
      <c r="BC102" s="3"/>
      <c r="BD102" s="3"/>
      <c r="BE102" s="3"/>
    </row>
    <row r="103" spans="1:57" x14ac:dyDescent="0.35">
      <c r="A103" s="66" t="s">
        <v>296</v>
      </c>
      <c r="B103" s="67"/>
      <c r="C103" s="67"/>
      <c r="D103" s="68"/>
      <c r="E103" s="70"/>
      <c r="F103" s="109" t="str">
        <f>HYPERLINK("https://pbs.twimg.com/profile_images/1426002453959380994/14ClyZI5_normal.jpg")</f>
        <v>https://pbs.twimg.com/profile_images/1426002453959380994/14ClyZI5_normal.jpg</v>
      </c>
      <c r="G103" s="67"/>
      <c r="H103" s="71"/>
      <c r="I103" s="72"/>
      <c r="J103" s="72"/>
      <c r="K103" s="71" t="s">
        <v>10846</v>
      </c>
      <c r="L103" s="75"/>
      <c r="M103" s="76"/>
      <c r="N103" s="76"/>
      <c r="O103" s="77"/>
      <c r="P103" s="78"/>
      <c r="Q103" s="78"/>
      <c r="R103" s="92"/>
      <c r="S103" s="92"/>
      <c r="T103" s="92"/>
      <c r="U103" s="92"/>
      <c r="V103" s="52"/>
      <c r="W103" s="52"/>
      <c r="X103" s="52"/>
      <c r="Y103" s="52"/>
      <c r="Z103" s="51"/>
      <c r="AA103" s="73"/>
      <c r="AB103" s="73"/>
      <c r="AC103" s="74"/>
      <c r="AD103" s="80" t="s">
        <v>6686</v>
      </c>
      <c r="AE103" s="85" t="s">
        <v>7953</v>
      </c>
      <c r="AF103" s="80">
        <v>166</v>
      </c>
      <c r="AG103" s="80">
        <v>188</v>
      </c>
      <c r="AH103" s="80">
        <v>13529</v>
      </c>
      <c r="AI103" s="80">
        <v>34189</v>
      </c>
      <c r="AJ103" s="80"/>
      <c r="AK103" s="80" t="s">
        <v>9047</v>
      </c>
      <c r="AL103" s="80"/>
      <c r="AM103" s="80"/>
      <c r="AN103" s="80"/>
      <c r="AO103" s="82">
        <v>42881.442847222221</v>
      </c>
      <c r="AP103" s="87" t="str">
        <f>HYPERLINK("https://pbs.twimg.com/profile_banners/868053525724516352/1617872161")</f>
        <v>https://pbs.twimg.com/profile_banners/868053525724516352/1617872161</v>
      </c>
      <c r="AQ103" s="80" t="b">
        <v>1</v>
      </c>
      <c r="AR103" s="80" t="b">
        <v>0</v>
      </c>
      <c r="AS103" s="80" t="b">
        <v>1</v>
      </c>
      <c r="AT103" s="80"/>
      <c r="AU103" s="80">
        <v>0</v>
      </c>
      <c r="AV103" s="80"/>
      <c r="AW103" s="80" t="b">
        <v>0</v>
      </c>
      <c r="AX103" s="80" t="s">
        <v>10746</v>
      </c>
      <c r="AY103" s="87" t="str">
        <f>HYPERLINK("https://twitter.com/nitafamira")</f>
        <v>https://twitter.com/nitafamira</v>
      </c>
      <c r="AZ103" s="80" t="s">
        <v>66</v>
      </c>
      <c r="BA103" s="2"/>
      <c r="BB103" s="3"/>
      <c r="BC103" s="3"/>
      <c r="BD103" s="3"/>
      <c r="BE103" s="3"/>
    </row>
    <row r="104" spans="1:57" x14ac:dyDescent="0.35">
      <c r="A104" s="66" t="s">
        <v>297</v>
      </c>
      <c r="B104" s="67"/>
      <c r="C104" s="67"/>
      <c r="D104" s="68"/>
      <c r="E104" s="70"/>
      <c r="F104" s="109" t="str">
        <f>HYPERLINK("https://pbs.twimg.com/profile_images/1434459209353940992/114Sbw7A_normal.jpg")</f>
        <v>https://pbs.twimg.com/profile_images/1434459209353940992/114Sbw7A_normal.jpg</v>
      </c>
      <c r="G104" s="67"/>
      <c r="H104" s="71"/>
      <c r="I104" s="72"/>
      <c r="J104" s="72"/>
      <c r="K104" s="71" t="s">
        <v>10847</v>
      </c>
      <c r="L104" s="75"/>
      <c r="M104" s="76"/>
      <c r="N104" s="76"/>
      <c r="O104" s="77"/>
      <c r="P104" s="78"/>
      <c r="Q104" s="78"/>
      <c r="R104" s="92"/>
      <c r="S104" s="92"/>
      <c r="T104" s="92"/>
      <c r="U104" s="92"/>
      <c r="V104" s="52"/>
      <c r="W104" s="52"/>
      <c r="X104" s="52"/>
      <c r="Y104" s="52"/>
      <c r="Z104" s="51"/>
      <c r="AA104" s="73"/>
      <c r="AB104" s="73"/>
      <c r="AC104" s="74"/>
      <c r="AD104" s="80" t="s">
        <v>6687</v>
      </c>
      <c r="AE104" s="85" t="s">
        <v>7954</v>
      </c>
      <c r="AF104" s="80">
        <v>482</v>
      </c>
      <c r="AG104" s="80">
        <v>35</v>
      </c>
      <c r="AH104" s="80">
        <v>1621</v>
      </c>
      <c r="AI104" s="80">
        <v>704</v>
      </c>
      <c r="AJ104" s="80"/>
      <c r="AK104" s="80" t="s">
        <v>9048</v>
      </c>
      <c r="AL104" s="80"/>
      <c r="AM104" s="80"/>
      <c r="AN104" s="80"/>
      <c r="AO104" s="82">
        <v>43902.5468287037</v>
      </c>
      <c r="AP104" s="87" t="str">
        <f>HYPERLINK("https://pbs.twimg.com/profile_banners/1238089144158400512/1595520573")</f>
        <v>https://pbs.twimg.com/profile_banners/1238089144158400512/1595520573</v>
      </c>
      <c r="AQ104" s="80" t="b">
        <v>1</v>
      </c>
      <c r="AR104" s="80" t="b">
        <v>0</v>
      </c>
      <c r="AS104" s="80" t="b">
        <v>0</v>
      </c>
      <c r="AT104" s="80"/>
      <c r="AU104" s="80">
        <v>0</v>
      </c>
      <c r="AV104" s="80"/>
      <c r="AW104" s="80" t="b">
        <v>0</v>
      </c>
      <c r="AX104" s="80" t="s">
        <v>10746</v>
      </c>
      <c r="AY104" s="87" t="str">
        <f>HYPERLINK("https://twitter.com/shdxlias")</f>
        <v>https://twitter.com/shdxlias</v>
      </c>
      <c r="AZ104" s="80" t="s">
        <v>66</v>
      </c>
      <c r="BA104" s="2"/>
      <c r="BB104" s="3"/>
      <c r="BC104" s="3"/>
      <c r="BD104" s="3"/>
      <c r="BE104" s="3"/>
    </row>
    <row r="105" spans="1:57" x14ac:dyDescent="0.35">
      <c r="A105" s="66" t="s">
        <v>298</v>
      </c>
      <c r="B105" s="67"/>
      <c r="C105" s="67"/>
      <c r="D105" s="68"/>
      <c r="E105" s="70"/>
      <c r="F105" s="109" t="str">
        <f>HYPERLINK("https://pbs.twimg.com/profile_images/950335451260338176/ZbjffwgK_normal.jpg")</f>
        <v>https://pbs.twimg.com/profile_images/950335451260338176/ZbjffwgK_normal.jpg</v>
      </c>
      <c r="G105" s="67"/>
      <c r="H105" s="71"/>
      <c r="I105" s="72"/>
      <c r="J105" s="72"/>
      <c r="K105" s="71" t="s">
        <v>10848</v>
      </c>
      <c r="L105" s="75"/>
      <c r="M105" s="76"/>
      <c r="N105" s="76"/>
      <c r="O105" s="77"/>
      <c r="P105" s="78"/>
      <c r="Q105" s="78"/>
      <c r="R105" s="92"/>
      <c r="S105" s="92"/>
      <c r="T105" s="92"/>
      <c r="U105" s="92"/>
      <c r="V105" s="52"/>
      <c r="W105" s="52"/>
      <c r="X105" s="52"/>
      <c r="Y105" s="52"/>
      <c r="Z105" s="51"/>
      <c r="AA105" s="73"/>
      <c r="AB105" s="73"/>
      <c r="AC105" s="74"/>
      <c r="AD105" s="80" t="s">
        <v>6688</v>
      </c>
      <c r="AE105" s="85" t="s">
        <v>7955</v>
      </c>
      <c r="AF105" s="80">
        <v>341</v>
      </c>
      <c r="AG105" s="80">
        <v>7</v>
      </c>
      <c r="AH105" s="80">
        <v>9038</v>
      </c>
      <c r="AI105" s="80">
        <v>1214</v>
      </c>
      <c r="AJ105" s="80"/>
      <c r="AK105" s="80" t="s">
        <v>9049</v>
      </c>
      <c r="AL105" s="80"/>
      <c r="AM105" s="80"/>
      <c r="AN105" s="80"/>
      <c r="AO105" s="82">
        <v>41088.522974537038</v>
      </c>
      <c r="AP105" s="87" t="str">
        <f>HYPERLINK("https://pbs.twimg.com/profile_banners/621023811/1515412682")</f>
        <v>https://pbs.twimg.com/profile_banners/621023811/1515412682</v>
      </c>
      <c r="AQ105" s="80" t="b">
        <v>0</v>
      </c>
      <c r="AR105" s="80" t="b">
        <v>0</v>
      </c>
      <c r="AS105" s="80" t="b">
        <v>0</v>
      </c>
      <c r="AT105" s="80"/>
      <c r="AU105" s="80">
        <v>1</v>
      </c>
      <c r="AV105" s="87" t="str">
        <f>HYPERLINK("https://abs.twimg.com/images/themes/theme1/bg.png")</f>
        <v>https://abs.twimg.com/images/themes/theme1/bg.png</v>
      </c>
      <c r="AW105" s="80" t="b">
        <v>0</v>
      </c>
      <c r="AX105" s="80" t="s">
        <v>10746</v>
      </c>
      <c r="AY105" s="87" t="str">
        <f>HYPERLINK("https://twitter.com/frugalfliza")</f>
        <v>https://twitter.com/frugalfliza</v>
      </c>
      <c r="AZ105" s="80" t="s">
        <v>66</v>
      </c>
      <c r="BA105" s="2"/>
      <c r="BB105" s="3"/>
      <c r="BC105" s="3"/>
      <c r="BD105" s="3"/>
      <c r="BE105" s="3"/>
    </row>
    <row r="106" spans="1:57" x14ac:dyDescent="0.35">
      <c r="A106" s="66" t="s">
        <v>299</v>
      </c>
      <c r="B106" s="67"/>
      <c r="C106" s="67"/>
      <c r="D106" s="68"/>
      <c r="E106" s="70"/>
      <c r="F106" s="109" t="str">
        <f>HYPERLINK("https://pbs.twimg.com/profile_images/1022121788434612226/kpuHUZ-z_normal.jpg")</f>
        <v>https://pbs.twimg.com/profile_images/1022121788434612226/kpuHUZ-z_normal.jpg</v>
      </c>
      <c r="G106" s="67"/>
      <c r="H106" s="71"/>
      <c r="I106" s="72"/>
      <c r="J106" s="72"/>
      <c r="K106" s="71" t="s">
        <v>10849</v>
      </c>
      <c r="L106" s="75"/>
      <c r="M106" s="76"/>
      <c r="N106" s="76"/>
      <c r="O106" s="77"/>
      <c r="P106" s="78"/>
      <c r="Q106" s="78"/>
      <c r="R106" s="92"/>
      <c r="S106" s="92"/>
      <c r="T106" s="92"/>
      <c r="U106" s="92"/>
      <c r="V106" s="52"/>
      <c r="W106" s="52"/>
      <c r="X106" s="52"/>
      <c r="Y106" s="52"/>
      <c r="Z106" s="51"/>
      <c r="AA106" s="73"/>
      <c r="AB106" s="73"/>
      <c r="AC106" s="74"/>
      <c r="AD106" s="80" t="s">
        <v>6689</v>
      </c>
      <c r="AE106" s="85" t="s">
        <v>7956</v>
      </c>
      <c r="AF106" s="80">
        <v>529</v>
      </c>
      <c r="AG106" s="80">
        <v>160</v>
      </c>
      <c r="AH106" s="80">
        <v>19768</v>
      </c>
      <c r="AI106" s="80">
        <v>2719</v>
      </c>
      <c r="AJ106" s="80"/>
      <c r="AK106" s="80" t="s">
        <v>9050</v>
      </c>
      <c r="AL106" s="80"/>
      <c r="AM106" s="80"/>
      <c r="AN106" s="80"/>
      <c r="AO106" s="82">
        <v>40081.63521990741</v>
      </c>
      <c r="AP106" s="87" t="str">
        <f>HYPERLINK("https://pbs.twimg.com/profile_banners/77235440/1476080042")</f>
        <v>https://pbs.twimg.com/profile_banners/77235440/1476080042</v>
      </c>
      <c r="AQ106" s="80" t="b">
        <v>0</v>
      </c>
      <c r="AR106" s="80" t="b">
        <v>0</v>
      </c>
      <c r="AS106" s="80" t="b">
        <v>1</v>
      </c>
      <c r="AT106" s="80"/>
      <c r="AU106" s="80">
        <v>0</v>
      </c>
      <c r="AV106" s="87" t="str">
        <f>HYPERLINK("https://abs.twimg.com/images/themes/theme1/bg.png")</f>
        <v>https://abs.twimg.com/images/themes/theme1/bg.png</v>
      </c>
      <c r="AW106" s="80" t="b">
        <v>0</v>
      </c>
      <c r="AX106" s="80" t="s">
        <v>10746</v>
      </c>
      <c r="AY106" s="87" t="str">
        <f>HYPERLINK("https://twitter.com/lyzaoreo")</f>
        <v>https://twitter.com/lyzaoreo</v>
      </c>
      <c r="AZ106" s="80" t="s">
        <v>66</v>
      </c>
      <c r="BA106" s="2"/>
      <c r="BB106" s="3"/>
      <c r="BC106" s="3"/>
      <c r="BD106" s="3"/>
      <c r="BE106" s="3"/>
    </row>
    <row r="107" spans="1:57" x14ac:dyDescent="0.35">
      <c r="A107" s="66" t="s">
        <v>300</v>
      </c>
      <c r="B107" s="67"/>
      <c r="C107" s="67"/>
      <c r="D107" s="68"/>
      <c r="E107" s="70"/>
      <c r="F107" s="109" t="str">
        <f>HYPERLINK("https://pbs.twimg.com/profile_images/1435535257852203009/s0SnRYs-_normal.jpg")</f>
        <v>https://pbs.twimg.com/profile_images/1435535257852203009/s0SnRYs-_normal.jpg</v>
      </c>
      <c r="G107" s="67"/>
      <c r="H107" s="71"/>
      <c r="I107" s="72"/>
      <c r="J107" s="72"/>
      <c r="K107" s="71" t="s">
        <v>10850</v>
      </c>
      <c r="L107" s="75"/>
      <c r="M107" s="76"/>
      <c r="N107" s="76"/>
      <c r="O107" s="77"/>
      <c r="P107" s="78"/>
      <c r="Q107" s="78"/>
      <c r="R107" s="92"/>
      <c r="S107" s="92"/>
      <c r="T107" s="92"/>
      <c r="U107" s="92"/>
      <c r="V107" s="52"/>
      <c r="W107" s="52"/>
      <c r="X107" s="52"/>
      <c r="Y107" s="52"/>
      <c r="Z107" s="51"/>
      <c r="AA107" s="73"/>
      <c r="AB107" s="73"/>
      <c r="AC107" s="74"/>
      <c r="AD107" s="80" t="s">
        <v>6690</v>
      </c>
      <c r="AE107" s="85" t="s">
        <v>7957</v>
      </c>
      <c r="AF107" s="80">
        <v>358</v>
      </c>
      <c r="AG107" s="80">
        <v>6</v>
      </c>
      <c r="AH107" s="80">
        <v>484</v>
      </c>
      <c r="AI107" s="80">
        <v>432</v>
      </c>
      <c r="AJ107" s="80"/>
      <c r="AK107" s="80" t="s">
        <v>9051</v>
      </c>
      <c r="AL107" s="80"/>
      <c r="AM107" s="80"/>
      <c r="AN107" s="80"/>
      <c r="AO107" s="82">
        <v>44447.3906712963</v>
      </c>
      <c r="AP107" s="80"/>
      <c r="AQ107" s="80" t="b">
        <v>1</v>
      </c>
      <c r="AR107" s="80" t="b">
        <v>0</v>
      </c>
      <c r="AS107" s="80" t="b">
        <v>0</v>
      </c>
      <c r="AT107" s="80"/>
      <c r="AU107" s="80">
        <v>0</v>
      </c>
      <c r="AV107" s="80"/>
      <c r="AW107" s="80" t="b">
        <v>0</v>
      </c>
      <c r="AX107" s="80" t="s">
        <v>10746</v>
      </c>
      <c r="AY107" s="87" t="str">
        <f>HYPERLINK("https://twitter.com/ariasampash")</f>
        <v>https://twitter.com/ariasampash</v>
      </c>
      <c r="AZ107" s="80" t="s">
        <v>66</v>
      </c>
      <c r="BA107" s="2"/>
      <c r="BB107" s="3"/>
      <c r="BC107" s="3"/>
      <c r="BD107" s="3"/>
      <c r="BE107" s="3"/>
    </row>
    <row r="108" spans="1:57" x14ac:dyDescent="0.35">
      <c r="A108" s="66" t="s">
        <v>301</v>
      </c>
      <c r="B108" s="67"/>
      <c r="C108" s="67"/>
      <c r="D108" s="68"/>
      <c r="E108" s="70"/>
      <c r="F108" s="109" t="str">
        <f>HYPERLINK("https://pbs.twimg.com/profile_images/1432783218843869184/Y10QUaGe_normal.jpg")</f>
        <v>https://pbs.twimg.com/profile_images/1432783218843869184/Y10QUaGe_normal.jpg</v>
      </c>
      <c r="G108" s="67"/>
      <c r="H108" s="71"/>
      <c r="I108" s="72"/>
      <c r="J108" s="72"/>
      <c r="K108" s="71" t="s">
        <v>10851</v>
      </c>
      <c r="L108" s="75"/>
      <c r="M108" s="76"/>
      <c r="N108" s="76"/>
      <c r="O108" s="77"/>
      <c r="P108" s="78"/>
      <c r="Q108" s="78"/>
      <c r="R108" s="92"/>
      <c r="S108" s="92"/>
      <c r="T108" s="92"/>
      <c r="U108" s="92"/>
      <c r="V108" s="52"/>
      <c r="W108" s="52"/>
      <c r="X108" s="52"/>
      <c r="Y108" s="52"/>
      <c r="Z108" s="51"/>
      <c r="AA108" s="73"/>
      <c r="AB108" s="73"/>
      <c r="AC108" s="74"/>
      <c r="AD108" s="80" t="s">
        <v>6691</v>
      </c>
      <c r="AE108" s="85" t="s">
        <v>7958</v>
      </c>
      <c r="AF108" s="80">
        <v>1846</v>
      </c>
      <c r="AG108" s="80">
        <v>24</v>
      </c>
      <c r="AH108" s="80">
        <v>886</v>
      </c>
      <c r="AI108" s="80">
        <v>907</v>
      </c>
      <c r="AJ108" s="80"/>
      <c r="AK108" s="80" t="s">
        <v>9052</v>
      </c>
      <c r="AL108" s="80" t="s">
        <v>10185</v>
      </c>
      <c r="AM108" s="80"/>
      <c r="AN108" s="80"/>
      <c r="AO108" s="82">
        <v>40985.017280092594</v>
      </c>
      <c r="AP108" s="87" t="str">
        <f>HYPERLINK("https://pbs.twimg.com/profile_banners/526933844/1630437151")</f>
        <v>https://pbs.twimg.com/profile_banners/526933844/1630437151</v>
      </c>
      <c r="AQ108" s="80" t="b">
        <v>0</v>
      </c>
      <c r="AR108" s="80" t="b">
        <v>0</v>
      </c>
      <c r="AS108" s="80" t="b">
        <v>0</v>
      </c>
      <c r="AT108" s="80"/>
      <c r="AU108" s="80">
        <v>0</v>
      </c>
      <c r="AV108" s="87" t="str">
        <f>HYPERLINK("https://abs.twimg.com/images/themes/theme2/bg.gif")</f>
        <v>https://abs.twimg.com/images/themes/theme2/bg.gif</v>
      </c>
      <c r="AW108" s="80" t="b">
        <v>0</v>
      </c>
      <c r="AX108" s="80" t="s">
        <v>10746</v>
      </c>
      <c r="AY108" s="87" t="str">
        <f>HYPERLINK("https://twitter.com/shahnewaz01")</f>
        <v>https://twitter.com/shahnewaz01</v>
      </c>
      <c r="AZ108" s="80" t="s">
        <v>66</v>
      </c>
      <c r="BA108" s="2"/>
      <c r="BB108" s="3"/>
      <c r="BC108" s="3"/>
      <c r="BD108" s="3"/>
      <c r="BE108" s="3"/>
    </row>
    <row r="109" spans="1:57" x14ac:dyDescent="0.35">
      <c r="A109" s="66" t="s">
        <v>302</v>
      </c>
      <c r="B109" s="67"/>
      <c r="C109" s="67"/>
      <c r="D109" s="68"/>
      <c r="E109" s="70"/>
      <c r="F109" s="109" t="str">
        <f>HYPERLINK("https://pbs.twimg.com/profile_images/1394145263397212161/MtaQtHIS_normal.jpg")</f>
        <v>https://pbs.twimg.com/profile_images/1394145263397212161/MtaQtHIS_normal.jpg</v>
      </c>
      <c r="G109" s="67"/>
      <c r="H109" s="71"/>
      <c r="I109" s="72"/>
      <c r="J109" s="72"/>
      <c r="K109" s="71" t="s">
        <v>10852</v>
      </c>
      <c r="L109" s="75"/>
      <c r="M109" s="76"/>
      <c r="N109" s="76"/>
      <c r="O109" s="77"/>
      <c r="P109" s="78"/>
      <c r="Q109" s="78"/>
      <c r="R109" s="92"/>
      <c r="S109" s="92"/>
      <c r="T109" s="92"/>
      <c r="U109" s="92"/>
      <c r="V109" s="52"/>
      <c r="W109" s="52"/>
      <c r="X109" s="52"/>
      <c r="Y109" s="52"/>
      <c r="Z109" s="51"/>
      <c r="AA109" s="73"/>
      <c r="AB109" s="73"/>
      <c r="AC109" s="74"/>
      <c r="AD109" s="80" t="s">
        <v>6692</v>
      </c>
      <c r="AE109" s="85" t="s">
        <v>7959</v>
      </c>
      <c r="AF109" s="80">
        <v>136</v>
      </c>
      <c r="AG109" s="80">
        <v>62</v>
      </c>
      <c r="AH109" s="80">
        <v>8217</v>
      </c>
      <c r="AI109" s="80">
        <v>17842</v>
      </c>
      <c r="AJ109" s="80"/>
      <c r="AK109" s="80" t="s">
        <v>9053</v>
      </c>
      <c r="AL109" s="80" t="s">
        <v>10186</v>
      </c>
      <c r="AM109" s="80"/>
      <c r="AN109" s="80"/>
      <c r="AO109" s="82">
        <v>43719.752905092595</v>
      </c>
      <c r="AP109" s="87" t="str">
        <f>HYPERLINK("https://pbs.twimg.com/profile_banners/1171846838002962432/1590565630")</f>
        <v>https://pbs.twimg.com/profile_banners/1171846838002962432/1590565630</v>
      </c>
      <c r="AQ109" s="80" t="b">
        <v>1</v>
      </c>
      <c r="AR109" s="80" t="b">
        <v>0</v>
      </c>
      <c r="AS109" s="80" t="b">
        <v>0</v>
      </c>
      <c r="AT109" s="80"/>
      <c r="AU109" s="80">
        <v>0</v>
      </c>
      <c r="AV109" s="80"/>
      <c r="AW109" s="80" t="b">
        <v>0</v>
      </c>
      <c r="AX109" s="80" t="s">
        <v>10746</v>
      </c>
      <c r="AY109" s="87" t="str">
        <f>HYPERLINK("https://twitter.com/qurratulaini_99")</f>
        <v>https://twitter.com/qurratulaini_99</v>
      </c>
      <c r="AZ109" s="80" t="s">
        <v>66</v>
      </c>
      <c r="BA109" s="2"/>
      <c r="BB109" s="3"/>
      <c r="BC109" s="3"/>
      <c r="BD109" s="3"/>
      <c r="BE109" s="3"/>
    </row>
    <row r="110" spans="1:57" x14ac:dyDescent="0.35">
      <c r="A110" s="66" t="s">
        <v>303</v>
      </c>
      <c r="B110" s="67"/>
      <c r="C110" s="67"/>
      <c r="D110" s="68"/>
      <c r="E110" s="70"/>
      <c r="F110" s="109" t="str">
        <f>HYPERLINK("https://pbs.twimg.com/profile_images/1442065633802293253/4cKz4AUn_normal.jpg")</f>
        <v>https://pbs.twimg.com/profile_images/1442065633802293253/4cKz4AUn_normal.jpg</v>
      </c>
      <c r="G110" s="67"/>
      <c r="H110" s="71"/>
      <c r="I110" s="72"/>
      <c r="J110" s="72"/>
      <c r="K110" s="71" t="s">
        <v>10853</v>
      </c>
      <c r="L110" s="75"/>
      <c r="M110" s="76"/>
      <c r="N110" s="76"/>
      <c r="O110" s="77"/>
      <c r="P110" s="78"/>
      <c r="Q110" s="78"/>
      <c r="R110" s="92"/>
      <c r="S110" s="92"/>
      <c r="T110" s="92"/>
      <c r="U110" s="92"/>
      <c r="V110" s="52"/>
      <c r="W110" s="52"/>
      <c r="X110" s="52"/>
      <c r="Y110" s="52"/>
      <c r="Z110" s="51"/>
      <c r="AA110" s="73"/>
      <c r="AB110" s="73"/>
      <c r="AC110" s="74"/>
      <c r="AD110" s="80" t="s">
        <v>6693</v>
      </c>
      <c r="AE110" s="85" t="s">
        <v>7960</v>
      </c>
      <c r="AF110" s="80">
        <v>278</v>
      </c>
      <c r="AG110" s="80">
        <v>182</v>
      </c>
      <c r="AH110" s="80">
        <v>2279</v>
      </c>
      <c r="AI110" s="80">
        <v>4378</v>
      </c>
      <c r="AJ110" s="80"/>
      <c r="AK110" s="80" t="s">
        <v>9054</v>
      </c>
      <c r="AL110" s="80" t="s">
        <v>10187</v>
      </c>
      <c r="AM110" s="80"/>
      <c r="AN110" s="80"/>
      <c r="AO110" s="82">
        <v>43791.336458333331</v>
      </c>
      <c r="AP110" s="87" t="str">
        <f>HYPERLINK("https://pbs.twimg.com/profile_banners/1197787817075605504/1628018166")</f>
        <v>https://pbs.twimg.com/profile_banners/1197787817075605504/1628018166</v>
      </c>
      <c r="AQ110" s="80" t="b">
        <v>1</v>
      </c>
      <c r="AR110" s="80" t="b">
        <v>0</v>
      </c>
      <c r="AS110" s="80" t="b">
        <v>1</v>
      </c>
      <c r="AT110" s="80"/>
      <c r="AU110" s="80">
        <v>0</v>
      </c>
      <c r="AV110" s="80"/>
      <c r="AW110" s="80" t="b">
        <v>0</v>
      </c>
      <c r="AX110" s="80" t="s">
        <v>10746</v>
      </c>
      <c r="AY110" s="87" t="str">
        <f>HYPERLINK("https://twitter.com/doraemonbolatt")</f>
        <v>https://twitter.com/doraemonbolatt</v>
      </c>
      <c r="AZ110" s="80" t="s">
        <v>66</v>
      </c>
      <c r="BA110" s="2"/>
      <c r="BB110" s="3"/>
      <c r="BC110" s="3"/>
      <c r="BD110" s="3"/>
      <c r="BE110" s="3"/>
    </row>
    <row r="111" spans="1:57" x14ac:dyDescent="0.35">
      <c r="A111" s="66" t="s">
        <v>304</v>
      </c>
      <c r="B111" s="67"/>
      <c r="C111" s="67"/>
      <c r="D111" s="68"/>
      <c r="E111" s="70"/>
      <c r="F111" s="109" t="str">
        <f>HYPERLINK("https://pbs.twimg.com/profile_images/1441377763751981072/vR4yovaY_normal.jpg")</f>
        <v>https://pbs.twimg.com/profile_images/1441377763751981072/vR4yovaY_normal.jpg</v>
      </c>
      <c r="G111" s="67"/>
      <c r="H111" s="71"/>
      <c r="I111" s="72"/>
      <c r="J111" s="72"/>
      <c r="K111" s="71" t="s">
        <v>10854</v>
      </c>
      <c r="L111" s="75"/>
      <c r="M111" s="76"/>
      <c r="N111" s="76"/>
      <c r="O111" s="77"/>
      <c r="P111" s="78"/>
      <c r="Q111" s="78"/>
      <c r="R111" s="92"/>
      <c r="S111" s="92"/>
      <c r="T111" s="92"/>
      <c r="U111" s="92"/>
      <c r="V111" s="52"/>
      <c r="W111" s="52"/>
      <c r="X111" s="52"/>
      <c r="Y111" s="52"/>
      <c r="Z111" s="51"/>
      <c r="AA111" s="73"/>
      <c r="AB111" s="73"/>
      <c r="AC111" s="74"/>
      <c r="AD111" s="80" t="s">
        <v>6694</v>
      </c>
      <c r="AE111" s="85" t="s">
        <v>7961</v>
      </c>
      <c r="AF111" s="80">
        <v>984</v>
      </c>
      <c r="AG111" s="80">
        <v>65</v>
      </c>
      <c r="AH111" s="80">
        <v>5340</v>
      </c>
      <c r="AI111" s="80">
        <v>7401</v>
      </c>
      <c r="AJ111" s="80"/>
      <c r="AK111" s="80"/>
      <c r="AL111" s="80"/>
      <c r="AM111" s="80"/>
      <c r="AN111" s="80"/>
      <c r="AO111" s="82">
        <v>42448.238564814812</v>
      </c>
      <c r="AP111" s="87" t="str">
        <f>HYPERLINK("https://pbs.twimg.com/profile_banners/711065546968555521/1632486212")</f>
        <v>https://pbs.twimg.com/profile_banners/711065546968555521/1632486212</v>
      </c>
      <c r="AQ111" s="80" t="b">
        <v>0</v>
      </c>
      <c r="AR111" s="80" t="b">
        <v>0</v>
      </c>
      <c r="AS111" s="80" t="b">
        <v>0</v>
      </c>
      <c r="AT111" s="80"/>
      <c r="AU111" s="80">
        <v>0</v>
      </c>
      <c r="AV111" s="87" t="str">
        <f>HYPERLINK("https://abs.twimg.com/images/themes/theme1/bg.png")</f>
        <v>https://abs.twimg.com/images/themes/theme1/bg.png</v>
      </c>
      <c r="AW111" s="80" t="b">
        <v>0</v>
      </c>
      <c r="AX111" s="80" t="s">
        <v>10746</v>
      </c>
      <c r="AY111" s="87" t="str">
        <f>HYPERLINK("https://twitter.com/whysishak")</f>
        <v>https://twitter.com/whysishak</v>
      </c>
      <c r="AZ111" s="80" t="s">
        <v>66</v>
      </c>
      <c r="BA111" s="2"/>
      <c r="BB111" s="3"/>
      <c r="BC111" s="3"/>
      <c r="BD111" s="3"/>
      <c r="BE111" s="3"/>
    </row>
    <row r="112" spans="1:57" x14ac:dyDescent="0.35">
      <c r="A112" s="66" t="s">
        <v>305</v>
      </c>
      <c r="B112" s="67"/>
      <c r="C112" s="67"/>
      <c r="D112" s="68"/>
      <c r="E112" s="70"/>
      <c r="F112" s="109" t="str">
        <f>HYPERLINK("https://pbs.twimg.com/profile_images/1421719245155491846/5Hi5by0B_normal.jpg")</f>
        <v>https://pbs.twimg.com/profile_images/1421719245155491846/5Hi5by0B_normal.jpg</v>
      </c>
      <c r="G112" s="67"/>
      <c r="H112" s="71"/>
      <c r="I112" s="72"/>
      <c r="J112" s="72"/>
      <c r="K112" s="71" t="s">
        <v>10855</v>
      </c>
      <c r="L112" s="75"/>
      <c r="M112" s="76"/>
      <c r="N112" s="76"/>
      <c r="O112" s="77"/>
      <c r="P112" s="78"/>
      <c r="Q112" s="78"/>
      <c r="R112" s="92"/>
      <c r="S112" s="92"/>
      <c r="T112" s="92"/>
      <c r="U112" s="92"/>
      <c r="V112" s="52"/>
      <c r="W112" s="52"/>
      <c r="X112" s="52"/>
      <c r="Y112" s="52"/>
      <c r="Z112" s="51"/>
      <c r="AA112" s="73"/>
      <c r="AB112" s="73"/>
      <c r="AC112" s="74"/>
      <c r="AD112" s="80" t="s">
        <v>6695</v>
      </c>
      <c r="AE112" s="85" t="s">
        <v>7962</v>
      </c>
      <c r="AF112" s="80">
        <v>540</v>
      </c>
      <c r="AG112" s="80">
        <v>262</v>
      </c>
      <c r="AH112" s="80">
        <v>8363</v>
      </c>
      <c r="AI112" s="80">
        <v>18240</v>
      </c>
      <c r="AJ112" s="80"/>
      <c r="AK112" s="80" t="s">
        <v>9055</v>
      </c>
      <c r="AL112" s="80" t="s">
        <v>10188</v>
      </c>
      <c r="AM112" s="87" t="str">
        <f>HYPERLINK("https://t.co/hGWhmg3oGj")</f>
        <v>https://t.co/hGWhmg3oGj</v>
      </c>
      <c r="AN112" s="80"/>
      <c r="AO112" s="82">
        <v>42895.153483796297</v>
      </c>
      <c r="AP112" s="87" t="str">
        <f>HYPERLINK("https://pbs.twimg.com/profile_banners/873022091078979586/1574005788")</f>
        <v>https://pbs.twimg.com/profile_banners/873022091078979586/1574005788</v>
      </c>
      <c r="AQ112" s="80" t="b">
        <v>1</v>
      </c>
      <c r="AR112" s="80" t="b">
        <v>0</v>
      </c>
      <c r="AS112" s="80" t="b">
        <v>1</v>
      </c>
      <c r="AT112" s="80"/>
      <c r="AU112" s="80">
        <v>0</v>
      </c>
      <c r="AV112" s="80"/>
      <c r="AW112" s="80" t="b">
        <v>0</v>
      </c>
      <c r="AX112" s="80" t="s">
        <v>10746</v>
      </c>
      <c r="AY112" s="87" t="str">
        <f>HYPERLINK("https://twitter.com/peachkarin22")</f>
        <v>https://twitter.com/peachkarin22</v>
      </c>
      <c r="AZ112" s="80" t="s">
        <v>66</v>
      </c>
      <c r="BA112" s="2"/>
      <c r="BB112" s="3"/>
      <c r="BC112" s="3"/>
      <c r="BD112" s="3"/>
      <c r="BE112" s="3"/>
    </row>
    <row r="113" spans="1:57" x14ac:dyDescent="0.35">
      <c r="A113" s="66" t="s">
        <v>306</v>
      </c>
      <c r="B113" s="67"/>
      <c r="C113" s="67"/>
      <c r="D113" s="68"/>
      <c r="E113" s="70"/>
      <c r="F113" s="109" t="str">
        <f>HYPERLINK("https://pbs.twimg.com/profile_images/1247471698728734720/F2xjVere_normal.jpg")</f>
        <v>https://pbs.twimg.com/profile_images/1247471698728734720/F2xjVere_normal.jpg</v>
      </c>
      <c r="G113" s="67"/>
      <c r="H113" s="71"/>
      <c r="I113" s="72"/>
      <c r="J113" s="72"/>
      <c r="K113" s="71" t="s">
        <v>10856</v>
      </c>
      <c r="L113" s="75"/>
      <c r="M113" s="76"/>
      <c r="N113" s="76"/>
      <c r="O113" s="77"/>
      <c r="P113" s="78"/>
      <c r="Q113" s="78"/>
      <c r="R113" s="92"/>
      <c r="S113" s="92"/>
      <c r="T113" s="92"/>
      <c r="U113" s="92"/>
      <c r="V113" s="52"/>
      <c r="W113" s="52"/>
      <c r="X113" s="52"/>
      <c r="Y113" s="52"/>
      <c r="Z113" s="51"/>
      <c r="AA113" s="73"/>
      <c r="AB113" s="73"/>
      <c r="AC113" s="74"/>
      <c r="AD113" s="80" t="s">
        <v>6696</v>
      </c>
      <c r="AE113" s="85" t="s">
        <v>7963</v>
      </c>
      <c r="AF113" s="80">
        <v>550</v>
      </c>
      <c r="AG113" s="80">
        <v>234</v>
      </c>
      <c r="AH113" s="80">
        <v>11232</v>
      </c>
      <c r="AI113" s="80">
        <v>3720</v>
      </c>
      <c r="AJ113" s="80"/>
      <c r="AK113" s="80" t="s">
        <v>9056</v>
      </c>
      <c r="AL113" s="80"/>
      <c r="AM113" s="80"/>
      <c r="AN113" s="80"/>
      <c r="AO113" s="82">
        <v>41259.332766203705</v>
      </c>
      <c r="AP113" s="87" t="str">
        <f>HYPERLINK("https://pbs.twimg.com/profile_banners/1014717866/1500993257")</f>
        <v>https://pbs.twimg.com/profile_banners/1014717866/1500993257</v>
      </c>
      <c r="AQ113" s="80" t="b">
        <v>1</v>
      </c>
      <c r="AR113" s="80" t="b">
        <v>0</v>
      </c>
      <c r="AS113" s="80" t="b">
        <v>1</v>
      </c>
      <c r="AT113" s="80"/>
      <c r="AU113" s="80">
        <v>0</v>
      </c>
      <c r="AV113" s="87" t="str">
        <f>HYPERLINK("https://abs.twimg.com/images/themes/theme1/bg.png")</f>
        <v>https://abs.twimg.com/images/themes/theme1/bg.png</v>
      </c>
      <c r="AW113" s="80" t="b">
        <v>0</v>
      </c>
      <c r="AX113" s="80" t="s">
        <v>10746</v>
      </c>
      <c r="AY113" s="87" t="str">
        <f>HYPERLINK("https://twitter.com/aminhakami")</f>
        <v>https://twitter.com/aminhakami</v>
      </c>
      <c r="AZ113" s="80" t="s">
        <v>66</v>
      </c>
      <c r="BA113" s="2"/>
      <c r="BB113" s="3"/>
      <c r="BC113" s="3"/>
      <c r="BD113" s="3"/>
      <c r="BE113" s="3"/>
    </row>
    <row r="114" spans="1:57" x14ac:dyDescent="0.35">
      <c r="A114" s="66" t="s">
        <v>307</v>
      </c>
      <c r="B114" s="67"/>
      <c r="C114" s="67"/>
      <c r="D114" s="68"/>
      <c r="E114" s="70"/>
      <c r="F114" s="109" t="str">
        <f>HYPERLINK("https://pbs.twimg.com/profile_images/1440704294391463936/co4013NF_normal.jpg")</f>
        <v>https://pbs.twimg.com/profile_images/1440704294391463936/co4013NF_normal.jpg</v>
      </c>
      <c r="G114" s="67"/>
      <c r="H114" s="71"/>
      <c r="I114" s="72"/>
      <c r="J114" s="72"/>
      <c r="K114" s="71" t="s">
        <v>10857</v>
      </c>
      <c r="L114" s="75"/>
      <c r="M114" s="76"/>
      <c r="N114" s="76"/>
      <c r="O114" s="77"/>
      <c r="P114" s="78"/>
      <c r="Q114" s="78"/>
      <c r="R114" s="92"/>
      <c r="S114" s="92"/>
      <c r="T114" s="92"/>
      <c r="U114" s="92"/>
      <c r="V114" s="52"/>
      <c r="W114" s="52"/>
      <c r="X114" s="52"/>
      <c r="Y114" s="52"/>
      <c r="Z114" s="51"/>
      <c r="AA114" s="73"/>
      <c r="AB114" s="73"/>
      <c r="AC114" s="74"/>
      <c r="AD114" s="80" t="s">
        <v>6697</v>
      </c>
      <c r="AE114" s="85" t="s">
        <v>7964</v>
      </c>
      <c r="AF114" s="80">
        <v>410</v>
      </c>
      <c r="AG114" s="80">
        <v>828</v>
      </c>
      <c r="AH114" s="80">
        <v>76189</v>
      </c>
      <c r="AI114" s="80">
        <v>22665</v>
      </c>
      <c r="AJ114" s="80"/>
      <c r="AK114" s="80" t="s">
        <v>9057</v>
      </c>
      <c r="AL114" s="80" t="s">
        <v>10189</v>
      </c>
      <c r="AM114" s="87" t="str">
        <f>HYPERLINK("https://t.co/S0dRtRefHa")</f>
        <v>https://t.co/S0dRtRefHa</v>
      </c>
      <c r="AN114" s="80"/>
      <c r="AO114" s="82">
        <v>41665.377615740741</v>
      </c>
      <c r="AP114" s="87" t="str">
        <f>HYPERLINK("https://pbs.twimg.com/profile_banners/2311527570/1560359483")</f>
        <v>https://pbs.twimg.com/profile_banners/2311527570/1560359483</v>
      </c>
      <c r="AQ114" s="80" t="b">
        <v>0</v>
      </c>
      <c r="AR114" s="80" t="b">
        <v>0</v>
      </c>
      <c r="AS114" s="80" t="b">
        <v>1</v>
      </c>
      <c r="AT114" s="80"/>
      <c r="AU114" s="80">
        <v>2</v>
      </c>
      <c r="AV114" s="87" t="str">
        <f>HYPERLINK("https://abs.twimg.com/images/themes/theme10/bg.gif")</f>
        <v>https://abs.twimg.com/images/themes/theme10/bg.gif</v>
      </c>
      <c r="AW114" s="80" t="b">
        <v>0</v>
      </c>
      <c r="AX114" s="80" t="s">
        <v>10746</v>
      </c>
      <c r="AY114" s="87" t="str">
        <f>HYPERLINK("https://twitter.com/1zz4tihabshi")</f>
        <v>https://twitter.com/1zz4tihabshi</v>
      </c>
      <c r="AZ114" s="80" t="s">
        <v>66</v>
      </c>
      <c r="BA114" s="2"/>
      <c r="BB114" s="3"/>
      <c r="BC114" s="3"/>
      <c r="BD114" s="3"/>
      <c r="BE114" s="3"/>
    </row>
    <row r="115" spans="1:57" x14ac:dyDescent="0.35">
      <c r="A115" s="66" t="s">
        <v>308</v>
      </c>
      <c r="B115" s="67"/>
      <c r="C115" s="67"/>
      <c r="D115" s="68"/>
      <c r="E115" s="70"/>
      <c r="F115" s="109" t="str">
        <f>HYPERLINK("https://pbs.twimg.com/profile_images/1423992158126710787/AnqbzuXI_normal.jpg")</f>
        <v>https://pbs.twimg.com/profile_images/1423992158126710787/AnqbzuXI_normal.jpg</v>
      </c>
      <c r="G115" s="67"/>
      <c r="H115" s="71"/>
      <c r="I115" s="72"/>
      <c r="J115" s="72"/>
      <c r="K115" s="71" t="s">
        <v>10858</v>
      </c>
      <c r="L115" s="75"/>
      <c r="M115" s="76"/>
      <c r="N115" s="76"/>
      <c r="O115" s="77"/>
      <c r="P115" s="78"/>
      <c r="Q115" s="78"/>
      <c r="R115" s="92"/>
      <c r="S115" s="92"/>
      <c r="T115" s="92"/>
      <c r="U115" s="92"/>
      <c r="V115" s="52"/>
      <c r="W115" s="52"/>
      <c r="X115" s="52"/>
      <c r="Y115" s="52"/>
      <c r="Z115" s="51"/>
      <c r="AA115" s="73"/>
      <c r="AB115" s="73"/>
      <c r="AC115" s="74"/>
      <c r="AD115" s="80" t="s">
        <v>6698</v>
      </c>
      <c r="AE115" s="85" t="s">
        <v>7965</v>
      </c>
      <c r="AF115" s="80">
        <v>175</v>
      </c>
      <c r="AG115" s="80">
        <v>60</v>
      </c>
      <c r="AH115" s="80">
        <v>905</v>
      </c>
      <c r="AI115" s="80">
        <v>16757</v>
      </c>
      <c r="AJ115" s="80"/>
      <c r="AK115" s="80" t="s">
        <v>9058</v>
      </c>
      <c r="AL115" s="80" t="s">
        <v>10190</v>
      </c>
      <c r="AM115" s="80"/>
      <c r="AN115" s="80"/>
      <c r="AO115" s="82">
        <v>44025.498101851852</v>
      </c>
      <c r="AP115" s="87" t="str">
        <f>HYPERLINK("https://pbs.twimg.com/profile_banners/1282645195289317379/1625484647")</f>
        <v>https://pbs.twimg.com/profile_banners/1282645195289317379/1625484647</v>
      </c>
      <c r="AQ115" s="80" t="b">
        <v>1</v>
      </c>
      <c r="AR115" s="80" t="b">
        <v>0</v>
      </c>
      <c r="AS115" s="80" t="b">
        <v>0</v>
      </c>
      <c r="AT115" s="80"/>
      <c r="AU115" s="80">
        <v>0</v>
      </c>
      <c r="AV115" s="80"/>
      <c r="AW115" s="80" t="b">
        <v>0</v>
      </c>
      <c r="AX115" s="80" t="s">
        <v>10746</v>
      </c>
      <c r="AY115" s="87" t="str">
        <f>HYPERLINK("https://twitter.com/imezaq")</f>
        <v>https://twitter.com/imezaq</v>
      </c>
      <c r="AZ115" s="80" t="s">
        <v>66</v>
      </c>
      <c r="BA115" s="2"/>
      <c r="BB115" s="3"/>
      <c r="BC115" s="3"/>
      <c r="BD115" s="3"/>
      <c r="BE115" s="3"/>
    </row>
    <row r="116" spans="1:57" x14ac:dyDescent="0.35">
      <c r="A116" s="66" t="s">
        <v>309</v>
      </c>
      <c r="B116" s="67"/>
      <c r="C116" s="67"/>
      <c r="D116" s="68"/>
      <c r="E116" s="70"/>
      <c r="F116" s="109" t="str">
        <f>HYPERLINK("https://pbs.twimg.com/profile_images/1380108653508714499/tgluJlKK_normal.jpg")</f>
        <v>https://pbs.twimg.com/profile_images/1380108653508714499/tgluJlKK_normal.jpg</v>
      </c>
      <c r="G116" s="67"/>
      <c r="H116" s="71"/>
      <c r="I116" s="72"/>
      <c r="J116" s="72"/>
      <c r="K116" s="71" t="s">
        <v>10859</v>
      </c>
      <c r="L116" s="75"/>
      <c r="M116" s="76"/>
      <c r="N116" s="76"/>
      <c r="O116" s="77"/>
      <c r="P116" s="78"/>
      <c r="Q116" s="78"/>
      <c r="R116" s="92"/>
      <c r="S116" s="92"/>
      <c r="T116" s="92"/>
      <c r="U116" s="92"/>
      <c r="V116" s="52"/>
      <c r="W116" s="52"/>
      <c r="X116" s="52"/>
      <c r="Y116" s="52"/>
      <c r="Z116" s="51"/>
      <c r="AA116" s="73"/>
      <c r="AB116" s="73"/>
      <c r="AC116" s="74"/>
      <c r="AD116" s="80" t="s">
        <v>6699</v>
      </c>
      <c r="AE116" s="85" t="s">
        <v>7966</v>
      </c>
      <c r="AF116" s="80">
        <v>1898</v>
      </c>
      <c r="AG116" s="80">
        <v>31270</v>
      </c>
      <c r="AH116" s="80">
        <v>16133</v>
      </c>
      <c r="AI116" s="80">
        <v>7254</v>
      </c>
      <c r="AJ116" s="80"/>
      <c r="AK116" s="80" t="s">
        <v>9059</v>
      </c>
      <c r="AL116" s="80" t="s">
        <v>10191</v>
      </c>
      <c r="AM116" s="87" t="str">
        <f>HYPERLINK("https://t.co/eWXEeBtX6s")</f>
        <v>https://t.co/eWXEeBtX6s</v>
      </c>
      <c r="AN116" s="80"/>
      <c r="AO116" s="82">
        <v>41436.563067129631</v>
      </c>
      <c r="AP116" s="87" t="str">
        <f>HYPERLINK("https://pbs.twimg.com/profile_banners/1503250820/1617700724")</f>
        <v>https://pbs.twimg.com/profile_banners/1503250820/1617700724</v>
      </c>
      <c r="AQ116" s="80" t="b">
        <v>0</v>
      </c>
      <c r="AR116" s="80" t="b">
        <v>0</v>
      </c>
      <c r="AS116" s="80" t="b">
        <v>0</v>
      </c>
      <c r="AT116" s="80"/>
      <c r="AU116" s="80">
        <v>4</v>
      </c>
      <c r="AV116" s="87" t="str">
        <f>HYPERLINK("https://abs.twimg.com/images/themes/theme1/bg.png")</f>
        <v>https://abs.twimg.com/images/themes/theme1/bg.png</v>
      </c>
      <c r="AW116" s="80" t="b">
        <v>0</v>
      </c>
      <c r="AX116" s="80" t="s">
        <v>10746</v>
      </c>
      <c r="AY116" s="87" t="str">
        <f>HYPERLINK("https://twitter.com/greatofkratos")</f>
        <v>https://twitter.com/greatofkratos</v>
      </c>
      <c r="AZ116" s="80" t="s">
        <v>66</v>
      </c>
      <c r="BA116" s="2"/>
      <c r="BB116" s="3"/>
      <c r="BC116" s="3"/>
      <c r="BD116" s="3"/>
      <c r="BE116" s="3"/>
    </row>
    <row r="117" spans="1:57" x14ac:dyDescent="0.35">
      <c r="A117" s="66" t="s">
        <v>310</v>
      </c>
      <c r="B117" s="67"/>
      <c r="C117" s="67"/>
      <c r="D117" s="68"/>
      <c r="E117" s="70"/>
      <c r="F117" s="109" t="str">
        <f>HYPERLINK("https://pbs.twimg.com/profile_images/1056431692351565824/CR-KDYfs_normal.jpg")</f>
        <v>https://pbs.twimg.com/profile_images/1056431692351565824/CR-KDYfs_normal.jpg</v>
      </c>
      <c r="G117" s="67"/>
      <c r="H117" s="71"/>
      <c r="I117" s="72"/>
      <c r="J117" s="72"/>
      <c r="K117" s="71" t="s">
        <v>10860</v>
      </c>
      <c r="L117" s="75"/>
      <c r="M117" s="76"/>
      <c r="N117" s="76"/>
      <c r="O117" s="77"/>
      <c r="P117" s="78"/>
      <c r="Q117" s="78"/>
      <c r="R117" s="92"/>
      <c r="S117" s="92"/>
      <c r="T117" s="92"/>
      <c r="U117" s="92"/>
      <c r="V117" s="52"/>
      <c r="W117" s="52"/>
      <c r="X117" s="52"/>
      <c r="Y117" s="52"/>
      <c r="Z117" s="51"/>
      <c r="AA117" s="73"/>
      <c r="AB117" s="73"/>
      <c r="AC117" s="74"/>
      <c r="AD117" s="80" t="s">
        <v>6700</v>
      </c>
      <c r="AE117" s="85" t="s">
        <v>7967</v>
      </c>
      <c r="AF117" s="80">
        <v>322</v>
      </c>
      <c r="AG117" s="80">
        <v>120</v>
      </c>
      <c r="AH117" s="80">
        <v>56521</v>
      </c>
      <c r="AI117" s="80">
        <v>1027</v>
      </c>
      <c r="AJ117" s="80"/>
      <c r="AK117" s="80">
        <v>20</v>
      </c>
      <c r="AL117" s="80"/>
      <c r="AM117" s="80"/>
      <c r="AN117" s="80"/>
      <c r="AO117" s="82">
        <v>40625.81108796296</v>
      </c>
      <c r="AP117" s="87" t="str">
        <f>HYPERLINK("https://pbs.twimg.com/profile_banners/271053603/1362573160")</f>
        <v>https://pbs.twimg.com/profile_banners/271053603/1362573160</v>
      </c>
      <c r="AQ117" s="80" t="b">
        <v>0</v>
      </c>
      <c r="AR117" s="80" t="b">
        <v>0</v>
      </c>
      <c r="AS117" s="80" t="b">
        <v>1</v>
      </c>
      <c r="AT117" s="80"/>
      <c r="AU117" s="80">
        <v>1</v>
      </c>
      <c r="AV117" s="87" t="str">
        <f>HYPERLINK("https://abs.twimg.com/images/themes/theme1/bg.png")</f>
        <v>https://abs.twimg.com/images/themes/theme1/bg.png</v>
      </c>
      <c r="AW117" s="80" t="b">
        <v>0</v>
      </c>
      <c r="AX117" s="80" t="s">
        <v>10746</v>
      </c>
      <c r="AY117" s="87" t="str">
        <f>HYPERLINK("https://twitter.com/farisyamat")</f>
        <v>https://twitter.com/farisyamat</v>
      </c>
      <c r="AZ117" s="80" t="s">
        <v>66</v>
      </c>
      <c r="BA117" s="2"/>
      <c r="BB117" s="3"/>
      <c r="BC117" s="3"/>
      <c r="BD117" s="3"/>
      <c r="BE117" s="3"/>
    </row>
    <row r="118" spans="1:57" x14ac:dyDescent="0.35">
      <c r="A118" s="66" t="s">
        <v>311</v>
      </c>
      <c r="B118" s="67"/>
      <c r="C118" s="67"/>
      <c r="D118" s="68"/>
      <c r="E118" s="70"/>
      <c r="F118" s="109" t="str">
        <f>HYPERLINK("https://pbs.twimg.com/profile_images/1367414970632208393/aSbQtP5w_normal.jpg")</f>
        <v>https://pbs.twimg.com/profile_images/1367414970632208393/aSbQtP5w_normal.jpg</v>
      </c>
      <c r="G118" s="67"/>
      <c r="H118" s="71"/>
      <c r="I118" s="72"/>
      <c r="J118" s="72"/>
      <c r="K118" s="71" t="s">
        <v>10861</v>
      </c>
      <c r="L118" s="75"/>
      <c r="M118" s="76"/>
      <c r="N118" s="76"/>
      <c r="O118" s="77"/>
      <c r="P118" s="78"/>
      <c r="Q118" s="78"/>
      <c r="R118" s="92"/>
      <c r="S118" s="92"/>
      <c r="T118" s="92"/>
      <c r="U118" s="92"/>
      <c r="V118" s="52"/>
      <c r="W118" s="52"/>
      <c r="X118" s="52"/>
      <c r="Y118" s="52"/>
      <c r="Z118" s="51"/>
      <c r="AA118" s="73"/>
      <c r="AB118" s="73"/>
      <c r="AC118" s="74"/>
      <c r="AD118" s="80" t="s">
        <v>6701</v>
      </c>
      <c r="AE118" s="85" t="s">
        <v>7968</v>
      </c>
      <c r="AF118" s="80">
        <v>284</v>
      </c>
      <c r="AG118" s="80">
        <v>166</v>
      </c>
      <c r="AH118" s="80">
        <v>41033</v>
      </c>
      <c r="AI118" s="80">
        <v>14228</v>
      </c>
      <c r="AJ118" s="80"/>
      <c r="AK118" s="80" t="s">
        <v>9060</v>
      </c>
      <c r="AL118" s="80"/>
      <c r="AM118" s="80"/>
      <c r="AN118" s="80"/>
      <c r="AO118" s="82">
        <v>43308.547812500001</v>
      </c>
      <c r="AP118" s="87" t="str">
        <f>HYPERLINK("https://pbs.twimg.com/profile_banners/1022831180784099328/1629370979")</f>
        <v>https://pbs.twimg.com/profile_banners/1022831180784099328/1629370979</v>
      </c>
      <c r="AQ118" s="80" t="b">
        <v>1</v>
      </c>
      <c r="AR118" s="80" t="b">
        <v>0</v>
      </c>
      <c r="AS118" s="80" t="b">
        <v>1</v>
      </c>
      <c r="AT118" s="80"/>
      <c r="AU118" s="80">
        <v>0</v>
      </c>
      <c r="AV118" s="80"/>
      <c r="AW118" s="80" t="b">
        <v>0</v>
      </c>
      <c r="AX118" s="80" t="s">
        <v>10746</v>
      </c>
      <c r="AY118" s="87" t="str">
        <f>HYPERLINK("https://twitter.com/nvraini_")</f>
        <v>https://twitter.com/nvraini_</v>
      </c>
      <c r="AZ118" s="80" t="s">
        <v>66</v>
      </c>
      <c r="BA118" s="2"/>
      <c r="BB118" s="3"/>
      <c r="BC118" s="3"/>
      <c r="BD118" s="3"/>
      <c r="BE118" s="3"/>
    </row>
    <row r="119" spans="1:57" x14ac:dyDescent="0.35">
      <c r="A119" s="66" t="s">
        <v>312</v>
      </c>
      <c r="B119" s="67"/>
      <c r="C119" s="67"/>
      <c r="D119" s="68"/>
      <c r="E119" s="70"/>
      <c r="F119" s="109" t="str">
        <f>HYPERLINK("https://pbs.twimg.com/profile_images/1437349408010502146/tihU-iCC_normal.jpg")</f>
        <v>https://pbs.twimg.com/profile_images/1437349408010502146/tihU-iCC_normal.jpg</v>
      </c>
      <c r="G119" s="67"/>
      <c r="H119" s="71"/>
      <c r="I119" s="72"/>
      <c r="J119" s="72"/>
      <c r="K119" s="71" t="s">
        <v>10862</v>
      </c>
      <c r="L119" s="75"/>
      <c r="M119" s="76"/>
      <c r="N119" s="76"/>
      <c r="O119" s="77"/>
      <c r="P119" s="78"/>
      <c r="Q119" s="78"/>
      <c r="R119" s="92"/>
      <c r="S119" s="92"/>
      <c r="T119" s="92"/>
      <c r="U119" s="92"/>
      <c r="V119" s="52"/>
      <c r="W119" s="52"/>
      <c r="X119" s="52"/>
      <c r="Y119" s="52"/>
      <c r="Z119" s="51"/>
      <c r="AA119" s="73"/>
      <c r="AB119" s="73"/>
      <c r="AC119" s="74"/>
      <c r="AD119" s="80" t="s">
        <v>6702</v>
      </c>
      <c r="AE119" s="85" t="s">
        <v>7969</v>
      </c>
      <c r="AF119" s="80">
        <v>3875</v>
      </c>
      <c r="AG119" s="80">
        <v>6684</v>
      </c>
      <c r="AH119" s="80">
        <v>200025</v>
      </c>
      <c r="AI119" s="80">
        <v>16000</v>
      </c>
      <c r="AJ119" s="80"/>
      <c r="AK119" s="80" t="s">
        <v>9061</v>
      </c>
      <c r="AL119" s="80" t="s">
        <v>10192</v>
      </c>
      <c r="AM119" s="80"/>
      <c r="AN119" s="80"/>
      <c r="AO119" s="82">
        <v>40262.676585648151</v>
      </c>
      <c r="AP119" s="87" t="str">
        <f>HYPERLINK("https://pbs.twimg.com/profile_banners/126357705/1632771462")</f>
        <v>https://pbs.twimg.com/profile_banners/126357705/1632771462</v>
      </c>
      <c r="AQ119" s="80" t="b">
        <v>0</v>
      </c>
      <c r="AR119" s="80" t="b">
        <v>0</v>
      </c>
      <c r="AS119" s="80" t="b">
        <v>1</v>
      </c>
      <c r="AT119" s="80"/>
      <c r="AU119" s="80">
        <v>79</v>
      </c>
      <c r="AV119" s="87" t="str">
        <f>HYPERLINK("https://abs.twimg.com/images/themes/theme1/bg.png")</f>
        <v>https://abs.twimg.com/images/themes/theme1/bg.png</v>
      </c>
      <c r="AW119" s="80" t="b">
        <v>0</v>
      </c>
      <c r="AX119" s="80" t="s">
        <v>10746</v>
      </c>
      <c r="AY119" s="87" t="str">
        <f>HYPERLINK("https://twitter.com/rozlyana_")</f>
        <v>https://twitter.com/rozlyana_</v>
      </c>
      <c r="AZ119" s="80" t="s">
        <v>66</v>
      </c>
      <c r="BA119" s="2"/>
      <c r="BB119" s="3"/>
      <c r="BC119" s="3"/>
      <c r="BD119" s="3"/>
      <c r="BE119" s="3"/>
    </row>
    <row r="120" spans="1:57" x14ac:dyDescent="0.35">
      <c r="A120" s="66" t="s">
        <v>313</v>
      </c>
      <c r="B120" s="67"/>
      <c r="C120" s="67"/>
      <c r="D120" s="68"/>
      <c r="E120" s="70"/>
      <c r="F120" s="109" t="str">
        <f>HYPERLINK("https://pbs.twimg.com/profile_images/1379003304064151557/FMs57eix_normal.jpg")</f>
        <v>https://pbs.twimg.com/profile_images/1379003304064151557/FMs57eix_normal.jpg</v>
      </c>
      <c r="G120" s="67"/>
      <c r="H120" s="71"/>
      <c r="I120" s="72"/>
      <c r="J120" s="72"/>
      <c r="K120" s="71" t="s">
        <v>10863</v>
      </c>
      <c r="L120" s="75"/>
      <c r="M120" s="76"/>
      <c r="N120" s="76"/>
      <c r="O120" s="77"/>
      <c r="P120" s="78"/>
      <c r="Q120" s="78"/>
      <c r="R120" s="92"/>
      <c r="S120" s="92"/>
      <c r="T120" s="92"/>
      <c r="U120" s="92"/>
      <c r="V120" s="52"/>
      <c r="W120" s="52"/>
      <c r="X120" s="52"/>
      <c r="Y120" s="52"/>
      <c r="Z120" s="51"/>
      <c r="AA120" s="73"/>
      <c r="AB120" s="73"/>
      <c r="AC120" s="74"/>
      <c r="AD120" s="80" t="s">
        <v>6703</v>
      </c>
      <c r="AE120" s="85" t="s">
        <v>7970</v>
      </c>
      <c r="AF120" s="80">
        <v>374</v>
      </c>
      <c r="AG120" s="80">
        <v>511</v>
      </c>
      <c r="AH120" s="80">
        <v>31307</v>
      </c>
      <c r="AI120" s="80">
        <v>9354</v>
      </c>
      <c r="AJ120" s="80"/>
      <c r="AK120" s="80"/>
      <c r="AL120" s="80"/>
      <c r="AM120" s="80"/>
      <c r="AN120" s="80"/>
      <c r="AO120" s="82">
        <v>41594.433263888888</v>
      </c>
      <c r="AP120" s="87" t="str">
        <f>HYPERLINK("https://pbs.twimg.com/profile_banners/2197493582/1458280085")</f>
        <v>https://pbs.twimg.com/profile_banners/2197493582/1458280085</v>
      </c>
      <c r="AQ120" s="80" t="b">
        <v>1</v>
      </c>
      <c r="AR120" s="80" t="b">
        <v>0</v>
      </c>
      <c r="AS120" s="80" t="b">
        <v>1</v>
      </c>
      <c r="AT120" s="80"/>
      <c r="AU120" s="80">
        <v>1</v>
      </c>
      <c r="AV120" s="87" t="str">
        <f>HYPERLINK("https://abs.twimg.com/images/themes/theme1/bg.png")</f>
        <v>https://abs.twimg.com/images/themes/theme1/bg.png</v>
      </c>
      <c r="AW120" s="80" t="b">
        <v>0</v>
      </c>
      <c r="AX120" s="80" t="s">
        <v>10746</v>
      </c>
      <c r="AY120" s="87" t="str">
        <f>HYPERLINK("https://twitter.com/aishaamber_")</f>
        <v>https://twitter.com/aishaamber_</v>
      </c>
      <c r="AZ120" s="80" t="s">
        <v>66</v>
      </c>
      <c r="BA120" s="2"/>
      <c r="BB120" s="3"/>
      <c r="BC120" s="3"/>
      <c r="BD120" s="3"/>
      <c r="BE120" s="3"/>
    </row>
    <row r="121" spans="1:57" x14ac:dyDescent="0.35">
      <c r="A121" s="66" t="s">
        <v>314</v>
      </c>
      <c r="B121" s="67"/>
      <c r="C121" s="67"/>
      <c r="D121" s="68"/>
      <c r="E121" s="70"/>
      <c r="F121" s="109" t="str">
        <f>HYPERLINK("https://pbs.twimg.com/profile_images/1428447137231036416/jT-LG9zH_normal.jpg")</f>
        <v>https://pbs.twimg.com/profile_images/1428447137231036416/jT-LG9zH_normal.jpg</v>
      </c>
      <c r="G121" s="67"/>
      <c r="H121" s="71"/>
      <c r="I121" s="72"/>
      <c r="J121" s="72"/>
      <c r="K121" s="71" t="s">
        <v>10864</v>
      </c>
      <c r="L121" s="75"/>
      <c r="M121" s="76"/>
      <c r="N121" s="76"/>
      <c r="O121" s="77"/>
      <c r="P121" s="78"/>
      <c r="Q121" s="78"/>
      <c r="R121" s="92"/>
      <c r="S121" s="92"/>
      <c r="T121" s="92"/>
      <c r="U121" s="92"/>
      <c r="V121" s="52"/>
      <c r="W121" s="52"/>
      <c r="X121" s="52"/>
      <c r="Y121" s="52"/>
      <c r="Z121" s="51"/>
      <c r="AA121" s="73"/>
      <c r="AB121" s="73"/>
      <c r="AC121" s="74"/>
      <c r="AD121" s="80" t="s">
        <v>6704</v>
      </c>
      <c r="AE121" s="85" t="s">
        <v>7971</v>
      </c>
      <c r="AF121" s="80">
        <v>822</v>
      </c>
      <c r="AG121" s="80">
        <v>4059</v>
      </c>
      <c r="AH121" s="80">
        <v>185478</v>
      </c>
      <c r="AI121" s="80">
        <v>7553</v>
      </c>
      <c r="AJ121" s="80"/>
      <c r="AK121" s="80" t="s">
        <v>9062</v>
      </c>
      <c r="AL121" s="80"/>
      <c r="AM121" s="87" t="str">
        <f>HYPERLINK("https://t.co/fBIILHbhQS")</f>
        <v>https://t.co/fBIILHbhQS</v>
      </c>
      <c r="AN121" s="80"/>
      <c r="AO121" s="82">
        <v>41320.470057870371</v>
      </c>
      <c r="AP121" s="87" t="str">
        <f>HYPERLINK("https://pbs.twimg.com/profile_banners/1182128923/1589789355")</f>
        <v>https://pbs.twimg.com/profile_banners/1182128923/1589789355</v>
      </c>
      <c r="AQ121" s="80" t="b">
        <v>1</v>
      </c>
      <c r="AR121" s="80" t="b">
        <v>0</v>
      </c>
      <c r="AS121" s="80" t="b">
        <v>0</v>
      </c>
      <c r="AT121" s="80"/>
      <c r="AU121" s="80">
        <v>5</v>
      </c>
      <c r="AV121" s="87" t="str">
        <f>HYPERLINK("https://abs.twimg.com/images/themes/theme1/bg.png")</f>
        <v>https://abs.twimg.com/images/themes/theme1/bg.png</v>
      </c>
      <c r="AW121" s="80" t="b">
        <v>0</v>
      </c>
      <c r="AX121" s="80" t="s">
        <v>10746</v>
      </c>
      <c r="AY121" s="87" t="str">
        <f>HYPERLINK("https://twitter.com/sithy_farmia")</f>
        <v>https://twitter.com/sithy_farmia</v>
      </c>
      <c r="AZ121" s="80" t="s">
        <v>66</v>
      </c>
      <c r="BA121" s="2"/>
      <c r="BB121" s="3"/>
      <c r="BC121" s="3"/>
      <c r="BD121" s="3"/>
      <c r="BE121" s="3"/>
    </row>
    <row r="122" spans="1:57" x14ac:dyDescent="0.35">
      <c r="A122" s="66" t="s">
        <v>315</v>
      </c>
      <c r="B122" s="67"/>
      <c r="C122" s="67"/>
      <c r="D122" s="68"/>
      <c r="E122" s="70"/>
      <c r="F122" s="109" t="str">
        <f>HYPERLINK("https://pbs.twimg.com/profile_images/1434744370490707978/He7N4Tjq_normal.jpg")</f>
        <v>https://pbs.twimg.com/profile_images/1434744370490707978/He7N4Tjq_normal.jpg</v>
      </c>
      <c r="G122" s="67"/>
      <c r="H122" s="71"/>
      <c r="I122" s="72"/>
      <c r="J122" s="72"/>
      <c r="K122" s="71" t="s">
        <v>10865</v>
      </c>
      <c r="L122" s="75"/>
      <c r="M122" s="76"/>
      <c r="N122" s="76"/>
      <c r="O122" s="77"/>
      <c r="P122" s="78"/>
      <c r="Q122" s="78"/>
      <c r="R122" s="92"/>
      <c r="S122" s="92"/>
      <c r="T122" s="92"/>
      <c r="U122" s="92"/>
      <c r="V122" s="52"/>
      <c r="W122" s="52"/>
      <c r="X122" s="52"/>
      <c r="Y122" s="52"/>
      <c r="Z122" s="51"/>
      <c r="AA122" s="73"/>
      <c r="AB122" s="73"/>
      <c r="AC122" s="74"/>
      <c r="AD122" s="80" t="s">
        <v>6705</v>
      </c>
      <c r="AE122" s="85" t="s">
        <v>7972</v>
      </c>
      <c r="AF122" s="80">
        <v>614</v>
      </c>
      <c r="AG122" s="80">
        <v>7</v>
      </c>
      <c r="AH122" s="80">
        <v>894</v>
      </c>
      <c r="AI122" s="80">
        <v>601</v>
      </c>
      <c r="AJ122" s="80"/>
      <c r="AK122" s="80" t="s">
        <v>9063</v>
      </c>
      <c r="AL122" s="80"/>
      <c r="AM122" s="80"/>
      <c r="AN122" s="80"/>
      <c r="AO122" s="82">
        <v>44445.211296296293</v>
      </c>
      <c r="AP122" s="80"/>
      <c r="AQ122" s="80" t="b">
        <v>1</v>
      </c>
      <c r="AR122" s="80" t="b">
        <v>0</v>
      </c>
      <c r="AS122" s="80" t="b">
        <v>0</v>
      </c>
      <c r="AT122" s="80"/>
      <c r="AU122" s="80">
        <v>0</v>
      </c>
      <c r="AV122" s="80"/>
      <c r="AW122" s="80" t="b">
        <v>0</v>
      </c>
      <c r="AX122" s="80" t="s">
        <v>10746</v>
      </c>
      <c r="AY122" s="87" t="str">
        <f>HYPERLINK("https://twitter.com/shahzad29741549")</f>
        <v>https://twitter.com/shahzad29741549</v>
      </c>
      <c r="AZ122" s="80" t="s">
        <v>66</v>
      </c>
      <c r="BA122" s="2"/>
      <c r="BB122" s="3"/>
      <c r="BC122" s="3"/>
      <c r="BD122" s="3"/>
      <c r="BE122" s="3"/>
    </row>
    <row r="123" spans="1:57" x14ac:dyDescent="0.35">
      <c r="A123" s="66" t="s">
        <v>316</v>
      </c>
      <c r="B123" s="67"/>
      <c r="C123" s="67"/>
      <c r="D123" s="68"/>
      <c r="E123" s="70"/>
      <c r="F123" s="109" t="str">
        <f>HYPERLINK("https://pbs.twimg.com/profile_images/1429685001281409029/J8ep1Uec_normal.jpg")</f>
        <v>https://pbs.twimg.com/profile_images/1429685001281409029/J8ep1Uec_normal.jpg</v>
      </c>
      <c r="G123" s="67"/>
      <c r="H123" s="71"/>
      <c r="I123" s="72"/>
      <c r="J123" s="72"/>
      <c r="K123" s="71" t="s">
        <v>10866</v>
      </c>
      <c r="L123" s="75"/>
      <c r="M123" s="76"/>
      <c r="N123" s="76"/>
      <c r="O123" s="77"/>
      <c r="P123" s="78"/>
      <c r="Q123" s="78"/>
      <c r="R123" s="92"/>
      <c r="S123" s="92"/>
      <c r="T123" s="92"/>
      <c r="U123" s="92"/>
      <c r="V123" s="52"/>
      <c r="W123" s="52"/>
      <c r="X123" s="52"/>
      <c r="Y123" s="52"/>
      <c r="Z123" s="51"/>
      <c r="AA123" s="73"/>
      <c r="AB123" s="73"/>
      <c r="AC123" s="74"/>
      <c r="AD123" s="80" t="s">
        <v>6706</v>
      </c>
      <c r="AE123" s="85" t="s">
        <v>7973</v>
      </c>
      <c r="AF123" s="80">
        <v>20</v>
      </c>
      <c r="AG123" s="80">
        <v>25</v>
      </c>
      <c r="AH123" s="80">
        <v>548</v>
      </c>
      <c r="AI123" s="80">
        <v>21</v>
      </c>
      <c r="AJ123" s="80"/>
      <c r="AK123" s="80" t="s">
        <v>9064</v>
      </c>
      <c r="AL123" s="80"/>
      <c r="AM123" s="80"/>
      <c r="AN123" s="80"/>
      <c r="AO123" s="82">
        <v>44431.244930555556</v>
      </c>
      <c r="AP123" s="87" t="str">
        <f>HYPERLINK("https://pbs.twimg.com/profile_banners/1429682929857273856/1629698480")</f>
        <v>https://pbs.twimg.com/profile_banners/1429682929857273856/1629698480</v>
      </c>
      <c r="AQ123" s="80" t="b">
        <v>1</v>
      </c>
      <c r="AR123" s="80" t="b">
        <v>0</v>
      </c>
      <c r="AS123" s="80" t="b">
        <v>0</v>
      </c>
      <c r="AT123" s="80"/>
      <c r="AU123" s="80">
        <v>0</v>
      </c>
      <c r="AV123" s="80"/>
      <c r="AW123" s="80" t="b">
        <v>0</v>
      </c>
      <c r="AX123" s="80" t="s">
        <v>10746</v>
      </c>
      <c r="AY123" s="87" t="str">
        <f>HYPERLINK("https://twitter.com/glowingjuseyo")</f>
        <v>https://twitter.com/glowingjuseyo</v>
      </c>
      <c r="AZ123" s="80" t="s">
        <v>66</v>
      </c>
      <c r="BA123" s="2"/>
      <c r="BB123" s="3"/>
      <c r="BC123" s="3"/>
      <c r="BD123" s="3"/>
      <c r="BE123" s="3"/>
    </row>
    <row r="124" spans="1:57" x14ac:dyDescent="0.35">
      <c r="A124" s="66" t="s">
        <v>1287</v>
      </c>
      <c r="B124" s="67"/>
      <c r="C124" s="67"/>
      <c r="D124" s="68"/>
      <c r="E124" s="70"/>
      <c r="F124" s="109" t="str">
        <f>HYPERLINK("https://pbs.twimg.com/profile_images/1231110804226789377/uslnqDBj_normal.jpg")</f>
        <v>https://pbs.twimg.com/profile_images/1231110804226789377/uslnqDBj_normal.jpg</v>
      </c>
      <c r="G124" s="67"/>
      <c r="H124" s="71"/>
      <c r="I124" s="72"/>
      <c r="J124" s="72"/>
      <c r="K124" s="71" t="s">
        <v>10867</v>
      </c>
      <c r="L124" s="75"/>
      <c r="M124" s="76"/>
      <c r="N124" s="76"/>
      <c r="O124" s="77"/>
      <c r="P124" s="78"/>
      <c r="Q124" s="78"/>
      <c r="R124" s="92"/>
      <c r="S124" s="92"/>
      <c r="T124" s="92"/>
      <c r="U124" s="92"/>
      <c r="V124" s="52"/>
      <c r="W124" s="52"/>
      <c r="X124" s="52"/>
      <c r="Y124" s="52"/>
      <c r="Z124" s="51"/>
      <c r="AA124" s="73"/>
      <c r="AB124" s="73"/>
      <c r="AC124" s="74"/>
      <c r="AD124" s="80" t="s">
        <v>6707</v>
      </c>
      <c r="AE124" s="85" t="s">
        <v>7974</v>
      </c>
      <c r="AF124" s="80">
        <v>1010</v>
      </c>
      <c r="AG124" s="80">
        <v>24587</v>
      </c>
      <c r="AH124" s="80">
        <v>175832</v>
      </c>
      <c r="AI124" s="80">
        <v>12</v>
      </c>
      <c r="AJ124" s="80"/>
      <c r="AK124" s="80" t="s">
        <v>9065</v>
      </c>
      <c r="AL124" s="80" t="s">
        <v>10193</v>
      </c>
      <c r="AM124" s="80"/>
      <c r="AN124" s="80"/>
      <c r="AO124" s="82">
        <v>41110.429108796299</v>
      </c>
      <c r="AP124" s="87" t="str">
        <f>HYPERLINK("https://pbs.twimg.com/profile_banners/706885434/1582428342")</f>
        <v>https://pbs.twimg.com/profile_banners/706885434/1582428342</v>
      </c>
      <c r="AQ124" s="80" t="b">
        <v>0</v>
      </c>
      <c r="AR124" s="80" t="b">
        <v>0</v>
      </c>
      <c r="AS124" s="80" t="b">
        <v>0</v>
      </c>
      <c r="AT124" s="80"/>
      <c r="AU124" s="80">
        <v>737</v>
      </c>
      <c r="AV124" s="87" t="str">
        <f>HYPERLINK("https://abs.twimg.com/images/themes/theme1/bg.png")</f>
        <v>https://abs.twimg.com/images/themes/theme1/bg.png</v>
      </c>
      <c r="AW124" s="80" t="b">
        <v>0</v>
      </c>
      <c r="AX124" s="80" t="s">
        <v>10746</v>
      </c>
      <c r="AY124" s="87" t="str">
        <f>HYPERLINK("https://twitter.com/markettfess")</f>
        <v>https://twitter.com/markettfess</v>
      </c>
      <c r="AZ124" s="80" t="s">
        <v>65</v>
      </c>
      <c r="BA124" s="2"/>
      <c r="BB124" s="3"/>
      <c r="BC124" s="3"/>
      <c r="BD124" s="3"/>
      <c r="BE124" s="3"/>
    </row>
    <row r="125" spans="1:57" x14ac:dyDescent="0.35">
      <c r="A125" s="66" t="s">
        <v>1288</v>
      </c>
      <c r="B125" s="67"/>
      <c r="C125" s="67"/>
      <c r="D125" s="68"/>
      <c r="E125" s="70"/>
      <c r="F125" s="109" t="str">
        <f>HYPERLINK("https://pbs.twimg.com/profile_images/1379427489697570819/kVIAFPjX_normal.jpg")</f>
        <v>https://pbs.twimg.com/profile_images/1379427489697570819/kVIAFPjX_normal.jpg</v>
      </c>
      <c r="G125" s="67"/>
      <c r="H125" s="71"/>
      <c r="I125" s="72"/>
      <c r="J125" s="72"/>
      <c r="K125" s="71" t="s">
        <v>10868</v>
      </c>
      <c r="L125" s="75"/>
      <c r="M125" s="76"/>
      <c r="N125" s="76"/>
      <c r="O125" s="77"/>
      <c r="P125" s="78"/>
      <c r="Q125" s="78"/>
      <c r="R125" s="92"/>
      <c r="S125" s="92"/>
      <c r="T125" s="92"/>
      <c r="U125" s="92"/>
      <c r="V125" s="52"/>
      <c r="W125" s="52"/>
      <c r="X125" s="52"/>
      <c r="Y125" s="52"/>
      <c r="Z125" s="51"/>
      <c r="AA125" s="73"/>
      <c r="AB125" s="73"/>
      <c r="AC125" s="74"/>
      <c r="AD125" s="80" t="s">
        <v>6708</v>
      </c>
      <c r="AE125" s="85" t="s">
        <v>6256</v>
      </c>
      <c r="AF125" s="80">
        <v>138</v>
      </c>
      <c r="AG125" s="80">
        <v>50</v>
      </c>
      <c r="AH125" s="80">
        <v>153</v>
      </c>
      <c r="AI125" s="80">
        <v>291</v>
      </c>
      <c r="AJ125" s="80"/>
      <c r="AK125" s="80"/>
      <c r="AL125" s="80"/>
      <c r="AM125" s="80"/>
      <c r="AN125" s="80"/>
      <c r="AO125" s="82">
        <v>44171.514282407406</v>
      </c>
      <c r="AP125" s="80"/>
      <c r="AQ125" s="80" t="b">
        <v>1</v>
      </c>
      <c r="AR125" s="80" t="b">
        <v>0</v>
      </c>
      <c r="AS125" s="80" t="b">
        <v>0</v>
      </c>
      <c r="AT125" s="80"/>
      <c r="AU125" s="80">
        <v>0</v>
      </c>
      <c r="AV125" s="80"/>
      <c r="AW125" s="80" t="b">
        <v>0</v>
      </c>
      <c r="AX125" s="80" t="s">
        <v>10746</v>
      </c>
      <c r="AY125" s="87" t="str">
        <f>HYPERLINK("https://twitter.com/aiaiake2")</f>
        <v>https://twitter.com/aiaiake2</v>
      </c>
      <c r="AZ125" s="80" t="s">
        <v>65</v>
      </c>
      <c r="BA125" s="2"/>
      <c r="BB125" s="3"/>
      <c r="BC125" s="3"/>
      <c r="BD125" s="3"/>
      <c r="BE125" s="3"/>
    </row>
    <row r="126" spans="1:57" x14ac:dyDescent="0.35">
      <c r="A126" s="66" t="s">
        <v>317</v>
      </c>
      <c r="B126" s="67"/>
      <c r="C126" s="67"/>
      <c r="D126" s="68"/>
      <c r="E126" s="70"/>
      <c r="F126" s="109" t="str">
        <f>HYPERLINK("https://pbs.twimg.com/profile_images/1442420748094558210/oT7QTa-K_normal.jpg")</f>
        <v>https://pbs.twimg.com/profile_images/1442420748094558210/oT7QTa-K_normal.jpg</v>
      </c>
      <c r="G126" s="67"/>
      <c r="H126" s="71"/>
      <c r="I126" s="72"/>
      <c r="J126" s="72"/>
      <c r="K126" s="71" t="s">
        <v>10869</v>
      </c>
      <c r="L126" s="75"/>
      <c r="M126" s="76"/>
      <c r="N126" s="76"/>
      <c r="O126" s="77"/>
      <c r="P126" s="78"/>
      <c r="Q126" s="78"/>
      <c r="R126" s="92"/>
      <c r="S126" s="92"/>
      <c r="T126" s="92"/>
      <c r="U126" s="92"/>
      <c r="V126" s="52"/>
      <c r="W126" s="52"/>
      <c r="X126" s="52"/>
      <c r="Y126" s="52"/>
      <c r="Z126" s="51"/>
      <c r="AA126" s="73"/>
      <c r="AB126" s="73"/>
      <c r="AC126" s="74"/>
      <c r="AD126" s="80" t="s">
        <v>6709</v>
      </c>
      <c r="AE126" s="85" t="s">
        <v>7975</v>
      </c>
      <c r="AF126" s="80">
        <v>488</v>
      </c>
      <c r="AG126" s="80">
        <v>160</v>
      </c>
      <c r="AH126" s="80">
        <v>12677</v>
      </c>
      <c r="AI126" s="80">
        <v>20616</v>
      </c>
      <c r="AJ126" s="80"/>
      <c r="AK126" s="80" t="s">
        <v>9066</v>
      </c>
      <c r="AL126" s="80"/>
      <c r="AM126" s="80"/>
      <c r="AN126" s="80"/>
      <c r="AO126" s="82">
        <v>42883.013252314813</v>
      </c>
      <c r="AP126" s="87" t="str">
        <f>HYPERLINK("https://pbs.twimg.com/profile_banners/868622619821563905/1632734879")</f>
        <v>https://pbs.twimg.com/profile_banners/868622619821563905/1632734879</v>
      </c>
      <c r="AQ126" s="80" t="b">
        <v>1</v>
      </c>
      <c r="AR126" s="80" t="b">
        <v>0</v>
      </c>
      <c r="AS126" s="80" t="b">
        <v>0</v>
      </c>
      <c r="AT126" s="80"/>
      <c r="AU126" s="80">
        <v>0</v>
      </c>
      <c r="AV126" s="80"/>
      <c r="AW126" s="80" t="b">
        <v>0</v>
      </c>
      <c r="AX126" s="80" t="s">
        <v>10746</v>
      </c>
      <c r="AY126" s="87" t="str">
        <f>HYPERLINK("https://twitter.com/qayyyyyyyyyy")</f>
        <v>https://twitter.com/qayyyyyyyyyy</v>
      </c>
      <c r="AZ126" s="80" t="s">
        <v>66</v>
      </c>
      <c r="BA126" s="2"/>
      <c r="BB126" s="3"/>
      <c r="BC126" s="3"/>
      <c r="BD126" s="3"/>
      <c r="BE126" s="3"/>
    </row>
    <row r="127" spans="1:57" x14ac:dyDescent="0.35">
      <c r="A127" s="66" t="s">
        <v>318</v>
      </c>
      <c r="B127" s="67"/>
      <c r="C127" s="67"/>
      <c r="D127" s="68"/>
      <c r="E127" s="70"/>
      <c r="F127" s="109" t="str">
        <f>HYPERLINK("https://pbs.twimg.com/profile_images/1435089069726339075/uyNCCJIJ_normal.jpg")</f>
        <v>https://pbs.twimg.com/profile_images/1435089069726339075/uyNCCJIJ_normal.jpg</v>
      </c>
      <c r="G127" s="67"/>
      <c r="H127" s="71"/>
      <c r="I127" s="72"/>
      <c r="J127" s="72"/>
      <c r="K127" s="71" t="s">
        <v>10870</v>
      </c>
      <c r="L127" s="75"/>
      <c r="M127" s="76"/>
      <c r="N127" s="76"/>
      <c r="O127" s="77"/>
      <c r="P127" s="78"/>
      <c r="Q127" s="78"/>
      <c r="R127" s="92"/>
      <c r="S127" s="92"/>
      <c r="T127" s="92"/>
      <c r="U127" s="92"/>
      <c r="V127" s="52"/>
      <c r="W127" s="52"/>
      <c r="X127" s="52"/>
      <c r="Y127" s="52"/>
      <c r="Z127" s="51"/>
      <c r="AA127" s="73"/>
      <c r="AB127" s="73"/>
      <c r="AC127" s="74"/>
      <c r="AD127" s="80" t="s">
        <v>6710</v>
      </c>
      <c r="AE127" s="85" t="s">
        <v>7976</v>
      </c>
      <c r="AF127" s="80">
        <v>101</v>
      </c>
      <c r="AG127" s="80">
        <v>11</v>
      </c>
      <c r="AH127" s="80">
        <v>3210</v>
      </c>
      <c r="AI127" s="80">
        <v>436</v>
      </c>
      <c r="AJ127" s="80"/>
      <c r="AK127" s="80" t="s">
        <v>9067</v>
      </c>
      <c r="AL127" s="80" t="s">
        <v>10194</v>
      </c>
      <c r="AM127" s="80"/>
      <c r="AN127" s="80"/>
      <c r="AO127" s="82">
        <v>44418.185162037036</v>
      </c>
      <c r="AP127" s="87" t="str">
        <f>HYPERLINK("https://pbs.twimg.com/profile_banners/1424950182198710276/1630986750")</f>
        <v>https://pbs.twimg.com/profile_banners/1424950182198710276/1630986750</v>
      </c>
      <c r="AQ127" s="80" t="b">
        <v>1</v>
      </c>
      <c r="AR127" s="80" t="b">
        <v>0</v>
      </c>
      <c r="AS127" s="80" t="b">
        <v>0</v>
      </c>
      <c r="AT127" s="80"/>
      <c r="AU127" s="80">
        <v>0</v>
      </c>
      <c r="AV127" s="80"/>
      <c r="AW127" s="80" t="b">
        <v>0</v>
      </c>
      <c r="AX127" s="80" t="s">
        <v>10746</v>
      </c>
      <c r="AY127" s="87" t="str">
        <f>HYPERLINK("https://twitter.com/al_adamhafiz")</f>
        <v>https://twitter.com/al_adamhafiz</v>
      </c>
      <c r="AZ127" s="80" t="s">
        <v>66</v>
      </c>
      <c r="BA127" s="2"/>
      <c r="BB127" s="3"/>
      <c r="BC127" s="3"/>
      <c r="BD127" s="3"/>
      <c r="BE127" s="3"/>
    </row>
    <row r="128" spans="1:57" x14ac:dyDescent="0.35">
      <c r="A128" s="66" t="s">
        <v>319</v>
      </c>
      <c r="B128" s="67"/>
      <c r="C128" s="67"/>
      <c r="D128" s="68"/>
      <c r="E128" s="70"/>
      <c r="F128" s="109" t="str">
        <f>HYPERLINK("https://pbs.twimg.com/profile_images/1297551313509654532/wAqMViae_normal.jpg")</f>
        <v>https://pbs.twimg.com/profile_images/1297551313509654532/wAqMViae_normal.jpg</v>
      </c>
      <c r="G128" s="67"/>
      <c r="H128" s="71"/>
      <c r="I128" s="72"/>
      <c r="J128" s="72"/>
      <c r="K128" s="71" t="s">
        <v>10871</v>
      </c>
      <c r="L128" s="75"/>
      <c r="M128" s="76"/>
      <c r="N128" s="76"/>
      <c r="O128" s="77"/>
      <c r="P128" s="78"/>
      <c r="Q128" s="78"/>
      <c r="R128" s="92"/>
      <c r="S128" s="92"/>
      <c r="T128" s="92"/>
      <c r="U128" s="92"/>
      <c r="V128" s="52"/>
      <c r="W128" s="52"/>
      <c r="X128" s="52"/>
      <c r="Y128" s="52"/>
      <c r="Z128" s="51"/>
      <c r="AA128" s="73"/>
      <c r="AB128" s="73"/>
      <c r="AC128" s="74"/>
      <c r="AD128" s="80" t="s">
        <v>6711</v>
      </c>
      <c r="AE128" s="85" t="s">
        <v>7977</v>
      </c>
      <c r="AF128" s="80">
        <v>116</v>
      </c>
      <c r="AG128" s="80">
        <v>147</v>
      </c>
      <c r="AH128" s="80">
        <v>78929</v>
      </c>
      <c r="AI128" s="80">
        <v>751</v>
      </c>
      <c r="AJ128" s="80"/>
      <c r="AK128" s="80" t="s">
        <v>9068</v>
      </c>
      <c r="AL128" s="80" t="s">
        <v>10195</v>
      </c>
      <c r="AM128" s="80"/>
      <c r="AN128" s="80"/>
      <c r="AO128" s="82">
        <v>43082.077835648146</v>
      </c>
      <c r="AP128" s="87" t="str">
        <f>HYPERLINK("https://pbs.twimg.com/profile_banners/940761207769767936/1532260142")</f>
        <v>https://pbs.twimg.com/profile_banners/940761207769767936/1532260142</v>
      </c>
      <c r="AQ128" s="80" t="b">
        <v>1</v>
      </c>
      <c r="AR128" s="80" t="b">
        <v>0</v>
      </c>
      <c r="AS128" s="80" t="b">
        <v>0</v>
      </c>
      <c r="AT128" s="80"/>
      <c r="AU128" s="80">
        <v>0</v>
      </c>
      <c r="AV128" s="80"/>
      <c r="AW128" s="80" t="b">
        <v>0</v>
      </c>
      <c r="AX128" s="80" t="s">
        <v>10746</v>
      </c>
      <c r="AY128" s="87" t="str">
        <f>HYPERLINK("https://twitter.com/afikahmahadi")</f>
        <v>https://twitter.com/afikahmahadi</v>
      </c>
      <c r="AZ128" s="80" t="s">
        <v>66</v>
      </c>
      <c r="BA128" s="2"/>
      <c r="BB128" s="3"/>
      <c r="BC128" s="3"/>
      <c r="BD128" s="3"/>
      <c r="BE128" s="3"/>
    </row>
    <row r="129" spans="1:57" x14ac:dyDescent="0.35">
      <c r="A129" s="66" t="s">
        <v>320</v>
      </c>
      <c r="B129" s="67"/>
      <c r="C129" s="67"/>
      <c r="D129" s="68"/>
      <c r="E129" s="70"/>
      <c r="F129" s="109" t="str">
        <f>HYPERLINK("https://pbs.twimg.com/profile_images/1436437929010683904/43lWAR4q_normal.jpg")</f>
        <v>https://pbs.twimg.com/profile_images/1436437929010683904/43lWAR4q_normal.jpg</v>
      </c>
      <c r="G129" s="67"/>
      <c r="H129" s="71"/>
      <c r="I129" s="72"/>
      <c r="J129" s="72"/>
      <c r="K129" s="71" t="s">
        <v>10872</v>
      </c>
      <c r="L129" s="75"/>
      <c r="M129" s="76"/>
      <c r="N129" s="76"/>
      <c r="O129" s="77"/>
      <c r="P129" s="78"/>
      <c r="Q129" s="78"/>
      <c r="R129" s="92"/>
      <c r="S129" s="92"/>
      <c r="T129" s="92"/>
      <c r="U129" s="92"/>
      <c r="V129" s="52"/>
      <c r="W129" s="52"/>
      <c r="X129" s="52"/>
      <c r="Y129" s="52"/>
      <c r="Z129" s="51"/>
      <c r="AA129" s="73"/>
      <c r="AB129" s="73"/>
      <c r="AC129" s="74"/>
      <c r="AD129" s="80" t="s">
        <v>6712</v>
      </c>
      <c r="AE129" s="85" t="s">
        <v>7978</v>
      </c>
      <c r="AF129" s="80">
        <v>144</v>
      </c>
      <c r="AG129" s="80">
        <v>66</v>
      </c>
      <c r="AH129" s="80">
        <v>931</v>
      </c>
      <c r="AI129" s="80">
        <v>2629</v>
      </c>
      <c r="AJ129" s="80"/>
      <c r="AK129" s="80" t="s">
        <v>9069</v>
      </c>
      <c r="AL129" s="80" t="s">
        <v>10196</v>
      </c>
      <c r="AM129" s="80"/>
      <c r="AN129" s="80"/>
      <c r="AO129" s="82">
        <v>43492.423009259262</v>
      </c>
      <c r="AP129" s="87" t="str">
        <f>HYPERLINK("https://pbs.twimg.com/profile_banners/1089465320723472384/1631565058")</f>
        <v>https://pbs.twimg.com/profile_banners/1089465320723472384/1631565058</v>
      </c>
      <c r="AQ129" s="80" t="b">
        <v>1</v>
      </c>
      <c r="AR129" s="80" t="b">
        <v>0</v>
      </c>
      <c r="AS129" s="80" t="b">
        <v>0</v>
      </c>
      <c r="AT129" s="80"/>
      <c r="AU129" s="80">
        <v>0</v>
      </c>
      <c r="AV129" s="80"/>
      <c r="AW129" s="80" t="b">
        <v>0</v>
      </c>
      <c r="AX129" s="80" t="s">
        <v>10746</v>
      </c>
      <c r="AY129" s="87" t="str">
        <f>HYPERLINK("https://twitter.com/aethkims")</f>
        <v>https://twitter.com/aethkims</v>
      </c>
      <c r="AZ129" s="80" t="s">
        <v>66</v>
      </c>
      <c r="BA129" s="2"/>
      <c r="BB129" s="3"/>
      <c r="BC129" s="3"/>
      <c r="BD129" s="3"/>
      <c r="BE129" s="3"/>
    </row>
    <row r="130" spans="1:57" x14ac:dyDescent="0.35">
      <c r="A130" s="66" t="s">
        <v>321</v>
      </c>
      <c r="B130" s="67"/>
      <c r="C130" s="67"/>
      <c r="D130" s="68"/>
      <c r="E130" s="70"/>
      <c r="F130" s="109" t="str">
        <f>HYPERLINK("https://pbs.twimg.com/profile_images/1373867762901078017/tGMsFoc1_normal.jpg")</f>
        <v>https://pbs.twimg.com/profile_images/1373867762901078017/tGMsFoc1_normal.jpg</v>
      </c>
      <c r="G130" s="67"/>
      <c r="H130" s="71"/>
      <c r="I130" s="72"/>
      <c r="J130" s="72"/>
      <c r="K130" s="71" t="s">
        <v>10873</v>
      </c>
      <c r="L130" s="75"/>
      <c r="M130" s="76"/>
      <c r="N130" s="76"/>
      <c r="O130" s="77"/>
      <c r="P130" s="78"/>
      <c r="Q130" s="78"/>
      <c r="R130" s="92"/>
      <c r="S130" s="92"/>
      <c r="T130" s="92"/>
      <c r="U130" s="92"/>
      <c r="V130" s="52"/>
      <c r="W130" s="52"/>
      <c r="X130" s="52"/>
      <c r="Y130" s="52"/>
      <c r="Z130" s="51"/>
      <c r="AA130" s="73"/>
      <c r="AB130" s="73"/>
      <c r="AC130" s="74"/>
      <c r="AD130" s="80" t="s">
        <v>6713</v>
      </c>
      <c r="AE130" s="85" t="s">
        <v>7979</v>
      </c>
      <c r="AF130" s="80">
        <v>1034</v>
      </c>
      <c r="AG130" s="80">
        <v>1020</v>
      </c>
      <c r="AH130" s="80">
        <v>2085</v>
      </c>
      <c r="AI130" s="80">
        <v>96</v>
      </c>
      <c r="AJ130" s="80"/>
      <c r="AK130" s="80" t="s">
        <v>9070</v>
      </c>
      <c r="AL130" s="80"/>
      <c r="AM130" s="80"/>
      <c r="AN130" s="80"/>
      <c r="AO130" s="82">
        <v>44104.169710648152</v>
      </c>
      <c r="AP130" s="80"/>
      <c r="AQ130" s="80" t="b">
        <v>1</v>
      </c>
      <c r="AR130" s="80" t="b">
        <v>0</v>
      </c>
      <c r="AS130" s="80" t="b">
        <v>0</v>
      </c>
      <c r="AT130" s="80"/>
      <c r="AU130" s="80">
        <v>0</v>
      </c>
      <c r="AV130" s="80"/>
      <c r="AW130" s="80" t="b">
        <v>0</v>
      </c>
      <c r="AX130" s="80" t="s">
        <v>10746</v>
      </c>
      <c r="AY130" s="87" t="str">
        <f>HYPERLINK("https://twitter.com/kbrindns")</f>
        <v>https://twitter.com/kbrindns</v>
      </c>
      <c r="AZ130" s="80" t="s">
        <v>66</v>
      </c>
      <c r="BA130" s="2"/>
      <c r="BB130" s="3"/>
      <c r="BC130" s="3"/>
      <c r="BD130" s="3"/>
      <c r="BE130" s="3"/>
    </row>
    <row r="131" spans="1:57" x14ac:dyDescent="0.35">
      <c r="A131" s="66" t="s">
        <v>322</v>
      </c>
      <c r="B131" s="67"/>
      <c r="C131" s="67"/>
      <c r="D131" s="68"/>
      <c r="E131" s="70"/>
      <c r="F131" s="109" t="str">
        <f>HYPERLINK("https://pbs.twimg.com/profile_images/1326566987380613120/BEpjMr5R_normal.jpg")</f>
        <v>https://pbs.twimg.com/profile_images/1326566987380613120/BEpjMr5R_normal.jpg</v>
      </c>
      <c r="G131" s="67"/>
      <c r="H131" s="71"/>
      <c r="I131" s="72"/>
      <c r="J131" s="72"/>
      <c r="K131" s="71" t="s">
        <v>10874</v>
      </c>
      <c r="L131" s="75"/>
      <c r="M131" s="76"/>
      <c r="N131" s="76"/>
      <c r="O131" s="77"/>
      <c r="P131" s="78"/>
      <c r="Q131" s="78"/>
      <c r="R131" s="92"/>
      <c r="S131" s="92"/>
      <c r="T131" s="92"/>
      <c r="U131" s="92"/>
      <c r="V131" s="52"/>
      <c r="W131" s="52"/>
      <c r="X131" s="52"/>
      <c r="Y131" s="52"/>
      <c r="Z131" s="51"/>
      <c r="AA131" s="73"/>
      <c r="AB131" s="73"/>
      <c r="AC131" s="74"/>
      <c r="AD131" s="80" t="s">
        <v>6714</v>
      </c>
      <c r="AE131" s="85" t="s">
        <v>7980</v>
      </c>
      <c r="AF131" s="80">
        <v>1310</v>
      </c>
      <c r="AG131" s="80">
        <v>1208</v>
      </c>
      <c r="AH131" s="80">
        <v>6429</v>
      </c>
      <c r="AI131" s="80">
        <v>361</v>
      </c>
      <c r="AJ131" s="80"/>
      <c r="AK131" s="80" t="s">
        <v>9071</v>
      </c>
      <c r="AL131" s="80" t="s">
        <v>10139</v>
      </c>
      <c r="AM131" s="80"/>
      <c r="AN131" s="80"/>
      <c r="AO131" s="82">
        <v>41746.4999537037</v>
      </c>
      <c r="AP131" s="87" t="str">
        <f>HYPERLINK("https://pbs.twimg.com/profile_banners/2449614769/1594367098")</f>
        <v>https://pbs.twimg.com/profile_banners/2449614769/1594367098</v>
      </c>
      <c r="AQ131" s="80" t="b">
        <v>1</v>
      </c>
      <c r="AR131" s="80" t="b">
        <v>0</v>
      </c>
      <c r="AS131" s="80" t="b">
        <v>0</v>
      </c>
      <c r="AT131" s="80"/>
      <c r="AU131" s="80">
        <v>0</v>
      </c>
      <c r="AV131" s="87" t="str">
        <f>HYPERLINK("https://abs.twimg.com/images/themes/theme1/bg.png")</f>
        <v>https://abs.twimg.com/images/themes/theme1/bg.png</v>
      </c>
      <c r="AW131" s="80" t="b">
        <v>0</v>
      </c>
      <c r="AX131" s="80" t="s">
        <v>10746</v>
      </c>
      <c r="AY131" s="87" t="str">
        <f>HYPERLINK("https://twitter.com/vrishaba05")</f>
        <v>https://twitter.com/vrishaba05</v>
      </c>
      <c r="AZ131" s="80" t="s">
        <v>66</v>
      </c>
      <c r="BA131" s="2"/>
      <c r="BB131" s="3"/>
      <c r="BC131" s="3"/>
      <c r="BD131" s="3"/>
      <c r="BE131" s="3"/>
    </row>
    <row r="132" spans="1:57" x14ac:dyDescent="0.35">
      <c r="A132" s="66" t="s">
        <v>323</v>
      </c>
      <c r="B132" s="67"/>
      <c r="C132" s="67"/>
      <c r="D132" s="68"/>
      <c r="E132" s="70"/>
      <c r="F132" s="109" t="str">
        <f>HYPERLINK("https://pbs.twimg.com/profile_images/1287278476383227904/a4acW3gK_normal.jpg")</f>
        <v>https://pbs.twimg.com/profile_images/1287278476383227904/a4acW3gK_normal.jpg</v>
      </c>
      <c r="G132" s="67"/>
      <c r="H132" s="71"/>
      <c r="I132" s="72"/>
      <c r="J132" s="72"/>
      <c r="K132" s="71" t="s">
        <v>10875</v>
      </c>
      <c r="L132" s="75"/>
      <c r="M132" s="76"/>
      <c r="N132" s="76"/>
      <c r="O132" s="77"/>
      <c r="P132" s="78"/>
      <c r="Q132" s="78"/>
      <c r="R132" s="92"/>
      <c r="S132" s="92"/>
      <c r="T132" s="92"/>
      <c r="U132" s="92"/>
      <c r="V132" s="52"/>
      <c r="W132" s="52"/>
      <c r="X132" s="52"/>
      <c r="Y132" s="52"/>
      <c r="Z132" s="51"/>
      <c r="AA132" s="73"/>
      <c r="AB132" s="73"/>
      <c r="AC132" s="74"/>
      <c r="AD132" s="80" t="s">
        <v>6715</v>
      </c>
      <c r="AE132" s="85" t="s">
        <v>7981</v>
      </c>
      <c r="AF132" s="80">
        <v>1170</v>
      </c>
      <c r="AG132" s="80">
        <v>1050</v>
      </c>
      <c r="AH132" s="80">
        <v>30637</v>
      </c>
      <c r="AI132" s="80">
        <v>25360</v>
      </c>
      <c r="AJ132" s="80"/>
      <c r="AK132" s="80" t="s">
        <v>9072</v>
      </c>
      <c r="AL132" s="80"/>
      <c r="AM132" s="80"/>
      <c r="AN132" s="80"/>
      <c r="AO132" s="82">
        <v>44038.271099537036</v>
      </c>
      <c r="AP132" s="87" t="str">
        <f>HYPERLINK("https://pbs.twimg.com/profile_banners/1287273887269412866/1604109563")</f>
        <v>https://pbs.twimg.com/profile_banners/1287273887269412866/1604109563</v>
      </c>
      <c r="AQ132" s="80" t="b">
        <v>1</v>
      </c>
      <c r="AR132" s="80" t="b">
        <v>0</v>
      </c>
      <c r="AS132" s="80" t="b">
        <v>0</v>
      </c>
      <c r="AT132" s="80"/>
      <c r="AU132" s="80">
        <v>0</v>
      </c>
      <c r="AV132" s="80"/>
      <c r="AW132" s="80" t="b">
        <v>0</v>
      </c>
      <c r="AX132" s="80" t="s">
        <v>10746</v>
      </c>
      <c r="AY132" s="87" t="str">
        <f>HYPERLINK("https://twitter.com/manoharasekar")</f>
        <v>https://twitter.com/manoharasekar</v>
      </c>
      <c r="AZ132" s="80" t="s">
        <v>66</v>
      </c>
      <c r="BA132" s="2"/>
      <c r="BB132" s="3"/>
      <c r="BC132" s="3"/>
      <c r="BD132" s="3"/>
      <c r="BE132" s="3"/>
    </row>
    <row r="133" spans="1:57" x14ac:dyDescent="0.35">
      <c r="A133" s="66" t="s">
        <v>324</v>
      </c>
      <c r="B133" s="67"/>
      <c r="C133" s="67"/>
      <c r="D133" s="68"/>
      <c r="E133" s="70"/>
      <c r="F133" s="109" t="str">
        <f>HYPERLINK("https://pbs.twimg.com/profile_images/1393875376204513283/HScvP0Rs_normal.jpg")</f>
        <v>https://pbs.twimg.com/profile_images/1393875376204513283/HScvP0Rs_normal.jpg</v>
      </c>
      <c r="G133" s="67"/>
      <c r="H133" s="71"/>
      <c r="I133" s="72"/>
      <c r="J133" s="72"/>
      <c r="K133" s="71" t="s">
        <v>10876</v>
      </c>
      <c r="L133" s="75"/>
      <c r="M133" s="76"/>
      <c r="N133" s="76"/>
      <c r="O133" s="77"/>
      <c r="P133" s="78"/>
      <c r="Q133" s="78"/>
      <c r="R133" s="92"/>
      <c r="S133" s="92"/>
      <c r="T133" s="92"/>
      <c r="U133" s="92"/>
      <c r="V133" s="52"/>
      <c r="W133" s="52"/>
      <c r="X133" s="52"/>
      <c r="Y133" s="52"/>
      <c r="Z133" s="51"/>
      <c r="AA133" s="73"/>
      <c r="AB133" s="73"/>
      <c r="AC133" s="74"/>
      <c r="AD133" s="80" t="s">
        <v>6716</v>
      </c>
      <c r="AE133" s="85" t="s">
        <v>7982</v>
      </c>
      <c r="AF133" s="80">
        <v>334</v>
      </c>
      <c r="AG133" s="80">
        <v>774</v>
      </c>
      <c r="AH133" s="80">
        <v>209868</v>
      </c>
      <c r="AI133" s="80">
        <v>26075</v>
      </c>
      <c r="AJ133" s="80"/>
      <c r="AK133" s="80" t="s">
        <v>9073</v>
      </c>
      <c r="AL133" s="80"/>
      <c r="AM133" s="80"/>
      <c r="AN133" s="80"/>
      <c r="AO133" s="82">
        <v>41060.659166666665</v>
      </c>
      <c r="AP133" s="87" t="str">
        <f>HYPERLINK("https://pbs.twimg.com/profile_banners/595671750/1607235946")</f>
        <v>https://pbs.twimg.com/profile_banners/595671750/1607235946</v>
      </c>
      <c r="AQ133" s="80" t="b">
        <v>0</v>
      </c>
      <c r="AR133" s="80" t="b">
        <v>0</v>
      </c>
      <c r="AS133" s="80" t="b">
        <v>1</v>
      </c>
      <c r="AT133" s="80"/>
      <c r="AU133" s="80">
        <v>15</v>
      </c>
      <c r="AV133" s="87" t="str">
        <f>HYPERLINK("https://abs.twimg.com/images/themes/theme17/bg.gif")</f>
        <v>https://abs.twimg.com/images/themes/theme17/bg.gif</v>
      </c>
      <c r="AW133" s="80" t="b">
        <v>0</v>
      </c>
      <c r="AX133" s="80" t="s">
        <v>10746</v>
      </c>
      <c r="AY133" s="87" t="str">
        <f>HYPERLINK("https://twitter.com/atiknoru")</f>
        <v>https://twitter.com/atiknoru</v>
      </c>
      <c r="AZ133" s="80" t="s">
        <v>66</v>
      </c>
      <c r="BA133" s="2"/>
      <c r="BB133" s="3"/>
      <c r="BC133" s="3"/>
      <c r="BD133" s="3"/>
      <c r="BE133" s="3"/>
    </row>
    <row r="134" spans="1:57" x14ac:dyDescent="0.35">
      <c r="A134" s="66" t="s">
        <v>325</v>
      </c>
      <c r="B134" s="67"/>
      <c r="C134" s="67"/>
      <c r="D134" s="68"/>
      <c r="E134" s="70"/>
      <c r="F134" s="109" t="str">
        <f>HYPERLINK("https://pbs.twimg.com/profile_images/1442168930957619209/Y__ZFQov_normal.jpg")</f>
        <v>https://pbs.twimg.com/profile_images/1442168930957619209/Y__ZFQov_normal.jpg</v>
      </c>
      <c r="G134" s="67"/>
      <c r="H134" s="71"/>
      <c r="I134" s="72"/>
      <c r="J134" s="72"/>
      <c r="K134" s="71" t="s">
        <v>10877</v>
      </c>
      <c r="L134" s="75"/>
      <c r="M134" s="76"/>
      <c r="N134" s="76"/>
      <c r="O134" s="77"/>
      <c r="P134" s="78"/>
      <c r="Q134" s="78"/>
      <c r="R134" s="92"/>
      <c r="S134" s="92"/>
      <c r="T134" s="92"/>
      <c r="U134" s="92"/>
      <c r="V134" s="52"/>
      <c r="W134" s="52"/>
      <c r="X134" s="52"/>
      <c r="Y134" s="52"/>
      <c r="Z134" s="51"/>
      <c r="AA134" s="73"/>
      <c r="AB134" s="73"/>
      <c r="AC134" s="74"/>
      <c r="AD134" s="80" t="s">
        <v>6717</v>
      </c>
      <c r="AE134" s="85" t="s">
        <v>7983</v>
      </c>
      <c r="AF134" s="80">
        <v>146</v>
      </c>
      <c r="AG134" s="80">
        <v>68</v>
      </c>
      <c r="AH134" s="80">
        <v>2534</v>
      </c>
      <c r="AI134" s="80">
        <v>667</v>
      </c>
      <c r="AJ134" s="80"/>
      <c r="AK134" s="80" t="s">
        <v>9074</v>
      </c>
      <c r="AL134" s="80" t="s">
        <v>10197</v>
      </c>
      <c r="AM134" s="87" t="str">
        <f>HYPERLINK("https://t.co/2IIPBZTrBY")</f>
        <v>https://t.co/2IIPBZTrBY</v>
      </c>
      <c r="AN134" s="80"/>
      <c r="AO134" s="82">
        <v>43002.47760416667</v>
      </c>
      <c r="AP134" s="87" t="str">
        <f>HYPERLINK("https://pbs.twimg.com/profile_banners/911915051904229377/1631886657")</f>
        <v>https://pbs.twimg.com/profile_banners/911915051904229377/1631886657</v>
      </c>
      <c r="AQ134" s="80" t="b">
        <v>1</v>
      </c>
      <c r="AR134" s="80" t="b">
        <v>0</v>
      </c>
      <c r="AS134" s="80" t="b">
        <v>1</v>
      </c>
      <c r="AT134" s="80"/>
      <c r="AU134" s="80">
        <v>0</v>
      </c>
      <c r="AV134" s="80"/>
      <c r="AW134" s="80" t="b">
        <v>0</v>
      </c>
      <c r="AX134" s="80" t="s">
        <v>10746</v>
      </c>
      <c r="AY134" s="87" t="str">
        <f>HYPERLINK("https://twitter.com/alifiahsftr")</f>
        <v>https://twitter.com/alifiahsftr</v>
      </c>
      <c r="AZ134" s="80" t="s">
        <v>66</v>
      </c>
      <c r="BA134" s="2"/>
      <c r="BB134" s="3"/>
      <c r="BC134" s="3"/>
      <c r="BD134" s="3"/>
      <c r="BE134" s="3"/>
    </row>
    <row r="135" spans="1:57" x14ac:dyDescent="0.35">
      <c r="A135" s="66" t="s">
        <v>1289</v>
      </c>
      <c r="B135" s="67"/>
      <c r="C135" s="67"/>
      <c r="D135" s="68"/>
      <c r="E135" s="70"/>
      <c r="F135" s="109" t="str">
        <f>HYPERLINK("https://pbs.twimg.com/profile_images/1408292714970419202/WtHadjnW_normal.jpg")</f>
        <v>https://pbs.twimg.com/profile_images/1408292714970419202/WtHadjnW_normal.jpg</v>
      </c>
      <c r="G135" s="67"/>
      <c r="H135" s="71"/>
      <c r="I135" s="72"/>
      <c r="J135" s="72"/>
      <c r="K135" s="71" t="s">
        <v>10878</v>
      </c>
      <c r="L135" s="75"/>
      <c r="M135" s="76"/>
      <c r="N135" s="76"/>
      <c r="O135" s="77"/>
      <c r="P135" s="78"/>
      <c r="Q135" s="78"/>
      <c r="R135" s="92"/>
      <c r="S135" s="92"/>
      <c r="T135" s="92"/>
      <c r="U135" s="92"/>
      <c r="V135" s="52"/>
      <c r="W135" s="52"/>
      <c r="X135" s="52"/>
      <c r="Y135" s="52"/>
      <c r="Z135" s="51"/>
      <c r="AA135" s="73"/>
      <c r="AB135" s="73"/>
      <c r="AC135" s="74"/>
      <c r="AD135" s="80" t="s">
        <v>6718</v>
      </c>
      <c r="AE135" s="85" t="s">
        <v>6257</v>
      </c>
      <c r="AF135" s="80">
        <v>226</v>
      </c>
      <c r="AG135" s="80">
        <v>55101</v>
      </c>
      <c r="AH135" s="80">
        <v>1882</v>
      </c>
      <c r="AI135" s="80">
        <v>136</v>
      </c>
      <c r="AJ135" s="80"/>
      <c r="AK135" s="80" t="s">
        <v>9075</v>
      </c>
      <c r="AL135" s="80"/>
      <c r="AM135" s="80"/>
      <c r="AN135" s="80"/>
      <c r="AO135" s="82">
        <v>43915.376250000001</v>
      </c>
      <c r="AP135" s="80"/>
      <c r="AQ135" s="80" t="b">
        <v>1</v>
      </c>
      <c r="AR135" s="80" t="b">
        <v>0</v>
      </c>
      <c r="AS135" s="80" t="b">
        <v>0</v>
      </c>
      <c r="AT135" s="80"/>
      <c r="AU135" s="80">
        <v>139</v>
      </c>
      <c r="AV135" s="80"/>
      <c r="AW135" s="80" t="b">
        <v>0</v>
      </c>
      <c r="AX135" s="80" t="s">
        <v>10746</v>
      </c>
      <c r="AY135" s="87" t="str">
        <f>HYPERLINK("https://twitter.com/itsgitcha")</f>
        <v>https://twitter.com/itsgitcha</v>
      </c>
      <c r="AZ135" s="80" t="s">
        <v>65</v>
      </c>
      <c r="BA135" s="2"/>
      <c r="BB135" s="3"/>
      <c r="BC135" s="3"/>
      <c r="BD135" s="3"/>
      <c r="BE135" s="3"/>
    </row>
    <row r="136" spans="1:57" x14ac:dyDescent="0.35">
      <c r="A136" s="66" t="s">
        <v>326</v>
      </c>
      <c r="B136" s="67"/>
      <c r="C136" s="67"/>
      <c r="D136" s="68"/>
      <c r="E136" s="70"/>
      <c r="F136" s="109" t="str">
        <f>HYPERLINK("https://pbs.twimg.com/profile_images/1421784779322630145/mbqqOhlO_normal.jpg")</f>
        <v>https://pbs.twimg.com/profile_images/1421784779322630145/mbqqOhlO_normal.jpg</v>
      </c>
      <c r="G136" s="67"/>
      <c r="H136" s="71"/>
      <c r="I136" s="72"/>
      <c r="J136" s="72"/>
      <c r="K136" s="71" t="s">
        <v>10879</v>
      </c>
      <c r="L136" s="75"/>
      <c r="M136" s="76"/>
      <c r="N136" s="76"/>
      <c r="O136" s="77"/>
      <c r="P136" s="78"/>
      <c r="Q136" s="78"/>
      <c r="R136" s="92"/>
      <c r="S136" s="92"/>
      <c r="T136" s="92"/>
      <c r="U136" s="92"/>
      <c r="V136" s="52"/>
      <c r="W136" s="52"/>
      <c r="X136" s="52"/>
      <c r="Y136" s="52"/>
      <c r="Z136" s="51"/>
      <c r="AA136" s="73"/>
      <c r="AB136" s="73"/>
      <c r="AC136" s="74"/>
      <c r="AD136" s="80" t="s">
        <v>6719</v>
      </c>
      <c r="AE136" s="85" t="s">
        <v>7984</v>
      </c>
      <c r="AF136" s="80">
        <v>131</v>
      </c>
      <c r="AG136" s="80">
        <v>115</v>
      </c>
      <c r="AH136" s="80">
        <v>990</v>
      </c>
      <c r="AI136" s="80">
        <v>178</v>
      </c>
      <c r="AJ136" s="80"/>
      <c r="AK136" s="80" t="s">
        <v>9076</v>
      </c>
      <c r="AL136" s="80"/>
      <c r="AM136" s="80"/>
      <c r="AN136" s="80"/>
      <c r="AO136" s="82">
        <v>44393.698935185188</v>
      </c>
      <c r="AP136" s="87" t="str">
        <f>HYPERLINK("https://pbs.twimg.com/profile_banners/1416076744876982278/1626544741")</f>
        <v>https://pbs.twimg.com/profile_banners/1416076744876982278/1626544741</v>
      </c>
      <c r="AQ136" s="80" t="b">
        <v>1</v>
      </c>
      <c r="AR136" s="80" t="b">
        <v>0</v>
      </c>
      <c r="AS136" s="80" t="b">
        <v>0</v>
      </c>
      <c r="AT136" s="80"/>
      <c r="AU136" s="80">
        <v>0</v>
      </c>
      <c r="AV136" s="80"/>
      <c r="AW136" s="80" t="b">
        <v>0</v>
      </c>
      <c r="AX136" s="80" t="s">
        <v>10746</v>
      </c>
      <c r="AY136" s="87" t="str">
        <f>HYPERLINK("https://twitter.com/dongchanlee_")</f>
        <v>https://twitter.com/dongchanlee_</v>
      </c>
      <c r="AZ136" s="80" t="s">
        <v>66</v>
      </c>
      <c r="BA136" s="2"/>
      <c r="BB136" s="3"/>
      <c r="BC136" s="3"/>
      <c r="BD136" s="3"/>
      <c r="BE136" s="3"/>
    </row>
    <row r="137" spans="1:57" x14ac:dyDescent="0.35">
      <c r="A137" s="66" t="s">
        <v>1290</v>
      </c>
      <c r="B137" s="67"/>
      <c r="C137" s="67"/>
      <c r="D137" s="68"/>
      <c r="E137" s="70"/>
      <c r="F137" s="109" t="str">
        <f>HYPERLINK("https://pbs.twimg.com/profile_images/1437349290502868993/P4pKdIpI_normal.jpg")</f>
        <v>https://pbs.twimg.com/profile_images/1437349290502868993/P4pKdIpI_normal.jpg</v>
      </c>
      <c r="G137" s="67"/>
      <c r="H137" s="71"/>
      <c r="I137" s="72"/>
      <c r="J137" s="72"/>
      <c r="K137" s="71" t="s">
        <v>10880</v>
      </c>
      <c r="L137" s="75"/>
      <c r="M137" s="76"/>
      <c r="N137" s="76"/>
      <c r="O137" s="77"/>
      <c r="P137" s="78"/>
      <c r="Q137" s="78"/>
      <c r="R137" s="92"/>
      <c r="S137" s="92"/>
      <c r="T137" s="92"/>
      <c r="U137" s="92"/>
      <c r="V137" s="52"/>
      <c r="W137" s="52"/>
      <c r="X137" s="52"/>
      <c r="Y137" s="52"/>
      <c r="Z137" s="51"/>
      <c r="AA137" s="73"/>
      <c r="AB137" s="73"/>
      <c r="AC137" s="74"/>
      <c r="AD137" s="80" t="s">
        <v>6720</v>
      </c>
      <c r="AE137" s="85" t="s">
        <v>6258</v>
      </c>
      <c r="AF137" s="80">
        <v>25</v>
      </c>
      <c r="AG137" s="80">
        <v>5083</v>
      </c>
      <c r="AH137" s="80">
        <v>18156</v>
      </c>
      <c r="AI137" s="80">
        <v>1</v>
      </c>
      <c r="AJ137" s="80"/>
      <c r="AK137" s="80" t="s">
        <v>9077</v>
      </c>
      <c r="AL137" s="80" t="s">
        <v>10198</v>
      </c>
      <c r="AM137" s="87" t="str">
        <f>HYPERLINK("https://t.co/KEcINQ4LC0")</f>
        <v>https://t.co/KEcINQ4LC0</v>
      </c>
      <c r="AN137" s="80"/>
      <c r="AO137" s="82">
        <v>43922.182696759257</v>
      </c>
      <c r="AP137" s="87" t="str">
        <f>HYPERLINK("https://pbs.twimg.com/profile_banners/1245204982086774786/1631442319")</f>
        <v>https://pbs.twimg.com/profile_banners/1245204982086774786/1631442319</v>
      </c>
      <c r="AQ137" s="80" t="b">
        <v>1</v>
      </c>
      <c r="AR137" s="80" t="b">
        <v>0</v>
      </c>
      <c r="AS137" s="80" t="b">
        <v>0</v>
      </c>
      <c r="AT137" s="80"/>
      <c r="AU137" s="80">
        <v>39</v>
      </c>
      <c r="AV137" s="80"/>
      <c r="AW137" s="80" t="b">
        <v>0</v>
      </c>
      <c r="AX137" s="80" t="s">
        <v>10746</v>
      </c>
      <c r="AY137" s="87" t="str">
        <f>HYPERLINK("https://twitter.com/dagangkr")</f>
        <v>https://twitter.com/dagangkr</v>
      </c>
      <c r="AZ137" s="80" t="s">
        <v>65</v>
      </c>
      <c r="BA137" s="2"/>
      <c r="BB137" s="3"/>
      <c r="BC137" s="3"/>
      <c r="BD137" s="3"/>
      <c r="BE137" s="3"/>
    </row>
    <row r="138" spans="1:57" x14ac:dyDescent="0.35">
      <c r="A138" s="66" t="s">
        <v>327</v>
      </c>
      <c r="B138" s="67"/>
      <c r="C138" s="67"/>
      <c r="D138" s="68"/>
      <c r="E138" s="70"/>
      <c r="F138" s="109" t="str">
        <f>HYPERLINK("https://pbs.twimg.com/profile_images/1430087896174718978/z30H2sE3_normal.jpg")</f>
        <v>https://pbs.twimg.com/profile_images/1430087896174718978/z30H2sE3_normal.jpg</v>
      </c>
      <c r="G138" s="67"/>
      <c r="H138" s="71"/>
      <c r="I138" s="72"/>
      <c r="J138" s="72"/>
      <c r="K138" s="71" t="s">
        <v>10881</v>
      </c>
      <c r="L138" s="75"/>
      <c r="M138" s="76"/>
      <c r="N138" s="76"/>
      <c r="O138" s="77"/>
      <c r="P138" s="78"/>
      <c r="Q138" s="78"/>
      <c r="R138" s="92"/>
      <c r="S138" s="92"/>
      <c r="T138" s="92"/>
      <c r="U138" s="92"/>
      <c r="V138" s="52"/>
      <c r="W138" s="52"/>
      <c r="X138" s="52"/>
      <c r="Y138" s="52"/>
      <c r="Z138" s="51"/>
      <c r="AA138" s="73"/>
      <c r="AB138" s="73"/>
      <c r="AC138" s="74"/>
      <c r="AD138" s="80" t="s">
        <v>6721</v>
      </c>
      <c r="AE138" s="85" t="s">
        <v>7985</v>
      </c>
      <c r="AF138" s="80">
        <v>376</v>
      </c>
      <c r="AG138" s="80">
        <v>294</v>
      </c>
      <c r="AH138" s="80">
        <v>3436</v>
      </c>
      <c r="AI138" s="80">
        <v>19877</v>
      </c>
      <c r="AJ138" s="80"/>
      <c r="AK138" s="80" t="s">
        <v>9078</v>
      </c>
      <c r="AL138" s="80"/>
      <c r="AM138" s="80"/>
      <c r="AN138" s="80"/>
      <c r="AO138" s="82">
        <v>44057.37804398148</v>
      </c>
      <c r="AP138" s="87" t="str">
        <f>HYPERLINK("https://pbs.twimg.com/profile_banners/1294197899560026112/1598290287")</f>
        <v>https://pbs.twimg.com/profile_banners/1294197899560026112/1598290287</v>
      </c>
      <c r="AQ138" s="80" t="b">
        <v>1</v>
      </c>
      <c r="AR138" s="80" t="b">
        <v>0</v>
      </c>
      <c r="AS138" s="80" t="b">
        <v>0</v>
      </c>
      <c r="AT138" s="80"/>
      <c r="AU138" s="80">
        <v>2</v>
      </c>
      <c r="AV138" s="80"/>
      <c r="AW138" s="80" t="b">
        <v>0</v>
      </c>
      <c r="AX138" s="80" t="s">
        <v>10746</v>
      </c>
      <c r="AY138" s="87" t="str">
        <f>HYPERLINK("https://twitter.com/nggaatauu")</f>
        <v>https://twitter.com/nggaatauu</v>
      </c>
      <c r="AZ138" s="80" t="s">
        <v>66</v>
      </c>
      <c r="BA138" s="2"/>
      <c r="BB138" s="3"/>
      <c r="BC138" s="3"/>
      <c r="BD138" s="3"/>
      <c r="BE138" s="3"/>
    </row>
    <row r="139" spans="1:57" x14ac:dyDescent="0.35">
      <c r="A139" s="66" t="s">
        <v>1291</v>
      </c>
      <c r="B139" s="67"/>
      <c r="C139" s="67"/>
      <c r="D139" s="68"/>
      <c r="E139" s="70"/>
      <c r="F139" s="109" t="str">
        <f>HYPERLINK("https://pbs.twimg.com/profile_images/1381046995322765316/HsI_FiWI_normal.jpg")</f>
        <v>https://pbs.twimg.com/profile_images/1381046995322765316/HsI_FiWI_normal.jpg</v>
      </c>
      <c r="G139" s="67"/>
      <c r="H139" s="71"/>
      <c r="I139" s="72"/>
      <c r="J139" s="72"/>
      <c r="K139" s="71" t="s">
        <v>10882</v>
      </c>
      <c r="L139" s="75"/>
      <c r="M139" s="76"/>
      <c r="N139" s="76"/>
      <c r="O139" s="77"/>
      <c r="P139" s="78"/>
      <c r="Q139" s="78"/>
      <c r="R139" s="92"/>
      <c r="S139" s="92"/>
      <c r="T139" s="92"/>
      <c r="U139" s="92"/>
      <c r="V139" s="52"/>
      <c r="W139" s="52"/>
      <c r="X139" s="52"/>
      <c r="Y139" s="52"/>
      <c r="Z139" s="51"/>
      <c r="AA139" s="73"/>
      <c r="AB139" s="73"/>
      <c r="AC139" s="74"/>
      <c r="AD139" s="80" t="s">
        <v>6722</v>
      </c>
      <c r="AE139" s="85" t="s">
        <v>6259</v>
      </c>
      <c r="AF139" s="80">
        <v>9174</v>
      </c>
      <c r="AG139" s="80">
        <v>348165</v>
      </c>
      <c r="AH139" s="80">
        <v>296072</v>
      </c>
      <c r="AI139" s="80">
        <v>74</v>
      </c>
      <c r="AJ139" s="80"/>
      <c r="AK139" s="80" t="s">
        <v>9079</v>
      </c>
      <c r="AL139" s="80" t="s">
        <v>6543</v>
      </c>
      <c r="AM139" s="87" t="str">
        <f>HYPERLINK("https://t.co/7w34iMSZPo")</f>
        <v>https://t.co/7w34iMSZPo</v>
      </c>
      <c r="AN139" s="80"/>
      <c r="AO139" s="82">
        <v>42530.604479166665</v>
      </c>
      <c r="AP139" s="87" t="str">
        <f>HYPERLINK("https://pbs.twimg.com/profile_banners/740913957293068289/1619878705")</f>
        <v>https://pbs.twimg.com/profile_banners/740913957293068289/1619878705</v>
      </c>
      <c r="AQ139" s="80" t="b">
        <v>1</v>
      </c>
      <c r="AR139" s="80" t="b">
        <v>0</v>
      </c>
      <c r="AS139" s="80" t="b">
        <v>0</v>
      </c>
      <c r="AT139" s="80"/>
      <c r="AU139" s="80">
        <v>1674</v>
      </c>
      <c r="AV139" s="80"/>
      <c r="AW139" s="80" t="b">
        <v>0</v>
      </c>
      <c r="AX139" s="80" t="s">
        <v>10746</v>
      </c>
      <c r="AY139" s="87" t="str">
        <f>HYPERLINK("https://twitter.com/bertanyarl")</f>
        <v>https://twitter.com/bertanyarl</v>
      </c>
      <c r="AZ139" s="80" t="s">
        <v>65</v>
      </c>
      <c r="BA139" s="2"/>
      <c r="BB139" s="3"/>
      <c r="BC139" s="3"/>
      <c r="BD139" s="3"/>
      <c r="BE139" s="3"/>
    </row>
    <row r="140" spans="1:57" x14ac:dyDescent="0.35">
      <c r="A140" s="66" t="s">
        <v>328</v>
      </c>
      <c r="B140" s="67"/>
      <c r="C140" s="67"/>
      <c r="D140" s="68"/>
      <c r="E140" s="70"/>
      <c r="F140" s="109" t="str">
        <f>HYPERLINK("https://pbs.twimg.com/profile_images/1432251723163189254/Shg1CBMs_normal.jpg")</f>
        <v>https://pbs.twimg.com/profile_images/1432251723163189254/Shg1CBMs_normal.jpg</v>
      </c>
      <c r="G140" s="67"/>
      <c r="H140" s="71"/>
      <c r="I140" s="72"/>
      <c r="J140" s="72"/>
      <c r="K140" s="71" t="s">
        <v>10883</v>
      </c>
      <c r="L140" s="75"/>
      <c r="M140" s="76"/>
      <c r="N140" s="76"/>
      <c r="O140" s="77"/>
      <c r="P140" s="78"/>
      <c r="Q140" s="78"/>
      <c r="R140" s="92"/>
      <c r="S140" s="92"/>
      <c r="T140" s="92"/>
      <c r="U140" s="92"/>
      <c r="V140" s="52"/>
      <c r="W140" s="52"/>
      <c r="X140" s="52"/>
      <c r="Y140" s="52"/>
      <c r="Z140" s="51"/>
      <c r="AA140" s="73"/>
      <c r="AB140" s="73"/>
      <c r="AC140" s="74"/>
      <c r="AD140" s="80" t="s">
        <v>6723</v>
      </c>
      <c r="AE140" s="85" t="s">
        <v>6260</v>
      </c>
      <c r="AF140" s="80">
        <v>156</v>
      </c>
      <c r="AG140" s="80">
        <v>113</v>
      </c>
      <c r="AH140" s="80">
        <v>25</v>
      </c>
      <c r="AI140" s="80">
        <v>0</v>
      </c>
      <c r="AJ140" s="80"/>
      <c r="AK140" s="80" t="s">
        <v>9080</v>
      </c>
      <c r="AL140" s="80"/>
      <c r="AM140" s="87" t="str">
        <f>HYPERLINK("https://t.co/D5wfDbdNA4")</f>
        <v>https://t.co/D5wfDbdNA4</v>
      </c>
      <c r="AN140" s="80"/>
      <c r="AO140" s="82">
        <v>44438.332719907405</v>
      </c>
      <c r="AP140" s="87" t="str">
        <f>HYPERLINK("https://pbs.twimg.com/profile_banners/1432251485266407427/1630493290")</f>
        <v>https://pbs.twimg.com/profile_banners/1432251485266407427/1630493290</v>
      </c>
      <c r="AQ140" s="80" t="b">
        <v>1</v>
      </c>
      <c r="AR140" s="80" t="b">
        <v>0</v>
      </c>
      <c r="AS140" s="80" t="b">
        <v>0</v>
      </c>
      <c r="AT140" s="80"/>
      <c r="AU140" s="80">
        <v>0</v>
      </c>
      <c r="AV140" s="80"/>
      <c r="AW140" s="80" t="b">
        <v>0</v>
      </c>
      <c r="AX140" s="80" t="s">
        <v>10746</v>
      </c>
      <c r="AY140" s="87" t="str">
        <f>HYPERLINK("https://twitter.com/alifmuclisinapp")</f>
        <v>https://twitter.com/alifmuclisinapp</v>
      </c>
      <c r="AZ140" s="80" t="s">
        <v>66</v>
      </c>
      <c r="BA140" s="2"/>
      <c r="BB140" s="3"/>
      <c r="BC140" s="3"/>
      <c r="BD140" s="3"/>
      <c r="BE140" s="3"/>
    </row>
    <row r="141" spans="1:57" x14ac:dyDescent="0.35">
      <c r="A141" s="66" t="s">
        <v>1292</v>
      </c>
      <c r="B141" s="67"/>
      <c r="C141" s="67"/>
      <c r="D141" s="68"/>
      <c r="E141" s="70"/>
      <c r="F141" s="109" t="str">
        <f>HYPERLINK("https://pbs.twimg.com/profile_images/1440304084355977226/iaS7vF-a_normal.jpg")</f>
        <v>https://pbs.twimg.com/profile_images/1440304084355977226/iaS7vF-a_normal.jpg</v>
      </c>
      <c r="G141" s="67"/>
      <c r="H141" s="71"/>
      <c r="I141" s="72"/>
      <c r="J141" s="72"/>
      <c r="K141" s="71" t="s">
        <v>10884</v>
      </c>
      <c r="L141" s="75"/>
      <c r="M141" s="76"/>
      <c r="N141" s="76"/>
      <c r="O141" s="77"/>
      <c r="P141" s="78"/>
      <c r="Q141" s="78"/>
      <c r="R141" s="92"/>
      <c r="S141" s="92"/>
      <c r="T141" s="92"/>
      <c r="U141" s="92"/>
      <c r="V141" s="52"/>
      <c r="W141" s="52"/>
      <c r="X141" s="52"/>
      <c r="Y141" s="52"/>
      <c r="Z141" s="51"/>
      <c r="AA141" s="73"/>
      <c r="AB141" s="73"/>
      <c r="AC141" s="74"/>
      <c r="AD141" s="80" t="s">
        <v>6724</v>
      </c>
      <c r="AE141" s="85" t="s">
        <v>7986</v>
      </c>
      <c r="AF141" s="80">
        <v>91</v>
      </c>
      <c r="AG141" s="80">
        <v>13</v>
      </c>
      <c r="AH141" s="80">
        <v>141</v>
      </c>
      <c r="AI141" s="80">
        <v>147</v>
      </c>
      <c r="AJ141" s="80"/>
      <c r="AK141" s="80" t="s">
        <v>9081</v>
      </c>
      <c r="AL141" s="80" t="s">
        <v>10199</v>
      </c>
      <c r="AM141" s="87" t="str">
        <f>HYPERLINK("https://t.co/2ERMAJGBSr")</f>
        <v>https://t.co/2ERMAJGBSr</v>
      </c>
      <c r="AN141" s="80"/>
      <c r="AO141" s="82">
        <v>44432.04928240741</v>
      </c>
      <c r="AP141" s="87" t="str">
        <f>HYPERLINK("https://pbs.twimg.com/profile_banners/1429974438762606592/1630839052")</f>
        <v>https://pbs.twimg.com/profile_banners/1429974438762606592/1630839052</v>
      </c>
      <c r="AQ141" s="80" t="b">
        <v>1</v>
      </c>
      <c r="AR141" s="80" t="b">
        <v>0</v>
      </c>
      <c r="AS141" s="80" t="b">
        <v>0</v>
      </c>
      <c r="AT141" s="80"/>
      <c r="AU141" s="80">
        <v>0</v>
      </c>
      <c r="AV141" s="80"/>
      <c r="AW141" s="80" t="b">
        <v>0</v>
      </c>
      <c r="AX141" s="80" t="s">
        <v>10746</v>
      </c>
      <c r="AY141" s="87" t="str">
        <f>HYPERLINK("https://twitter.com/tousiesjour")</f>
        <v>https://twitter.com/tousiesjour</v>
      </c>
      <c r="AZ141" s="80" t="s">
        <v>65</v>
      </c>
      <c r="BA141" s="2"/>
      <c r="BB141" s="3"/>
      <c r="BC141" s="3"/>
      <c r="BD141" s="3"/>
      <c r="BE141" s="3"/>
    </row>
    <row r="142" spans="1:57" x14ac:dyDescent="0.35">
      <c r="A142" s="66" t="s">
        <v>329</v>
      </c>
      <c r="B142" s="67"/>
      <c r="C142" s="67"/>
      <c r="D142" s="68"/>
      <c r="E142" s="70"/>
      <c r="F142" s="109" t="str">
        <f>HYPERLINK("https://pbs.twimg.com/profile_images/1172168286508765184/qaEudMfO_normal.jpg")</f>
        <v>https://pbs.twimg.com/profile_images/1172168286508765184/qaEudMfO_normal.jpg</v>
      </c>
      <c r="G142" s="67"/>
      <c r="H142" s="71"/>
      <c r="I142" s="72"/>
      <c r="J142" s="72"/>
      <c r="K142" s="71" t="s">
        <v>10885</v>
      </c>
      <c r="L142" s="75"/>
      <c r="M142" s="76"/>
      <c r="N142" s="76"/>
      <c r="O142" s="77"/>
      <c r="P142" s="78"/>
      <c r="Q142" s="78"/>
      <c r="R142" s="92"/>
      <c r="S142" s="92"/>
      <c r="T142" s="92"/>
      <c r="U142" s="92"/>
      <c r="V142" s="52"/>
      <c r="W142" s="52"/>
      <c r="X142" s="52"/>
      <c r="Y142" s="52"/>
      <c r="Z142" s="51"/>
      <c r="AA142" s="73"/>
      <c r="AB142" s="73"/>
      <c r="AC142" s="74"/>
      <c r="AD142" s="80" t="s">
        <v>6725</v>
      </c>
      <c r="AE142" s="85" t="s">
        <v>7987</v>
      </c>
      <c r="AF142" s="80">
        <v>87</v>
      </c>
      <c r="AG142" s="80">
        <v>94</v>
      </c>
      <c r="AH142" s="80">
        <v>47701</v>
      </c>
      <c r="AI142" s="80">
        <v>45241</v>
      </c>
      <c r="AJ142" s="80"/>
      <c r="AK142" s="80" t="s">
        <v>9082</v>
      </c>
      <c r="AL142" s="80" t="s">
        <v>10182</v>
      </c>
      <c r="AM142" s="80"/>
      <c r="AN142" s="80"/>
      <c r="AO142" s="82">
        <v>42216.584328703706</v>
      </c>
      <c r="AP142" s="87" t="str">
        <f>HYPERLINK("https://pbs.twimg.com/profile_banners/3302529157/1468595654")</f>
        <v>https://pbs.twimg.com/profile_banners/3302529157/1468595654</v>
      </c>
      <c r="AQ142" s="80" t="b">
        <v>0</v>
      </c>
      <c r="AR142" s="80" t="b">
        <v>0</v>
      </c>
      <c r="AS142" s="80" t="b">
        <v>1</v>
      </c>
      <c r="AT142" s="80"/>
      <c r="AU142" s="80">
        <v>1</v>
      </c>
      <c r="AV142" s="87" t="str">
        <f>HYPERLINK("https://abs.twimg.com/images/themes/theme1/bg.png")</f>
        <v>https://abs.twimg.com/images/themes/theme1/bg.png</v>
      </c>
      <c r="AW142" s="80" t="b">
        <v>0</v>
      </c>
      <c r="AX142" s="80" t="s">
        <v>10746</v>
      </c>
      <c r="AY142" s="87" t="str">
        <f>HYPERLINK("https://twitter.com/amir_r00")</f>
        <v>https://twitter.com/amir_r00</v>
      </c>
      <c r="AZ142" s="80" t="s">
        <v>66</v>
      </c>
      <c r="BA142" s="2"/>
      <c r="BB142" s="3"/>
      <c r="BC142" s="3"/>
      <c r="BD142" s="3"/>
      <c r="BE142" s="3"/>
    </row>
    <row r="143" spans="1:57" x14ac:dyDescent="0.35">
      <c r="A143" s="66" t="s">
        <v>330</v>
      </c>
      <c r="B143" s="67"/>
      <c r="C143" s="67"/>
      <c r="D143" s="68"/>
      <c r="E143" s="70"/>
      <c r="F143" s="109" t="str">
        <f>HYPERLINK("https://pbs.twimg.com/profile_images/1200926521210195969/bY90_zpF_normal.jpg")</f>
        <v>https://pbs.twimg.com/profile_images/1200926521210195969/bY90_zpF_normal.jpg</v>
      </c>
      <c r="G143" s="67"/>
      <c r="H143" s="71"/>
      <c r="I143" s="72"/>
      <c r="J143" s="72"/>
      <c r="K143" s="71" t="s">
        <v>10886</v>
      </c>
      <c r="L143" s="75"/>
      <c r="M143" s="76"/>
      <c r="N143" s="76"/>
      <c r="O143" s="77"/>
      <c r="P143" s="78"/>
      <c r="Q143" s="78"/>
      <c r="R143" s="92"/>
      <c r="S143" s="92"/>
      <c r="T143" s="92"/>
      <c r="U143" s="92"/>
      <c r="V143" s="52"/>
      <c r="W143" s="52"/>
      <c r="X143" s="52"/>
      <c r="Y143" s="52"/>
      <c r="Z143" s="51"/>
      <c r="AA143" s="73"/>
      <c r="AB143" s="73"/>
      <c r="AC143" s="74"/>
      <c r="AD143" s="80" t="s">
        <v>6726</v>
      </c>
      <c r="AE143" s="85" t="s">
        <v>7988</v>
      </c>
      <c r="AF143" s="80">
        <v>995</v>
      </c>
      <c r="AG143" s="80">
        <v>427</v>
      </c>
      <c r="AH143" s="80">
        <v>72917</v>
      </c>
      <c r="AI143" s="80">
        <v>64840</v>
      </c>
      <c r="AJ143" s="80"/>
      <c r="AK143" s="80" t="s">
        <v>9083</v>
      </c>
      <c r="AL143" s="80" t="s">
        <v>10200</v>
      </c>
      <c r="AM143" s="87" t="str">
        <f>HYPERLINK("https://t.co/pvBBqmnm7y")</f>
        <v>https://t.co/pvBBqmnm7y</v>
      </c>
      <c r="AN143" s="80"/>
      <c r="AO143" s="82">
        <v>40647.317094907405</v>
      </c>
      <c r="AP143" s="87" t="str">
        <f>HYPERLINK("https://pbs.twimg.com/profile_banners/281928349/1527244671")</f>
        <v>https://pbs.twimg.com/profile_banners/281928349/1527244671</v>
      </c>
      <c r="AQ143" s="80" t="b">
        <v>0</v>
      </c>
      <c r="AR143" s="80" t="b">
        <v>0</v>
      </c>
      <c r="AS143" s="80" t="b">
        <v>1</v>
      </c>
      <c r="AT143" s="80"/>
      <c r="AU143" s="80">
        <v>2</v>
      </c>
      <c r="AV143" s="87" t="str">
        <f>HYPERLINK("https://abs.twimg.com/images/themes/theme1/bg.png")</f>
        <v>https://abs.twimg.com/images/themes/theme1/bg.png</v>
      </c>
      <c r="AW143" s="80" t="b">
        <v>0</v>
      </c>
      <c r="AX143" s="80" t="s">
        <v>10746</v>
      </c>
      <c r="AY143" s="87" t="str">
        <f>HYPERLINK("https://twitter.com/m_izmie")</f>
        <v>https://twitter.com/m_izmie</v>
      </c>
      <c r="AZ143" s="80" t="s">
        <v>66</v>
      </c>
      <c r="BA143" s="2"/>
      <c r="BB143" s="3"/>
      <c r="BC143" s="3"/>
      <c r="BD143" s="3"/>
      <c r="BE143" s="3"/>
    </row>
    <row r="144" spans="1:57" x14ac:dyDescent="0.35">
      <c r="A144" s="66" t="s">
        <v>331</v>
      </c>
      <c r="B144" s="67"/>
      <c r="C144" s="67"/>
      <c r="D144" s="68"/>
      <c r="E144" s="70"/>
      <c r="F144" s="109" t="str">
        <f>HYPERLINK("https://pbs.twimg.com/profile_images/1399753074734813187/Y1BKKMnw_normal.jpg")</f>
        <v>https://pbs.twimg.com/profile_images/1399753074734813187/Y1BKKMnw_normal.jpg</v>
      </c>
      <c r="G144" s="67"/>
      <c r="H144" s="71"/>
      <c r="I144" s="72"/>
      <c r="J144" s="72"/>
      <c r="K144" s="71" t="s">
        <v>10887</v>
      </c>
      <c r="L144" s="75"/>
      <c r="M144" s="76"/>
      <c r="N144" s="76"/>
      <c r="O144" s="77"/>
      <c r="P144" s="78"/>
      <c r="Q144" s="78"/>
      <c r="R144" s="92"/>
      <c r="S144" s="92"/>
      <c r="T144" s="92"/>
      <c r="U144" s="92"/>
      <c r="V144" s="52"/>
      <c r="W144" s="52"/>
      <c r="X144" s="52"/>
      <c r="Y144" s="52"/>
      <c r="Z144" s="51"/>
      <c r="AA144" s="73"/>
      <c r="AB144" s="73"/>
      <c r="AC144" s="74"/>
      <c r="AD144" s="80" t="s">
        <v>6727</v>
      </c>
      <c r="AE144" s="85" t="s">
        <v>7989</v>
      </c>
      <c r="AF144" s="80">
        <v>163</v>
      </c>
      <c r="AG144" s="80">
        <v>1029</v>
      </c>
      <c r="AH144" s="80">
        <v>70257</v>
      </c>
      <c r="AI144" s="80">
        <v>2117</v>
      </c>
      <c r="AJ144" s="80"/>
      <c r="AK144" s="80"/>
      <c r="AL144" s="80"/>
      <c r="AM144" s="80"/>
      <c r="AN144" s="80"/>
      <c r="AO144" s="82">
        <v>41122.568726851852</v>
      </c>
      <c r="AP144" s="80"/>
      <c r="AQ144" s="80" t="b">
        <v>0</v>
      </c>
      <c r="AR144" s="80" t="b">
        <v>0</v>
      </c>
      <c r="AS144" s="80" t="b">
        <v>1</v>
      </c>
      <c r="AT144" s="80"/>
      <c r="AU144" s="80">
        <v>1</v>
      </c>
      <c r="AV144" s="87" t="str">
        <f>HYPERLINK("https://abs.twimg.com/images/themes/theme1/bg.png")</f>
        <v>https://abs.twimg.com/images/themes/theme1/bg.png</v>
      </c>
      <c r="AW144" s="80" t="b">
        <v>0</v>
      </c>
      <c r="AX144" s="80" t="s">
        <v>10746</v>
      </c>
      <c r="AY144" s="87" t="str">
        <f>HYPERLINK("https://twitter.com/bobelx")</f>
        <v>https://twitter.com/bobelx</v>
      </c>
      <c r="AZ144" s="80" t="s">
        <v>66</v>
      </c>
      <c r="BA144" s="2"/>
      <c r="BB144" s="3"/>
      <c r="BC144" s="3"/>
      <c r="BD144" s="3"/>
      <c r="BE144" s="3"/>
    </row>
    <row r="145" spans="1:57" x14ac:dyDescent="0.35">
      <c r="A145" s="66" t="s">
        <v>332</v>
      </c>
      <c r="B145" s="67"/>
      <c r="C145" s="67"/>
      <c r="D145" s="68"/>
      <c r="E145" s="70"/>
      <c r="F145" s="109" t="str">
        <f>HYPERLINK("https://pbs.twimg.com/profile_images/1276688260677332992/s6J-uHZ0_normal.jpg")</f>
        <v>https://pbs.twimg.com/profile_images/1276688260677332992/s6J-uHZ0_normal.jpg</v>
      </c>
      <c r="G145" s="67"/>
      <c r="H145" s="71"/>
      <c r="I145" s="72"/>
      <c r="J145" s="72"/>
      <c r="K145" s="71" t="s">
        <v>10888</v>
      </c>
      <c r="L145" s="75"/>
      <c r="M145" s="76"/>
      <c r="N145" s="76"/>
      <c r="O145" s="77"/>
      <c r="P145" s="78"/>
      <c r="Q145" s="78"/>
      <c r="R145" s="92"/>
      <c r="S145" s="92"/>
      <c r="T145" s="92"/>
      <c r="U145" s="92"/>
      <c r="V145" s="52"/>
      <c r="W145" s="52"/>
      <c r="X145" s="52"/>
      <c r="Y145" s="52"/>
      <c r="Z145" s="51"/>
      <c r="AA145" s="73"/>
      <c r="AB145" s="73"/>
      <c r="AC145" s="74"/>
      <c r="AD145" s="80" t="s">
        <v>6728</v>
      </c>
      <c r="AE145" s="85" t="s">
        <v>7990</v>
      </c>
      <c r="AF145" s="80">
        <v>977</v>
      </c>
      <c r="AG145" s="80">
        <v>413</v>
      </c>
      <c r="AH145" s="80">
        <v>2028</v>
      </c>
      <c r="AI145" s="80">
        <v>835</v>
      </c>
      <c r="AJ145" s="80"/>
      <c r="AK145" s="80" t="s">
        <v>9084</v>
      </c>
      <c r="AL145" s="80"/>
      <c r="AM145" s="80"/>
      <c r="AN145" s="80"/>
      <c r="AO145" s="82">
        <v>41304.271238425928</v>
      </c>
      <c r="AP145" s="87" t="str">
        <f>HYPERLINK("https://pbs.twimg.com/profile_banners/1133159143/1632315675")</f>
        <v>https://pbs.twimg.com/profile_banners/1133159143/1632315675</v>
      </c>
      <c r="AQ145" s="80" t="b">
        <v>1</v>
      </c>
      <c r="AR145" s="80" t="b">
        <v>0</v>
      </c>
      <c r="AS145" s="80" t="b">
        <v>0</v>
      </c>
      <c r="AT145" s="80"/>
      <c r="AU145" s="80">
        <v>0</v>
      </c>
      <c r="AV145" s="87" t="str">
        <f>HYPERLINK("https://abs.twimg.com/images/themes/theme1/bg.png")</f>
        <v>https://abs.twimg.com/images/themes/theme1/bg.png</v>
      </c>
      <c r="AW145" s="80" t="b">
        <v>0</v>
      </c>
      <c r="AX145" s="80" t="s">
        <v>10746</v>
      </c>
      <c r="AY145" s="87" t="str">
        <f>HYPERLINK("https://twitter.com/pos_ronda123")</f>
        <v>https://twitter.com/pos_ronda123</v>
      </c>
      <c r="AZ145" s="80" t="s">
        <v>66</v>
      </c>
      <c r="BA145" s="2"/>
      <c r="BB145" s="3"/>
      <c r="BC145" s="3"/>
      <c r="BD145" s="3"/>
      <c r="BE145" s="3"/>
    </row>
    <row r="146" spans="1:57" x14ac:dyDescent="0.35">
      <c r="A146" s="66" t="s">
        <v>333</v>
      </c>
      <c r="B146" s="67"/>
      <c r="C146" s="67"/>
      <c r="D146" s="68"/>
      <c r="E146" s="70"/>
      <c r="F146" s="109" t="str">
        <f>HYPERLINK("https://pbs.twimg.com/profile_images/1440867711391866881/LgEZLEzL_normal.jpg")</f>
        <v>https://pbs.twimg.com/profile_images/1440867711391866881/LgEZLEzL_normal.jpg</v>
      </c>
      <c r="G146" s="67"/>
      <c r="H146" s="71"/>
      <c r="I146" s="72"/>
      <c r="J146" s="72"/>
      <c r="K146" s="71" t="s">
        <v>10889</v>
      </c>
      <c r="L146" s="75"/>
      <c r="M146" s="76"/>
      <c r="N146" s="76"/>
      <c r="O146" s="77"/>
      <c r="P146" s="78"/>
      <c r="Q146" s="78"/>
      <c r="R146" s="92"/>
      <c r="S146" s="92"/>
      <c r="T146" s="92"/>
      <c r="U146" s="92"/>
      <c r="V146" s="52"/>
      <c r="W146" s="52"/>
      <c r="X146" s="52"/>
      <c r="Y146" s="52"/>
      <c r="Z146" s="51"/>
      <c r="AA146" s="73"/>
      <c r="AB146" s="73"/>
      <c r="AC146" s="74"/>
      <c r="AD146" s="80" t="s">
        <v>6729</v>
      </c>
      <c r="AE146" s="85" t="s">
        <v>7991</v>
      </c>
      <c r="AF146" s="80">
        <v>138</v>
      </c>
      <c r="AG146" s="80">
        <v>59</v>
      </c>
      <c r="AH146" s="80">
        <v>26</v>
      </c>
      <c r="AI146" s="80">
        <v>70</v>
      </c>
      <c r="AJ146" s="80"/>
      <c r="AK146" s="80" t="s">
        <v>9085</v>
      </c>
      <c r="AL146" s="80" t="s">
        <v>10201</v>
      </c>
      <c r="AM146" s="80"/>
      <c r="AN146" s="80"/>
      <c r="AO146" s="82">
        <v>44449.688113425924</v>
      </c>
      <c r="AP146" s="87" t="str">
        <f>HYPERLINK("https://pbs.twimg.com/profile_banners/1436366510566658058/1632364738")</f>
        <v>https://pbs.twimg.com/profile_banners/1436366510566658058/1632364738</v>
      </c>
      <c r="AQ146" s="80" t="b">
        <v>1</v>
      </c>
      <c r="AR146" s="80" t="b">
        <v>0</v>
      </c>
      <c r="AS146" s="80" t="b">
        <v>0</v>
      </c>
      <c r="AT146" s="80"/>
      <c r="AU146" s="80">
        <v>1</v>
      </c>
      <c r="AV146" s="80"/>
      <c r="AW146" s="80" t="b">
        <v>0</v>
      </c>
      <c r="AX146" s="80" t="s">
        <v>10746</v>
      </c>
      <c r="AY146" s="87" t="str">
        <f>HYPERLINK("https://twitter.com/tiki_teki")</f>
        <v>https://twitter.com/tiki_teki</v>
      </c>
      <c r="AZ146" s="80" t="s">
        <v>66</v>
      </c>
      <c r="BA146" s="2"/>
      <c r="BB146" s="3"/>
      <c r="BC146" s="3"/>
      <c r="BD146" s="3"/>
      <c r="BE146" s="3"/>
    </row>
    <row r="147" spans="1:57" x14ac:dyDescent="0.35">
      <c r="A147" s="66" t="s">
        <v>334</v>
      </c>
      <c r="B147" s="67"/>
      <c r="C147" s="67"/>
      <c r="D147" s="68"/>
      <c r="E147" s="70"/>
      <c r="F147" s="109" t="str">
        <f>HYPERLINK("https://pbs.twimg.com/profile_images/1436667992968876032/GTH4GONN_normal.jpg")</f>
        <v>https://pbs.twimg.com/profile_images/1436667992968876032/GTH4GONN_normal.jpg</v>
      </c>
      <c r="G147" s="67"/>
      <c r="H147" s="71"/>
      <c r="I147" s="72"/>
      <c r="J147" s="72"/>
      <c r="K147" s="71" t="s">
        <v>10890</v>
      </c>
      <c r="L147" s="75"/>
      <c r="M147" s="76"/>
      <c r="N147" s="76"/>
      <c r="O147" s="77"/>
      <c r="P147" s="78"/>
      <c r="Q147" s="78"/>
      <c r="R147" s="92"/>
      <c r="S147" s="92"/>
      <c r="T147" s="92"/>
      <c r="U147" s="92"/>
      <c r="V147" s="52"/>
      <c r="W147" s="52"/>
      <c r="X147" s="52"/>
      <c r="Y147" s="52"/>
      <c r="Z147" s="51"/>
      <c r="AA147" s="73"/>
      <c r="AB147" s="73"/>
      <c r="AC147" s="74"/>
      <c r="AD147" s="80" t="s">
        <v>6730</v>
      </c>
      <c r="AE147" s="85" t="s">
        <v>7992</v>
      </c>
      <c r="AF147" s="80">
        <v>135</v>
      </c>
      <c r="AG147" s="80">
        <v>15</v>
      </c>
      <c r="AH147" s="80">
        <v>2845</v>
      </c>
      <c r="AI147" s="80">
        <v>563</v>
      </c>
      <c r="AJ147" s="80"/>
      <c r="AK147" s="80"/>
      <c r="AL147" s="80"/>
      <c r="AM147" s="80"/>
      <c r="AN147" s="80"/>
      <c r="AO147" s="82">
        <v>44168.360451388886</v>
      </c>
      <c r="AP147" s="87" t="str">
        <f>HYPERLINK("https://pbs.twimg.com/profile_banners/1334416804471394305/1607049817")</f>
        <v>https://pbs.twimg.com/profile_banners/1334416804471394305/1607049817</v>
      </c>
      <c r="AQ147" s="80" t="b">
        <v>1</v>
      </c>
      <c r="AR147" s="80" t="b">
        <v>0</v>
      </c>
      <c r="AS147" s="80" t="b">
        <v>1</v>
      </c>
      <c r="AT147" s="80"/>
      <c r="AU147" s="80">
        <v>1</v>
      </c>
      <c r="AV147" s="80"/>
      <c r="AW147" s="80" t="b">
        <v>0</v>
      </c>
      <c r="AX147" s="80" t="s">
        <v>10746</v>
      </c>
      <c r="AY147" s="87" t="str">
        <f>HYPERLINK("https://twitter.com/anyrafsa")</f>
        <v>https://twitter.com/anyrafsa</v>
      </c>
      <c r="AZ147" s="80" t="s">
        <v>66</v>
      </c>
      <c r="BA147" s="2"/>
      <c r="BB147" s="3"/>
      <c r="BC147" s="3"/>
      <c r="BD147" s="3"/>
      <c r="BE147" s="3"/>
    </row>
    <row r="148" spans="1:57" x14ac:dyDescent="0.35">
      <c r="A148" s="66" t="s">
        <v>336</v>
      </c>
      <c r="B148" s="67"/>
      <c r="C148" s="67"/>
      <c r="D148" s="68"/>
      <c r="E148" s="70"/>
      <c r="F148" s="109" t="str">
        <f>HYPERLINK("https://pbs.twimg.com/profile_images/1410391105858719745/8KiApuIV_normal.jpg")</f>
        <v>https://pbs.twimg.com/profile_images/1410391105858719745/8KiApuIV_normal.jpg</v>
      </c>
      <c r="G148" s="67"/>
      <c r="H148" s="71"/>
      <c r="I148" s="72"/>
      <c r="J148" s="72"/>
      <c r="K148" s="71" t="s">
        <v>10891</v>
      </c>
      <c r="L148" s="75"/>
      <c r="M148" s="76"/>
      <c r="N148" s="76"/>
      <c r="O148" s="77"/>
      <c r="P148" s="78"/>
      <c r="Q148" s="78"/>
      <c r="R148" s="92"/>
      <c r="S148" s="92"/>
      <c r="T148" s="92"/>
      <c r="U148" s="92"/>
      <c r="V148" s="52"/>
      <c r="W148" s="52"/>
      <c r="X148" s="52"/>
      <c r="Y148" s="52"/>
      <c r="Z148" s="51"/>
      <c r="AA148" s="73"/>
      <c r="AB148" s="73"/>
      <c r="AC148" s="74"/>
      <c r="AD148" s="80" t="s">
        <v>6731</v>
      </c>
      <c r="AE148" s="85" t="s">
        <v>7993</v>
      </c>
      <c r="AF148" s="80">
        <v>646</v>
      </c>
      <c r="AG148" s="80">
        <v>267</v>
      </c>
      <c r="AH148" s="80">
        <v>42</v>
      </c>
      <c r="AI148" s="80">
        <v>12</v>
      </c>
      <c r="AJ148" s="80"/>
      <c r="AK148" s="80" t="s">
        <v>9086</v>
      </c>
      <c r="AL148" s="80" t="s">
        <v>10202</v>
      </c>
      <c r="AM148" s="87" t="str">
        <f>HYPERLINK("https://t.co/pJUydPTGh2")</f>
        <v>https://t.co/pJUydPTGh2</v>
      </c>
      <c r="AN148" s="80"/>
      <c r="AO148" s="82">
        <v>43502.103680555556</v>
      </c>
      <c r="AP148" s="80"/>
      <c r="AQ148" s="80" t="b">
        <v>1</v>
      </c>
      <c r="AR148" s="80" t="b">
        <v>0</v>
      </c>
      <c r="AS148" s="80" t="b">
        <v>0</v>
      </c>
      <c r="AT148" s="80"/>
      <c r="AU148" s="80">
        <v>0</v>
      </c>
      <c r="AV148" s="80"/>
      <c r="AW148" s="80" t="b">
        <v>0</v>
      </c>
      <c r="AX148" s="80" t="s">
        <v>10746</v>
      </c>
      <c r="AY148" s="87" t="str">
        <f>HYPERLINK("https://twitter.com/ahmadl04644463")</f>
        <v>https://twitter.com/ahmadl04644463</v>
      </c>
      <c r="AZ148" s="80" t="s">
        <v>66</v>
      </c>
      <c r="BA148" s="2"/>
      <c r="BB148" s="3"/>
      <c r="BC148" s="3"/>
      <c r="BD148" s="3"/>
      <c r="BE148" s="3"/>
    </row>
    <row r="149" spans="1:57" x14ac:dyDescent="0.35">
      <c r="A149" s="66" t="s">
        <v>1293</v>
      </c>
      <c r="B149" s="67"/>
      <c r="C149" s="67"/>
      <c r="D149" s="68"/>
      <c r="E149" s="70"/>
      <c r="F149" s="109" t="str">
        <f>HYPERLINK("https://pbs.twimg.com/profile_images/1347675251266576386/RozRN5EB_normal.jpg")</f>
        <v>https://pbs.twimg.com/profile_images/1347675251266576386/RozRN5EB_normal.jpg</v>
      </c>
      <c r="G149" s="67"/>
      <c r="H149" s="71"/>
      <c r="I149" s="72"/>
      <c r="J149" s="72"/>
      <c r="K149" s="71" t="s">
        <v>10892</v>
      </c>
      <c r="L149" s="75"/>
      <c r="M149" s="76"/>
      <c r="N149" s="76"/>
      <c r="O149" s="77"/>
      <c r="P149" s="78"/>
      <c r="Q149" s="78"/>
      <c r="R149" s="92"/>
      <c r="S149" s="92"/>
      <c r="T149" s="92"/>
      <c r="U149" s="92"/>
      <c r="V149" s="52"/>
      <c r="W149" s="52"/>
      <c r="X149" s="52"/>
      <c r="Y149" s="52"/>
      <c r="Z149" s="51"/>
      <c r="AA149" s="73"/>
      <c r="AB149" s="73"/>
      <c r="AC149" s="74"/>
      <c r="AD149" s="80" t="s">
        <v>6732</v>
      </c>
      <c r="AE149" s="85" t="s">
        <v>6262</v>
      </c>
      <c r="AF149" s="80">
        <v>62</v>
      </c>
      <c r="AG149" s="80">
        <v>898056</v>
      </c>
      <c r="AH149" s="80">
        <v>272909</v>
      </c>
      <c r="AI149" s="80">
        <v>921</v>
      </c>
      <c r="AJ149" s="80"/>
      <c r="AK149" s="80" t="s">
        <v>9087</v>
      </c>
      <c r="AL149" s="80" t="s">
        <v>10203</v>
      </c>
      <c r="AM149" s="80"/>
      <c r="AN149" s="80"/>
      <c r="AO149" s="82">
        <v>43744.455335648148</v>
      </c>
      <c r="AP149" s="87" t="str">
        <f>HYPERLINK("https://pbs.twimg.com/profile_banners/1180798752212144129/1610145794")</f>
        <v>https://pbs.twimg.com/profile_banners/1180798752212144129/1610145794</v>
      </c>
      <c r="AQ149" s="80" t="b">
        <v>1</v>
      </c>
      <c r="AR149" s="80" t="b">
        <v>0</v>
      </c>
      <c r="AS149" s="80" t="b">
        <v>0</v>
      </c>
      <c r="AT149" s="80"/>
      <c r="AU149" s="80">
        <v>125</v>
      </c>
      <c r="AV149" s="80"/>
      <c r="AW149" s="80" t="b">
        <v>0</v>
      </c>
      <c r="AX149" s="80" t="s">
        <v>10746</v>
      </c>
      <c r="AY149" s="87" t="str">
        <f>HYPERLINK("https://twitter.com/bundaaiz88")</f>
        <v>https://twitter.com/bundaaiz88</v>
      </c>
      <c r="AZ149" s="80" t="s">
        <v>65</v>
      </c>
      <c r="BA149" s="2"/>
      <c r="BB149" s="3"/>
      <c r="BC149" s="3"/>
      <c r="BD149" s="3"/>
      <c r="BE149" s="3"/>
    </row>
    <row r="150" spans="1:57" x14ac:dyDescent="0.35">
      <c r="A150" s="66" t="s">
        <v>337</v>
      </c>
      <c r="B150" s="67"/>
      <c r="C150" s="67"/>
      <c r="D150" s="68"/>
      <c r="E150" s="70"/>
      <c r="F150" s="109" t="str">
        <f>HYPERLINK("https://pbs.twimg.com/profile_images/1427107360389025795/RN9l2Ots_normal.jpg")</f>
        <v>https://pbs.twimg.com/profile_images/1427107360389025795/RN9l2Ots_normal.jpg</v>
      </c>
      <c r="G150" s="67"/>
      <c r="H150" s="71"/>
      <c r="I150" s="72"/>
      <c r="J150" s="72"/>
      <c r="K150" s="71" t="s">
        <v>10893</v>
      </c>
      <c r="L150" s="75"/>
      <c r="M150" s="76"/>
      <c r="N150" s="76"/>
      <c r="O150" s="77"/>
      <c r="P150" s="78"/>
      <c r="Q150" s="78"/>
      <c r="R150" s="92"/>
      <c r="S150" s="92"/>
      <c r="T150" s="92"/>
      <c r="U150" s="92"/>
      <c r="V150" s="52"/>
      <c r="W150" s="52"/>
      <c r="X150" s="52"/>
      <c r="Y150" s="52"/>
      <c r="Z150" s="51"/>
      <c r="AA150" s="73"/>
      <c r="AB150" s="73"/>
      <c r="AC150" s="74"/>
      <c r="AD150" s="80" t="s">
        <v>6733</v>
      </c>
      <c r="AE150" s="85" t="s">
        <v>7994</v>
      </c>
      <c r="AF150" s="80">
        <v>102</v>
      </c>
      <c r="AG150" s="80">
        <v>102</v>
      </c>
      <c r="AH150" s="80">
        <v>4021</v>
      </c>
      <c r="AI150" s="80">
        <v>2060</v>
      </c>
      <c r="AJ150" s="80"/>
      <c r="AK150" s="80" t="s">
        <v>9088</v>
      </c>
      <c r="AL150" s="80" t="s">
        <v>10204</v>
      </c>
      <c r="AM150" s="80"/>
      <c r="AN150" s="80"/>
      <c r="AO150" s="82">
        <v>43792.502418981479</v>
      </c>
      <c r="AP150" s="87" t="str">
        <f>HYPERLINK("https://pbs.twimg.com/profile_banners/1198210398601637888/1632317885")</f>
        <v>https://pbs.twimg.com/profile_banners/1198210398601637888/1632317885</v>
      </c>
      <c r="AQ150" s="80" t="b">
        <v>1</v>
      </c>
      <c r="AR150" s="80" t="b">
        <v>0</v>
      </c>
      <c r="AS150" s="80" t="b">
        <v>1</v>
      </c>
      <c r="AT150" s="80"/>
      <c r="AU150" s="80">
        <v>0</v>
      </c>
      <c r="AV150" s="80"/>
      <c r="AW150" s="80" t="b">
        <v>0</v>
      </c>
      <c r="AX150" s="80" t="s">
        <v>10746</v>
      </c>
      <c r="AY150" s="87" t="str">
        <f>HYPERLINK("https://twitter.com/wantwothree__")</f>
        <v>https://twitter.com/wantwothree__</v>
      </c>
      <c r="AZ150" s="80" t="s">
        <v>66</v>
      </c>
      <c r="BA150" s="2"/>
      <c r="BB150" s="3"/>
      <c r="BC150" s="3"/>
      <c r="BD150" s="3"/>
      <c r="BE150" s="3"/>
    </row>
    <row r="151" spans="1:57" x14ac:dyDescent="0.35">
      <c r="A151" s="66" t="s">
        <v>338</v>
      </c>
      <c r="B151" s="67"/>
      <c r="C151" s="67"/>
      <c r="D151" s="68"/>
      <c r="E151" s="70"/>
      <c r="F151" s="109" t="str">
        <f>HYPERLINK("https://pbs.twimg.com/profile_images/1438148932542992385/YYZDnnrB_normal.jpg")</f>
        <v>https://pbs.twimg.com/profile_images/1438148932542992385/YYZDnnrB_normal.jpg</v>
      </c>
      <c r="G151" s="67"/>
      <c r="H151" s="71"/>
      <c r="I151" s="72"/>
      <c r="J151" s="72"/>
      <c r="K151" s="71" t="s">
        <v>10894</v>
      </c>
      <c r="L151" s="75"/>
      <c r="M151" s="76"/>
      <c r="N151" s="76"/>
      <c r="O151" s="77"/>
      <c r="P151" s="78"/>
      <c r="Q151" s="78"/>
      <c r="R151" s="92"/>
      <c r="S151" s="92"/>
      <c r="T151" s="92"/>
      <c r="U151" s="92"/>
      <c r="V151" s="52"/>
      <c r="W151" s="52"/>
      <c r="X151" s="52"/>
      <c r="Y151" s="52"/>
      <c r="Z151" s="51"/>
      <c r="AA151" s="73"/>
      <c r="AB151" s="73"/>
      <c r="AC151" s="74"/>
      <c r="AD151" s="80" t="s">
        <v>6734</v>
      </c>
      <c r="AE151" s="85" t="s">
        <v>7995</v>
      </c>
      <c r="AF151" s="80">
        <v>5</v>
      </c>
      <c r="AG151" s="80">
        <v>0</v>
      </c>
      <c r="AH151" s="80">
        <v>8</v>
      </c>
      <c r="AI151" s="80">
        <v>0</v>
      </c>
      <c r="AJ151" s="80"/>
      <c r="AK151" s="80" t="s">
        <v>9089</v>
      </c>
      <c r="AL151" s="80" t="s">
        <v>10205</v>
      </c>
      <c r="AM151" s="80"/>
      <c r="AN151" s="80"/>
      <c r="AO151" s="82">
        <v>44322.320416666669</v>
      </c>
      <c r="AP151" s="87" t="str">
        <f>HYPERLINK("https://pbs.twimg.com/profile_banners/1390210040603176962/1631716399")</f>
        <v>https://pbs.twimg.com/profile_banners/1390210040603176962/1631716399</v>
      </c>
      <c r="AQ151" s="80" t="b">
        <v>1</v>
      </c>
      <c r="AR151" s="80" t="b">
        <v>0</v>
      </c>
      <c r="AS151" s="80" t="b">
        <v>0</v>
      </c>
      <c r="AT151" s="80"/>
      <c r="AU151" s="80">
        <v>0</v>
      </c>
      <c r="AV151" s="80"/>
      <c r="AW151" s="80" t="b">
        <v>0</v>
      </c>
      <c r="AX151" s="80" t="s">
        <v>10746</v>
      </c>
      <c r="AY151" s="87" t="str">
        <f>HYPERLINK("https://twitter.com/diifracha")</f>
        <v>https://twitter.com/diifracha</v>
      </c>
      <c r="AZ151" s="80" t="s">
        <v>66</v>
      </c>
      <c r="BA151" s="2"/>
      <c r="BB151" s="3"/>
      <c r="BC151" s="3"/>
      <c r="BD151" s="3"/>
      <c r="BE151" s="3"/>
    </row>
    <row r="152" spans="1:57" x14ac:dyDescent="0.35">
      <c r="A152" s="66" t="s">
        <v>339</v>
      </c>
      <c r="B152" s="67"/>
      <c r="C152" s="67"/>
      <c r="D152" s="68"/>
      <c r="E152" s="70"/>
      <c r="F152" s="109" t="str">
        <f>HYPERLINK("https://pbs.twimg.com/profile_images/1427482974660882437/GGsignQU_normal.jpg")</f>
        <v>https://pbs.twimg.com/profile_images/1427482974660882437/GGsignQU_normal.jpg</v>
      </c>
      <c r="G152" s="67"/>
      <c r="H152" s="71"/>
      <c r="I152" s="72"/>
      <c r="J152" s="72"/>
      <c r="K152" s="71" t="s">
        <v>10895</v>
      </c>
      <c r="L152" s="75"/>
      <c r="M152" s="76"/>
      <c r="N152" s="76"/>
      <c r="O152" s="77"/>
      <c r="P152" s="78"/>
      <c r="Q152" s="78"/>
      <c r="R152" s="92"/>
      <c r="S152" s="92"/>
      <c r="T152" s="92"/>
      <c r="U152" s="92"/>
      <c r="V152" s="52"/>
      <c r="W152" s="52"/>
      <c r="X152" s="52"/>
      <c r="Y152" s="52"/>
      <c r="Z152" s="51"/>
      <c r="AA152" s="73"/>
      <c r="AB152" s="73"/>
      <c r="AC152" s="74"/>
      <c r="AD152" s="80" t="s">
        <v>6735</v>
      </c>
      <c r="AE152" s="85" t="s">
        <v>7996</v>
      </c>
      <c r="AF152" s="80">
        <v>126</v>
      </c>
      <c r="AG152" s="80">
        <v>522</v>
      </c>
      <c r="AH152" s="80">
        <v>3398</v>
      </c>
      <c r="AI152" s="80">
        <v>705</v>
      </c>
      <c r="AJ152" s="80"/>
      <c r="AK152" s="80" t="s">
        <v>9090</v>
      </c>
      <c r="AL152" s="80" t="s">
        <v>10138</v>
      </c>
      <c r="AM152" s="87" t="str">
        <f>HYPERLINK("https://t.co/dXQqprmkQR")</f>
        <v>https://t.co/dXQqprmkQR</v>
      </c>
      <c r="AN152" s="80"/>
      <c r="AO152" s="82">
        <v>40890.992002314815</v>
      </c>
      <c r="AP152" s="87" t="str">
        <f>HYPERLINK("https://pbs.twimg.com/profile_banners/436249394/1600050670")</f>
        <v>https://pbs.twimg.com/profile_banners/436249394/1600050670</v>
      </c>
      <c r="AQ152" s="80" t="b">
        <v>0</v>
      </c>
      <c r="AR152" s="80" t="b">
        <v>0</v>
      </c>
      <c r="AS152" s="80" t="b">
        <v>0</v>
      </c>
      <c r="AT152" s="80"/>
      <c r="AU152" s="80">
        <v>0</v>
      </c>
      <c r="AV152" s="87" t="str">
        <f>HYPERLINK("https://abs.twimg.com/images/themes/theme1/bg.png")</f>
        <v>https://abs.twimg.com/images/themes/theme1/bg.png</v>
      </c>
      <c r="AW152" s="80" t="b">
        <v>0</v>
      </c>
      <c r="AX152" s="80" t="s">
        <v>10746</v>
      </c>
      <c r="AY152" s="87" t="str">
        <f>HYPERLINK("https://twitter.com/strkrsndty")</f>
        <v>https://twitter.com/strkrsndty</v>
      </c>
      <c r="AZ152" s="80" t="s">
        <v>66</v>
      </c>
      <c r="BA152" s="2"/>
      <c r="BB152" s="3"/>
      <c r="BC152" s="3"/>
      <c r="BD152" s="3"/>
      <c r="BE152" s="3"/>
    </row>
    <row r="153" spans="1:57" x14ac:dyDescent="0.35">
      <c r="A153" s="66" t="s">
        <v>340</v>
      </c>
      <c r="B153" s="67"/>
      <c r="C153" s="67"/>
      <c r="D153" s="68"/>
      <c r="E153" s="70"/>
      <c r="F153" s="109" t="str">
        <f>HYPERLINK("https://pbs.twimg.com/profile_images/1289418903609733120/TxoGUnqY_normal.jpg")</f>
        <v>https://pbs.twimg.com/profile_images/1289418903609733120/TxoGUnqY_normal.jpg</v>
      </c>
      <c r="G153" s="67"/>
      <c r="H153" s="71"/>
      <c r="I153" s="72"/>
      <c r="J153" s="72"/>
      <c r="K153" s="71" t="s">
        <v>10896</v>
      </c>
      <c r="L153" s="75"/>
      <c r="M153" s="76"/>
      <c r="N153" s="76"/>
      <c r="O153" s="77"/>
      <c r="P153" s="78"/>
      <c r="Q153" s="78"/>
      <c r="R153" s="92"/>
      <c r="S153" s="92"/>
      <c r="T153" s="92"/>
      <c r="U153" s="92"/>
      <c r="V153" s="52"/>
      <c r="W153" s="52"/>
      <c r="X153" s="52"/>
      <c r="Y153" s="52"/>
      <c r="Z153" s="51"/>
      <c r="AA153" s="73"/>
      <c r="AB153" s="73"/>
      <c r="AC153" s="74"/>
      <c r="AD153" s="80" t="s">
        <v>6736</v>
      </c>
      <c r="AE153" s="85" t="s">
        <v>7997</v>
      </c>
      <c r="AF153" s="80">
        <v>490</v>
      </c>
      <c r="AG153" s="80">
        <v>413</v>
      </c>
      <c r="AH153" s="80">
        <v>13812</v>
      </c>
      <c r="AI153" s="80">
        <v>10659</v>
      </c>
      <c r="AJ153" s="80"/>
      <c r="AK153" s="80" t="s">
        <v>9091</v>
      </c>
      <c r="AL153" s="80"/>
      <c r="AM153" s="80"/>
      <c r="AN153" s="80"/>
      <c r="AO153" s="82">
        <v>39954.575624999998</v>
      </c>
      <c r="AP153" s="87" t="str">
        <f>HYPERLINK("https://pbs.twimg.com/profile_banners/41588864/1544767715")</f>
        <v>https://pbs.twimg.com/profile_banners/41588864/1544767715</v>
      </c>
      <c r="AQ153" s="80" t="b">
        <v>0</v>
      </c>
      <c r="AR153" s="80" t="b">
        <v>0</v>
      </c>
      <c r="AS153" s="80" t="b">
        <v>1</v>
      </c>
      <c r="AT153" s="80"/>
      <c r="AU153" s="80">
        <v>0</v>
      </c>
      <c r="AV153" s="87" t="str">
        <f>HYPERLINK("https://abs.twimg.com/images/themes/theme4/bg.gif")</f>
        <v>https://abs.twimg.com/images/themes/theme4/bg.gif</v>
      </c>
      <c r="AW153" s="80" t="b">
        <v>0</v>
      </c>
      <c r="AX153" s="80" t="s">
        <v>10746</v>
      </c>
      <c r="AY153" s="87" t="str">
        <f>HYPERLINK("https://twitter.com/epham_")</f>
        <v>https://twitter.com/epham_</v>
      </c>
      <c r="AZ153" s="80" t="s">
        <v>66</v>
      </c>
      <c r="BA153" s="2"/>
      <c r="BB153" s="3"/>
      <c r="BC153" s="3"/>
      <c r="BD153" s="3"/>
      <c r="BE153" s="3"/>
    </row>
    <row r="154" spans="1:57" x14ac:dyDescent="0.35">
      <c r="A154" s="66" t="s">
        <v>1294</v>
      </c>
      <c r="B154" s="67"/>
      <c r="C154" s="67"/>
      <c r="D154" s="68"/>
      <c r="E154" s="70"/>
      <c r="F154" s="109" t="str">
        <f>HYPERLINK("https://pbs.twimg.com/profile_images/1252937701671620608/FyULSMou_normal.jpg")</f>
        <v>https://pbs.twimg.com/profile_images/1252937701671620608/FyULSMou_normal.jpg</v>
      </c>
      <c r="G154" s="67"/>
      <c r="H154" s="71"/>
      <c r="I154" s="72"/>
      <c r="J154" s="72"/>
      <c r="K154" s="71" t="s">
        <v>10897</v>
      </c>
      <c r="L154" s="75"/>
      <c r="M154" s="76"/>
      <c r="N154" s="76"/>
      <c r="O154" s="77"/>
      <c r="P154" s="78"/>
      <c r="Q154" s="78"/>
      <c r="R154" s="92"/>
      <c r="S154" s="92"/>
      <c r="T154" s="92"/>
      <c r="U154" s="92"/>
      <c r="V154" s="52"/>
      <c r="W154" s="52"/>
      <c r="X154" s="52"/>
      <c r="Y154" s="52"/>
      <c r="Z154" s="51"/>
      <c r="AA154" s="73"/>
      <c r="AB154" s="73"/>
      <c r="AC154" s="74"/>
      <c r="AD154" s="80" t="s">
        <v>6737</v>
      </c>
      <c r="AE154" s="85" t="s">
        <v>6263</v>
      </c>
      <c r="AF154" s="80">
        <v>2820</v>
      </c>
      <c r="AG154" s="80">
        <v>65613</v>
      </c>
      <c r="AH154" s="80">
        <v>120287</v>
      </c>
      <c r="AI154" s="80">
        <v>81</v>
      </c>
      <c r="AJ154" s="80"/>
      <c r="AK154" s="80" t="s">
        <v>9092</v>
      </c>
      <c r="AL154" s="80"/>
      <c r="AM154" s="87" t="str">
        <f>HYPERLINK("https://t.co/cdVKUr7huA")</f>
        <v>https://t.co/cdVKUr7huA</v>
      </c>
      <c r="AN154" s="80"/>
      <c r="AO154" s="82">
        <v>43685.406944444447</v>
      </c>
      <c r="AP154" s="87" t="str">
        <f>HYPERLINK("https://pbs.twimg.com/profile_banners/1159400358482833408/1616760666")</f>
        <v>https://pbs.twimg.com/profile_banners/1159400358482833408/1616760666</v>
      </c>
      <c r="AQ154" s="80" t="b">
        <v>1</v>
      </c>
      <c r="AR154" s="80" t="b">
        <v>0</v>
      </c>
      <c r="AS154" s="80" t="b">
        <v>1</v>
      </c>
      <c r="AT154" s="80"/>
      <c r="AU154" s="80">
        <v>236</v>
      </c>
      <c r="AV154" s="80"/>
      <c r="AW154" s="80" t="b">
        <v>0</v>
      </c>
      <c r="AX154" s="80" t="s">
        <v>10746</v>
      </c>
      <c r="AY154" s="87" t="str">
        <f>HYPERLINK("https://twitter.com/ngalamfess")</f>
        <v>https://twitter.com/ngalamfess</v>
      </c>
      <c r="AZ154" s="80" t="s">
        <v>65</v>
      </c>
      <c r="BA154" s="2"/>
      <c r="BB154" s="3"/>
      <c r="BC154" s="3"/>
      <c r="BD154" s="3"/>
      <c r="BE154" s="3"/>
    </row>
    <row r="155" spans="1:57" x14ac:dyDescent="0.35">
      <c r="A155" s="66" t="s">
        <v>341</v>
      </c>
      <c r="B155" s="67"/>
      <c r="C155" s="67"/>
      <c r="D155" s="68"/>
      <c r="E155" s="70"/>
      <c r="F155" s="109" t="str">
        <f>HYPERLINK("https://pbs.twimg.com/profile_images/1439027143887839241/lUKmJxeX_normal.jpg")</f>
        <v>https://pbs.twimg.com/profile_images/1439027143887839241/lUKmJxeX_normal.jpg</v>
      </c>
      <c r="G155" s="67"/>
      <c r="H155" s="71"/>
      <c r="I155" s="72"/>
      <c r="J155" s="72"/>
      <c r="K155" s="71" t="s">
        <v>10898</v>
      </c>
      <c r="L155" s="75"/>
      <c r="M155" s="76"/>
      <c r="N155" s="76"/>
      <c r="O155" s="77"/>
      <c r="P155" s="78"/>
      <c r="Q155" s="78"/>
      <c r="R155" s="92"/>
      <c r="S155" s="92"/>
      <c r="T155" s="92"/>
      <c r="U155" s="92"/>
      <c r="V155" s="52"/>
      <c r="W155" s="52"/>
      <c r="X155" s="52"/>
      <c r="Y155" s="52"/>
      <c r="Z155" s="51"/>
      <c r="AA155" s="73"/>
      <c r="AB155" s="73"/>
      <c r="AC155" s="74"/>
      <c r="AD155" s="80" t="s">
        <v>6738</v>
      </c>
      <c r="AE155" s="85" t="s">
        <v>7998</v>
      </c>
      <c r="AF155" s="80">
        <v>509</v>
      </c>
      <c r="AG155" s="80">
        <v>514</v>
      </c>
      <c r="AH155" s="80">
        <v>24569</v>
      </c>
      <c r="AI155" s="80">
        <v>6307</v>
      </c>
      <c r="AJ155" s="80"/>
      <c r="AK155" s="80" t="s">
        <v>9093</v>
      </c>
      <c r="AL155" s="80" t="s">
        <v>10206</v>
      </c>
      <c r="AM155" s="87" t="str">
        <f>HYPERLINK("https://t.co/NVqPOyneFX")</f>
        <v>https://t.co/NVqPOyneFX</v>
      </c>
      <c r="AN155" s="80"/>
      <c r="AO155" s="82">
        <v>43858.117743055554</v>
      </c>
      <c r="AP155" s="87" t="str">
        <f>HYPERLINK("https://pbs.twimg.com/profile_banners/1221988593104613376/1631534717")</f>
        <v>https://pbs.twimg.com/profile_banners/1221988593104613376/1631534717</v>
      </c>
      <c r="AQ155" s="80" t="b">
        <v>1</v>
      </c>
      <c r="AR155" s="80" t="b">
        <v>0</v>
      </c>
      <c r="AS155" s="80" t="b">
        <v>0</v>
      </c>
      <c r="AT155" s="80"/>
      <c r="AU155" s="80">
        <v>9</v>
      </c>
      <c r="AV155" s="80"/>
      <c r="AW155" s="80" t="b">
        <v>0</v>
      </c>
      <c r="AX155" s="80" t="s">
        <v>10746</v>
      </c>
      <c r="AY155" s="87" t="str">
        <f>HYPERLINK("https://twitter.com/kkurominikura")</f>
        <v>https://twitter.com/kkurominikura</v>
      </c>
      <c r="AZ155" s="80" t="s">
        <v>66</v>
      </c>
      <c r="BA155" s="2"/>
      <c r="BB155" s="3"/>
      <c r="BC155" s="3"/>
      <c r="BD155" s="3"/>
      <c r="BE155" s="3"/>
    </row>
    <row r="156" spans="1:57" x14ac:dyDescent="0.35">
      <c r="A156" s="66" t="s">
        <v>344</v>
      </c>
      <c r="B156" s="67"/>
      <c r="C156" s="67"/>
      <c r="D156" s="68"/>
      <c r="E156" s="70"/>
      <c r="F156" s="109" t="str">
        <f>HYPERLINK("https://pbs.twimg.com/profile_images/1432705767879159809/2_VY-CJD_normal.jpg")</f>
        <v>https://pbs.twimg.com/profile_images/1432705767879159809/2_VY-CJD_normal.jpg</v>
      </c>
      <c r="G156" s="67"/>
      <c r="H156" s="71"/>
      <c r="I156" s="72"/>
      <c r="J156" s="72"/>
      <c r="K156" s="71" t="s">
        <v>10899</v>
      </c>
      <c r="L156" s="75"/>
      <c r="M156" s="76"/>
      <c r="N156" s="76"/>
      <c r="O156" s="77"/>
      <c r="P156" s="78"/>
      <c r="Q156" s="78"/>
      <c r="R156" s="92"/>
      <c r="S156" s="92"/>
      <c r="T156" s="92"/>
      <c r="U156" s="92"/>
      <c r="V156" s="52"/>
      <c r="W156" s="52"/>
      <c r="X156" s="52"/>
      <c r="Y156" s="52"/>
      <c r="Z156" s="51"/>
      <c r="AA156" s="73"/>
      <c r="AB156" s="73"/>
      <c r="AC156" s="74"/>
      <c r="AD156" s="80" t="s">
        <v>6739</v>
      </c>
      <c r="AE156" s="85" t="s">
        <v>7999</v>
      </c>
      <c r="AF156" s="80">
        <v>853</v>
      </c>
      <c r="AG156" s="80">
        <v>853</v>
      </c>
      <c r="AH156" s="80">
        <v>2759</v>
      </c>
      <c r="AI156" s="80">
        <v>4585</v>
      </c>
      <c r="AJ156" s="80"/>
      <c r="AK156" s="80" t="s">
        <v>9094</v>
      </c>
      <c r="AL156" s="80" t="s">
        <v>10207</v>
      </c>
      <c r="AM156" s="80"/>
      <c r="AN156" s="80"/>
      <c r="AO156" s="82">
        <v>43881.999398148146</v>
      </c>
      <c r="AP156" s="87" t="str">
        <f>HYPERLINK("https://pbs.twimg.com/profile_banners/1230643026965348353/1631766669")</f>
        <v>https://pbs.twimg.com/profile_banners/1230643026965348353/1631766669</v>
      </c>
      <c r="AQ156" s="80" t="b">
        <v>1</v>
      </c>
      <c r="AR156" s="80" t="b">
        <v>0</v>
      </c>
      <c r="AS156" s="80" t="b">
        <v>0</v>
      </c>
      <c r="AT156" s="80"/>
      <c r="AU156" s="80">
        <v>1</v>
      </c>
      <c r="AV156" s="80"/>
      <c r="AW156" s="80" t="b">
        <v>0</v>
      </c>
      <c r="AX156" s="80" t="s">
        <v>10746</v>
      </c>
      <c r="AY156" s="87" t="str">
        <f>HYPERLINK("https://twitter.com/divarubybear")</f>
        <v>https://twitter.com/divarubybear</v>
      </c>
      <c r="AZ156" s="80" t="s">
        <v>66</v>
      </c>
      <c r="BA156" s="2"/>
      <c r="BB156" s="3"/>
      <c r="BC156" s="3"/>
      <c r="BD156" s="3"/>
      <c r="BE156" s="3"/>
    </row>
    <row r="157" spans="1:57" x14ac:dyDescent="0.35">
      <c r="A157" s="66" t="s">
        <v>342</v>
      </c>
      <c r="B157" s="67"/>
      <c r="C157" s="67"/>
      <c r="D157" s="68"/>
      <c r="E157" s="70"/>
      <c r="F157" s="109" t="str">
        <f>HYPERLINK("https://pbs.twimg.com/profile_images/1423552222973943812/wPRcLIY6_normal.jpg")</f>
        <v>https://pbs.twimg.com/profile_images/1423552222973943812/wPRcLIY6_normal.jpg</v>
      </c>
      <c r="G157" s="67"/>
      <c r="H157" s="71"/>
      <c r="I157" s="72"/>
      <c r="J157" s="72"/>
      <c r="K157" s="71" t="s">
        <v>10900</v>
      </c>
      <c r="L157" s="75"/>
      <c r="M157" s="76"/>
      <c r="N157" s="76"/>
      <c r="O157" s="77"/>
      <c r="P157" s="78"/>
      <c r="Q157" s="78"/>
      <c r="R157" s="92"/>
      <c r="S157" s="92"/>
      <c r="T157" s="92"/>
      <c r="U157" s="92"/>
      <c r="V157" s="52"/>
      <c r="W157" s="52"/>
      <c r="X157" s="52"/>
      <c r="Y157" s="52"/>
      <c r="Z157" s="51"/>
      <c r="AA157" s="73"/>
      <c r="AB157" s="73"/>
      <c r="AC157" s="74"/>
      <c r="AD157" s="80" t="s">
        <v>6740</v>
      </c>
      <c r="AE157" s="85" t="s">
        <v>8000</v>
      </c>
      <c r="AF157" s="80">
        <v>489</v>
      </c>
      <c r="AG157" s="80">
        <v>365</v>
      </c>
      <c r="AH157" s="80">
        <v>1079</v>
      </c>
      <c r="AI157" s="80">
        <v>623</v>
      </c>
      <c r="AJ157" s="80"/>
      <c r="AK157" s="80" t="s">
        <v>9095</v>
      </c>
      <c r="AL157" s="80"/>
      <c r="AM157" s="80"/>
      <c r="AN157" s="80"/>
      <c r="AO157" s="82">
        <v>44017.327847222223</v>
      </c>
      <c r="AP157" s="87" t="str">
        <f>HYPERLINK("https://pbs.twimg.com/profile_banners/1279684404755890177/1628236273")</f>
        <v>https://pbs.twimg.com/profile_banners/1279684404755890177/1628236273</v>
      </c>
      <c r="AQ157" s="80" t="b">
        <v>1</v>
      </c>
      <c r="AR157" s="80" t="b">
        <v>0</v>
      </c>
      <c r="AS157" s="80" t="b">
        <v>0</v>
      </c>
      <c r="AT157" s="80"/>
      <c r="AU157" s="80">
        <v>0</v>
      </c>
      <c r="AV157" s="80"/>
      <c r="AW157" s="80" t="b">
        <v>0</v>
      </c>
      <c r="AX157" s="80" t="s">
        <v>10746</v>
      </c>
      <c r="AY157" s="87" t="str">
        <f>HYPERLINK("https://twitter.com/jayparkie_")</f>
        <v>https://twitter.com/jayparkie_</v>
      </c>
      <c r="AZ157" s="80" t="s">
        <v>66</v>
      </c>
      <c r="BA157" s="2"/>
      <c r="BB157" s="3"/>
      <c r="BC157" s="3"/>
      <c r="BD157" s="3"/>
      <c r="BE157" s="3"/>
    </row>
    <row r="158" spans="1:57" x14ac:dyDescent="0.35">
      <c r="A158" s="66" t="s">
        <v>343</v>
      </c>
      <c r="B158" s="67"/>
      <c r="C158" s="67"/>
      <c r="D158" s="68"/>
      <c r="E158" s="70"/>
      <c r="F158" s="109" t="str">
        <f>HYPERLINK("https://pbs.twimg.com/profile_images/1417898310044512262/KJ-AyaOh_normal.jpg")</f>
        <v>https://pbs.twimg.com/profile_images/1417898310044512262/KJ-AyaOh_normal.jpg</v>
      </c>
      <c r="G158" s="67"/>
      <c r="H158" s="71"/>
      <c r="I158" s="72"/>
      <c r="J158" s="72"/>
      <c r="K158" s="71" t="s">
        <v>10901</v>
      </c>
      <c r="L158" s="75"/>
      <c r="M158" s="76"/>
      <c r="N158" s="76"/>
      <c r="O158" s="77"/>
      <c r="P158" s="78"/>
      <c r="Q158" s="78"/>
      <c r="R158" s="92"/>
      <c r="S158" s="92"/>
      <c r="T158" s="92"/>
      <c r="U158" s="92"/>
      <c r="V158" s="52"/>
      <c r="W158" s="52"/>
      <c r="X158" s="52"/>
      <c r="Y158" s="52"/>
      <c r="Z158" s="51"/>
      <c r="AA158" s="73"/>
      <c r="AB158" s="73"/>
      <c r="AC158" s="74"/>
      <c r="AD158" s="80" t="s">
        <v>6741</v>
      </c>
      <c r="AE158" s="85" t="s">
        <v>8001</v>
      </c>
      <c r="AF158" s="80">
        <v>587</v>
      </c>
      <c r="AG158" s="80">
        <v>487</v>
      </c>
      <c r="AH158" s="80">
        <v>60068</v>
      </c>
      <c r="AI158" s="80">
        <v>39371</v>
      </c>
      <c r="AJ158" s="80"/>
      <c r="AK158" s="80" t="s">
        <v>9096</v>
      </c>
      <c r="AL158" s="80"/>
      <c r="AM158" s="80"/>
      <c r="AN158" s="80"/>
      <c r="AO158" s="82">
        <v>42262.410034722219</v>
      </c>
      <c r="AP158" s="87" t="str">
        <f>HYPERLINK("https://pbs.twimg.com/profile_banners/3570191659/1571577876")</f>
        <v>https://pbs.twimg.com/profile_banners/3570191659/1571577876</v>
      </c>
      <c r="AQ158" s="80" t="b">
        <v>1</v>
      </c>
      <c r="AR158" s="80" t="b">
        <v>0</v>
      </c>
      <c r="AS158" s="80" t="b">
        <v>1</v>
      </c>
      <c r="AT158" s="80"/>
      <c r="AU158" s="80">
        <v>3</v>
      </c>
      <c r="AV158" s="87" t="str">
        <f>HYPERLINK("https://abs.twimg.com/images/themes/theme1/bg.png")</f>
        <v>https://abs.twimg.com/images/themes/theme1/bg.png</v>
      </c>
      <c r="AW158" s="80" t="b">
        <v>0</v>
      </c>
      <c r="AX158" s="80" t="s">
        <v>10746</v>
      </c>
      <c r="AY158" s="87" t="str">
        <f>HYPERLINK("https://twitter.com/atiqahdalila")</f>
        <v>https://twitter.com/atiqahdalila</v>
      </c>
      <c r="AZ158" s="80" t="s">
        <v>66</v>
      </c>
      <c r="BA158" s="2"/>
      <c r="BB158" s="3"/>
      <c r="BC158" s="3"/>
      <c r="BD158" s="3"/>
      <c r="BE158" s="3"/>
    </row>
    <row r="159" spans="1:57" x14ac:dyDescent="0.35">
      <c r="A159" s="66" t="s">
        <v>345</v>
      </c>
      <c r="B159" s="67"/>
      <c r="C159" s="67"/>
      <c r="D159" s="68"/>
      <c r="E159" s="70"/>
      <c r="F159" s="109" t="str">
        <f>HYPERLINK("https://pbs.twimg.com/profile_images/1439071501592903684/f8kheHG2_normal.jpg")</f>
        <v>https://pbs.twimg.com/profile_images/1439071501592903684/f8kheHG2_normal.jpg</v>
      </c>
      <c r="G159" s="67"/>
      <c r="H159" s="71"/>
      <c r="I159" s="72"/>
      <c r="J159" s="72"/>
      <c r="K159" s="71" t="s">
        <v>10902</v>
      </c>
      <c r="L159" s="75"/>
      <c r="M159" s="76"/>
      <c r="N159" s="76"/>
      <c r="O159" s="77"/>
      <c r="P159" s="78"/>
      <c r="Q159" s="78"/>
      <c r="R159" s="92"/>
      <c r="S159" s="92"/>
      <c r="T159" s="92"/>
      <c r="U159" s="92"/>
      <c r="V159" s="52"/>
      <c r="W159" s="52"/>
      <c r="X159" s="52"/>
      <c r="Y159" s="52"/>
      <c r="Z159" s="51"/>
      <c r="AA159" s="73"/>
      <c r="AB159" s="73"/>
      <c r="AC159" s="74"/>
      <c r="AD159" s="80" t="s">
        <v>6742</v>
      </c>
      <c r="AE159" s="85" t="s">
        <v>8002</v>
      </c>
      <c r="AF159" s="80">
        <v>387</v>
      </c>
      <c r="AG159" s="80">
        <v>427</v>
      </c>
      <c r="AH159" s="80">
        <v>21289</v>
      </c>
      <c r="AI159" s="80">
        <v>11098</v>
      </c>
      <c r="AJ159" s="80"/>
      <c r="AK159" s="80" t="s">
        <v>9097</v>
      </c>
      <c r="AL159" s="80" t="s">
        <v>10157</v>
      </c>
      <c r="AM159" s="87" t="str">
        <f>HYPERLINK("https://t.co/I6OR965HWj")</f>
        <v>https://t.co/I6OR965HWj</v>
      </c>
      <c r="AN159" s="80"/>
      <c r="AO159" s="82">
        <v>44025.613298611112</v>
      </c>
      <c r="AP159" s="87" t="str">
        <f>HYPERLINK("https://pbs.twimg.com/profile_banners/1282686981105790981/1631533545")</f>
        <v>https://pbs.twimg.com/profile_banners/1282686981105790981/1631533545</v>
      </c>
      <c r="AQ159" s="80" t="b">
        <v>1</v>
      </c>
      <c r="AR159" s="80" t="b">
        <v>0</v>
      </c>
      <c r="AS159" s="80" t="b">
        <v>0</v>
      </c>
      <c r="AT159" s="80"/>
      <c r="AU159" s="80">
        <v>2</v>
      </c>
      <c r="AV159" s="80"/>
      <c r="AW159" s="80" t="b">
        <v>0</v>
      </c>
      <c r="AX159" s="80" t="s">
        <v>10746</v>
      </c>
      <c r="AY159" s="87" t="str">
        <f>HYPERLINK("https://twitter.com/snowqmini")</f>
        <v>https://twitter.com/snowqmini</v>
      </c>
      <c r="AZ159" s="80" t="s">
        <v>66</v>
      </c>
      <c r="BA159" s="2"/>
      <c r="BB159" s="3"/>
      <c r="BC159" s="3"/>
      <c r="BD159" s="3"/>
      <c r="BE159" s="3"/>
    </row>
    <row r="160" spans="1:57" x14ac:dyDescent="0.35">
      <c r="A160" s="66" t="s">
        <v>346</v>
      </c>
      <c r="B160" s="67"/>
      <c r="C160" s="67"/>
      <c r="D160" s="68"/>
      <c r="E160" s="70"/>
      <c r="F160" s="109" t="str">
        <f>HYPERLINK("https://pbs.twimg.com/profile_images/1421573891680440324/vCk-tEeY_normal.jpg")</f>
        <v>https://pbs.twimg.com/profile_images/1421573891680440324/vCk-tEeY_normal.jpg</v>
      </c>
      <c r="G160" s="67"/>
      <c r="H160" s="71"/>
      <c r="I160" s="72"/>
      <c r="J160" s="72"/>
      <c r="K160" s="71" t="s">
        <v>10903</v>
      </c>
      <c r="L160" s="75"/>
      <c r="M160" s="76"/>
      <c r="N160" s="76"/>
      <c r="O160" s="77"/>
      <c r="P160" s="78"/>
      <c r="Q160" s="78"/>
      <c r="R160" s="92"/>
      <c r="S160" s="92"/>
      <c r="T160" s="92"/>
      <c r="U160" s="92"/>
      <c r="V160" s="52"/>
      <c r="W160" s="52"/>
      <c r="X160" s="52"/>
      <c r="Y160" s="52"/>
      <c r="Z160" s="51"/>
      <c r="AA160" s="73"/>
      <c r="AB160" s="73"/>
      <c r="AC160" s="74"/>
      <c r="AD160" s="80" t="s">
        <v>6743</v>
      </c>
      <c r="AE160" s="85" t="s">
        <v>8003</v>
      </c>
      <c r="AF160" s="80">
        <v>110</v>
      </c>
      <c r="AG160" s="80">
        <v>270</v>
      </c>
      <c r="AH160" s="80">
        <v>610</v>
      </c>
      <c r="AI160" s="80">
        <v>85</v>
      </c>
      <c r="AJ160" s="80"/>
      <c r="AK160" s="80" t="s">
        <v>9098</v>
      </c>
      <c r="AL160" s="80" t="s">
        <v>10182</v>
      </c>
      <c r="AM160" s="80"/>
      <c r="AN160" s="80"/>
      <c r="AO160" s="82">
        <v>44408.868067129632</v>
      </c>
      <c r="AP160" s="87" t="str">
        <f>HYPERLINK("https://pbs.twimg.com/profile_banners/1421573767927459841/1630164693")</f>
        <v>https://pbs.twimg.com/profile_banners/1421573767927459841/1630164693</v>
      </c>
      <c r="AQ160" s="80" t="b">
        <v>1</v>
      </c>
      <c r="AR160" s="80" t="b">
        <v>0</v>
      </c>
      <c r="AS160" s="80" t="b">
        <v>0</v>
      </c>
      <c r="AT160" s="80"/>
      <c r="AU160" s="80">
        <v>2</v>
      </c>
      <c r="AV160" s="80"/>
      <c r="AW160" s="80" t="b">
        <v>0</v>
      </c>
      <c r="AX160" s="80" t="s">
        <v>10746</v>
      </c>
      <c r="AY160" s="87" t="str">
        <f>HYPERLINK("https://twitter.com/onewishaday1999")</f>
        <v>https://twitter.com/onewishaday1999</v>
      </c>
      <c r="AZ160" s="80" t="s">
        <v>66</v>
      </c>
      <c r="BA160" s="2"/>
      <c r="BB160" s="3"/>
      <c r="BC160" s="3"/>
      <c r="BD160" s="3"/>
      <c r="BE160" s="3"/>
    </row>
    <row r="161" spans="1:57" x14ac:dyDescent="0.35">
      <c r="A161" s="66" t="s">
        <v>1295</v>
      </c>
      <c r="B161" s="67"/>
      <c r="C161" s="67"/>
      <c r="D161" s="68"/>
      <c r="E161" s="70"/>
      <c r="F161" s="109" t="str">
        <f>HYPERLINK("https://pbs.twimg.com/profile_images/1437804551428472832/fFtxnZqm_normal.jpg")</f>
        <v>https://pbs.twimg.com/profile_images/1437804551428472832/fFtxnZqm_normal.jpg</v>
      </c>
      <c r="G161" s="67"/>
      <c r="H161" s="71"/>
      <c r="I161" s="72"/>
      <c r="J161" s="72"/>
      <c r="K161" s="71" t="s">
        <v>10904</v>
      </c>
      <c r="L161" s="75"/>
      <c r="M161" s="76"/>
      <c r="N161" s="76"/>
      <c r="O161" s="77"/>
      <c r="P161" s="78"/>
      <c r="Q161" s="78"/>
      <c r="R161" s="92"/>
      <c r="S161" s="92"/>
      <c r="T161" s="92"/>
      <c r="U161" s="92"/>
      <c r="V161" s="52"/>
      <c r="W161" s="52"/>
      <c r="X161" s="52"/>
      <c r="Y161" s="52"/>
      <c r="Z161" s="51"/>
      <c r="AA161" s="73"/>
      <c r="AB161" s="73"/>
      <c r="AC161" s="74"/>
      <c r="AD161" s="80" t="s">
        <v>6744</v>
      </c>
      <c r="AE161" s="85" t="s">
        <v>6264</v>
      </c>
      <c r="AF161" s="80">
        <v>443</v>
      </c>
      <c r="AG161" s="80">
        <v>384</v>
      </c>
      <c r="AH161" s="80">
        <v>6185</v>
      </c>
      <c r="AI161" s="80">
        <v>13495</v>
      </c>
      <c r="AJ161" s="80"/>
      <c r="AK161" s="80" t="s">
        <v>9099</v>
      </c>
      <c r="AL161" s="80"/>
      <c r="AM161" s="87" t="str">
        <f>HYPERLINK("https://t.co/5EU8tXAPFG")</f>
        <v>https://t.co/5EU8tXAPFG</v>
      </c>
      <c r="AN161" s="80"/>
      <c r="AO161" s="82">
        <v>43467.187928240739</v>
      </c>
      <c r="AP161" s="87" t="str">
        <f>HYPERLINK("https://pbs.twimg.com/profile_banners/1080320434552205312/1632744405")</f>
        <v>https://pbs.twimg.com/profile_banners/1080320434552205312/1632744405</v>
      </c>
      <c r="AQ161" s="80" t="b">
        <v>1</v>
      </c>
      <c r="AR161" s="80" t="b">
        <v>0</v>
      </c>
      <c r="AS161" s="80" t="b">
        <v>0</v>
      </c>
      <c r="AT161" s="80"/>
      <c r="AU161" s="80">
        <v>4</v>
      </c>
      <c r="AV161" s="80"/>
      <c r="AW161" s="80" t="b">
        <v>0</v>
      </c>
      <c r="AX161" s="80" t="s">
        <v>10746</v>
      </c>
      <c r="AY161" s="87" t="str">
        <f>HYPERLINK("https://twitter.com/hrkys_sya")</f>
        <v>https://twitter.com/hrkys_sya</v>
      </c>
      <c r="AZ161" s="80" t="s">
        <v>65</v>
      </c>
      <c r="BA161" s="2"/>
      <c r="BB161" s="3"/>
      <c r="BC161" s="3"/>
      <c r="BD161" s="3"/>
      <c r="BE161" s="3"/>
    </row>
    <row r="162" spans="1:57" x14ac:dyDescent="0.35">
      <c r="A162" s="66" t="s">
        <v>347</v>
      </c>
      <c r="B162" s="67"/>
      <c r="C162" s="67"/>
      <c r="D162" s="68"/>
      <c r="E162" s="70"/>
      <c r="F162" s="109" t="str">
        <f>HYPERLINK("https://pbs.twimg.com/profile_images/1394919866776264704/ZeNbpu-D_normal.jpg")</f>
        <v>https://pbs.twimg.com/profile_images/1394919866776264704/ZeNbpu-D_normal.jpg</v>
      </c>
      <c r="G162" s="67"/>
      <c r="H162" s="71"/>
      <c r="I162" s="72"/>
      <c r="J162" s="72"/>
      <c r="K162" s="71" t="s">
        <v>10905</v>
      </c>
      <c r="L162" s="75"/>
      <c r="M162" s="76"/>
      <c r="N162" s="76"/>
      <c r="O162" s="77"/>
      <c r="P162" s="78"/>
      <c r="Q162" s="78"/>
      <c r="R162" s="92"/>
      <c r="S162" s="92"/>
      <c r="T162" s="92"/>
      <c r="U162" s="92"/>
      <c r="V162" s="52"/>
      <c r="W162" s="52"/>
      <c r="X162" s="52"/>
      <c r="Y162" s="52"/>
      <c r="Z162" s="51"/>
      <c r="AA162" s="73"/>
      <c r="AB162" s="73"/>
      <c r="AC162" s="74"/>
      <c r="AD162" s="80" t="s">
        <v>6745</v>
      </c>
      <c r="AE162" s="85" t="s">
        <v>8004</v>
      </c>
      <c r="AF162" s="80">
        <v>7</v>
      </c>
      <c r="AG162" s="80">
        <v>11221</v>
      </c>
      <c r="AH162" s="80">
        <v>58997</v>
      </c>
      <c r="AI162" s="80">
        <v>132</v>
      </c>
      <c r="AJ162" s="80"/>
      <c r="AK162" s="80" t="s">
        <v>9100</v>
      </c>
      <c r="AL162" s="80" t="s">
        <v>6543</v>
      </c>
      <c r="AM162" s="87" t="str">
        <f>HYPERLINK("https://t.co/7nwcUT8u4d")</f>
        <v>https://t.co/7nwcUT8u4d</v>
      </c>
      <c r="AN162" s="80"/>
      <c r="AO162" s="82">
        <v>43761.420335648145</v>
      </c>
      <c r="AP162" s="87" t="str">
        <f>HYPERLINK("https://pbs.twimg.com/profile_banners/1186946650595418116/1629044607")</f>
        <v>https://pbs.twimg.com/profile_banners/1186946650595418116/1629044607</v>
      </c>
      <c r="AQ162" s="80" t="b">
        <v>1</v>
      </c>
      <c r="AR162" s="80" t="b">
        <v>0</v>
      </c>
      <c r="AS162" s="80" t="b">
        <v>0</v>
      </c>
      <c r="AT162" s="80"/>
      <c r="AU162" s="80">
        <v>37</v>
      </c>
      <c r="AV162" s="80"/>
      <c r="AW162" s="80" t="b">
        <v>0</v>
      </c>
      <c r="AX162" s="80" t="s">
        <v>10746</v>
      </c>
      <c r="AY162" s="87" t="str">
        <f>HYPERLINK("https://twitter.com/voidotid")</f>
        <v>https://twitter.com/voidotid</v>
      </c>
      <c r="AZ162" s="80" t="s">
        <v>66</v>
      </c>
      <c r="BA162" s="2"/>
      <c r="BB162" s="3"/>
      <c r="BC162" s="3"/>
      <c r="BD162" s="3"/>
      <c r="BE162" s="3"/>
    </row>
    <row r="163" spans="1:57" x14ac:dyDescent="0.35">
      <c r="A163" s="66" t="s">
        <v>348</v>
      </c>
      <c r="B163" s="67"/>
      <c r="C163" s="67"/>
      <c r="D163" s="68"/>
      <c r="E163" s="70"/>
      <c r="F163" s="109" t="str">
        <f>HYPERLINK("https://pbs.twimg.com/profile_images/1429623631940780040/jqKA2_Sq_normal.jpg")</f>
        <v>https://pbs.twimg.com/profile_images/1429623631940780040/jqKA2_Sq_normal.jpg</v>
      </c>
      <c r="G163" s="67"/>
      <c r="H163" s="71"/>
      <c r="I163" s="72"/>
      <c r="J163" s="72"/>
      <c r="K163" s="71" t="s">
        <v>10906</v>
      </c>
      <c r="L163" s="75"/>
      <c r="M163" s="76"/>
      <c r="N163" s="76"/>
      <c r="O163" s="77"/>
      <c r="P163" s="78"/>
      <c r="Q163" s="78"/>
      <c r="R163" s="92"/>
      <c r="S163" s="92"/>
      <c r="T163" s="92"/>
      <c r="U163" s="92"/>
      <c r="V163" s="52"/>
      <c r="W163" s="52"/>
      <c r="X163" s="52"/>
      <c r="Y163" s="52"/>
      <c r="Z163" s="51"/>
      <c r="AA163" s="73"/>
      <c r="AB163" s="73"/>
      <c r="AC163" s="74"/>
      <c r="AD163" s="80" t="s">
        <v>6746</v>
      </c>
      <c r="AE163" s="85" t="s">
        <v>8005</v>
      </c>
      <c r="AF163" s="80">
        <v>105</v>
      </c>
      <c r="AG163" s="80">
        <v>83</v>
      </c>
      <c r="AH163" s="80">
        <v>11564</v>
      </c>
      <c r="AI163" s="80">
        <v>154</v>
      </c>
      <c r="AJ163" s="80"/>
      <c r="AK163" s="80" t="s">
        <v>9101</v>
      </c>
      <c r="AL163" s="80"/>
      <c r="AM163" s="80"/>
      <c r="AN163" s="80"/>
      <c r="AO163" s="82">
        <v>44167.000497685185</v>
      </c>
      <c r="AP163" s="87" t="str">
        <f>HYPERLINK("https://pbs.twimg.com/profile_banners/1333923970349895681/1620538372")</f>
        <v>https://pbs.twimg.com/profile_banners/1333923970349895681/1620538372</v>
      </c>
      <c r="AQ163" s="80" t="b">
        <v>1</v>
      </c>
      <c r="AR163" s="80" t="b">
        <v>0</v>
      </c>
      <c r="AS163" s="80" t="b">
        <v>1</v>
      </c>
      <c r="AT163" s="80"/>
      <c r="AU163" s="80">
        <v>0</v>
      </c>
      <c r="AV163" s="80"/>
      <c r="AW163" s="80" t="b">
        <v>0</v>
      </c>
      <c r="AX163" s="80" t="s">
        <v>10746</v>
      </c>
      <c r="AY163" s="87" t="str">
        <f>HYPERLINK("https://twitter.com/nhbrrr")</f>
        <v>https://twitter.com/nhbrrr</v>
      </c>
      <c r="AZ163" s="80" t="s">
        <v>66</v>
      </c>
      <c r="BA163" s="2"/>
      <c r="BB163" s="3"/>
      <c r="BC163" s="3"/>
      <c r="BD163" s="3"/>
      <c r="BE163" s="3"/>
    </row>
    <row r="164" spans="1:57" x14ac:dyDescent="0.35">
      <c r="A164" s="66" t="s">
        <v>349</v>
      </c>
      <c r="B164" s="67"/>
      <c r="C164" s="67"/>
      <c r="D164" s="68"/>
      <c r="E164" s="70"/>
      <c r="F164" s="109" t="str">
        <f>HYPERLINK("https://pbs.twimg.com/profile_images/1304588331846565888/ecvFVZSq_normal.jpg")</f>
        <v>https://pbs.twimg.com/profile_images/1304588331846565888/ecvFVZSq_normal.jpg</v>
      </c>
      <c r="G164" s="67"/>
      <c r="H164" s="71"/>
      <c r="I164" s="72"/>
      <c r="J164" s="72"/>
      <c r="K164" s="71" t="s">
        <v>10907</v>
      </c>
      <c r="L164" s="75"/>
      <c r="M164" s="76"/>
      <c r="N164" s="76"/>
      <c r="O164" s="77"/>
      <c r="P164" s="78"/>
      <c r="Q164" s="78"/>
      <c r="R164" s="92"/>
      <c r="S164" s="92"/>
      <c r="T164" s="92"/>
      <c r="U164" s="92"/>
      <c r="V164" s="52"/>
      <c r="W164" s="52"/>
      <c r="X164" s="52"/>
      <c r="Y164" s="52"/>
      <c r="Z164" s="51"/>
      <c r="AA164" s="73"/>
      <c r="AB164" s="73"/>
      <c r="AC164" s="74"/>
      <c r="AD164" s="80" t="s">
        <v>6747</v>
      </c>
      <c r="AE164" s="85" t="s">
        <v>8006</v>
      </c>
      <c r="AF164" s="80">
        <v>347</v>
      </c>
      <c r="AG164" s="80">
        <v>179</v>
      </c>
      <c r="AH164" s="80">
        <v>2508</v>
      </c>
      <c r="AI164" s="80">
        <v>31272</v>
      </c>
      <c r="AJ164" s="80"/>
      <c r="AK164" s="80" t="s">
        <v>9102</v>
      </c>
      <c r="AL164" s="80"/>
      <c r="AM164" s="87" t="str">
        <f>HYPERLINK("https://t.co/ibLsEKFGMU")</f>
        <v>https://t.co/ibLsEKFGMU</v>
      </c>
      <c r="AN164" s="80"/>
      <c r="AO164" s="82">
        <v>43924.32135416667</v>
      </c>
      <c r="AP164" s="87" t="str">
        <f>HYPERLINK("https://pbs.twimg.com/profile_banners/1245979977591320578/1586959290")</f>
        <v>https://pbs.twimg.com/profile_banners/1245979977591320578/1586959290</v>
      </c>
      <c r="AQ164" s="80" t="b">
        <v>1</v>
      </c>
      <c r="AR164" s="80" t="b">
        <v>0</v>
      </c>
      <c r="AS164" s="80" t="b">
        <v>0</v>
      </c>
      <c r="AT164" s="80"/>
      <c r="AU164" s="80">
        <v>0</v>
      </c>
      <c r="AV164" s="80"/>
      <c r="AW164" s="80" t="b">
        <v>0</v>
      </c>
      <c r="AX164" s="80" t="s">
        <v>10746</v>
      </c>
      <c r="AY164" s="87" t="str">
        <f>HYPERLINK("https://twitter.com/adam_danxxl")</f>
        <v>https://twitter.com/adam_danxxl</v>
      </c>
      <c r="AZ164" s="80" t="s">
        <v>66</v>
      </c>
      <c r="BA164" s="2"/>
      <c r="BB164" s="3"/>
      <c r="BC164" s="3"/>
      <c r="BD164" s="3"/>
      <c r="BE164" s="3"/>
    </row>
    <row r="165" spans="1:57" x14ac:dyDescent="0.35">
      <c r="A165" s="66" t="s">
        <v>350</v>
      </c>
      <c r="B165" s="67"/>
      <c r="C165" s="67"/>
      <c r="D165" s="68"/>
      <c r="E165" s="70"/>
      <c r="F165" s="109" t="str">
        <f>HYPERLINK("https://pbs.twimg.com/profile_images/1440137424680591360/Qt6Wgv7W_normal.jpg")</f>
        <v>https://pbs.twimg.com/profile_images/1440137424680591360/Qt6Wgv7W_normal.jpg</v>
      </c>
      <c r="G165" s="67"/>
      <c r="H165" s="71"/>
      <c r="I165" s="72"/>
      <c r="J165" s="72"/>
      <c r="K165" s="71" t="s">
        <v>10908</v>
      </c>
      <c r="L165" s="75"/>
      <c r="M165" s="76"/>
      <c r="N165" s="76"/>
      <c r="O165" s="77"/>
      <c r="P165" s="78"/>
      <c r="Q165" s="78"/>
      <c r="R165" s="92"/>
      <c r="S165" s="92"/>
      <c r="T165" s="92"/>
      <c r="U165" s="92"/>
      <c r="V165" s="52"/>
      <c r="W165" s="52"/>
      <c r="X165" s="52"/>
      <c r="Y165" s="52"/>
      <c r="Z165" s="51"/>
      <c r="AA165" s="73"/>
      <c r="AB165" s="73"/>
      <c r="AC165" s="74"/>
      <c r="AD165" s="80" t="s">
        <v>6748</v>
      </c>
      <c r="AE165" s="85" t="s">
        <v>8007</v>
      </c>
      <c r="AF165" s="80">
        <v>691</v>
      </c>
      <c r="AG165" s="80">
        <v>448</v>
      </c>
      <c r="AH165" s="80">
        <v>14782</v>
      </c>
      <c r="AI165" s="80">
        <v>41589</v>
      </c>
      <c r="AJ165" s="80"/>
      <c r="AK165" s="80" t="s">
        <v>9103</v>
      </c>
      <c r="AL165" s="80" t="s">
        <v>10208</v>
      </c>
      <c r="AM165" s="80"/>
      <c r="AN165" s="80"/>
      <c r="AO165" s="82">
        <v>44141.554976851854</v>
      </c>
      <c r="AP165" s="87" t="str">
        <f>HYPERLINK("https://pbs.twimg.com/profile_banners/1324702768360161281/1632191956")</f>
        <v>https://pbs.twimg.com/profile_banners/1324702768360161281/1632191956</v>
      </c>
      <c r="AQ165" s="80" t="b">
        <v>1</v>
      </c>
      <c r="AR165" s="80" t="b">
        <v>0</v>
      </c>
      <c r="AS165" s="80" t="b">
        <v>1</v>
      </c>
      <c r="AT165" s="80"/>
      <c r="AU165" s="80">
        <v>1</v>
      </c>
      <c r="AV165" s="80"/>
      <c r="AW165" s="80" t="b">
        <v>0</v>
      </c>
      <c r="AX165" s="80" t="s">
        <v>10746</v>
      </c>
      <c r="AY165" s="87" t="str">
        <f>HYPERLINK("https://twitter.com/baeshilight")</f>
        <v>https://twitter.com/baeshilight</v>
      </c>
      <c r="AZ165" s="80" t="s">
        <v>66</v>
      </c>
      <c r="BA165" s="2"/>
      <c r="BB165" s="3"/>
      <c r="BC165" s="3"/>
      <c r="BD165" s="3"/>
      <c r="BE165" s="3"/>
    </row>
    <row r="166" spans="1:57" x14ac:dyDescent="0.35">
      <c r="A166" s="66" t="s">
        <v>351</v>
      </c>
      <c r="B166" s="67"/>
      <c r="C166" s="67"/>
      <c r="D166" s="68"/>
      <c r="E166" s="70"/>
      <c r="F166" s="109" t="str">
        <f>HYPERLINK("https://pbs.twimg.com/profile_images/1440708525815058436/1xwnE1IX_normal.jpg")</f>
        <v>https://pbs.twimg.com/profile_images/1440708525815058436/1xwnE1IX_normal.jpg</v>
      </c>
      <c r="G166" s="67"/>
      <c r="H166" s="71"/>
      <c r="I166" s="72"/>
      <c r="J166" s="72"/>
      <c r="K166" s="71" t="s">
        <v>10909</v>
      </c>
      <c r="L166" s="75"/>
      <c r="M166" s="76"/>
      <c r="N166" s="76"/>
      <c r="O166" s="77"/>
      <c r="P166" s="78"/>
      <c r="Q166" s="78"/>
      <c r="R166" s="92"/>
      <c r="S166" s="92"/>
      <c r="T166" s="92"/>
      <c r="U166" s="92"/>
      <c r="V166" s="52"/>
      <c r="W166" s="52"/>
      <c r="X166" s="52"/>
      <c r="Y166" s="52"/>
      <c r="Z166" s="51"/>
      <c r="AA166" s="73"/>
      <c r="AB166" s="73"/>
      <c r="AC166" s="74"/>
      <c r="AD166" s="80" t="s">
        <v>6749</v>
      </c>
      <c r="AE166" s="85" t="s">
        <v>8008</v>
      </c>
      <c r="AF166" s="80">
        <v>88</v>
      </c>
      <c r="AG166" s="80">
        <v>108</v>
      </c>
      <c r="AH166" s="80">
        <v>1471</v>
      </c>
      <c r="AI166" s="80">
        <v>335</v>
      </c>
      <c r="AJ166" s="80"/>
      <c r="AK166" s="80" t="s">
        <v>9104</v>
      </c>
      <c r="AL166" s="80"/>
      <c r="AM166" s="87" t="str">
        <f>HYPERLINK("https://t.co/SaUpWjjKYx")</f>
        <v>https://t.co/SaUpWjjKYx</v>
      </c>
      <c r="AN166" s="80"/>
      <c r="AO166" s="82">
        <v>43877.76289351852</v>
      </c>
      <c r="AP166" s="80"/>
      <c r="AQ166" s="80" t="b">
        <v>1</v>
      </c>
      <c r="AR166" s="80" t="b">
        <v>0</v>
      </c>
      <c r="AS166" s="80" t="b">
        <v>0</v>
      </c>
      <c r="AT166" s="80"/>
      <c r="AU166" s="80">
        <v>1</v>
      </c>
      <c r="AV166" s="80"/>
      <c r="AW166" s="80" t="b">
        <v>0</v>
      </c>
      <c r="AX166" s="80" t="s">
        <v>10746</v>
      </c>
      <c r="AY166" s="87" t="str">
        <f>HYPERLINK("https://twitter.com/rajutpremium")</f>
        <v>https://twitter.com/rajutpremium</v>
      </c>
      <c r="AZ166" s="80" t="s">
        <v>66</v>
      </c>
      <c r="BA166" s="2"/>
      <c r="BB166" s="3"/>
      <c r="BC166" s="3"/>
      <c r="BD166" s="3"/>
      <c r="BE166" s="3"/>
    </row>
    <row r="167" spans="1:57" x14ac:dyDescent="0.35">
      <c r="A167" s="66" t="s">
        <v>1296</v>
      </c>
      <c r="B167" s="67"/>
      <c r="C167" s="67"/>
      <c r="D167" s="68"/>
      <c r="E167" s="70"/>
      <c r="F167" s="109" t="str">
        <f>HYPERLINK("https://pbs.twimg.com/profile_images/1360131903123116032/PhQiDM5t_normal.jpg")</f>
        <v>https://pbs.twimg.com/profile_images/1360131903123116032/PhQiDM5t_normal.jpg</v>
      </c>
      <c r="G167" s="67"/>
      <c r="H167" s="71"/>
      <c r="I167" s="72"/>
      <c r="J167" s="72"/>
      <c r="K167" s="71" t="s">
        <v>10910</v>
      </c>
      <c r="L167" s="75"/>
      <c r="M167" s="76"/>
      <c r="N167" s="76"/>
      <c r="O167" s="77"/>
      <c r="P167" s="78"/>
      <c r="Q167" s="78"/>
      <c r="R167" s="92"/>
      <c r="S167" s="92"/>
      <c r="T167" s="92"/>
      <c r="U167" s="92"/>
      <c r="V167" s="52"/>
      <c r="W167" s="52"/>
      <c r="X167" s="52"/>
      <c r="Y167" s="52"/>
      <c r="Z167" s="51"/>
      <c r="AA167" s="73"/>
      <c r="AB167" s="73"/>
      <c r="AC167" s="74"/>
      <c r="AD167" s="80" t="s">
        <v>6750</v>
      </c>
      <c r="AE167" s="85" t="s">
        <v>8009</v>
      </c>
      <c r="AF167" s="80">
        <v>3752</v>
      </c>
      <c r="AG167" s="80">
        <v>92090</v>
      </c>
      <c r="AH167" s="80">
        <v>449299</v>
      </c>
      <c r="AI167" s="80">
        <v>22</v>
      </c>
      <c r="AJ167" s="80"/>
      <c r="AK167" s="80" t="s">
        <v>9105</v>
      </c>
      <c r="AL167" s="80" t="s">
        <v>6543</v>
      </c>
      <c r="AM167" s="87" t="str">
        <f>HYPERLINK("https://t.co/glQwuRIOY0")</f>
        <v>https://t.co/glQwuRIOY0</v>
      </c>
      <c r="AN167" s="80"/>
      <c r="AO167" s="82">
        <v>40769.557673611111</v>
      </c>
      <c r="AP167" s="87" t="str">
        <f>HYPERLINK("https://pbs.twimg.com/profile_banners/354882092/1608214116")</f>
        <v>https://pbs.twimg.com/profile_banners/354882092/1608214116</v>
      </c>
      <c r="AQ167" s="80" t="b">
        <v>0</v>
      </c>
      <c r="AR167" s="80" t="b">
        <v>0</v>
      </c>
      <c r="AS167" s="80" t="b">
        <v>1</v>
      </c>
      <c r="AT167" s="80"/>
      <c r="AU167" s="80">
        <v>969</v>
      </c>
      <c r="AV167" s="87" t="str">
        <f>HYPERLINK("https://abs.twimg.com/images/themes/theme1/bg.png")</f>
        <v>https://abs.twimg.com/images/themes/theme1/bg.png</v>
      </c>
      <c r="AW167" s="80" t="b">
        <v>0</v>
      </c>
      <c r="AX167" s="80" t="s">
        <v>10746</v>
      </c>
      <c r="AY167" s="87" t="str">
        <f>HYPERLINK("https://twitter.com/jualan_base")</f>
        <v>https://twitter.com/jualan_base</v>
      </c>
      <c r="AZ167" s="80" t="s">
        <v>65</v>
      </c>
      <c r="BA167" s="2"/>
      <c r="BB167" s="3"/>
      <c r="BC167" s="3"/>
      <c r="BD167" s="3"/>
      <c r="BE167" s="3"/>
    </row>
    <row r="168" spans="1:57" x14ac:dyDescent="0.35">
      <c r="A168" s="66" t="s">
        <v>1297</v>
      </c>
      <c r="B168" s="67"/>
      <c r="C168" s="67"/>
      <c r="D168" s="68"/>
      <c r="E168" s="70"/>
      <c r="F168" s="109" t="str">
        <f>HYPERLINK("https://pbs.twimg.com/profile_images/1437703727180173312/DZMq9YA7_normal.jpg")</f>
        <v>https://pbs.twimg.com/profile_images/1437703727180173312/DZMq9YA7_normal.jpg</v>
      </c>
      <c r="G168" s="67"/>
      <c r="H168" s="71"/>
      <c r="I168" s="72"/>
      <c r="J168" s="72"/>
      <c r="K168" s="71" t="s">
        <v>10911</v>
      </c>
      <c r="L168" s="75"/>
      <c r="M168" s="76"/>
      <c r="N168" s="76"/>
      <c r="O168" s="77"/>
      <c r="P168" s="78"/>
      <c r="Q168" s="78"/>
      <c r="R168" s="92"/>
      <c r="S168" s="92"/>
      <c r="T168" s="92"/>
      <c r="U168" s="92"/>
      <c r="V168" s="52"/>
      <c r="W168" s="52"/>
      <c r="X168" s="52"/>
      <c r="Y168" s="52"/>
      <c r="Z168" s="51"/>
      <c r="AA168" s="73"/>
      <c r="AB168" s="73"/>
      <c r="AC168" s="74"/>
      <c r="AD168" s="80" t="s">
        <v>6751</v>
      </c>
      <c r="AE168" s="85" t="s">
        <v>6265</v>
      </c>
      <c r="AF168" s="80">
        <v>814</v>
      </c>
      <c r="AG168" s="80">
        <v>1498</v>
      </c>
      <c r="AH168" s="80">
        <v>17819</v>
      </c>
      <c r="AI168" s="80">
        <v>157</v>
      </c>
      <c r="AJ168" s="80"/>
      <c r="AK168" s="80" t="s">
        <v>9106</v>
      </c>
      <c r="AL168" s="80" t="s">
        <v>10209</v>
      </c>
      <c r="AM168" s="87" t="str">
        <f>HYPERLINK("https://t.co/ID8u2fCLLg")</f>
        <v>https://t.co/ID8u2fCLLg</v>
      </c>
      <c r="AN168" s="80"/>
      <c r="AO168" s="82">
        <v>41499.44127314815</v>
      </c>
      <c r="AP168" s="87" t="str">
        <f>HYPERLINK("https://pbs.twimg.com/profile_banners/1667478175/1631610329")</f>
        <v>https://pbs.twimg.com/profile_banners/1667478175/1631610329</v>
      </c>
      <c r="AQ168" s="80" t="b">
        <v>0</v>
      </c>
      <c r="AR168" s="80" t="b">
        <v>0</v>
      </c>
      <c r="AS168" s="80" t="b">
        <v>1</v>
      </c>
      <c r="AT168" s="80"/>
      <c r="AU168" s="80">
        <v>1</v>
      </c>
      <c r="AV168" s="87" t="str">
        <f>HYPERLINK("https://abs.twimg.com/images/themes/theme17/bg.gif")</f>
        <v>https://abs.twimg.com/images/themes/theme17/bg.gif</v>
      </c>
      <c r="AW168" s="80" t="b">
        <v>0</v>
      </c>
      <c r="AX168" s="80" t="s">
        <v>10746</v>
      </c>
      <c r="AY168" s="87" t="str">
        <f>HYPERLINK("https://twitter.com/naaaafdddd")</f>
        <v>https://twitter.com/naaaafdddd</v>
      </c>
      <c r="AZ168" s="80" t="s">
        <v>65</v>
      </c>
      <c r="BA168" s="2"/>
      <c r="BB168" s="3"/>
      <c r="BC168" s="3"/>
      <c r="BD168" s="3"/>
      <c r="BE168" s="3"/>
    </row>
    <row r="169" spans="1:57" x14ac:dyDescent="0.35">
      <c r="A169" s="66" t="s">
        <v>352</v>
      </c>
      <c r="B169" s="67"/>
      <c r="C169" s="67"/>
      <c r="D169" s="68"/>
      <c r="E169" s="70"/>
      <c r="F169" s="109" t="str">
        <f>HYPERLINK("https://pbs.twimg.com/profile_images/1442669306551046151/PekugUFP_normal.jpg")</f>
        <v>https://pbs.twimg.com/profile_images/1442669306551046151/PekugUFP_normal.jpg</v>
      </c>
      <c r="G169" s="67"/>
      <c r="H169" s="71"/>
      <c r="I169" s="72"/>
      <c r="J169" s="72"/>
      <c r="K169" s="71" t="s">
        <v>10912</v>
      </c>
      <c r="L169" s="75"/>
      <c r="M169" s="76"/>
      <c r="N169" s="76"/>
      <c r="O169" s="77"/>
      <c r="P169" s="78"/>
      <c r="Q169" s="78"/>
      <c r="R169" s="92"/>
      <c r="S169" s="92"/>
      <c r="T169" s="92"/>
      <c r="U169" s="92"/>
      <c r="V169" s="52"/>
      <c r="W169" s="52"/>
      <c r="X169" s="52"/>
      <c r="Y169" s="52"/>
      <c r="Z169" s="51"/>
      <c r="AA169" s="73"/>
      <c r="AB169" s="73"/>
      <c r="AC169" s="74"/>
      <c r="AD169" s="80" t="s">
        <v>6752</v>
      </c>
      <c r="AE169" s="85" t="s">
        <v>6266</v>
      </c>
      <c r="AF169" s="80">
        <v>192</v>
      </c>
      <c r="AG169" s="80">
        <v>59</v>
      </c>
      <c r="AH169" s="80">
        <v>803</v>
      </c>
      <c r="AI169" s="80">
        <v>171</v>
      </c>
      <c r="AJ169" s="80"/>
      <c r="AK169" s="80" t="s">
        <v>9107</v>
      </c>
      <c r="AL169" s="80"/>
      <c r="AM169" s="80"/>
      <c r="AN169" s="80"/>
      <c r="AO169" s="82">
        <v>44454.226782407408</v>
      </c>
      <c r="AP169" s="87" t="str">
        <f>HYPERLINK("https://pbs.twimg.com/profile_banners/1438011288882348037/1631685174")</f>
        <v>https://pbs.twimg.com/profile_banners/1438011288882348037/1631685174</v>
      </c>
      <c r="AQ169" s="80" t="b">
        <v>1</v>
      </c>
      <c r="AR169" s="80" t="b">
        <v>0</v>
      </c>
      <c r="AS169" s="80" t="b">
        <v>0</v>
      </c>
      <c r="AT169" s="80"/>
      <c r="AU169" s="80">
        <v>0</v>
      </c>
      <c r="AV169" s="80"/>
      <c r="AW169" s="80" t="b">
        <v>0</v>
      </c>
      <c r="AX169" s="80" t="s">
        <v>10746</v>
      </c>
      <c r="AY169" s="87" t="str">
        <f>HYPERLINK("https://twitter.com/renpiess")</f>
        <v>https://twitter.com/renpiess</v>
      </c>
      <c r="AZ169" s="80" t="s">
        <v>66</v>
      </c>
      <c r="BA169" s="2"/>
      <c r="BB169" s="3"/>
      <c r="BC169" s="3"/>
      <c r="BD169" s="3"/>
      <c r="BE169" s="3"/>
    </row>
    <row r="170" spans="1:57" x14ac:dyDescent="0.35">
      <c r="A170" s="66" t="s">
        <v>353</v>
      </c>
      <c r="B170" s="67"/>
      <c r="C170" s="67"/>
      <c r="D170" s="68"/>
      <c r="E170" s="70"/>
      <c r="F170" s="109" t="str">
        <f>HYPERLINK("https://pbs.twimg.com/profile_images/1373853743284903936/CuTdlCeI_normal.jpg")</f>
        <v>https://pbs.twimg.com/profile_images/1373853743284903936/CuTdlCeI_normal.jpg</v>
      </c>
      <c r="G170" s="67"/>
      <c r="H170" s="71"/>
      <c r="I170" s="72"/>
      <c r="J170" s="72"/>
      <c r="K170" s="71" t="s">
        <v>10913</v>
      </c>
      <c r="L170" s="75"/>
      <c r="M170" s="76"/>
      <c r="N170" s="76"/>
      <c r="O170" s="77"/>
      <c r="P170" s="78"/>
      <c r="Q170" s="78"/>
      <c r="R170" s="92"/>
      <c r="S170" s="92"/>
      <c r="T170" s="92"/>
      <c r="U170" s="92"/>
      <c r="V170" s="52"/>
      <c r="W170" s="52"/>
      <c r="X170" s="52"/>
      <c r="Y170" s="52"/>
      <c r="Z170" s="51"/>
      <c r="AA170" s="73"/>
      <c r="AB170" s="73"/>
      <c r="AC170" s="74"/>
      <c r="AD170" s="80" t="s">
        <v>6753</v>
      </c>
      <c r="AE170" s="85" t="s">
        <v>8010</v>
      </c>
      <c r="AF170" s="80">
        <v>46</v>
      </c>
      <c r="AG170" s="80">
        <v>71</v>
      </c>
      <c r="AH170" s="80">
        <v>2490</v>
      </c>
      <c r="AI170" s="80">
        <v>583</v>
      </c>
      <c r="AJ170" s="80"/>
      <c r="AK170" s="80" t="s">
        <v>9108</v>
      </c>
      <c r="AL170" s="80"/>
      <c r="AM170" s="80"/>
      <c r="AN170" s="80"/>
      <c r="AO170" s="82">
        <v>44000.097696759258</v>
      </c>
      <c r="AP170" s="87" t="str">
        <f>HYPERLINK("https://pbs.twimg.com/profile_banners/1273440422048591872/1592447043")</f>
        <v>https://pbs.twimg.com/profile_banners/1273440422048591872/1592447043</v>
      </c>
      <c r="AQ170" s="80" t="b">
        <v>1</v>
      </c>
      <c r="AR170" s="80" t="b">
        <v>0</v>
      </c>
      <c r="AS170" s="80" t="b">
        <v>0</v>
      </c>
      <c r="AT170" s="80"/>
      <c r="AU170" s="80">
        <v>0</v>
      </c>
      <c r="AV170" s="80"/>
      <c r="AW170" s="80" t="b">
        <v>0</v>
      </c>
      <c r="AX170" s="80" t="s">
        <v>10746</v>
      </c>
      <c r="AY170" s="87" t="str">
        <f>HYPERLINK("https://twitter.com/aimer_riska")</f>
        <v>https://twitter.com/aimer_riska</v>
      </c>
      <c r="AZ170" s="80" t="s">
        <v>66</v>
      </c>
      <c r="BA170" s="2"/>
      <c r="BB170" s="3"/>
      <c r="BC170" s="3"/>
      <c r="BD170" s="3"/>
      <c r="BE170" s="3"/>
    </row>
    <row r="171" spans="1:57" x14ac:dyDescent="0.35">
      <c r="A171" s="66" t="s">
        <v>354</v>
      </c>
      <c r="B171" s="67"/>
      <c r="C171" s="67"/>
      <c r="D171" s="68"/>
      <c r="E171" s="70"/>
      <c r="F171" s="109" t="str">
        <f>HYPERLINK("https://pbs.twimg.com/profile_images/1438054388665253889/Dzfs5w0v_normal.jpg")</f>
        <v>https://pbs.twimg.com/profile_images/1438054388665253889/Dzfs5w0v_normal.jpg</v>
      </c>
      <c r="G171" s="67"/>
      <c r="H171" s="71"/>
      <c r="I171" s="72"/>
      <c r="J171" s="72"/>
      <c r="K171" s="71" t="s">
        <v>10914</v>
      </c>
      <c r="L171" s="75"/>
      <c r="M171" s="76"/>
      <c r="N171" s="76"/>
      <c r="O171" s="77"/>
      <c r="P171" s="78"/>
      <c r="Q171" s="78"/>
      <c r="R171" s="92"/>
      <c r="S171" s="92"/>
      <c r="T171" s="92"/>
      <c r="U171" s="92"/>
      <c r="V171" s="52"/>
      <c r="W171" s="52"/>
      <c r="X171" s="52"/>
      <c r="Y171" s="52"/>
      <c r="Z171" s="51"/>
      <c r="AA171" s="73"/>
      <c r="AB171" s="73"/>
      <c r="AC171" s="74"/>
      <c r="AD171" s="80" t="s">
        <v>6754</v>
      </c>
      <c r="AE171" s="85" t="s">
        <v>8011</v>
      </c>
      <c r="AF171" s="80">
        <v>2305</v>
      </c>
      <c r="AG171" s="80">
        <v>2308</v>
      </c>
      <c r="AH171" s="80">
        <v>53654</v>
      </c>
      <c r="AI171" s="80">
        <v>29389</v>
      </c>
      <c r="AJ171" s="80"/>
      <c r="AK171" s="80" t="s">
        <v>9109</v>
      </c>
      <c r="AL171" s="80"/>
      <c r="AM171" s="80"/>
      <c r="AN171" s="80"/>
      <c r="AO171" s="82">
        <v>43690.547592592593</v>
      </c>
      <c r="AP171" s="87" t="str">
        <f>HYPERLINK("https://pbs.twimg.com/profile_banners/1161263264015118336/1632788065")</f>
        <v>https://pbs.twimg.com/profile_banners/1161263264015118336/1632788065</v>
      </c>
      <c r="AQ171" s="80" t="b">
        <v>1</v>
      </c>
      <c r="AR171" s="80" t="b">
        <v>0</v>
      </c>
      <c r="AS171" s="80" t="b">
        <v>1</v>
      </c>
      <c r="AT171" s="80"/>
      <c r="AU171" s="80">
        <v>34</v>
      </c>
      <c r="AV171" s="80"/>
      <c r="AW171" s="80" t="b">
        <v>0</v>
      </c>
      <c r="AX171" s="80" t="s">
        <v>10746</v>
      </c>
      <c r="AY171" s="87" t="str">
        <f>HYPERLINK("https://twitter.com/1085350_nel")</f>
        <v>https://twitter.com/1085350_nel</v>
      </c>
      <c r="AZ171" s="80" t="s">
        <v>66</v>
      </c>
      <c r="BA171" s="2"/>
      <c r="BB171" s="3"/>
      <c r="BC171" s="3"/>
      <c r="BD171" s="3"/>
      <c r="BE171" s="3"/>
    </row>
    <row r="172" spans="1:57" x14ac:dyDescent="0.35">
      <c r="A172" s="66" t="s">
        <v>355</v>
      </c>
      <c r="B172" s="67"/>
      <c r="C172" s="67"/>
      <c r="D172" s="68"/>
      <c r="E172" s="70"/>
      <c r="F172" s="109" t="str">
        <f>HYPERLINK("https://pbs.twimg.com/profile_images/1352968323147784192/TvXZv2jQ_normal.jpg")</f>
        <v>https://pbs.twimg.com/profile_images/1352968323147784192/TvXZv2jQ_normal.jpg</v>
      </c>
      <c r="G172" s="67"/>
      <c r="H172" s="71"/>
      <c r="I172" s="72"/>
      <c r="J172" s="72"/>
      <c r="K172" s="71" t="s">
        <v>10915</v>
      </c>
      <c r="L172" s="75"/>
      <c r="M172" s="76"/>
      <c r="N172" s="76"/>
      <c r="O172" s="77"/>
      <c r="P172" s="78"/>
      <c r="Q172" s="78"/>
      <c r="R172" s="92"/>
      <c r="S172" s="92"/>
      <c r="T172" s="92"/>
      <c r="U172" s="92"/>
      <c r="V172" s="52"/>
      <c r="W172" s="52"/>
      <c r="X172" s="52"/>
      <c r="Y172" s="52"/>
      <c r="Z172" s="51"/>
      <c r="AA172" s="73"/>
      <c r="AB172" s="73"/>
      <c r="AC172" s="74"/>
      <c r="AD172" s="80" t="s">
        <v>6755</v>
      </c>
      <c r="AE172" s="85" t="s">
        <v>8012</v>
      </c>
      <c r="AF172" s="80">
        <v>471</v>
      </c>
      <c r="AG172" s="80">
        <v>2149</v>
      </c>
      <c r="AH172" s="80">
        <v>18635</v>
      </c>
      <c r="AI172" s="80">
        <v>17178</v>
      </c>
      <c r="AJ172" s="80"/>
      <c r="AK172" s="80" t="s">
        <v>9110</v>
      </c>
      <c r="AL172" s="80"/>
      <c r="AM172" s="80"/>
      <c r="AN172" s="80"/>
      <c r="AO172" s="82">
        <v>43132.389872685184</v>
      </c>
      <c r="AP172" s="87" t="str">
        <f>HYPERLINK("https://pbs.twimg.com/profile_banners/958993679988883456/1611407819")</f>
        <v>https://pbs.twimg.com/profile_banners/958993679988883456/1611407819</v>
      </c>
      <c r="AQ172" s="80" t="b">
        <v>0</v>
      </c>
      <c r="AR172" s="80" t="b">
        <v>0</v>
      </c>
      <c r="AS172" s="80" t="b">
        <v>0</v>
      </c>
      <c r="AT172" s="80"/>
      <c r="AU172" s="80">
        <v>0</v>
      </c>
      <c r="AV172" s="87" t="str">
        <f>HYPERLINK("https://abs.twimg.com/images/themes/theme1/bg.png")</f>
        <v>https://abs.twimg.com/images/themes/theme1/bg.png</v>
      </c>
      <c r="AW172" s="80" t="b">
        <v>0</v>
      </c>
      <c r="AX172" s="80" t="s">
        <v>10746</v>
      </c>
      <c r="AY172" s="87" t="str">
        <f>HYPERLINK("https://twitter.com/jijahcrochet")</f>
        <v>https://twitter.com/jijahcrochet</v>
      </c>
      <c r="AZ172" s="80" t="s">
        <v>66</v>
      </c>
      <c r="BA172" s="2"/>
      <c r="BB172" s="3"/>
      <c r="BC172" s="3"/>
      <c r="BD172" s="3"/>
      <c r="BE172" s="3"/>
    </row>
    <row r="173" spans="1:57" x14ac:dyDescent="0.35">
      <c r="A173" s="66" t="s">
        <v>356</v>
      </c>
      <c r="B173" s="67"/>
      <c r="C173" s="67"/>
      <c r="D173" s="68"/>
      <c r="E173" s="70"/>
      <c r="F173" s="109" t="str">
        <f>HYPERLINK("https://pbs.twimg.com/profile_images/1420525589048356867/FGGS7fMP_normal.jpg")</f>
        <v>https://pbs.twimg.com/profile_images/1420525589048356867/FGGS7fMP_normal.jpg</v>
      </c>
      <c r="G173" s="67"/>
      <c r="H173" s="71"/>
      <c r="I173" s="72"/>
      <c r="J173" s="72"/>
      <c r="K173" s="71" t="s">
        <v>10916</v>
      </c>
      <c r="L173" s="75"/>
      <c r="M173" s="76"/>
      <c r="N173" s="76"/>
      <c r="O173" s="77"/>
      <c r="P173" s="78"/>
      <c r="Q173" s="78"/>
      <c r="R173" s="92"/>
      <c r="S173" s="92"/>
      <c r="T173" s="92"/>
      <c r="U173" s="92"/>
      <c r="V173" s="52"/>
      <c r="W173" s="52"/>
      <c r="X173" s="52"/>
      <c r="Y173" s="52"/>
      <c r="Z173" s="51"/>
      <c r="AA173" s="73"/>
      <c r="AB173" s="73"/>
      <c r="AC173" s="74"/>
      <c r="AD173" s="80" t="s">
        <v>6756</v>
      </c>
      <c r="AE173" s="85" t="s">
        <v>8013</v>
      </c>
      <c r="AF173" s="80">
        <v>2404</v>
      </c>
      <c r="AG173" s="80">
        <v>863</v>
      </c>
      <c r="AH173" s="80">
        <v>8482</v>
      </c>
      <c r="AI173" s="80">
        <v>9025</v>
      </c>
      <c r="AJ173" s="80"/>
      <c r="AK173" s="80" t="s">
        <v>9111</v>
      </c>
      <c r="AL173" s="80"/>
      <c r="AM173" s="80"/>
      <c r="AN173" s="80"/>
      <c r="AO173" s="82">
        <v>43642.230590277781</v>
      </c>
      <c r="AP173" s="87" t="str">
        <f>HYPERLINK("https://pbs.twimg.com/profile_banners/1143753772109197312/1628563179")</f>
        <v>https://pbs.twimg.com/profile_banners/1143753772109197312/1628563179</v>
      </c>
      <c r="AQ173" s="80" t="b">
        <v>1</v>
      </c>
      <c r="AR173" s="80" t="b">
        <v>0</v>
      </c>
      <c r="AS173" s="80" t="b">
        <v>0</v>
      </c>
      <c r="AT173" s="80"/>
      <c r="AU173" s="80">
        <v>0</v>
      </c>
      <c r="AV173" s="80"/>
      <c r="AW173" s="80" t="b">
        <v>0</v>
      </c>
      <c r="AX173" s="80" t="s">
        <v>10746</v>
      </c>
      <c r="AY173" s="87" t="str">
        <f>HYPERLINK("https://twitter.com/tomoeyushiro")</f>
        <v>https://twitter.com/tomoeyushiro</v>
      </c>
      <c r="AZ173" s="80" t="s">
        <v>66</v>
      </c>
      <c r="BA173" s="2"/>
      <c r="BB173" s="3"/>
      <c r="BC173" s="3"/>
      <c r="BD173" s="3"/>
      <c r="BE173" s="3"/>
    </row>
    <row r="174" spans="1:57" x14ac:dyDescent="0.35">
      <c r="A174" s="66" t="s">
        <v>358</v>
      </c>
      <c r="B174" s="67"/>
      <c r="C174" s="67"/>
      <c r="D174" s="68"/>
      <c r="E174" s="70"/>
      <c r="F174" s="109" t="str">
        <f>HYPERLINK("https://pbs.twimg.com/profile_images/1423887272961662977/2nk6BCCD_normal.jpg")</f>
        <v>https://pbs.twimg.com/profile_images/1423887272961662977/2nk6BCCD_normal.jpg</v>
      </c>
      <c r="G174" s="67"/>
      <c r="H174" s="71"/>
      <c r="I174" s="72"/>
      <c r="J174" s="72"/>
      <c r="K174" s="71" t="s">
        <v>10917</v>
      </c>
      <c r="L174" s="75"/>
      <c r="M174" s="76"/>
      <c r="N174" s="76"/>
      <c r="O174" s="77"/>
      <c r="P174" s="78"/>
      <c r="Q174" s="78"/>
      <c r="R174" s="92"/>
      <c r="S174" s="92"/>
      <c r="T174" s="92"/>
      <c r="U174" s="92"/>
      <c r="V174" s="52"/>
      <c r="W174" s="52"/>
      <c r="X174" s="52"/>
      <c r="Y174" s="52"/>
      <c r="Z174" s="51"/>
      <c r="AA174" s="73"/>
      <c r="AB174" s="73"/>
      <c r="AC174" s="74"/>
      <c r="AD174" s="80" t="s">
        <v>6757</v>
      </c>
      <c r="AE174" s="85" t="s">
        <v>8014</v>
      </c>
      <c r="AF174" s="80">
        <v>3515</v>
      </c>
      <c r="AG174" s="80">
        <v>3180</v>
      </c>
      <c r="AH174" s="80">
        <v>25172</v>
      </c>
      <c r="AI174" s="80">
        <v>19382</v>
      </c>
      <c r="AJ174" s="80"/>
      <c r="AK174" s="80" t="s">
        <v>9112</v>
      </c>
      <c r="AL174" s="80"/>
      <c r="AM174" s="80"/>
      <c r="AN174" s="80"/>
      <c r="AO174" s="82">
        <v>43640.385150462964</v>
      </c>
      <c r="AP174" s="87" t="str">
        <f>HYPERLINK("https://pbs.twimg.com/profile_banners/1143085007193329664/1602770659")</f>
        <v>https://pbs.twimg.com/profile_banners/1143085007193329664/1602770659</v>
      </c>
      <c r="AQ174" s="80" t="b">
        <v>1</v>
      </c>
      <c r="AR174" s="80" t="b">
        <v>0</v>
      </c>
      <c r="AS174" s="80" t="b">
        <v>0</v>
      </c>
      <c r="AT174" s="80"/>
      <c r="AU174" s="80">
        <v>2</v>
      </c>
      <c r="AV174" s="80"/>
      <c r="AW174" s="80" t="b">
        <v>0</v>
      </c>
      <c r="AX174" s="80" t="s">
        <v>10746</v>
      </c>
      <c r="AY174" s="87" t="str">
        <f>HYPERLINK("https://twitter.com/ranisor")</f>
        <v>https://twitter.com/ranisor</v>
      </c>
      <c r="AZ174" s="80" t="s">
        <v>66</v>
      </c>
      <c r="BA174" s="2"/>
      <c r="BB174" s="3"/>
      <c r="BC174" s="3"/>
      <c r="BD174" s="3"/>
      <c r="BE174" s="3"/>
    </row>
    <row r="175" spans="1:57" x14ac:dyDescent="0.35">
      <c r="A175" s="66" t="s">
        <v>359</v>
      </c>
      <c r="B175" s="67"/>
      <c r="C175" s="67"/>
      <c r="D175" s="68"/>
      <c r="E175" s="70"/>
      <c r="F175" s="109" t="str">
        <f>HYPERLINK("https://pbs.twimg.com/profile_images/1380773852779737088/K926A6cU_normal.jpg")</f>
        <v>https://pbs.twimg.com/profile_images/1380773852779737088/K926A6cU_normal.jpg</v>
      </c>
      <c r="G175" s="67"/>
      <c r="H175" s="71"/>
      <c r="I175" s="72"/>
      <c r="J175" s="72"/>
      <c r="K175" s="71" t="s">
        <v>10918</v>
      </c>
      <c r="L175" s="75"/>
      <c r="M175" s="76"/>
      <c r="N175" s="76"/>
      <c r="O175" s="77"/>
      <c r="P175" s="78"/>
      <c r="Q175" s="78"/>
      <c r="R175" s="92"/>
      <c r="S175" s="92"/>
      <c r="T175" s="92"/>
      <c r="U175" s="92"/>
      <c r="V175" s="52"/>
      <c r="W175" s="52"/>
      <c r="X175" s="52"/>
      <c r="Y175" s="52"/>
      <c r="Z175" s="51"/>
      <c r="AA175" s="73"/>
      <c r="AB175" s="73"/>
      <c r="AC175" s="74"/>
      <c r="AD175" s="80" t="s">
        <v>6758</v>
      </c>
      <c r="AE175" s="85" t="s">
        <v>8015</v>
      </c>
      <c r="AF175" s="80">
        <v>430</v>
      </c>
      <c r="AG175" s="80">
        <v>1120</v>
      </c>
      <c r="AH175" s="80">
        <v>125247</v>
      </c>
      <c r="AI175" s="80">
        <v>14329</v>
      </c>
      <c r="AJ175" s="80"/>
      <c r="AK175" s="80" t="s">
        <v>9113</v>
      </c>
      <c r="AL175" s="80" t="s">
        <v>10182</v>
      </c>
      <c r="AM175" s="87" t="str">
        <f>HYPERLINK("https://t.co/Czl8dBt6Qb")</f>
        <v>https://t.co/Czl8dBt6Qb</v>
      </c>
      <c r="AN175" s="80"/>
      <c r="AO175" s="82">
        <v>40479.518645833334</v>
      </c>
      <c r="AP175" s="87" t="str">
        <f>HYPERLINK("https://pbs.twimg.com/profile_banners/209049659/1516883241")</f>
        <v>https://pbs.twimg.com/profile_banners/209049659/1516883241</v>
      </c>
      <c r="AQ175" s="80" t="b">
        <v>0</v>
      </c>
      <c r="AR175" s="80" t="b">
        <v>0</v>
      </c>
      <c r="AS175" s="80" t="b">
        <v>1</v>
      </c>
      <c r="AT175" s="80"/>
      <c r="AU175" s="80">
        <v>5</v>
      </c>
      <c r="AV175" s="87" t="str">
        <f>HYPERLINK("https://abs.twimg.com/images/themes/theme19/bg.gif")</f>
        <v>https://abs.twimg.com/images/themes/theme19/bg.gif</v>
      </c>
      <c r="AW175" s="80" t="b">
        <v>0</v>
      </c>
      <c r="AX175" s="80" t="s">
        <v>10746</v>
      </c>
      <c r="AY175" s="87" t="str">
        <f>HYPERLINK("https://twitter.com/folkloreswifty")</f>
        <v>https://twitter.com/folkloreswifty</v>
      </c>
      <c r="AZ175" s="80" t="s">
        <v>66</v>
      </c>
      <c r="BA175" s="2"/>
      <c r="BB175" s="3"/>
      <c r="BC175" s="3"/>
      <c r="BD175" s="3"/>
      <c r="BE175" s="3"/>
    </row>
    <row r="176" spans="1:57" x14ac:dyDescent="0.35">
      <c r="A176" s="66" t="s">
        <v>360</v>
      </c>
      <c r="B176" s="67"/>
      <c r="C176" s="67"/>
      <c r="D176" s="68"/>
      <c r="E176" s="70"/>
      <c r="F176" s="109" t="str">
        <f>HYPERLINK("https://pbs.twimg.com/profile_images/1431469412247224322/Kqg7cXKg_normal.jpg")</f>
        <v>https://pbs.twimg.com/profile_images/1431469412247224322/Kqg7cXKg_normal.jpg</v>
      </c>
      <c r="G176" s="67"/>
      <c r="H176" s="71"/>
      <c r="I176" s="72"/>
      <c r="J176" s="72"/>
      <c r="K176" s="71" t="s">
        <v>10919</v>
      </c>
      <c r="L176" s="75"/>
      <c r="M176" s="76"/>
      <c r="N176" s="76"/>
      <c r="O176" s="77"/>
      <c r="P176" s="78"/>
      <c r="Q176" s="78"/>
      <c r="R176" s="92"/>
      <c r="S176" s="92"/>
      <c r="T176" s="92"/>
      <c r="U176" s="92"/>
      <c r="V176" s="52"/>
      <c r="W176" s="52"/>
      <c r="X176" s="52"/>
      <c r="Y176" s="52"/>
      <c r="Z176" s="51"/>
      <c r="AA176" s="73"/>
      <c r="AB176" s="73"/>
      <c r="AC176" s="74"/>
      <c r="AD176" s="80" t="s">
        <v>6759</v>
      </c>
      <c r="AE176" s="85" t="s">
        <v>8016</v>
      </c>
      <c r="AF176" s="80">
        <v>39</v>
      </c>
      <c r="AG176" s="80">
        <v>32</v>
      </c>
      <c r="AH176" s="80">
        <v>2173</v>
      </c>
      <c r="AI176" s="80">
        <v>87</v>
      </c>
      <c r="AJ176" s="80"/>
      <c r="AK176" s="80" t="s">
        <v>9114</v>
      </c>
      <c r="AL176" s="80" t="s">
        <v>10210</v>
      </c>
      <c r="AM176" s="87" t="str">
        <f>HYPERLINK("https://t.co/zl20tQCw0W")</f>
        <v>https://t.co/zl20tQCw0W</v>
      </c>
      <c r="AN176" s="80"/>
      <c r="AO176" s="82">
        <v>44333.119629629633</v>
      </c>
      <c r="AP176" s="87" t="str">
        <f>HYPERLINK("https://pbs.twimg.com/profile_banners/1394123368727683073/1621220654")</f>
        <v>https://pbs.twimg.com/profile_banners/1394123368727683073/1621220654</v>
      </c>
      <c r="AQ176" s="80" t="b">
        <v>1</v>
      </c>
      <c r="AR176" s="80" t="b">
        <v>0</v>
      </c>
      <c r="AS176" s="80" t="b">
        <v>0</v>
      </c>
      <c r="AT176" s="80"/>
      <c r="AU176" s="80">
        <v>0</v>
      </c>
      <c r="AV176" s="80"/>
      <c r="AW176" s="80" t="b">
        <v>0</v>
      </c>
      <c r="AX176" s="80" t="s">
        <v>10746</v>
      </c>
      <c r="AY176" s="87" t="str">
        <f>HYPERLINK("https://twitter.com/ameliaamin_")</f>
        <v>https://twitter.com/ameliaamin_</v>
      </c>
      <c r="AZ176" s="80" t="s">
        <v>66</v>
      </c>
      <c r="BA176" s="2"/>
      <c r="BB176" s="3"/>
      <c r="BC176" s="3"/>
      <c r="BD176" s="3"/>
      <c r="BE176" s="3"/>
    </row>
    <row r="177" spans="1:57" x14ac:dyDescent="0.35">
      <c r="A177" s="66" t="s">
        <v>361</v>
      </c>
      <c r="B177" s="67"/>
      <c r="C177" s="67"/>
      <c r="D177" s="68"/>
      <c r="E177" s="70"/>
      <c r="F177" s="109" t="str">
        <f>HYPERLINK("https://pbs.twimg.com/profile_images/1383258537527107593/bx_NnSCZ_normal.jpg")</f>
        <v>https://pbs.twimg.com/profile_images/1383258537527107593/bx_NnSCZ_normal.jpg</v>
      </c>
      <c r="G177" s="67"/>
      <c r="H177" s="71"/>
      <c r="I177" s="72"/>
      <c r="J177" s="72"/>
      <c r="K177" s="71" t="s">
        <v>10920</v>
      </c>
      <c r="L177" s="75"/>
      <c r="M177" s="76"/>
      <c r="N177" s="76"/>
      <c r="O177" s="77"/>
      <c r="P177" s="78"/>
      <c r="Q177" s="78"/>
      <c r="R177" s="92"/>
      <c r="S177" s="92"/>
      <c r="T177" s="92"/>
      <c r="U177" s="92"/>
      <c r="V177" s="52"/>
      <c r="W177" s="52"/>
      <c r="X177" s="52"/>
      <c r="Y177" s="52"/>
      <c r="Z177" s="51"/>
      <c r="AA177" s="73"/>
      <c r="AB177" s="73"/>
      <c r="AC177" s="74"/>
      <c r="AD177" s="80" t="s">
        <v>6760</v>
      </c>
      <c r="AE177" s="85" t="s">
        <v>8017</v>
      </c>
      <c r="AF177" s="80">
        <v>1895</v>
      </c>
      <c r="AG177" s="80">
        <v>1630</v>
      </c>
      <c r="AH177" s="80">
        <v>106359</v>
      </c>
      <c r="AI177" s="80">
        <v>13152</v>
      </c>
      <c r="AJ177" s="80"/>
      <c r="AK177" s="80" t="s">
        <v>9115</v>
      </c>
      <c r="AL177" s="80" t="s">
        <v>10211</v>
      </c>
      <c r="AM177" s="87" t="str">
        <f>HYPERLINK("https://t.co/RjhFyaLwzt")</f>
        <v>https://t.co/RjhFyaLwzt</v>
      </c>
      <c r="AN177" s="80"/>
      <c r="AO177" s="82">
        <v>40887.250902777778</v>
      </c>
      <c r="AP177" s="87" t="str">
        <f>HYPERLINK("https://pbs.twimg.com/profile_banners/433143283/1516326845")</f>
        <v>https://pbs.twimg.com/profile_banners/433143283/1516326845</v>
      </c>
      <c r="AQ177" s="80" t="b">
        <v>0</v>
      </c>
      <c r="AR177" s="80" t="b">
        <v>0</v>
      </c>
      <c r="AS177" s="80" t="b">
        <v>1</v>
      </c>
      <c r="AT177" s="80"/>
      <c r="AU177" s="80">
        <v>3</v>
      </c>
      <c r="AV177" s="87" t="str">
        <f>HYPERLINK("https://abs.twimg.com/images/themes/theme9/bg.gif")</f>
        <v>https://abs.twimg.com/images/themes/theme9/bg.gif</v>
      </c>
      <c r="AW177" s="80" t="b">
        <v>0</v>
      </c>
      <c r="AX177" s="80" t="s">
        <v>10746</v>
      </c>
      <c r="AY177" s="87" t="str">
        <f>HYPERLINK("https://twitter.com/dianamadlani")</f>
        <v>https://twitter.com/dianamadlani</v>
      </c>
      <c r="AZ177" s="80" t="s">
        <v>66</v>
      </c>
      <c r="BA177" s="2"/>
      <c r="BB177" s="3"/>
      <c r="BC177" s="3"/>
      <c r="BD177" s="3"/>
      <c r="BE177" s="3"/>
    </row>
    <row r="178" spans="1:57" x14ac:dyDescent="0.35">
      <c r="A178" s="66" t="s">
        <v>362</v>
      </c>
      <c r="B178" s="67"/>
      <c r="C178" s="67"/>
      <c r="D178" s="68"/>
      <c r="E178" s="70"/>
      <c r="F178" s="109" t="str">
        <f>HYPERLINK("https://pbs.twimg.com/profile_images/1426621700121137153/5M5J5Mmg_normal.jpg")</f>
        <v>https://pbs.twimg.com/profile_images/1426621700121137153/5M5J5Mmg_normal.jpg</v>
      </c>
      <c r="G178" s="67"/>
      <c r="H178" s="71"/>
      <c r="I178" s="72"/>
      <c r="J178" s="72"/>
      <c r="K178" s="71" t="s">
        <v>10921</v>
      </c>
      <c r="L178" s="75"/>
      <c r="M178" s="76"/>
      <c r="N178" s="76"/>
      <c r="O178" s="77"/>
      <c r="P178" s="78"/>
      <c r="Q178" s="78"/>
      <c r="R178" s="92"/>
      <c r="S178" s="92"/>
      <c r="T178" s="92"/>
      <c r="U178" s="92"/>
      <c r="V178" s="52"/>
      <c r="W178" s="52"/>
      <c r="X178" s="52"/>
      <c r="Y178" s="52"/>
      <c r="Z178" s="51"/>
      <c r="AA178" s="73"/>
      <c r="AB178" s="73"/>
      <c r="AC178" s="74"/>
      <c r="AD178" s="80" t="s">
        <v>6761</v>
      </c>
      <c r="AE178" s="85" t="s">
        <v>8018</v>
      </c>
      <c r="AF178" s="80">
        <v>222</v>
      </c>
      <c r="AG178" s="80">
        <v>243</v>
      </c>
      <c r="AH178" s="80">
        <v>36951</v>
      </c>
      <c r="AI178" s="80">
        <v>16211</v>
      </c>
      <c r="AJ178" s="80"/>
      <c r="AK178" s="80" t="s">
        <v>9116</v>
      </c>
      <c r="AL178" s="80"/>
      <c r="AM178" s="80"/>
      <c r="AN178" s="80"/>
      <c r="AO178" s="82">
        <v>42237.289594907408</v>
      </c>
      <c r="AP178" s="87" t="str">
        <f>HYPERLINK("https://pbs.twimg.com/profile_banners/3322129795/1602913175")</f>
        <v>https://pbs.twimg.com/profile_banners/3322129795/1602913175</v>
      </c>
      <c r="AQ178" s="80" t="b">
        <v>1</v>
      </c>
      <c r="AR178" s="80" t="b">
        <v>0</v>
      </c>
      <c r="AS178" s="80" t="b">
        <v>1</v>
      </c>
      <c r="AT178" s="80"/>
      <c r="AU178" s="80">
        <v>0</v>
      </c>
      <c r="AV178" s="87" t="str">
        <f>HYPERLINK("https://abs.twimg.com/images/themes/theme1/bg.png")</f>
        <v>https://abs.twimg.com/images/themes/theme1/bg.png</v>
      </c>
      <c r="AW178" s="80" t="b">
        <v>0</v>
      </c>
      <c r="AX178" s="80" t="s">
        <v>10746</v>
      </c>
      <c r="AY178" s="87" t="str">
        <f>HYPERLINK("https://twitter.com/mrfiqa")</f>
        <v>https://twitter.com/mrfiqa</v>
      </c>
      <c r="AZ178" s="80" t="s">
        <v>66</v>
      </c>
      <c r="BA178" s="2"/>
      <c r="BB178" s="3"/>
      <c r="BC178" s="3"/>
      <c r="BD178" s="3"/>
      <c r="BE178" s="3"/>
    </row>
    <row r="179" spans="1:57" x14ac:dyDescent="0.35">
      <c r="A179" s="66" t="s">
        <v>363</v>
      </c>
      <c r="B179" s="67"/>
      <c r="C179" s="67"/>
      <c r="D179" s="68"/>
      <c r="E179" s="70"/>
      <c r="F179" s="109" t="str">
        <f>HYPERLINK("https://pbs.twimg.com/profile_images/1427466125651054603/MuWaEZq7_normal.jpg")</f>
        <v>https://pbs.twimg.com/profile_images/1427466125651054603/MuWaEZq7_normal.jpg</v>
      </c>
      <c r="G179" s="67"/>
      <c r="H179" s="71"/>
      <c r="I179" s="72"/>
      <c r="J179" s="72"/>
      <c r="K179" s="71" t="s">
        <v>10922</v>
      </c>
      <c r="L179" s="75"/>
      <c r="M179" s="76"/>
      <c r="N179" s="76"/>
      <c r="O179" s="77"/>
      <c r="P179" s="78"/>
      <c r="Q179" s="78"/>
      <c r="R179" s="92"/>
      <c r="S179" s="92"/>
      <c r="T179" s="92"/>
      <c r="U179" s="92"/>
      <c r="V179" s="52"/>
      <c r="W179" s="52"/>
      <c r="X179" s="52"/>
      <c r="Y179" s="52"/>
      <c r="Z179" s="51"/>
      <c r="AA179" s="73"/>
      <c r="AB179" s="73"/>
      <c r="AC179" s="74"/>
      <c r="AD179" s="80" t="s">
        <v>6762</v>
      </c>
      <c r="AE179" s="85" t="s">
        <v>8019</v>
      </c>
      <c r="AF179" s="80">
        <v>303</v>
      </c>
      <c r="AG179" s="80">
        <v>272</v>
      </c>
      <c r="AH179" s="80">
        <v>39592</v>
      </c>
      <c r="AI179" s="80">
        <v>50336</v>
      </c>
      <c r="AJ179" s="80"/>
      <c r="AK179" s="80" t="s">
        <v>9117</v>
      </c>
      <c r="AL179" s="80"/>
      <c r="AM179" s="80"/>
      <c r="AN179" s="80"/>
      <c r="AO179" s="82">
        <v>43261.510659722226</v>
      </c>
      <c r="AP179" s="87" t="str">
        <f>HYPERLINK("https://pbs.twimg.com/profile_banners/1005785488509169665/1600620534")</f>
        <v>https://pbs.twimg.com/profile_banners/1005785488509169665/1600620534</v>
      </c>
      <c r="AQ179" s="80" t="b">
        <v>0</v>
      </c>
      <c r="AR179" s="80" t="b">
        <v>0</v>
      </c>
      <c r="AS179" s="80" t="b">
        <v>1</v>
      </c>
      <c r="AT179" s="80"/>
      <c r="AU179" s="80">
        <v>0</v>
      </c>
      <c r="AV179" s="87" t="str">
        <f>HYPERLINK("https://abs.twimg.com/images/themes/theme1/bg.png")</f>
        <v>https://abs.twimg.com/images/themes/theme1/bg.png</v>
      </c>
      <c r="AW179" s="80" t="b">
        <v>0</v>
      </c>
      <c r="AX179" s="80" t="s">
        <v>10746</v>
      </c>
      <c r="AY179" s="87" t="str">
        <f>HYPERLINK("https://twitter.com/sanahfdzel")</f>
        <v>https://twitter.com/sanahfdzel</v>
      </c>
      <c r="AZ179" s="80" t="s">
        <v>66</v>
      </c>
      <c r="BA179" s="2"/>
      <c r="BB179" s="3"/>
      <c r="BC179" s="3"/>
      <c r="BD179" s="3"/>
      <c r="BE179" s="3"/>
    </row>
    <row r="180" spans="1:57" x14ac:dyDescent="0.35">
      <c r="A180" s="66" t="s">
        <v>364</v>
      </c>
      <c r="B180" s="67"/>
      <c r="C180" s="67"/>
      <c r="D180" s="68"/>
      <c r="E180" s="70"/>
      <c r="F180" s="109" t="str">
        <f>HYPERLINK("https://pbs.twimg.com/profile_images/1126074856057888774/MS5WNlYd_normal.png")</f>
        <v>https://pbs.twimg.com/profile_images/1126074856057888774/MS5WNlYd_normal.png</v>
      </c>
      <c r="G180" s="67"/>
      <c r="H180" s="71"/>
      <c r="I180" s="72"/>
      <c r="J180" s="72"/>
      <c r="K180" s="71" t="s">
        <v>10923</v>
      </c>
      <c r="L180" s="75"/>
      <c r="M180" s="76"/>
      <c r="N180" s="76"/>
      <c r="O180" s="77"/>
      <c r="P180" s="78"/>
      <c r="Q180" s="78"/>
      <c r="R180" s="92"/>
      <c r="S180" s="92"/>
      <c r="T180" s="92"/>
      <c r="U180" s="92"/>
      <c r="V180" s="52"/>
      <c r="W180" s="52"/>
      <c r="X180" s="52"/>
      <c r="Y180" s="52"/>
      <c r="Z180" s="51"/>
      <c r="AA180" s="73"/>
      <c r="AB180" s="73"/>
      <c r="AC180" s="74"/>
      <c r="AD180" s="80" t="s">
        <v>6763</v>
      </c>
      <c r="AE180" s="85" t="s">
        <v>8020</v>
      </c>
      <c r="AF180" s="80">
        <v>1351</v>
      </c>
      <c r="AG180" s="80">
        <v>86019</v>
      </c>
      <c r="AH180" s="80">
        <v>315721</v>
      </c>
      <c r="AI180" s="80">
        <v>233</v>
      </c>
      <c r="AJ180" s="80"/>
      <c r="AK180" s="80" t="s">
        <v>9118</v>
      </c>
      <c r="AL180" s="80" t="s">
        <v>10212</v>
      </c>
      <c r="AM180" s="87" t="str">
        <f>HYPERLINK("https://t.co/7WtzyHIvW0")</f>
        <v>https://t.co/7WtzyHIvW0</v>
      </c>
      <c r="AN180" s="80"/>
      <c r="AO180" s="82">
        <v>40308.606400462966</v>
      </c>
      <c r="AP180" s="80"/>
      <c r="AQ180" s="80" t="b">
        <v>0</v>
      </c>
      <c r="AR180" s="80" t="b">
        <v>0</v>
      </c>
      <c r="AS180" s="80" t="b">
        <v>0</v>
      </c>
      <c r="AT180" s="80"/>
      <c r="AU180" s="80">
        <v>124</v>
      </c>
      <c r="AV180" s="87" t="str">
        <f>HYPERLINK("https://abs.twimg.com/images/themes/theme1/bg.png")</f>
        <v>https://abs.twimg.com/images/themes/theme1/bg.png</v>
      </c>
      <c r="AW180" s="80" t="b">
        <v>0</v>
      </c>
      <c r="AX180" s="80" t="s">
        <v>10746</v>
      </c>
      <c r="AY180" s="87" t="str">
        <f>HYPERLINK("https://twitter.com/tribunmedan")</f>
        <v>https://twitter.com/tribunmedan</v>
      </c>
      <c r="AZ180" s="80" t="s">
        <v>66</v>
      </c>
      <c r="BA180" s="2"/>
      <c r="BB180" s="3"/>
      <c r="BC180" s="3"/>
      <c r="BD180" s="3"/>
      <c r="BE180" s="3"/>
    </row>
    <row r="181" spans="1:57" x14ac:dyDescent="0.35">
      <c r="A181" s="66" t="s">
        <v>365</v>
      </c>
      <c r="B181" s="67"/>
      <c r="C181" s="67"/>
      <c r="D181" s="68"/>
      <c r="E181" s="70"/>
      <c r="F181" s="109" t="str">
        <f>HYPERLINK("https://pbs.twimg.com/profile_images/1441265800128520196/SeQq2gtA_normal.jpg")</f>
        <v>https://pbs.twimg.com/profile_images/1441265800128520196/SeQq2gtA_normal.jpg</v>
      </c>
      <c r="G181" s="67"/>
      <c r="H181" s="71"/>
      <c r="I181" s="72"/>
      <c r="J181" s="72"/>
      <c r="K181" s="71" t="s">
        <v>10924</v>
      </c>
      <c r="L181" s="75"/>
      <c r="M181" s="76"/>
      <c r="N181" s="76"/>
      <c r="O181" s="77"/>
      <c r="P181" s="78"/>
      <c r="Q181" s="78"/>
      <c r="R181" s="92"/>
      <c r="S181" s="92"/>
      <c r="T181" s="92"/>
      <c r="U181" s="92"/>
      <c r="V181" s="52"/>
      <c r="W181" s="52"/>
      <c r="X181" s="52"/>
      <c r="Y181" s="52"/>
      <c r="Z181" s="51"/>
      <c r="AA181" s="73"/>
      <c r="AB181" s="73"/>
      <c r="AC181" s="74"/>
      <c r="AD181" s="80" t="s">
        <v>6764</v>
      </c>
      <c r="AE181" s="85" t="s">
        <v>8021</v>
      </c>
      <c r="AF181" s="80">
        <v>214</v>
      </c>
      <c r="AG181" s="80">
        <v>185</v>
      </c>
      <c r="AH181" s="80">
        <v>623</v>
      </c>
      <c r="AI181" s="80">
        <v>326</v>
      </c>
      <c r="AJ181" s="80"/>
      <c r="AK181" s="80" t="s">
        <v>9119</v>
      </c>
      <c r="AL181" s="80" t="s">
        <v>10213</v>
      </c>
      <c r="AM181" s="87" t="str">
        <f>HYPERLINK("https://t.co/CC20jawP7u")</f>
        <v>https://t.co/CC20jawP7u</v>
      </c>
      <c r="AN181" s="80"/>
      <c r="AO181" s="82">
        <v>44390.093645833331</v>
      </c>
      <c r="AP181" s="87" t="str">
        <f>HYPERLINK("https://pbs.twimg.com/profile_banners/1414770219256467460/1632459519")</f>
        <v>https://pbs.twimg.com/profile_banners/1414770219256467460/1632459519</v>
      </c>
      <c r="AQ181" s="80" t="b">
        <v>1</v>
      </c>
      <c r="AR181" s="80" t="b">
        <v>0</v>
      </c>
      <c r="AS181" s="80" t="b">
        <v>0</v>
      </c>
      <c r="AT181" s="80"/>
      <c r="AU181" s="80">
        <v>0</v>
      </c>
      <c r="AV181" s="80"/>
      <c r="AW181" s="80" t="b">
        <v>0</v>
      </c>
      <c r="AX181" s="80" t="s">
        <v>10746</v>
      </c>
      <c r="AY181" s="87" t="str">
        <f>HYPERLINK("https://twitter.com/geageez")</f>
        <v>https://twitter.com/geageez</v>
      </c>
      <c r="AZ181" s="80" t="s">
        <v>66</v>
      </c>
      <c r="BA181" s="2"/>
      <c r="BB181" s="3"/>
      <c r="BC181" s="3"/>
      <c r="BD181" s="3"/>
      <c r="BE181" s="3"/>
    </row>
    <row r="182" spans="1:57" x14ac:dyDescent="0.35">
      <c r="A182" s="66" t="s">
        <v>366</v>
      </c>
      <c r="B182" s="67"/>
      <c r="C182" s="67"/>
      <c r="D182" s="68"/>
      <c r="E182" s="70"/>
      <c r="F182" s="109" t="str">
        <f>HYPERLINK("https://pbs.twimg.com/profile_images/1434756800134352906/Lm7J-AIk_normal.jpg")</f>
        <v>https://pbs.twimg.com/profile_images/1434756800134352906/Lm7J-AIk_normal.jpg</v>
      </c>
      <c r="G182" s="67"/>
      <c r="H182" s="71"/>
      <c r="I182" s="72"/>
      <c r="J182" s="72"/>
      <c r="K182" s="71" t="s">
        <v>10925</v>
      </c>
      <c r="L182" s="75"/>
      <c r="M182" s="76"/>
      <c r="N182" s="76"/>
      <c r="O182" s="77"/>
      <c r="P182" s="78"/>
      <c r="Q182" s="78"/>
      <c r="R182" s="92"/>
      <c r="S182" s="92"/>
      <c r="T182" s="92"/>
      <c r="U182" s="92"/>
      <c r="V182" s="52"/>
      <c r="W182" s="52"/>
      <c r="X182" s="52"/>
      <c r="Y182" s="52"/>
      <c r="Z182" s="51"/>
      <c r="AA182" s="73"/>
      <c r="AB182" s="73"/>
      <c r="AC182" s="74"/>
      <c r="AD182" s="80" t="s">
        <v>6765</v>
      </c>
      <c r="AE182" s="85" t="s">
        <v>8022</v>
      </c>
      <c r="AF182" s="80">
        <v>317</v>
      </c>
      <c r="AG182" s="80">
        <v>225</v>
      </c>
      <c r="AH182" s="80">
        <v>8089</v>
      </c>
      <c r="AI182" s="80">
        <v>5456</v>
      </c>
      <c r="AJ182" s="80"/>
      <c r="AK182" s="80" t="s">
        <v>9120</v>
      </c>
      <c r="AL182" s="80"/>
      <c r="AM182" s="80"/>
      <c r="AN182" s="80"/>
      <c r="AO182" s="82">
        <v>44347.255995370368</v>
      </c>
      <c r="AP182" s="87" t="str">
        <f>HYPERLINK("https://pbs.twimg.com/profile_banners/1399246371383693315/1630907356")</f>
        <v>https://pbs.twimg.com/profile_banners/1399246371383693315/1630907356</v>
      </c>
      <c r="AQ182" s="80" t="b">
        <v>1</v>
      </c>
      <c r="AR182" s="80" t="b">
        <v>0</v>
      </c>
      <c r="AS182" s="80" t="b">
        <v>0</v>
      </c>
      <c r="AT182" s="80"/>
      <c r="AU182" s="80">
        <v>0</v>
      </c>
      <c r="AV182" s="80"/>
      <c r="AW182" s="80" t="b">
        <v>0</v>
      </c>
      <c r="AX182" s="80" t="s">
        <v>10746</v>
      </c>
      <c r="AY182" s="87" t="str">
        <f>HYPERLINK("https://twitter.com/renhyuckarts")</f>
        <v>https://twitter.com/renhyuckarts</v>
      </c>
      <c r="AZ182" s="80" t="s">
        <v>66</v>
      </c>
      <c r="BA182" s="2"/>
      <c r="BB182" s="3"/>
      <c r="BC182" s="3"/>
      <c r="BD182" s="3"/>
      <c r="BE182" s="3"/>
    </row>
    <row r="183" spans="1:57" x14ac:dyDescent="0.35">
      <c r="A183" s="66" t="s">
        <v>367</v>
      </c>
      <c r="B183" s="67"/>
      <c r="C183" s="67"/>
      <c r="D183" s="68"/>
      <c r="E183" s="70"/>
      <c r="F183" s="109" t="str">
        <f>HYPERLINK("https://pbs.twimg.com/profile_images/1404105883366297620/2b5Ts5qd_normal.jpg")</f>
        <v>https://pbs.twimg.com/profile_images/1404105883366297620/2b5Ts5qd_normal.jpg</v>
      </c>
      <c r="G183" s="67"/>
      <c r="H183" s="71"/>
      <c r="I183" s="72"/>
      <c r="J183" s="72"/>
      <c r="K183" s="71" t="s">
        <v>10926</v>
      </c>
      <c r="L183" s="75"/>
      <c r="M183" s="76"/>
      <c r="N183" s="76"/>
      <c r="O183" s="77"/>
      <c r="P183" s="78"/>
      <c r="Q183" s="78"/>
      <c r="R183" s="92"/>
      <c r="S183" s="92"/>
      <c r="T183" s="92"/>
      <c r="U183" s="92"/>
      <c r="V183" s="52"/>
      <c r="W183" s="52"/>
      <c r="X183" s="52"/>
      <c r="Y183" s="52"/>
      <c r="Z183" s="51"/>
      <c r="AA183" s="73"/>
      <c r="AB183" s="73"/>
      <c r="AC183" s="74"/>
      <c r="AD183" s="80" t="s">
        <v>6766</v>
      </c>
      <c r="AE183" s="85" t="s">
        <v>8023</v>
      </c>
      <c r="AF183" s="80">
        <v>65</v>
      </c>
      <c r="AG183" s="80">
        <v>13</v>
      </c>
      <c r="AH183" s="80">
        <v>1557</v>
      </c>
      <c r="AI183" s="80">
        <v>4994</v>
      </c>
      <c r="AJ183" s="80"/>
      <c r="AK183" s="80" t="s">
        <v>9121</v>
      </c>
      <c r="AL183" s="80"/>
      <c r="AM183" s="80"/>
      <c r="AN183" s="80"/>
      <c r="AO183" s="82">
        <v>44360.6637962963</v>
      </c>
      <c r="AP183" s="87" t="str">
        <f>HYPERLINK("https://pbs.twimg.com/profile_banners/1404105195961786371/1623835215")</f>
        <v>https://pbs.twimg.com/profile_banners/1404105195961786371/1623835215</v>
      </c>
      <c r="AQ183" s="80" t="b">
        <v>1</v>
      </c>
      <c r="AR183" s="80" t="b">
        <v>0</v>
      </c>
      <c r="AS183" s="80" t="b">
        <v>0</v>
      </c>
      <c r="AT183" s="80"/>
      <c r="AU183" s="80">
        <v>0</v>
      </c>
      <c r="AV183" s="80"/>
      <c r="AW183" s="80" t="b">
        <v>0</v>
      </c>
      <c r="AX183" s="80" t="s">
        <v>10746</v>
      </c>
      <c r="AY183" s="87" t="str">
        <f>HYPERLINK("https://twitter.com/emyra97")</f>
        <v>https://twitter.com/emyra97</v>
      </c>
      <c r="AZ183" s="80" t="s">
        <v>66</v>
      </c>
      <c r="BA183" s="2"/>
      <c r="BB183" s="3"/>
      <c r="BC183" s="3"/>
      <c r="BD183" s="3"/>
      <c r="BE183" s="3"/>
    </row>
    <row r="184" spans="1:57" x14ac:dyDescent="0.35">
      <c r="A184" s="66" t="s">
        <v>368</v>
      </c>
      <c r="B184" s="67"/>
      <c r="C184" s="67"/>
      <c r="D184" s="68"/>
      <c r="E184" s="70"/>
      <c r="F184" s="109" t="str">
        <f>HYPERLINK("https://pbs.twimg.com/profile_images/1381759971897962496/zXtoMU9p_normal.jpg")</f>
        <v>https://pbs.twimg.com/profile_images/1381759971897962496/zXtoMU9p_normal.jpg</v>
      </c>
      <c r="G184" s="67"/>
      <c r="H184" s="71"/>
      <c r="I184" s="72"/>
      <c r="J184" s="72"/>
      <c r="K184" s="71" t="s">
        <v>10927</v>
      </c>
      <c r="L184" s="75"/>
      <c r="M184" s="76"/>
      <c r="N184" s="76"/>
      <c r="O184" s="77"/>
      <c r="P184" s="78"/>
      <c r="Q184" s="78"/>
      <c r="R184" s="92"/>
      <c r="S184" s="92"/>
      <c r="T184" s="92"/>
      <c r="U184" s="92"/>
      <c r="V184" s="52"/>
      <c r="W184" s="52"/>
      <c r="X184" s="52"/>
      <c r="Y184" s="52"/>
      <c r="Z184" s="51"/>
      <c r="AA184" s="73"/>
      <c r="AB184" s="73"/>
      <c r="AC184" s="74"/>
      <c r="AD184" s="80" t="s">
        <v>6767</v>
      </c>
      <c r="AE184" s="85" t="s">
        <v>8024</v>
      </c>
      <c r="AF184" s="80">
        <v>507</v>
      </c>
      <c r="AG184" s="80">
        <v>497</v>
      </c>
      <c r="AH184" s="80">
        <v>13084</v>
      </c>
      <c r="AI184" s="80">
        <v>3774</v>
      </c>
      <c r="AJ184" s="80"/>
      <c r="AK184" s="80" t="s">
        <v>9122</v>
      </c>
      <c r="AL184" s="80" t="s">
        <v>10214</v>
      </c>
      <c r="AM184" s="87" t="str">
        <f>HYPERLINK("https://t.co/dRz9YjdtBs")</f>
        <v>https://t.co/dRz9YjdtBs</v>
      </c>
      <c r="AN184" s="80"/>
      <c r="AO184" s="82">
        <v>40985.349606481483</v>
      </c>
      <c r="AP184" s="87" t="str">
        <f>HYPERLINK("https://pbs.twimg.com/profile_banners/527235164/1618283359")</f>
        <v>https://pbs.twimg.com/profile_banners/527235164/1618283359</v>
      </c>
      <c r="AQ184" s="80" t="b">
        <v>0</v>
      </c>
      <c r="AR184" s="80" t="b">
        <v>0</v>
      </c>
      <c r="AS184" s="80" t="b">
        <v>1</v>
      </c>
      <c r="AT184" s="80"/>
      <c r="AU184" s="80">
        <v>0</v>
      </c>
      <c r="AV184" s="87" t="str">
        <f>HYPERLINK("https://abs.twimg.com/images/themes/theme1/bg.png")</f>
        <v>https://abs.twimg.com/images/themes/theme1/bg.png</v>
      </c>
      <c r="AW184" s="80" t="b">
        <v>0</v>
      </c>
      <c r="AX184" s="80" t="s">
        <v>10746</v>
      </c>
      <c r="AY184" s="87" t="str">
        <f>HYPERLINK("https://twitter.com/afiqks6")</f>
        <v>https://twitter.com/afiqks6</v>
      </c>
      <c r="AZ184" s="80" t="s">
        <v>66</v>
      </c>
      <c r="BA184" s="2"/>
      <c r="BB184" s="3"/>
      <c r="BC184" s="3"/>
      <c r="BD184" s="3"/>
      <c r="BE184" s="3"/>
    </row>
    <row r="185" spans="1:57" x14ac:dyDescent="0.35">
      <c r="A185" s="66" t="s">
        <v>369</v>
      </c>
      <c r="B185" s="67"/>
      <c r="C185" s="67"/>
      <c r="D185" s="68"/>
      <c r="E185" s="70"/>
      <c r="F185" s="109" t="str">
        <f>HYPERLINK("https://pbs.twimg.com/profile_images/1440651405048442881/LKRTYPVR_normal.jpg")</f>
        <v>https://pbs.twimg.com/profile_images/1440651405048442881/LKRTYPVR_normal.jpg</v>
      </c>
      <c r="G185" s="67"/>
      <c r="H185" s="71"/>
      <c r="I185" s="72"/>
      <c r="J185" s="72"/>
      <c r="K185" s="71" t="s">
        <v>10928</v>
      </c>
      <c r="L185" s="75"/>
      <c r="M185" s="76"/>
      <c r="N185" s="76"/>
      <c r="O185" s="77"/>
      <c r="P185" s="78"/>
      <c r="Q185" s="78"/>
      <c r="R185" s="92"/>
      <c r="S185" s="92"/>
      <c r="T185" s="92"/>
      <c r="U185" s="92"/>
      <c r="V185" s="52"/>
      <c r="W185" s="52"/>
      <c r="X185" s="52"/>
      <c r="Y185" s="52"/>
      <c r="Z185" s="51"/>
      <c r="AA185" s="73"/>
      <c r="AB185" s="73"/>
      <c r="AC185" s="74"/>
      <c r="AD185" s="80" t="s">
        <v>6768</v>
      </c>
      <c r="AE185" s="85" t="s">
        <v>8025</v>
      </c>
      <c r="AF185" s="80">
        <v>805</v>
      </c>
      <c r="AG185" s="80">
        <v>667</v>
      </c>
      <c r="AH185" s="80">
        <v>54258</v>
      </c>
      <c r="AI185" s="80">
        <v>12477</v>
      </c>
      <c r="AJ185" s="80"/>
      <c r="AK185" s="80" t="s">
        <v>9123</v>
      </c>
      <c r="AL185" s="80"/>
      <c r="AM185" s="87" t="str">
        <f>HYPERLINK("https://t.co/Ci2wf43Ylq")</f>
        <v>https://t.co/Ci2wf43Ylq</v>
      </c>
      <c r="AN185" s="80"/>
      <c r="AO185" s="82">
        <v>41212.494074074071</v>
      </c>
      <c r="AP185" s="87" t="str">
        <f>HYPERLINK("https://pbs.twimg.com/profile_banners/914470268/1562429805")</f>
        <v>https://pbs.twimg.com/profile_banners/914470268/1562429805</v>
      </c>
      <c r="AQ185" s="80" t="b">
        <v>0</v>
      </c>
      <c r="AR185" s="80" t="b">
        <v>0</v>
      </c>
      <c r="AS185" s="80" t="b">
        <v>1</v>
      </c>
      <c r="AT185" s="80"/>
      <c r="AU185" s="80">
        <v>0</v>
      </c>
      <c r="AV185" s="87" t="str">
        <f>HYPERLINK("https://abs.twimg.com/images/themes/theme10/bg.gif")</f>
        <v>https://abs.twimg.com/images/themes/theme10/bg.gif</v>
      </c>
      <c r="AW185" s="80" t="b">
        <v>0</v>
      </c>
      <c r="AX185" s="80" t="s">
        <v>10746</v>
      </c>
      <c r="AY185" s="87" t="str">
        <f>HYPERLINK("https://twitter.com/frshahnis_ee")</f>
        <v>https://twitter.com/frshahnis_ee</v>
      </c>
      <c r="AZ185" s="80" t="s">
        <v>66</v>
      </c>
      <c r="BA185" s="2"/>
      <c r="BB185" s="3"/>
      <c r="BC185" s="3"/>
      <c r="BD185" s="3"/>
      <c r="BE185" s="3"/>
    </row>
    <row r="186" spans="1:57" x14ac:dyDescent="0.35">
      <c r="A186" s="66" t="s">
        <v>370</v>
      </c>
      <c r="B186" s="67"/>
      <c r="C186" s="67"/>
      <c r="D186" s="68"/>
      <c r="E186" s="70"/>
      <c r="F186" s="109" t="str">
        <f>HYPERLINK("https://pbs.twimg.com/profile_images/1401685871456260096/FOfQ8XNp_normal.png")</f>
        <v>https://pbs.twimg.com/profile_images/1401685871456260096/FOfQ8XNp_normal.png</v>
      </c>
      <c r="G186" s="67"/>
      <c r="H186" s="71"/>
      <c r="I186" s="72"/>
      <c r="J186" s="72"/>
      <c r="K186" s="71" t="s">
        <v>10929</v>
      </c>
      <c r="L186" s="75"/>
      <c r="M186" s="76"/>
      <c r="N186" s="76"/>
      <c r="O186" s="77"/>
      <c r="P186" s="78"/>
      <c r="Q186" s="78"/>
      <c r="R186" s="92"/>
      <c r="S186" s="92"/>
      <c r="T186" s="92"/>
      <c r="U186" s="92"/>
      <c r="V186" s="52"/>
      <c r="W186" s="52"/>
      <c r="X186" s="52"/>
      <c r="Y186" s="52"/>
      <c r="Z186" s="51"/>
      <c r="AA186" s="73"/>
      <c r="AB186" s="73"/>
      <c r="AC186" s="74"/>
      <c r="AD186" s="80" t="s">
        <v>6769</v>
      </c>
      <c r="AE186" s="85" t="s">
        <v>8026</v>
      </c>
      <c r="AF186" s="80">
        <v>386</v>
      </c>
      <c r="AG186" s="80">
        <v>300</v>
      </c>
      <c r="AH186" s="80">
        <v>46516</v>
      </c>
      <c r="AI186" s="80">
        <v>40407</v>
      </c>
      <c r="AJ186" s="80"/>
      <c r="AK186" s="80" t="s">
        <v>9124</v>
      </c>
      <c r="AL186" s="80" t="s">
        <v>10215</v>
      </c>
      <c r="AM186" s="80"/>
      <c r="AN186" s="80"/>
      <c r="AO186" s="82">
        <v>42361.397291666668</v>
      </c>
      <c r="AP186" s="87" t="str">
        <f>HYPERLINK("https://pbs.twimg.com/profile_banners/4636507573/1626382871")</f>
        <v>https://pbs.twimg.com/profile_banners/4636507573/1626382871</v>
      </c>
      <c r="AQ186" s="80" t="b">
        <v>1</v>
      </c>
      <c r="AR186" s="80" t="b">
        <v>0</v>
      </c>
      <c r="AS186" s="80" t="b">
        <v>1</v>
      </c>
      <c r="AT186" s="80"/>
      <c r="AU186" s="80">
        <v>0</v>
      </c>
      <c r="AV186" s="80"/>
      <c r="AW186" s="80" t="b">
        <v>0</v>
      </c>
      <c r="AX186" s="80" t="s">
        <v>10746</v>
      </c>
      <c r="AY186" s="87" t="str">
        <f>HYPERLINK("https://twitter.com/nvrxkmxl_")</f>
        <v>https://twitter.com/nvrxkmxl_</v>
      </c>
      <c r="AZ186" s="80" t="s">
        <v>66</v>
      </c>
      <c r="BA186" s="2"/>
      <c r="BB186" s="3"/>
      <c r="BC186" s="3"/>
      <c r="BD186" s="3"/>
      <c r="BE186" s="3"/>
    </row>
    <row r="187" spans="1:57" x14ac:dyDescent="0.35">
      <c r="A187" s="66" t="s">
        <v>371</v>
      </c>
      <c r="B187" s="67"/>
      <c r="C187" s="67"/>
      <c r="D187" s="68"/>
      <c r="E187" s="70"/>
      <c r="F187" s="109" t="str">
        <f>HYPERLINK("https://pbs.twimg.com/profile_images/1417675308329627648/J3VwBMUj_normal.jpg")</f>
        <v>https://pbs.twimg.com/profile_images/1417675308329627648/J3VwBMUj_normal.jpg</v>
      </c>
      <c r="G187" s="67"/>
      <c r="H187" s="71"/>
      <c r="I187" s="72"/>
      <c r="J187" s="72"/>
      <c r="K187" s="71" t="s">
        <v>10930</v>
      </c>
      <c r="L187" s="75"/>
      <c r="M187" s="76"/>
      <c r="N187" s="76"/>
      <c r="O187" s="77"/>
      <c r="P187" s="78"/>
      <c r="Q187" s="78"/>
      <c r="R187" s="92"/>
      <c r="S187" s="92"/>
      <c r="T187" s="92"/>
      <c r="U187" s="92"/>
      <c r="V187" s="52"/>
      <c r="W187" s="52"/>
      <c r="X187" s="52"/>
      <c r="Y187" s="52"/>
      <c r="Z187" s="51"/>
      <c r="AA187" s="73"/>
      <c r="AB187" s="73"/>
      <c r="AC187" s="74"/>
      <c r="AD187" s="80" t="s">
        <v>6770</v>
      </c>
      <c r="AE187" s="85" t="s">
        <v>8027</v>
      </c>
      <c r="AF187" s="80">
        <v>299</v>
      </c>
      <c r="AG187" s="80">
        <v>295</v>
      </c>
      <c r="AH187" s="80">
        <v>14814</v>
      </c>
      <c r="AI187" s="80">
        <v>26577</v>
      </c>
      <c r="AJ187" s="80"/>
      <c r="AK187" s="80" t="s">
        <v>9125</v>
      </c>
      <c r="AL187" s="80" t="s">
        <v>10216</v>
      </c>
      <c r="AM187" s="80"/>
      <c r="AN187" s="80"/>
      <c r="AO187" s="82">
        <v>43499.790254629632</v>
      </c>
      <c r="AP187" s="87" t="str">
        <f>HYPERLINK("https://pbs.twimg.com/profile_banners/1092135118678806529/1631900640")</f>
        <v>https://pbs.twimg.com/profile_banners/1092135118678806529/1631900640</v>
      </c>
      <c r="AQ187" s="80" t="b">
        <v>1</v>
      </c>
      <c r="AR187" s="80" t="b">
        <v>0</v>
      </c>
      <c r="AS187" s="80" t="b">
        <v>1</v>
      </c>
      <c r="AT187" s="80"/>
      <c r="AU187" s="80">
        <v>0</v>
      </c>
      <c r="AV187" s="80"/>
      <c r="AW187" s="80" t="b">
        <v>0</v>
      </c>
      <c r="AX187" s="80" t="s">
        <v>10746</v>
      </c>
      <c r="AY187" s="87" t="str">
        <f>HYPERLINK("https://twitter.com/tengkuharry_")</f>
        <v>https://twitter.com/tengkuharry_</v>
      </c>
      <c r="AZ187" s="80" t="s">
        <v>66</v>
      </c>
      <c r="BA187" s="2"/>
      <c r="BB187" s="3"/>
      <c r="BC187" s="3"/>
      <c r="BD187" s="3"/>
      <c r="BE187" s="3"/>
    </row>
    <row r="188" spans="1:57" x14ac:dyDescent="0.35">
      <c r="A188" s="66" t="s">
        <v>372</v>
      </c>
      <c r="B188" s="67"/>
      <c r="C188" s="67"/>
      <c r="D188" s="68"/>
      <c r="E188" s="70"/>
      <c r="F188" s="109" t="str">
        <f>HYPERLINK("https://pbs.twimg.com/profile_images/1397993262367920129/mSH4ZtTc_normal.jpg")</f>
        <v>https://pbs.twimg.com/profile_images/1397993262367920129/mSH4ZtTc_normal.jpg</v>
      </c>
      <c r="G188" s="67"/>
      <c r="H188" s="71"/>
      <c r="I188" s="72"/>
      <c r="J188" s="72"/>
      <c r="K188" s="71" t="s">
        <v>10931</v>
      </c>
      <c r="L188" s="75"/>
      <c r="M188" s="76"/>
      <c r="N188" s="76"/>
      <c r="O188" s="77"/>
      <c r="P188" s="78"/>
      <c r="Q188" s="78"/>
      <c r="R188" s="92"/>
      <c r="S188" s="92"/>
      <c r="T188" s="92"/>
      <c r="U188" s="92"/>
      <c r="V188" s="52"/>
      <c r="W188" s="52"/>
      <c r="X188" s="52"/>
      <c r="Y188" s="52"/>
      <c r="Z188" s="51"/>
      <c r="AA188" s="73"/>
      <c r="AB188" s="73"/>
      <c r="AC188" s="74"/>
      <c r="AD188" s="80" t="s">
        <v>6771</v>
      </c>
      <c r="AE188" s="85" t="s">
        <v>8028</v>
      </c>
      <c r="AF188" s="80">
        <v>295</v>
      </c>
      <c r="AG188" s="80">
        <v>39</v>
      </c>
      <c r="AH188" s="80">
        <v>4169</v>
      </c>
      <c r="AI188" s="80">
        <v>3093</v>
      </c>
      <c r="AJ188" s="80"/>
      <c r="AK188" s="80" t="s">
        <v>9126</v>
      </c>
      <c r="AL188" s="80" t="s">
        <v>10217</v>
      </c>
      <c r="AM188" s="87" t="str">
        <f>HYPERLINK("https://t.co/wVzNdbLX7U")</f>
        <v>https://t.co/wVzNdbLX7U</v>
      </c>
      <c r="AN188" s="80"/>
      <c r="AO188" s="82">
        <v>40902.825289351851</v>
      </c>
      <c r="AP188" s="87" t="str">
        <f>HYPERLINK("https://pbs.twimg.com/profile_banners/446485119/1622142491")</f>
        <v>https://pbs.twimg.com/profile_banners/446485119/1622142491</v>
      </c>
      <c r="AQ188" s="80" t="b">
        <v>1</v>
      </c>
      <c r="AR188" s="80" t="b">
        <v>0</v>
      </c>
      <c r="AS188" s="80" t="b">
        <v>0</v>
      </c>
      <c r="AT188" s="80"/>
      <c r="AU188" s="80">
        <v>2</v>
      </c>
      <c r="AV188" s="87" t="str">
        <f>HYPERLINK("https://abs.twimg.com/images/themes/theme1/bg.png")</f>
        <v>https://abs.twimg.com/images/themes/theme1/bg.png</v>
      </c>
      <c r="AW188" s="80" t="b">
        <v>0</v>
      </c>
      <c r="AX188" s="80" t="s">
        <v>10746</v>
      </c>
      <c r="AY188" s="87" t="str">
        <f>HYPERLINK("https://twitter.com/arziezy")</f>
        <v>https://twitter.com/arziezy</v>
      </c>
      <c r="AZ188" s="80" t="s">
        <v>66</v>
      </c>
      <c r="BA188" s="2"/>
      <c r="BB188" s="3"/>
      <c r="BC188" s="3"/>
      <c r="BD188" s="3"/>
      <c r="BE188" s="3"/>
    </row>
    <row r="189" spans="1:57" x14ac:dyDescent="0.35">
      <c r="A189" s="66" t="s">
        <v>373</v>
      </c>
      <c r="B189" s="67"/>
      <c r="C189" s="67"/>
      <c r="D189" s="68"/>
      <c r="E189" s="70"/>
      <c r="F189" s="109" t="str">
        <f>HYPERLINK("https://pbs.twimg.com/profile_images/1441383027871936514/dQgpbonz_normal.jpg")</f>
        <v>https://pbs.twimg.com/profile_images/1441383027871936514/dQgpbonz_normal.jpg</v>
      </c>
      <c r="G189" s="67"/>
      <c r="H189" s="71"/>
      <c r="I189" s="72"/>
      <c r="J189" s="72"/>
      <c r="K189" s="71" t="s">
        <v>10932</v>
      </c>
      <c r="L189" s="75"/>
      <c r="M189" s="76"/>
      <c r="N189" s="76"/>
      <c r="O189" s="77"/>
      <c r="P189" s="78"/>
      <c r="Q189" s="78"/>
      <c r="R189" s="92"/>
      <c r="S189" s="92"/>
      <c r="T189" s="92"/>
      <c r="U189" s="92"/>
      <c r="V189" s="52"/>
      <c r="W189" s="52"/>
      <c r="X189" s="52"/>
      <c r="Y189" s="52"/>
      <c r="Z189" s="51"/>
      <c r="AA189" s="73"/>
      <c r="AB189" s="73"/>
      <c r="AC189" s="74"/>
      <c r="AD189" s="80" t="s">
        <v>6772</v>
      </c>
      <c r="AE189" s="85" t="s">
        <v>8029</v>
      </c>
      <c r="AF189" s="80">
        <v>320</v>
      </c>
      <c r="AG189" s="80">
        <v>93</v>
      </c>
      <c r="AH189" s="80">
        <v>1280</v>
      </c>
      <c r="AI189" s="80">
        <v>179</v>
      </c>
      <c r="AJ189" s="80"/>
      <c r="AK189" s="80" t="s">
        <v>9127</v>
      </c>
      <c r="AL189" s="80" t="s">
        <v>10218</v>
      </c>
      <c r="AM189" s="80"/>
      <c r="AN189" s="80"/>
      <c r="AO189" s="82">
        <v>43844.27065972222</v>
      </c>
      <c r="AP189" s="87" t="str">
        <f>HYPERLINK("https://pbs.twimg.com/profile_banners/1216970602919034880/1628589125")</f>
        <v>https://pbs.twimg.com/profile_banners/1216970602919034880/1628589125</v>
      </c>
      <c r="AQ189" s="80" t="b">
        <v>1</v>
      </c>
      <c r="AR189" s="80" t="b">
        <v>0</v>
      </c>
      <c r="AS189" s="80" t="b">
        <v>1</v>
      </c>
      <c r="AT189" s="80"/>
      <c r="AU189" s="80">
        <v>0</v>
      </c>
      <c r="AV189" s="80"/>
      <c r="AW189" s="80" t="b">
        <v>0</v>
      </c>
      <c r="AX189" s="80" t="s">
        <v>10746</v>
      </c>
      <c r="AY189" s="87" t="str">
        <f>HYPERLINK("https://twitter.com/minoccall")</f>
        <v>https://twitter.com/minoccall</v>
      </c>
      <c r="AZ189" s="80" t="s">
        <v>66</v>
      </c>
      <c r="BA189" s="2"/>
      <c r="BB189" s="3"/>
      <c r="BC189" s="3"/>
      <c r="BD189" s="3"/>
      <c r="BE189" s="3"/>
    </row>
    <row r="190" spans="1:57" x14ac:dyDescent="0.35">
      <c r="A190" s="66" t="s">
        <v>374</v>
      </c>
      <c r="B190" s="67"/>
      <c r="C190" s="67"/>
      <c r="D190" s="68"/>
      <c r="E190" s="70"/>
      <c r="F190" s="109" t="str">
        <f>HYPERLINK("https://pbs.twimg.com/profile_images/1389934330974113795/1TVKydOD_normal.jpg")</f>
        <v>https://pbs.twimg.com/profile_images/1389934330974113795/1TVKydOD_normal.jpg</v>
      </c>
      <c r="G190" s="67"/>
      <c r="H190" s="71"/>
      <c r="I190" s="72"/>
      <c r="J190" s="72"/>
      <c r="K190" s="71" t="s">
        <v>10933</v>
      </c>
      <c r="L190" s="75"/>
      <c r="M190" s="76"/>
      <c r="N190" s="76"/>
      <c r="O190" s="77"/>
      <c r="P190" s="78"/>
      <c r="Q190" s="78"/>
      <c r="R190" s="92"/>
      <c r="S190" s="92"/>
      <c r="T190" s="92"/>
      <c r="U190" s="92"/>
      <c r="V190" s="52"/>
      <c r="W190" s="52"/>
      <c r="X190" s="52"/>
      <c r="Y190" s="52"/>
      <c r="Z190" s="51"/>
      <c r="AA190" s="73"/>
      <c r="AB190" s="73"/>
      <c r="AC190" s="74"/>
      <c r="AD190" s="80" t="s">
        <v>6773</v>
      </c>
      <c r="AE190" s="85" t="s">
        <v>8030</v>
      </c>
      <c r="AF190" s="80">
        <v>543</v>
      </c>
      <c r="AG190" s="80">
        <v>905</v>
      </c>
      <c r="AH190" s="80">
        <v>19099</v>
      </c>
      <c r="AI190" s="80">
        <v>1004</v>
      </c>
      <c r="AJ190" s="80"/>
      <c r="AK190" s="80" t="s">
        <v>9128</v>
      </c>
      <c r="AL190" s="80" t="s">
        <v>6543</v>
      </c>
      <c r="AM190" s="80"/>
      <c r="AN190" s="80"/>
      <c r="AO190" s="82">
        <v>43904.290902777779</v>
      </c>
      <c r="AP190" s="87" t="str">
        <f>HYPERLINK("https://pbs.twimg.com/profile_banners/1238721214748614656/1620219960")</f>
        <v>https://pbs.twimg.com/profile_banners/1238721214748614656/1620219960</v>
      </c>
      <c r="AQ190" s="80" t="b">
        <v>1</v>
      </c>
      <c r="AR190" s="80" t="b">
        <v>0</v>
      </c>
      <c r="AS190" s="80" t="b">
        <v>0</v>
      </c>
      <c r="AT190" s="80"/>
      <c r="AU190" s="80">
        <v>3</v>
      </c>
      <c r="AV190" s="80"/>
      <c r="AW190" s="80" t="b">
        <v>0</v>
      </c>
      <c r="AX190" s="80" t="s">
        <v>10746</v>
      </c>
      <c r="AY190" s="87" t="str">
        <f>HYPERLINK("https://twitter.com/jaemjne")</f>
        <v>https://twitter.com/jaemjne</v>
      </c>
      <c r="AZ190" s="80" t="s">
        <v>66</v>
      </c>
      <c r="BA190" s="2"/>
      <c r="BB190" s="3"/>
      <c r="BC190" s="3"/>
      <c r="BD190" s="3"/>
      <c r="BE190" s="3"/>
    </row>
    <row r="191" spans="1:57" x14ac:dyDescent="0.35">
      <c r="A191" s="66" t="s">
        <v>1298</v>
      </c>
      <c r="B191" s="67"/>
      <c r="C191" s="67"/>
      <c r="D191" s="68"/>
      <c r="E191" s="70"/>
      <c r="F191" s="109" t="str">
        <f>HYPERLINK("https://pbs.twimg.com/profile_images/1268869569868791808/NhfTSvDp_normal.jpg")</f>
        <v>https://pbs.twimg.com/profile_images/1268869569868791808/NhfTSvDp_normal.jpg</v>
      </c>
      <c r="G191" s="67"/>
      <c r="H191" s="71"/>
      <c r="I191" s="72"/>
      <c r="J191" s="72"/>
      <c r="K191" s="71" t="s">
        <v>10934</v>
      </c>
      <c r="L191" s="75"/>
      <c r="M191" s="76"/>
      <c r="N191" s="76"/>
      <c r="O191" s="77"/>
      <c r="P191" s="78"/>
      <c r="Q191" s="78"/>
      <c r="R191" s="92"/>
      <c r="S191" s="92"/>
      <c r="T191" s="92"/>
      <c r="U191" s="92"/>
      <c r="V191" s="52"/>
      <c r="W191" s="52"/>
      <c r="X191" s="52"/>
      <c r="Y191" s="52"/>
      <c r="Z191" s="51"/>
      <c r="AA191" s="73"/>
      <c r="AB191" s="73"/>
      <c r="AC191" s="74"/>
      <c r="AD191" s="80" t="s">
        <v>6774</v>
      </c>
      <c r="AE191" s="85" t="s">
        <v>6267</v>
      </c>
      <c r="AF191" s="80">
        <v>3423</v>
      </c>
      <c r="AG191" s="80">
        <v>46544</v>
      </c>
      <c r="AH191" s="80">
        <v>430233</v>
      </c>
      <c r="AI191" s="80">
        <v>33</v>
      </c>
      <c r="AJ191" s="80"/>
      <c r="AK191" s="80" t="s">
        <v>9129</v>
      </c>
      <c r="AL191" s="80" t="s">
        <v>10219</v>
      </c>
      <c r="AM191" s="87" t="str">
        <f>HYPERLINK("https://t.co/78SfQ6GoXl")</f>
        <v>https://t.co/78SfQ6GoXl</v>
      </c>
      <c r="AN191" s="80"/>
      <c r="AO191" s="82">
        <v>43922.275451388887</v>
      </c>
      <c r="AP191" s="87" t="str">
        <f>HYPERLINK("https://pbs.twimg.com/profile_banners/1245238594010091520/1591365134")</f>
        <v>https://pbs.twimg.com/profile_banners/1245238594010091520/1591365134</v>
      </c>
      <c r="AQ191" s="80" t="b">
        <v>1</v>
      </c>
      <c r="AR191" s="80" t="b">
        <v>0</v>
      </c>
      <c r="AS191" s="80" t="b">
        <v>0</v>
      </c>
      <c r="AT191" s="80"/>
      <c r="AU191" s="80">
        <v>863</v>
      </c>
      <c r="AV191" s="80"/>
      <c r="AW191" s="80" t="b">
        <v>0</v>
      </c>
      <c r="AX191" s="80" t="s">
        <v>10746</v>
      </c>
      <c r="AY191" s="87" t="str">
        <f>HYPERLINK("https://twitter.com/dagangkorea")</f>
        <v>https://twitter.com/dagangkorea</v>
      </c>
      <c r="AZ191" s="80" t="s">
        <v>65</v>
      </c>
      <c r="BA191" s="2"/>
      <c r="BB191" s="3"/>
      <c r="BC191" s="3"/>
      <c r="BD191" s="3"/>
      <c r="BE191" s="3"/>
    </row>
    <row r="192" spans="1:57" x14ac:dyDescent="0.35">
      <c r="A192" s="66" t="s">
        <v>375</v>
      </c>
      <c r="B192" s="67"/>
      <c r="C192" s="67"/>
      <c r="D192" s="68"/>
      <c r="E192" s="70"/>
      <c r="F192" s="109" t="str">
        <f>HYPERLINK("https://pbs.twimg.com/profile_images/1442456520252219393/1M3sV1YN_normal.jpg")</f>
        <v>https://pbs.twimg.com/profile_images/1442456520252219393/1M3sV1YN_normal.jpg</v>
      </c>
      <c r="G192" s="67"/>
      <c r="H192" s="71"/>
      <c r="I192" s="72"/>
      <c r="J192" s="72"/>
      <c r="K192" s="71" t="s">
        <v>10935</v>
      </c>
      <c r="L192" s="75"/>
      <c r="M192" s="76"/>
      <c r="N192" s="76"/>
      <c r="O192" s="77"/>
      <c r="P192" s="78"/>
      <c r="Q192" s="78"/>
      <c r="R192" s="92"/>
      <c r="S192" s="92"/>
      <c r="T192" s="92"/>
      <c r="U192" s="92"/>
      <c r="V192" s="52"/>
      <c r="W192" s="52"/>
      <c r="X192" s="52"/>
      <c r="Y192" s="52"/>
      <c r="Z192" s="51"/>
      <c r="AA192" s="73"/>
      <c r="AB192" s="73"/>
      <c r="AC192" s="74"/>
      <c r="AD192" s="80" t="s">
        <v>6775</v>
      </c>
      <c r="AE192" s="85" t="s">
        <v>8031</v>
      </c>
      <c r="AF192" s="80">
        <v>192</v>
      </c>
      <c r="AG192" s="80">
        <v>316</v>
      </c>
      <c r="AH192" s="80">
        <v>8965</v>
      </c>
      <c r="AI192" s="80">
        <v>70</v>
      </c>
      <c r="AJ192" s="80"/>
      <c r="AK192" s="80" t="s">
        <v>9130</v>
      </c>
      <c r="AL192" s="80" t="s">
        <v>10220</v>
      </c>
      <c r="AM192" s="87" t="str">
        <f>HYPERLINK("https://t.co/PZj2xXyIT3")</f>
        <v>https://t.co/PZj2xXyIT3</v>
      </c>
      <c r="AN192" s="80"/>
      <c r="AO192" s="82">
        <v>43716.297615740739</v>
      </c>
      <c r="AP192" s="87" t="str">
        <f>HYPERLINK("https://pbs.twimg.com/profile_banners/1170594722458456064/1632743663")</f>
        <v>https://pbs.twimg.com/profile_banners/1170594722458456064/1632743663</v>
      </c>
      <c r="AQ192" s="80" t="b">
        <v>1</v>
      </c>
      <c r="AR192" s="80" t="b">
        <v>0</v>
      </c>
      <c r="AS192" s="80" t="b">
        <v>0</v>
      </c>
      <c r="AT192" s="80"/>
      <c r="AU192" s="80">
        <v>0</v>
      </c>
      <c r="AV192" s="80"/>
      <c r="AW192" s="80" t="b">
        <v>0</v>
      </c>
      <c r="AX192" s="80" t="s">
        <v>10746</v>
      </c>
      <c r="AY192" s="87" t="str">
        <f>HYPERLINK("https://twitter.com/shuaevee")</f>
        <v>https://twitter.com/shuaevee</v>
      </c>
      <c r="AZ192" s="80" t="s">
        <v>66</v>
      </c>
      <c r="BA192" s="2"/>
      <c r="BB192" s="3"/>
      <c r="BC192" s="3"/>
      <c r="BD192" s="3"/>
      <c r="BE192" s="3"/>
    </row>
    <row r="193" spans="1:57" x14ac:dyDescent="0.35">
      <c r="A193" s="66" t="s">
        <v>376</v>
      </c>
      <c r="B193" s="67"/>
      <c r="C193" s="67"/>
      <c r="D193" s="68"/>
      <c r="E193" s="70"/>
      <c r="F193" s="109" t="str">
        <f>HYPERLINK("https://pbs.twimg.com/profile_images/1439932725046087683/BB9-jejy_normal.jpg")</f>
        <v>https://pbs.twimg.com/profile_images/1439932725046087683/BB9-jejy_normal.jpg</v>
      </c>
      <c r="G193" s="67"/>
      <c r="H193" s="71"/>
      <c r="I193" s="72"/>
      <c r="J193" s="72"/>
      <c r="K193" s="71" t="s">
        <v>10936</v>
      </c>
      <c r="L193" s="75"/>
      <c r="M193" s="76"/>
      <c r="N193" s="76"/>
      <c r="O193" s="77"/>
      <c r="P193" s="78"/>
      <c r="Q193" s="78"/>
      <c r="R193" s="92"/>
      <c r="S193" s="92"/>
      <c r="T193" s="92"/>
      <c r="U193" s="92"/>
      <c r="V193" s="52"/>
      <c r="W193" s="52"/>
      <c r="X193" s="52"/>
      <c r="Y193" s="52"/>
      <c r="Z193" s="51"/>
      <c r="AA193" s="73"/>
      <c r="AB193" s="73"/>
      <c r="AC193" s="74"/>
      <c r="AD193" s="80" t="s">
        <v>6776</v>
      </c>
      <c r="AE193" s="85" t="s">
        <v>8032</v>
      </c>
      <c r="AF193" s="80">
        <v>533</v>
      </c>
      <c r="AG193" s="80">
        <v>516</v>
      </c>
      <c r="AH193" s="80">
        <v>12454</v>
      </c>
      <c r="AI193" s="80">
        <v>7240</v>
      </c>
      <c r="AJ193" s="80"/>
      <c r="AK193" s="80" t="s">
        <v>9131</v>
      </c>
      <c r="AL193" s="80" t="s">
        <v>10221</v>
      </c>
      <c r="AM193" s="80"/>
      <c r="AN193" s="80"/>
      <c r="AO193" s="82">
        <v>43921.57371527778</v>
      </c>
      <c r="AP193" s="87" t="str">
        <f>HYPERLINK("https://pbs.twimg.com/profile_banners/1244984280939483137/1627729222")</f>
        <v>https://pbs.twimg.com/profile_banners/1244984280939483137/1627729222</v>
      </c>
      <c r="AQ193" s="80" t="b">
        <v>1</v>
      </c>
      <c r="AR193" s="80" t="b">
        <v>0</v>
      </c>
      <c r="AS193" s="80" t="b">
        <v>0</v>
      </c>
      <c r="AT193" s="80"/>
      <c r="AU193" s="80">
        <v>1</v>
      </c>
      <c r="AV193" s="80"/>
      <c r="AW193" s="80" t="b">
        <v>0</v>
      </c>
      <c r="AX193" s="80" t="s">
        <v>10746</v>
      </c>
      <c r="AY193" s="87" t="str">
        <f>HYPERLINK("https://twitter.com/suminnasen")</f>
        <v>https://twitter.com/suminnasen</v>
      </c>
      <c r="AZ193" s="80" t="s">
        <v>66</v>
      </c>
      <c r="BA193" s="2"/>
      <c r="BB193" s="3"/>
      <c r="BC193" s="3"/>
      <c r="BD193" s="3"/>
      <c r="BE193" s="3"/>
    </row>
    <row r="194" spans="1:57" x14ac:dyDescent="0.35">
      <c r="A194" s="66" t="s">
        <v>1299</v>
      </c>
      <c r="B194" s="67"/>
      <c r="C194" s="67"/>
      <c r="D194" s="68"/>
      <c r="E194" s="70"/>
      <c r="F194" s="109" t="str">
        <f>HYPERLINK("https://pbs.twimg.com/profile_images/1437255410579230720/r-yGJLXs_normal.jpg")</f>
        <v>https://pbs.twimg.com/profile_images/1437255410579230720/r-yGJLXs_normal.jpg</v>
      </c>
      <c r="G194" s="67"/>
      <c r="H194" s="71"/>
      <c r="I194" s="72"/>
      <c r="J194" s="72"/>
      <c r="K194" s="71" t="s">
        <v>10937</v>
      </c>
      <c r="L194" s="75"/>
      <c r="M194" s="76"/>
      <c r="N194" s="76"/>
      <c r="O194" s="77"/>
      <c r="P194" s="78"/>
      <c r="Q194" s="78"/>
      <c r="R194" s="92"/>
      <c r="S194" s="92"/>
      <c r="T194" s="92"/>
      <c r="U194" s="92"/>
      <c r="V194" s="52"/>
      <c r="W194" s="52"/>
      <c r="X194" s="52"/>
      <c r="Y194" s="52"/>
      <c r="Z194" s="51"/>
      <c r="AA194" s="73"/>
      <c r="AB194" s="73"/>
      <c r="AC194" s="74"/>
      <c r="AD194" s="80" t="s">
        <v>6777</v>
      </c>
      <c r="AE194" s="85" t="s">
        <v>6268</v>
      </c>
      <c r="AF194" s="80">
        <v>729</v>
      </c>
      <c r="AG194" s="80">
        <v>788</v>
      </c>
      <c r="AH194" s="80">
        <v>15055</v>
      </c>
      <c r="AI194" s="80">
        <v>23727</v>
      </c>
      <c r="AJ194" s="80"/>
      <c r="AK194" s="80" t="s">
        <v>9132</v>
      </c>
      <c r="AL194" s="80" t="s">
        <v>10222</v>
      </c>
      <c r="AM194" s="80"/>
      <c r="AN194" s="80"/>
      <c r="AO194" s="82">
        <v>43669.431400462963</v>
      </c>
      <c r="AP194" s="87" t="str">
        <f>HYPERLINK("https://pbs.twimg.com/profile_banners/1153611014421639169/1630161671")</f>
        <v>https://pbs.twimg.com/profile_banners/1153611014421639169/1630161671</v>
      </c>
      <c r="AQ194" s="80" t="b">
        <v>1</v>
      </c>
      <c r="AR194" s="80" t="b">
        <v>0</v>
      </c>
      <c r="AS194" s="80" t="b">
        <v>0</v>
      </c>
      <c r="AT194" s="80"/>
      <c r="AU194" s="80">
        <v>4</v>
      </c>
      <c r="AV194" s="80"/>
      <c r="AW194" s="80" t="b">
        <v>0</v>
      </c>
      <c r="AX194" s="80" t="s">
        <v>10746</v>
      </c>
      <c r="AY194" s="87" t="str">
        <f>HYPERLINK("https://twitter.com/androom3da")</f>
        <v>https://twitter.com/androom3da</v>
      </c>
      <c r="AZ194" s="80" t="s">
        <v>65</v>
      </c>
      <c r="BA194" s="2"/>
      <c r="BB194" s="3"/>
      <c r="BC194" s="3"/>
      <c r="BD194" s="3"/>
      <c r="BE194" s="3"/>
    </row>
    <row r="195" spans="1:57" x14ac:dyDescent="0.35">
      <c r="A195" s="66" t="s">
        <v>377</v>
      </c>
      <c r="B195" s="67"/>
      <c r="C195" s="67"/>
      <c r="D195" s="68"/>
      <c r="E195" s="70"/>
      <c r="F195" s="109" t="str">
        <f>HYPERLINK("https://pbs.twimg.com/profile_images/1421032232693633028/Q9ze0bxI_normal.jpg")</f>
        <v>https://pbs.twimg.com/profile_images/1421032232693633028/Q9ze0bxI_normal.jpg</v>
      </c>
      <c r="G195" s="67"/>
      <c r="H195" s="71"/>
      <c r="I195" s="72"/>
      <c r="J195" s="72"/>
      <c r="K195" s="71" t="s">
        <v>10938</v>
      </c>
      <c r="L195" s="75"/>
      <c r="M195" s="76"/>
      <c r="N195" s="76"/>
      <c r="O195" s="77"/>
      <c r="P195" s="78"/>
      <c r="Q195" s="78"/>
      <c r="R195" s="92"/>
      <c r="S195" s="92"/>
      <c r="T195" s="92"/>
      <c r="U195" s="92"/>
      <c r="V195" s="52"/>
      <c r="W195" s="52"/>
      <c r="X195" s="52"/>
      <c r="Y195" s="52"/>
      <c r="Z195" s="51"/>
      <c r="AA195" s="73"/>
      <c r="AB195" s="73"/>
      <c r="AC195" s="74"/>
      <c r="AD195" s="80" t="s">
        <v>6778</v>
      </c>
      <c r="AE195" s="85" t="s">
        <v>8033</v>
      </c>
      <c r="AF195" s="80">
        <v>621</v>
      </c>
      <c r="AG195" s="80">
        <v>221</v>
      </c>
      <c r="AH195" s="80">
        <v>13235</v>
      </c>
      <c r="AI195" s="80">
        <v>33439</v>
      </c>
      <c r="AJ195" s="80"/>
      <c r="AK195" s="80" t="s">
        <v>9133</v>
      </c>
      <c r="AL195" s="80"/>
      <c r="AM195" s="87" t="str">
        <f>HYPERLINK("https://t.co/tk6jNuy5wn")</f>
        <v>https://t.co/tk6jNuy5wn</v>
      </c>
      <c r="AN195" s="80"/>
      <c r="AO195" s="82">
        <v>43954.607141203705</v>
      </c>
      <c r="AP195" s="87" t="str">
        <f>HYPERLINK("https://pbs.twimg.com/profile_banners/1256955148590440453/1601566256")</f>
        <v>https://pbs.twimg.com/profile_banners/1256955148590440453/1601566256</v>
      </c>
      <c r="AQ195" s="80" t="b">
        <v>1</v>
      </c>
      <c r="AR195" s="80" t="b">
        <v>0</v>
      </c>
      <c r="AS195" s="80" t="b">
        <v>0</v>
      </c>
      <c r="AT195" s="80"/>
      <c r="AU195" s="80">
        <v>0</v>
      </c>
      <c r="AV195" s="80"/>
      <c r="AW195" s="80" t="b">
        <v>0</v>
      </c>
      <c r="AX195" s="80" t="s">
        <v>10746</v>
      </c>
      <c r="AY195" s="87" t="str">
        <f>HYPERLINK("https://twitter.com/mhdaq__")</f>
        <v>https://twitter.com/mhdaq__</v>
      </c>
      <c r="AZ195" s="80" t="s">
        <v>66</v>
      </c>
      <c r="BA195" s="2"/>
      <c r="BB195" s="3"/>
      <c r="BC195" s="3"/>
      <c r="BD195" s="3"/>
      <c r="BE195" s="3"/>
    </row>
    <row r="196" spans="1:57" x14ac:dyDescent="0.35">
      <c r="A196" s="66" t="s">
        <v>378</v>
      </c>
      <c r="B196" s="67"/>
      <c r="C196" s="67"/>
      <c r="D196" s="68"/>
      <c r="E196" s="70"/>
      <c r="F196" s="109" t="str">
        <f>HYPERLINK("https://pbs.twimg.com/profile_images/1440111762628505602/-KCN0iyV_normal.jpg")</f>
        <v>https://pbs.twimg.com/profile_images/1440111762628505602/-KCN0iyV_normal.jpg</v>
      </c>
      <c r="G196" s="67"/>
      <c r="H196" s="71"/>
      <c r="I196" s="72"/>
      <c r="J196" s="72"/>
      <c r="K196" s="71" t="s">
        <v>10939</v>
      </c>
      <c r="L196" s="75"/>
      <c r="M196" s="76"/>
      <c r="N196" s="76"/>
      <c r="O196" s="77"/>
      <c r="P196" s="78"/>
      <c r="Q196" s="78"/>
      <c r="R196" s="92"/>
      <c r="S196" s="92"/>
      <c r="T196" s="92"/>
      <c r="U196" s="92"/>
      <c r="V196" s="52"/>
      <c r="W196" s="52"/>
      <c r="X196" s="52"/>
      <c r="Y196" s="52"/>
      <c r="Z196" s="51"/>
      <c r="AA196" s="73"/>
      <c r="AB196" s="73"/>
      <c r="AC196" s="74"/>
      <c r="AD196" s="80" t="s">
        <v>6779</v>
      </c>
      <c r="AE196" s="85" t="s">
        <v>8034</v>
      </c>
      <c r="AF196" s="80">
        <v>2168</v>
      </c>
      <c r="AG196" s="80">
        <v>264</v>
      </c>
      <c r="AH196" s="80">
        <v>80204</v>
      </c>
      <c r="AI196" s="80">
        <v>191974</v>
      </c>
      <c r="AJ196" s="80"/>
      <c r="AK196" s="80" t="s">
        <v>9134</v>
      </c>
      <c r="AL196" s="80"/>
      <c r="AM196" s="80"/>
      <c r="AN196" s="80"/>
      <c r="AO196" s="82">
        <v>43616.53324074074</v>
      </c>
      <c r="AP196" s="87" t="str">
        <f>HYPERLINK("https://pbs.twimg.com/profile_banners/1134441363229949954/1559308056")</f>
        <v>https://pbs.twimg.com/profile_banners/1134441363229949954/1559308056</v>
      </c>
      <c r="AQ196" s="80" t="b">
        <v>1</v>
      </c>
      <c r="AR196" s="80" t="b">
        <v>0</v>
      </c>
      <c r="AS196" s="80" t="b">
        <v>1</v>
      </c>
      <c r="AT196" s="80"/>
      <c r="AU196" s="80">
        <v>1</v>
      </c>
      <c r="AV196" s="80"/>
      <c r="AW196" s="80" t="b">
        <v>0</v>
      </c>
      <c r="AX196" s="80" t="s">
        <v>10746</v>
      </c>
      <c r="AY196" s="87" t="str">
        <f>HYPERLINK("https://twitter.com/acha2612")</f>
        <v>https://twitter.com/acha2612</v>
      </c>
      <c r="AZ196" s="80" t="s">
        <v>66</v>
      </c>
      <c r="BA196" s="2"/>
      <c r="BB196" s="3"/>
      <c r="BC196" s="3"/>
      <c r="BD196" s="3"/>
      <c r="BE196" s="3"/>
    </row>
    <row r="197" spans="1:57" x14ac:dyDescent="0.35">
      <c r="A197" s="66" t="s">
        <v>379</v>
      </c>
      <c r="B197" s="67"/>
      <c r="C197" s="67"/>
      <c r="D197" s="68"/>
      <c r="E197" s="70"/>
      <c r="F197" s="109" t="str">
        <f>HYPERLINK("https://pbs.twimg.com/profile_images/1387040156167729154/EKgMWLwu_normal.jpg")</f>
        <v>https://pbs.twimg.com/profile_images/1387040156167729154/EKgMWLwu_normal.jpg</v>
      </c>
      <c r="G197" s="67"/>
      <c r="H197" s="71"/>
      <c r="I197" s="72"/>
      <c r="J197" s="72"/>
      <c r="K197" s="71" t="s">
        <v>10940</v>
      </c>
      <c r="L197" s="75"/>
      <c r="M197" s="76"/>
      <c r="N197" s="76"/>
      <c r="O197" s="77"/>
      <c r="P197" s="78"/>
      <c r="Q197" s="78"/>
      <c r="R197" s="92"/>
      <c r="S197" s="92"/>
      <c r="T197" s="92"/>
      <c r="U197" s="92"/>
      <c r="V197" s="52"/>
      <c r="W197" s="52"/>
      <c r="X197" s="52"/>
      <c r="Y197" s="52"/>
      <c r="Z197" s="51"/>
      <c r="AA197" s="73"/>
      <c r="AB197" s="73"/>
      <c r="AC197" s="74"/>
      <c r="AD197" s="80" t="s">
        <v>6780</v>
      </c>
      <c r="AE197" s="85" t="s">
        <v>8035</v>
      </c>
      <c r="AF197" s="80">
        <v>442</v>
      </c>
      <c r="AG197" s="80">
        <v>698</v>
      </c>
      <c r="AH197" s="80">
        <v>14624</v>
      </c>
      <c r="AI197" s="80">
        <v>15546</v>
      </c>
      <c r="AJ197" s="80"/>
      <c r="AK197" s="80" t="s">
        <v>9135</v>
      </c>
      <c r="AL197" s="80" t="s">
        <v>10223</v>
      </c>
      <c r="AM197" s="87" t="str">
        <f>HYPERLINK("https://t.co/LEM9EmtYP0")</f>
        <v>https://t.co/LEM9EmtYP0</v>
      </c>
      <c r="AN197" s="80"/>
      <c r="AO197" s="82">
        <v>44059.254548611112</v>
      </c>
      <c r="AP197" s="87" t="str">
        <f>HYPERLINK("https://pbs.twimg.com/profile_banners/1294878157548339200/1631063221")</f>
        <v>https://pbs.twimg.com/profile_banners/1294878157548339200/1631063221</v>
      </c>
      <c r="AQ197" s="80" t="b">
        <v>1</v>
      </c>
      <c r="AR197" s="80" t="b">
        <v>0</v>
      </c>
      <c r="AS197" s="80" t="b">
        <v>0</v>
      </c>
      <c r="AT197" s="80"/>
      <c r="AU197" s="80">
        <v>1</v>
      </c>
      <c r="AV197" s="80"/>
      <c r="AW197" s="80" t="b">
        <v>0</v>
      </c>
      <c r="AX197" s="80" t="s">
        <v>10746</v>
      </c>
      <c r="AY197" s="87" t="str">
        <f>HYPERLINK("https://twitter.com/dottlily")</f>
        <v>https://twitter.com/dottlily</v>
      </c>
      <c r="AZ197" s="80" t="s">
        <v>66</v>
      </c>
      <c r="BA197" s="2"/>
      <c r="BB197" s="3"/>
      <c r="BC197" s="3"/>
      <c r="BD197" s="3"/>
      <c r="BE197" s="3"/>
    </row>
    <row r="198" spans="1:57" x14ac:dyDescent="0.35">
      <c r="A198" s="66" t="s">
        <v>561</v>
      </c>
      <c r="B198" s="67"/>
      <c r="C198" s="67"/>
      <c r="D198" s="68"/>
      <c r="E198" s="70"/>
      <c r="F198" s="109" t="str">
        <f>HYPERLINK("https://pbs.twimg.com/profile_images/1388370443183136768/Xi-gCM0R_normal.jpg")</f>
        <v>https://pbs.twimg.com/profile_images/1388370443183136768/Xi-gCM0R_normal.jpg</v>
      </c>
      <c r="G198" s="67"/>
      <c r="H198" s="71"/>
      <c r="I198" s="72"/>
      <c r="J198" s="72"/>
      <c r="K198" s="71" t="s">
        <v>10941</v>
      </c>
      <c r="L198" s="75"/>
      <c r="M198" s="76"/>
      <c r="N198" s="76"/>
      <c r="O198" s="77"/>
      <c r="P198" s="78"/>
      <c r="Q198" s="78"/>
      <c r="R198" s="92"/>
      <c r="S198" s="92"/>
      <c r="T198" s="92"/>
      <c r="U198" s="92"/>
      <c r="V198" s="52"/>
      <c r="W198" s="52"/>
      <c r="X198" s="52"/>
      <c r="Y198" s="52"/>
      <c r="Z198" s="51"/>
      <c r="AA198" s="73"/>
      <c r="AB198" s="73"/>
      <c r="AC198" s="74"/>
      <c r="AD198" s="80" t="s">
        <v>6781</v>
      </c>
      <c r="AE198" s="85" t="s">
        <v>8036</v>
      </c>
      <c r="AF198" s="80">
        <v>1414</v>
      </c>
      <c r="AG198" s="80">
        <v>3691</v>
      </c>
      <c r="AH198" s="80">
        <v>57138</v>
      </c>
      <c r="AI198" s="80">
        <v>56834</v>
      </c>
      <c r="AJ198" s="80"/>
      <c r="AK198" s="80" t="s">
        <v>9136</v>
      </c>
      <c r="AL198" s="80"/>
      <c r="AM198" s="87" t="str">
        <f>HYPERLINK("https://t.co/lmGa97g8sH")</f>
        <v>https://t.co/lmGa97g8sH</v>
      </c>
      <c r="AN198" s="80"/>
      <c r="AO198" s="82">
        <v>41571.006493055553</v>
      </c>
      <c r="AP198" s="87" t="str">
        <f>HYPERLINK("https://pbs.twimg.com/profile_banners/2151898476/1627104250")</f>
        <v>https://pbs.twimg.com/profile_banners/2151898476/1627104250</v>
      </c>
      <c r="AQ198" s="80" t="b">
        <v>1</v>
      </c>
      <c r="AR198" s="80" t="b">
        <v>0</v>
      </c>
      <c r="AS198" s="80" t="b">
        <v>0</v>
      </c>
      <c r="AT198" s="80"/>
      <c r="AU198" s="80">
        <v>1</v>
      </c>
      <c r="AV198" s="87" t="str">
        <f>HYPERLINK("https://abs.twimg.com/images/themes/theme1/bg.png")</f>
        <v>https://abs.twimg.com/images/themes/theme1/bg.png</v>
      </c>
      <c r="AW198" s="80" t="b">
        <v>0</v>
      </c>
      <c r="AX198" s="80" t="s">
        <v>10746</v>
      </c>
      <c r="AY198" s="87" t="str">
        <f>HYPERLINK("https://twitter.com/syzira")</f>
        <v>https://twitter.com/syzira</v>
      </c>
      <c r="AZ198" s="80" t="s">
        <v>66</v>
      </c>
      <c r="BA198" s="2"/>
      <c r="BB198" s="3"/>
      <c r="BC198" s="3"/>
      <c r="BD198" s="3"/>
      <c r="BE198" s="3"/>
    </row>
    <row r="199" spans="1:57" x14ac:dyDescent="0.35">
      <c r="A199" s="66" t="s">
        <v>380</v>
      </c>
      <c r="B199" s="67"/>
      <c r="C199" s="67"/>
      <c r="D199" s="68"/>
      <c r="E199" s="70"/>
      <c r="F199" s="109" t="str">
        <f>HYPERLINK("https://pbs.twimg.com/profile_images/1214723655806009344/shjadctT_normal.jpg")</f>
        <v>https://pbs.twimg.com/profile_images/1214723655806009344/shjadctT_normal.jpg</v>
      </c>
      <c r="G199" s="67"/>
      <c r="H199" s="71"/>
      <c r="I199" s="72"/>
      <c r="J199" s="72"/>
      <c r="K199" s="71" t="s">
        <v>10942</v>
      </c>
      <c r="L199" s="75"/>
      <c r="M199" s="76"/>
      <c r="N199" s="76"/>
      <c r="O199" s="77"/>
      <c r="P199" s="78"/>
      <c r="Q199" s="78"/>
      <c r="R199" s="92"/>
      <c r="S199" s="92"/>
      <c r="T199" s="92"/>
      <c r="U199" s="92"/>
      <c r="V199" s="52"/>
      <c r="W199" s="52"/>
      <c r="X199" s="52"/>
      <c r="Y199" s="52"/>
      <c r="Z199" s="51"/>
      <c r="AA199" s="73"/>
      <c r="AB199" s="73"/>
      <c r="AC199" s="74"/>
      <c r="AD199" s="80" t="s">
        <v>6782</v>
      </c>
      <c r="AE199" s="85" t="s">
        <v>6269</v>
      </c>
      <c r="AF199" s="80">
        <v>125</v>
      </c>
      <c r="AG199" s="80">
        <v>191</v>
      </c>
      <c r="AH199" s="80">
        <v>593</v>
      </c>
      <c r="AI199" s="80">
        <v>90</v>
      </c>
      <c r="AJ199" s="80"/>
      <c r="AK199" s="80" t="s">
        <v>9137</v>
      </c>
      <c r="AL199" s="80" t="s">
        <v>10224</v>
      </c>
      <c r="AM199" s="87" t="str">
        <f>HYPERLINK("https://t.co/N7qRhFLl5j")</f>
        <v>https://t.co/N7qRhFLl5j</v>
      </c>
      <c r="AN199" s="80"/>
      <c r="AO199" s="82">
        <v>43119.380555555559</v>
      </c>
      <c r="AP199" s="87" t="str">
        <f>HYPERLINK("https://pbs.twimg.com/profile_banners/954279262617460737/1557127563")</f>
        <v>https://pbs.twimg.com/profile_banners/954279262617460737/1557127563</v>
      </c>
      <c r="AQ199" s="80" t="b">
        <v>0</v>
      </c>
      <c r="AR199" s="80" t="b">
        <v>0</v>
      </c>
      <c r="AS199" s="80" t="b">
        <v>1</v>
      </c>
      <c r="AT199" s="80"/>
      <c r="AU199" s="80">
        <v>0</v>
      </c>
      <c r="AV199" s="87" t="str">
        <f>HYPERLINK("https://abs.twimg.com/images/themes/theme1/bg.png")</f>
        <v>https://abs.twimg.com/images/themes/theme1/bg.png</v>
      </c>
      <c r="AW199" s="80" t="b">
        <v>0</v>
      </c>
      <c r="AX199" s="80" t="s">
        <v>10746</v>
      </c>
      <c r="AY199" s="87" t="str">
        <f>HYPERLINK("https://twitter.com/kanimentikong")</f>
        <v>https://twitter.com/kanimentikong</v>
      </c>
      <c r="AZ199" s="80" t="s">
        <v>66</v>
      </c>
      <c r="BA199" s="2"/>
      <c r="BB199" s="3"/>
      <c r="BC199" s="3"/>
      <c r="BD199" s="3"/>
      <c r="BE199" s="3"/>
    </row>
    <row r="200" spans="1:57" x14ac:dyDescent="0.35">
      <c r="A200" s="66" t="s">
        <v>381</v>
      </c>
      <c r="B200" s="67"/>
      <c r="C200" s="67"/>
      <c r="D200" s="68"/>
      <c r="E200" s="70"/>
      <c r="F200" s="109" t="str">
        <f>HYPERLINK("https://pbs.twimg.com/profile_images/1384930450070593537/99K18rDq_normal.jpg")</f>
        <v>https://pbs.twimg.com/profile_images/1384930450070593537/99K18rDq_normal.jpg</v>
      </c>
      <c r="G200" s="67"/>
      <c r="H200" s="71"/>
      <c r="I200" s="72"/>
      <c r="J200" s="72"/>
      <c r="K200" s="71" t="s">
        <v>10943</v>
      </c>
      <c r="L200" s="75"/>
      <c r="M200" s="76"/>
      <c r="N200" s="76"/>
      <c r="O200" s="77"/>
      <c r="P200" s="78"/>
      <c r="Q200" s="78"/>
      <c r="R200" s="92"/>
      <c r="S200" s="92"/>
      <c r="T200" s="92"/>
      <c r="U200" s="92"/>
      <c r="V200" s="52"/>
      <c r="W200" s="52"/>
      <c r="X200" s="52"/>
      <c r="Y200" s="52"/>
      <c r="Z200" s="51"/>
      <c r="AA200" s="73"/>
      <c r="AB200" s="73"/>
      <c r="AC200" s="74"/>
      <c r="AD200" s="80" t="s">
        <v>6783</v>
      </c>
      <c r="AE200" s="85" t="s">
        <v>6270</v>
      </c>
      <c r="AF200" s="80">
        <v>179</v>
      </c>
      <c r="AG200" s="80">
        <v>130</v>
      </c>
      <c r="AH200" s="80">
        <v>4846</v>
      </c>
      <c r="AI200" s="80">
        <v>693</v>
      </c>
      <c r="AJ200" s="80"/>
      <c r="AK200" s="80"/>
      <c r="AL200" s="80"/>
      <c r="AM200" s="80"/>
      <c r="AN200" s="80"/>
      <c r="AO200" s="82">
        <v>43239.288171296299</v>
      </c>
      <c r="AP200" s="87" t="str">
        <f>HYPERLINK("https://pbs.twimg.com/profile_banners/997732326858674177/1631455814")</f>
        <v>https://pbs.twimg.com/profile_banners/997732326858674177/1631455814</v>
      </c>
      <c r="AQ200" s="80" t="b">
        <v>1</v>
      </c>
      <c r="AR200" s="80" t="b">
        <v>0</v>
      </c>
      <c r="AS200" s="80" t="b">
        <v>1</v>
      </c>
      <c r="AT200" s="80"/>
      <c r="AU200" s="80">
        <v>0</v>
      </c>
      <c r="AV200" s="80"/>
      <c r="AW200" s="80" t="b">
        <v>0</v>
      </c>
      <c r="AX200" s="80" t="s">
        <v>10746</v>
      </c>
      <c r="AY200" s="87" t="str">
        <f>HYPERLINK("https://twitter.com/kamustikaa")</f>
        <v>https://twitter.com/kamustikaa</v>
      </c>
      <c r="AZ200" s="80" t="s">
        <v>66</v>
      </c>
      <c r="BA200" s="2"/>
      <c r="BB200" s="3"/>
      <c r="BC200" s="3"/>
      <c r="BD200" s="3"/>
      <c r="BE200" s="3"/>
    </row>
    <row r="201" spans="1:57" x14ac:dyDescent="0.35">
      <c r="A201" s="66" t="s">
        <v>382</v>
      </c>
      <c r="B201" s="67"/>
      <c r="C201" s="67"/>
      <c r="D201" s="68"/>
      <c r="E201" s="70"/>
      <c r="F201" s="109" t="str">
        <f>HYPERLINK("https://pbs.twimg.com/profile_images/1360564371156471811/0LhtS6Y4_normal.jpg")</f>
        <v>https://pbs.twimg.com/profile_images/1360564371156471811/0LhtS6Y4_normal.jpg</v>
      </c>
      <c r="G201" s="67"/>
      <c r="H201" s="71"/>
      <c r="I201" s="72"/>
      <c r="J201" s="72"/>
      <c r="K201" s="71" t="s">
        <v>10944</v>
      </c>
      <c r="L201" s="75"/>
      <c r="M201" s="76"/>
      <c r="N201" s="76"/>
      <c r="O201" s="77"/>
      <c r="P201" s="78"/>
      <c r="Q201" s="78"/>
      <c r="R201" s="92"/>
      <c r="S201" s="92"/>
      <c r="T201" s="92"/>
      <c r="U201" s="92"/>
      <c r="V201" s="52"/>
      <c r="W201" s="52"/>
      <c r="X201" s="52"/>
      <c r="Y201" s="52"/>
      <c r="Z201" s="51"/>
      <c r="AA201" s="73"/>
      <c r="AB201" s="73"/>
      <c r="AC201" s="74"/>
      <c r="AD201" s="80" t="s">
        <v>6784</v>
      </c>
      <c r="AE201" s="85" t="s">
        <v>8037</v>
      </c>
      <c r="AF201" s="80">
        <v>0</v>
      </c>
      <c r="AG201" s="80">
        <v>1451</v>
      </c>
      <c r="AH201" s="80">
        <v>8245</v>
      </c>
      <c r="AI201" s="80">
        <v>2853</v>
      </c>
      <c r="AJ201" s="80"/>
      <c r="AK201" s="80" t="s">
        <v>9138</v>
      </c>
      <c r="AL201" s="80"/>
      <c r="AM201" s="87" t="str">
        <f>HYPERLINK("https://t.co/wGJ5jSBHQs")</f>
        <v>https://t.co/wGJ5jSBHQs</v>
      </c>
      <c r="AN201" s="80"/>
      <c r="AO201" s="82">
        <v>43523.433368055557</v>
      </c>
      <c r="AP201" s="87" t="str">
        <f>HYPERLINK("https://pbs.twimg.com/profile_banners/1100703099222540288/1628955190")</f>
        <v>https://pbs.twimg.com/profile_banners/1100703099222540288/1628955190</v>
      </c>
      <c r="AQ201" s="80" t="b">
        <v>0</v>
      </c>
      <c r="AR201" s="80" t="b">
        <v>0</v>
      </c>
      <c r="AS201" s="80" t="b">
        <v>0</v>
      </c>
      <c r="AT201" s="80"/>
      <c r="AU201" s="80">
        <v>15</v>
      </c>
      <c r="AV201" s="87" t="str">
        <f>HYPERLINK("https://abs.twimg.com/images/themes/theme1/bg.png")</f>
        <v>https://abs.twimg.com/images/themes/theme1/bg.png</v>
      </c>
      <c r="AW201" s="80" t="b">
        <v>0</v>
      </c>
      <c r="AX201" s="80" t="s">
        <v>10746</v>
      </c>
      <c r="AY201" s="87" t="str">
        <f>HYPERLINK("https://twitter.com/jobtripper")</f>
        <v>https://twitter.com/jobtripper</v>
      </c>
      <c r="AZ201" s="80" t="s">
        <v>66</v>
      </c>
      <c r="BA201" s="2"/>
      <c r="BB201" s="3"/>
      <c r="BC201" s="3"/>
      <c r="BD201" s="3"/>
      <c r="BE201" s="3"/>
    </row>
    <row r="202" spans="1:57" x14ac:dyDescent="0.35">
      <c r="A202" s="66" t="s">
        <v>383</v>
      </c>
      <c r="B202" s="67"/>
      <c r="C202" s="67"/>
      <c r="D202" s="68"/>
      <c r="E202" s="70"/>
      <c r="F202" s="109" t="str">
        <f>HYPERLINK("https://pbs.twimg.com/profile_images/1434558986540371971/_TiK8zFG_normal.jpg")</f>
        <v>https://pbs.twimg.com/profile_images/1434558986540371971/_TiK8zFG_normal.jpg</v>
      </c>
      <c r="G202" s="67"/>
      <c r="H202" s="71"/>
      <c r="I202" s="72"/>
      <c r="J202" s="72"/>
      <c r="K202" s="71" t="s">
        <v>10945</v>
      </c>
      <c r="L202" s="75"/>
      <c r="M202" s="76"/>
      <c r="N202" s="76"/>
      <c r="O202" s="77"/>
      <c r="P202" s="78"/>
      <c r="Q202" s="78"/>
      <c r="R202" s="92"/>
      <c r="S202" s="92"/>
      <c r="T202" s="92"/>
      <c r="U202" s="92"/>
      <c r="V202" s="52"/>
      <c r="W202" s="52"/>
      <c r="X202" s="52"/>
      <c r="Y202" s="52"/>
      <c r="Z202" s="51"/>
      <c r="AA202" s="73"/>
      <c r="AB202" s="73"/>
      <c r="AC202" s="74"/>
      <c r="AD202" s="80" t="s">
        <v>6785</v>
      </c>
      <c r="AE202" s="85" t="s">
        <v>8038</v>
      </c>
      <c r="AF202" s="80">
        <v>833</v>
      </c>
      <c r="AG202" s="80">
        <v>1514</v>
      </c>
      <c r="AH202" s="80">
        <v>62557</v>
      </c>
      <c r="AI202" s="80">
        <v>36714</v>
      </c>
      <c r="AJ202" s="80"/>
      <c r="AK202" s="80" t="s">
        <v>9139</v>
      </c>
      <c r="AL202" s="80" t="s">
        <v>10225</v>
      </c>
      <c r="AM202" s="87" t="str">
        <f>HYPERLINK("https://t.co/Vo1FHoK0c1")</f>
        <v>https://t.co/Vo1FHoK0c1</v>
      </c>
      <c r="AN202" s="80"/>
      <c r="AO202" s="82">
        <v>43997.771134259259</v>
      </c>
      <c r="AP202" s="87" t="str">
        <f>HYPERLINK("https://pbs.twimg.com/profile_banners/1272597268533673984/1607839248")</f>
        <v>https://pbs.twimg.com/profile_banners/1272597268533673984/1607839248</v>
      </c>
      <c r="AQ202" s="80" t="b">
        <v>1</v>
      </c>
      <c r="AR202" s="80" t="b">
        <v>0</v>
      </c>
      <c r="AS202" s="80" t="b">
        <v>0</v>
      </c>
      <c r="AT202" s="80"/>
      <c r="AU202" s="80">
        <v>2</v>
      </c>
      <c r="AV202" s="80"/>
      <c r="AW202" s="80" t="b">
        <v>0</v>
      </c>
      <c r="AX202" s="80" t="s">
        <v>10746</v>
      </c>
      <c r="AY202" s="87" t="str">
        <f>HYPERLINK("https://twitter.com/selebcuit")</f>
        <v>https://twitter.com/selebcuit</v>
      </c>
      <c r="AZ202" s="80" t="s">
        <v>66</v>
      </c>
      <c r="BA202" s="2"/>
      <c r="BB202" s="3"/>
      <c r="BC202" s="3"/>
      <c r="BD202" s="3"/>
      <c r="BE202" s="3"/>
    </row>
    <row r="203" spans="1:57" x14ac:dyDescent="0.35">
      <c r="A203" s="66" t="s">
        <v>384</v>
      </c>
      <c r="B203" s="67"/>
      <c r="C203" s="67"/>
      <c r="D203" s="68"/>
      <c r="E203" s="70"/>
      <c r="F203" s="109" t="str">
        <f>HYPERLINK("https://pbs.twimg.com/profile_images/1379504233070784513/us3k8KgA_normal.jpg")</f>
        <v>https://pbs.twimg.com/profile_images/1379504233070784513/us3k8KgA_normal.jpg</v>
      </c>
      <c r="G203" s="67"/>
      <c r="H203" s="71"/>
      <c r="I203" s="72"/>
      <c r="J203" s="72"/>
      <c r="K203" s="71" t="s">
        <v>10946</v>
      </c>
      <c r="L203" s="75"/>
      <c r="M203" s="76"/>
      <c r="N203" s="76"/>
      <c r="O203" s="77"/>
      <c r="P203" s="78"/>
      <c r="Q203" s="78"/>
      <c r="R203" s="92"/>
      <c r="S203" s="92"/>
      <c r="T203" s="92"/>
      <c r="U203" s="92"/>
      <c r="V203" s="52"/>
      <c r="W203" s="52"/>
      <c r="X203" s="52"/>
      <c r="Y203" s="52"/>
      <c r="Z203" s="51"/>
      <c r="AA203" s="73"/>
      <c r="AB203" s="73"/>
      <c r="AC203" s="74"/>
      <c r="AD203" s="80" t="s">
        <v>6786</v>
      </c>
      <c r="AE203" s="85" t="s">
        <v>8039</v>
      </c>
      <c r="AF203" s="80">
        <v>267</v>
      </c>
      <c r="AG203" s="80">
        <v>80</v>
      </c>
      <c r="AH203" s="80">
        <v>2314</v>
      </c>
      <c r="AI203" s="80">
        <v>4892</v>
      </c>
      <c r="AJ203" s="80"/>
      <c r="AK203" s="80" t="s">
        <v>9140</v>
      </c>
      <c r="AL203" s="80" t="s">
        <v>10226</v>
      </c>
      <c r="AM203" s="80"/>
      <c r="AN203" s="80"/>
      <c r="AO203" s="82">
        <v>43691.997199074074</v>
      </c>
      <c r="AP203" s="87" t="str">
        <f>HYPERLINK("https://pbs.twimg.com/profile_banners/1161788585491628032/1605882584")</f>
        <v>https://pbs.twimg.com/profile_banners/1161788585491628032/1605882584</v>
      </c>
      <c r="AQ203" s="80" t="b">
        <v>1</v>
      </c>
      <c r="AR203" s="80" t="b">
        <v>0</v>
      </c>
      <c r="AS203" s="80" t="b">
        <v>0</v>
      </c>
      <c r="AT203" s="80"/>
      <c r="AU203" s="80">
        <v>0</v>
      </c>
      <c r="AV203" s="80"/>
      <c r="AW203" s="80" t="b">
        <v>0</v>
      </c>
      <c r="AX203" s="80" t="s">
        <v>10746</v>
      </c>
      <c r="AY203" s="87" t="str">
        <f>HYPERLINK("https://twitter.com/alepsss_")</f>
        <v>https://twitter.com/alepsss_</v>
      </c>
      <c r="AZ203" s="80" t="s">
        <v>66</v>
      </c>
      <c r="BA203" s="2"/>
      <c r="BB203" s="3"/>
      <c r="BC203" s="3"/>
      <c r="BD203" s="3"/>
      <c r="BE203" s="3"/>
    </row>
    <row r="204" spans="1:57" x14ac:dyDescent="0.35">
      <c r="A204" s="66" t="s">
        <v>385</v>
      </c>
      <c r="B204" s="67"/>
      <c r="C204" s="67"/>
      <c r="D204" s="68"/>
      <c r="E204" s="70"/>
      <c r="F204" s="109" t="str">
        <f>HYPERLINK("https://pbs.twimg.com/profile_images/1410810722234232835/9toWTqWj_normal.jpg")</f>
        <v>https://pbs.twimg.com/profile_images/1410810722234232835/9toWTqWj_normal.jpg</v>
      </c>
      <c r="G204" s="67"/>
      <c r="H204" s="71"/>
      <c r="I204" s="72"/>
      <c r="J204" s="72"/>
      <c r="K204" s="71" t="s">
        <v>10947</v>
      </c>
      <c r="L204" s="75"/>
      <c r="M204" s="76"/>
      <c r="N204" s="76"/>
      <c r="O204" s="77"/>
      <c r="P204" s="78"/>
      <c r="Q204" s="78"/>
      <c r="R204" s="92"/>
      <c r="S204" s="92"/>
      <c r="T204" s="92"/>
      <c r="U204" s="92"/>
      <c r="V204" s="52"/>
      <c r="W204" s="52"/>
      <c r="X204" s="52"/>
      <c r="Y204" s="52"/>
      <c r="Z204" s="51"/>
      <c r="AA204" s="73"/>
      <c r="AB204" s="73"/>
      <c r="AC204" s="74"/>
      <c r="AD204" s="80" t="s">
        <v>6787</v>
      </c>
      <c r="AE204" s="85" t="s">
        <v>8040</v>
      </c>
      <c r="AF204" s="80">
        <v>1556</v>
      </c>
      <c r="AG204" s="80">
        <v>928</v>
      </c>
      <c r="AH204" s="80">
        <v>14158</v>
      </c>
      <c r="AI204" s="80">
        <v>2554</v>
      </c>
      <c r="AJ204" s="80"/>
      <c r="AK204" s="80" t="s">
        <v>9141</v>
      </c>
      <c r="AL204" s="80" t="s">
        <v>10227</v>
      </c>
      <c r="AM204" s="87" t="str">
        <f>HYPERLINK("https://t.co/TtCba8HTFq")</f>
        <v>https://t.co/TtCba8HTFq</v>
      </c>
      <c r="AN204" s="80"/>
      <c r="AO204" s="82">
        <v>43992.689652777779</v>
      </c>
      <c r="AP204" s="87" t="str">
        <f>HYPERLINK("https://pbs.twimg.com/profile_banners/1270755799329996800/1630926734")</f>
        <v>https://pbs.twimg.com/profile_banners/1270755799329996800/1630926734</v>
      </c>
      <c r="AQ204" s="80" t="b">
        <v>1</v>
      </c>
      <c r="AR204" s="80" t="b">
        <v>0</v>
      </c>
      <c r="AS204" s="80" t="b">
        <v>0</v>
      </c>
      <c r="AT204" s="80"/>
      <c r="AU204" s="80">
        <v>1</v>
      </c>
      <c r="AV204" s="80"/>
      <c r="AW204" s="80" t="b">
        <v>0</v>
      </c>
      <c r="AX204" s="80" t="s">
        <v>10746</v>
      </c>
      <c r="AY204" s="87" t="str">
        <f>HYPERLINK("https://twitter.com/kenanga_co")</f>
        <v>https://twitter.com/kenanga_co</v>
      </c>
      <c r="AZ204" s="80" t="s">
        <v>66</v>
      </c>
      <c r="BA204" s="2"/>
      <c r="BB204" s="3"/>
      <c r="BC204" s="3"/>
      <c r="BD204" s="3"/>
      <c r="BE204" s="3"/>
    </row>
    <row r="205" spans="1:57" x14ac:dyDescent="0.35">
      <c r="A205" s="66" t="s">
        <v>386</v>
      </c>
      <c r="B205" s="67"/>
      <c r="C205" s="67"/>
      <c r="D205" s="68"/>
      <c r="E205" s="70"/>
      <c r="F205" s="109" t="str">
        <f>HYPERLINK("https://pbs.twimg.com/profile_images/1218902427417464833/fj3Fex17_normal.jpg")</f>
        <v>https://pbs.twimg.com/profile_images/1218902427417464833/fj3Fex17_normal.jpg</v>
      </c>
      <c r="G205" s="67"/>
      <c r="H205" s="71"/>
      <c r="I205" s="72"/>
      <c r="J205" s="72"/>
      <c r="K205" s="71" t="s">
        <v>10948</v>
      </c>
      <c r="L205" s="75"/>
      <c r="M205" s="76"/>
      <c r="N205" s="76"/>
      <c r="O205" s="77"/>
      <c r="P205" s="78"/>
      <c r="Q205" s="78"/>
      <c r="R205" s="92"/>
      <c r="S205" s="92"/>
      <c r="T205" s="92"/>
      <c r="U205" s="92"/>
      <c r="V205" s="52"/>
      <c r="W205" s="52"/>
      <c r="X205" s="52"/>
      <c r="Y205" s="52"/>
      <c r="Z205" s="51"/>
      <c r="AA205" s="73"/>
      <c r="AB205" s="73"/>
      <c r="AC205" s="74"/>
      <c r="AD205" s="80" t="s">
        <v>6788</v>
      </c>
      <c r="AE205" s="85" t="s">
        <v>8041</v>
      </c>
      <c r="AF205" s="80">
        <v>725</v>
      </c>
      <c r="AG205" s="80">
        <v>647</v>
      </c>
      <c r="AH205" s="80">
        <v>28975</v>
      </c>
      <c r="AI205" s="80">
        <v>453</v>
      </c>
      <c r="AJ205" s="80"/>
      <c r="AK205" s="80"/>
      <c r="AL205" s="80" t="s">
        <v>10228</v>
      </c>
      <c r="AM205" s="80"/>
      <c r="AN205" s="80"/>
      <c r="AO205" s="82">
        <v>40096.390335648146</v>
      </c>
      <c r="AP205" s="80"/>
      <c r="AQ205" s="80" t="b">
        <v>0</v>
      </c>
      <c r="AR205" s="80" t="b">
        <v>0</v>
      </c>
      <c r="AS205" s="80" t="b">
        <v>1</v>
      </c>
      <c r="AT205" s="80"/>
      <c r="AU205" s="80">
        <v>0</v>
      </c>
      <c r="AV205" s="87" t="str">
        <f>HYPERLINK("https://abs.twimg.com/images/themes/theme14/bg.gif")</f>
        <v>https://abs.twimg.com/images/themes/theme14/bg.gif</v>
      </c>
      <c r="AW205" s="80" t="b">
        <v>0</v>
      </c>
      <c r="AX205" s="80" t="s">
        <v>10746</v>
      </c>
      <c r="AY205" s="87" t="str">
        <f>HYPERLINK("https://twitter.com/ronimputra")</f>
        <v>https://twitter.com/ronimputra</v>
      </c>
      <c r="AZ205" s="80" t="s">
        <v>66</v>
      </c>
      <c r="BA205" s="2"/>
      <c r="BB205" s="3"/>
      <c r="BC205" s="3"/>
      <c r="BD205" s="3"/>
      <c r="BE205" s="3"/>
    </row>
    <row r="206" spans="1:57" x14ac:dyDescent="0.35">
      <c r="A206" s="66" t="s">
        <v>388</v>
      </c>
      <c r="B206" s="67"/>
      <c r="C206" s="67"/>
      <c r="D206" s="68"/>
      <c r="E206" s="70"/>
      <c r="F206" s="109" t="str">
        <f>HYPERLINK("https://pbs.twimg.com/profile_images/1433359017716301824/uxVF51Ke_normal.jpg")</f>
        <v>https://pbs.twimg.com/profile_images/1433359017716301824/uxVF51Ke_normal.jpg</v>
      </c>
      <c r="G206" s="67"/>
      <c r="H206" s="71"/>
      <c r="I206" s="72"/>
      <c r="J206" s="72"/>
      <c r="K206" s="71" t="s">
        <v>10949</v>
      </c>
      <c r="L206" s="75"/>
      <c r="M206" s="76"/>
      <c r="N206" s="76"/>
      <c r="O206" s="77"/>
      <c r="P206" s="78"/>
      <c r="Q206" s="78"/>
      <c r="R206" s="92"/>
      <c r="S206" s="92"/>
      <c r="T206" s="92"/>
      <c r="U206" s="92"/>
      <c r="V206" s="52"/>
      <c r="W206" s="52"/>
      <c r="X206" s="52"/>
      <c r="Y206" s="52"/>
      <c r="Z206" s="51"/>
      <c r="AA206" s="73"/>
      <c r="AB206" s="73"/>
      <c r="AC206" s="74"/>
      <c r="AD206" s="80" t="s">
        <v>6789</v>
      </c>
      <c r="AE206" s="85" t="s">
        <v>8042</v>
      </c>
      <c r="AF206" s="80">
        <v>10</v>
      </c>
      <c r="AG206" s="80">
        <v>6</v>
      </c>
      <c r="AH206" s="80">
        <v>9</v>
      </c>
      <c r="AI206" s="80">
        <v>2</v>
      </c>
      <c r="AJ206" s="80"/>
      <c r="AK206" s="80" t="s">
        <v>9142</v>
      </c>
      <c r="AL206" s="80" t="s">
        <v>10174</v>
      </c>
      <c r="AM206" s="87" t="str">
        <f>HYPERLINK("https://t.co/gLtP9zP4eE")</f>
        <v>https://t.co/gLtP9zP4eE</v>
      </c>
      <c r="AN206" s="80"/>
      <c r="AO206" s="82">
        <v>44418.197523148148</v>
      </c>
      <c r="AP206" s="87" t="str">
        <f>HYPERLINK("https://pbs.twimg.com/profile_banners/1424954670649266180/1630574369")</f>
        <v>https://pbs.twimg.com/profile_banners/1424954670649266180/1630574369</v>
      </c>
      <c r="AQ206" s="80" t="b">
        <v>1</v>
      </c>
      <c r="AR206" s="80" t="b">
        <v>0</v>
      </c>
      <c r="AS206" s="80" t="b">
        <v>0</v>
      </c>
      <c r="AT206" s="80"/>
      <c r="AU206" s="80">
        <v>0</v>
      </c>
      <c r="AV206" s="80"/>
      <c r="AW206" s="80" t="b">
        <v>0</v>
      </c>
      <c r="AX206" s="80" t="s">
        <v>10746</v>
      </c>
      <c r="AY206" s="87" t="str">
        <f>HYPERLINK("https://twitter.com/flagamedia")</f>
        <v>https://twitter.com/flagamedia</v>
      </c>
      <c r="AZ206" s="80" t="s">
        <v>66</v>
      </c>
      <c r="BA206" s="2"/>
      <c r="BB206" s="3"/>
      <c r="BC206" s="3"/>
      <c r="BD206" s="3"/>
      <c r="BE206" s="3"/>
    </row>
    <row r="207" spans="1:57" x14ac:dyDescent="0.35">
      <c r="A207" s="66" t="s">
        <v>387</v>
      </c>
      <c r="B207" s="67"/>
      <c r="C207" s="67"/>
      <c r="D207" s="68"/>
      <c r="E207" s="70"/>
      <c r="F207" s="109" t="str">
        <f>HYPERLINK("https://pbs.twimg.com/profile_images/1406723222335234048/OgEwc7GO_normal.jpg")</f>
        <v>https://pbs.twimg.com/profile_images/1406723222335234048/OgEwc7GO_normal.jpg</v>
      </c>
      <c r="G207" s="67"/>
      <c r="H207" s="71"/>
      <c r="I207" s="72"/>
      <c r="J207" s="72"/>
      <c r="K207" s="71" t="s">
        <v>10950</v>
      </c>
      <c r="L207" s="75"/>
      <c r="M207" s="76"/>
      <c r="N207" s="76"/>
      <c r="O207" s="77"/>
      <c r="P207" s="78"/>
      <c r="Q207" s="78"/>
      <c r="R207" s="92"/>
      <c r="S207" s="92"/>
      <c r="T207" s="92"/>
      <c r="U207" s="92"/>
      <c r="V207" s="52"/>
      <c r="W207" s="52"/>
      <c r="X207" s="52"/>
      <c r="Y207" s="52"/>
      <c r="Z207" s="51"/>
      <c r="AA207" s="73"/>
      <c r="AB207" s="73"/>
      <c r="AC207" s="74"/>
      <c r="AD207" s="80" t="s">
        <v>6790</v>
      </c>
      <c r="AE207" s="85" t="s">
        <v>8043</v>
      </c>
      <c r="AF207" s="80">
        <v>540</v>
      </c>
      <c r="AG207" s="80">
        <v>20</v>
      </c>
      <c r="AH207" s="80">
        <v>2087</v>
      </c>
      <c r="AI207" s="80">
        <v>8</v>
      </c>
      <c r="AJ207" s="80"/>
      <c r="AK207" s="80" t="s">
        <v>9143</v>
      </c>
      <c r="AL207" s="80" t="s">
        <v>10229</v>
      </c>
      <c r="AM207" s="80"/>
      <c r="AN207" s="80"/>
      <c r="AO207" s="82">
        <v>44096.989305555559</v>
      </c>
      <c r="AP207" s="87" t="str">
        <f>HYPERLINK("https://pbs.twimg.com/profile_banners/1308552573167706112/1601203491")</f>
        <v>https://pbs.twimg.com/profile_banners/1308552573167706112/1601203491</v>
      </c>
      <c r="AQ207" s="80" t="b">
        <v>1</v>
      </c>
      <c r="AR207" s="80" t="b">
        <v>0</v>
      </c>
      <c r="AS207" s="80" t="b">
        <v>0</v>
      </c>
      <c r="AT207" s="80"/>
      <c r="AU207" s="80">
        <v>0</v>
      </c>
      <c r="AV207" s="80"/>
      <c r="AW207" s="80" t="b">
        <v>0</v>
      </c>
      <c r="AX207" s="80" t="s">
        <v>10746</v>
      </c>
      <c r="AY207" s="87" t="str">
        <f>HYPERLINK("https://twitter.com/romshahrom1")</f>
        <v>https://twitter.com/romshahrom1</v>
      </c>
      <c r="AZ207" s="80" t="s">
        <v>66</v>
      </c>
      <c r="BA207" s="2"/>
      <c r="BB207" s="3"/>
      <c r="BC207" s="3"/>
      <c r="BD207" s="3"/>
      <c r="BE207" s="3"/>
    </row>
    <row r="208" spans="1:57" x14ac:dyDescent="0.35">
      <c r="A208" s="66" t="s">
        <v>1300</v>
      </c>
      <c r="B208" s="67"/>
      <c r="C208" s="67"/>
      <c r="D208" s="68"/>
      <c r="E208" s="70"/>
      <c r="F208" s="109" t="str">
        <f>HYPERLINK("https://pbs.twimg.com/profile_images/1342083397640806402/QS2JQITc_normal.jpg")</f>
        <v>https://pbs.twimg.com/profile_images/1342083397640806402/QS2JQITc_normal.jpg</v>
      </c>
      <c r="G208" s="67"/>
      <c r="H208" s="71"/>
      <c r="I208" s="72"/>
      <c r="J208" s="72"/>
      <c r="K208" s="71" t="s">
        <v>10951</v>
      </c>
      <c r="L208" s="75"/>
      <c r="M208" s="76"/>
      <c r="N208" s="76"/>
      <c r="O208" s="77"/>
      <c r="P208" s="78"/>
      <c r="Q208" s="78"/>
      <c r="R208" s="92"/>
      <c r="S208" s="92"/>
      <c r="T208" s="92"/>
      <c r="U208" s="92"/>
      <c r="V208" s="52"/>
      <c r="W208" s="52"/>
      <c r="X208" s="52"/>
      <c r="Y208" s="52"/>
      <c r="Z208" s="51"/>
      <c r="AA208" s="73"/>
      <c r="AB208" s="73"/>
      <c r="AC208" s="74"/>
      <c r="AD208" s="80" t="s">
        <v>6791</v>
      </c>
      <c r="AE208" s="85" t="s">
        <v>6271</v>
      </c>
      <c r="AF208" s="80">
        <v>1462</v>
      </c>
      <c r="AG208" s="80">
        <v>44480</v>
      </c>
      <c r="AH208" s="80">
        <v>35820</v>
      </c>
      <c r="AI208" s="80">
        <v>4645</v>
      </c>
      <c r="AJ208" s="80"/>
      <c r="AK208" s="80" t="s">
        <v>9144</v>
      </c>
      <c r="AL208" s="80" t="s">
        <v>10230</v>
      </c>
      <c r="AM208" s="87" t="str">
        <f>HYPERLINK("https://t.co/bf1aodQsFr")</f>
        <v>https://t.co/bf1aodQsFr</v>
      </c>
      <c r="AN208" s="80"/>
      <c r="AO208" s="82">
        <v>43308.505254629628</v>
      </c>
      <c r="AP208" s="87" t="str">
        <f>HYPERLINK("https://pbs.twimg.com/profile_banners/1022815758743613440/1629540283")</f>
        <v>https://pbs.twimg.com/profile_banners/1022815758743613440/1629540283</v>
      </c>
      <c r="AQ208" s="80" t="b">
        <v>1</v>
      </c>
      <c r="AR208" s="80" t="b">
        <v>0</v>
      </c>
      <c r="AS208" s="80" t="b">
        <v>1</v>
      </c>
      <c r="AT208" s="80"/>
      <c r="AU208" s="80">
        <v>81</v>
      </c>
      <c r="AV208" s="80"/>
      <c r="AW208" s="80" t="b">
        <v>0</v>
      </c>
      <c r="AX208" s="80" t="s">
        <v>10746</v>
      </c>
      <c r="AY208" s="87" t="str">
        <f>HYPERLINK("https://twitter.com/chlriedes")</f>
        <v>https://twitter.com/chlriedes</v>
      </c>
      <c r="AZ208" s="80" t="s">
        <v>65</v>
      </c>
      <c r="BA208" s="2"/>
      <c r="BB208" s="3"/>
      <c r="BC208" s="3"/>
      <c r="BD208" s="3"/>
      <c r="BE208" s="3"/>
    </row>
    <row r="209" spans="1:57" x14ac:dyDescent="0.35">
      <c r="A209" s="66" t="s">
        <v>389</v>
      </c>
      <c r="B209" s="67"/>
      <c r="C209" s="67"/>
      <c r="D209" s="68"/>
      <c r="E209" s="70"/>
      <c r="F209" s="109" t="str">
        <f>HYPERLINK("https://pbs.twimg.com/profile_images/1252222788120702977/XUSi0vRj_normal.png")</f>
        <v>https://pbs.twimg.com/profile_images/1252222788120702977/XUSi0vRj_normal.png</v>
      </c>
      <c r="G209" s="67"/>
      <c r="H209" s="71"/>
      <c r="I209" s="72"/>
      <c r="J209" s="72"/>
      <c r="K209" s="71" t="s">
        <v>10952</v>
      </c>
      <c r="L209" s="75"/>
      <c r="M209" s="76"/>
      <c r="N209" s="76"/>
      <c r="O209" s="77"/>
      <c r="P209" s="78"/>
      <c r="Q209" s="78"/>
      <c r="R209" s="92"/>
      <c r="S209" s="92"/>
      <c r="T209" s="92"/>
      <c r="U209" s="92"/>
      <c r="V209" s="52"/>
      <c r="W209" s="52"/>
      <c r="X209" s="52"/>
      <c r="Y209" s="52"/>
      <c r="Z209" s="51"/>
      <c r="AA209" s="73"/>
      <c r="AB209" s="73"/>
      <c r="AC209" s="74"/>
      <c r="AD209" s="80" t="s">
        <v>6792</v>
      </c>
      <c r="AE209" s="85" t="s">
        <v>8044</v>
      </c>
      <c r="AF209" s="80">
        <v>16</v>
      </c>
      <c r="AG209" s="80">
        <v>1154</v>
      </c>
      <c r="AH209" s="80">
        <v>57728</v>
      </c>
      <c r="AI209" s="80">
        <v>0</v>
      </c>
      <c r="AJ209" s="80"/>
      <c r="AK209" s="80" t="s">
        <v>9145</v>
      </c>
      <c r="AL209" s="80" t="s">
        <v>10231</v>
      </c>
      <c r="AM209" s="87" t="str">
        <f>HYPERLINK("https://t.co/rFxkgRzuwi")</f>
        <v>https://t.co/rFxkgRzuwi</v>
      </c>
      <c r="AN209" s="80"/>
      <c r="AO209" s="82">
        <v>43941.547314814816</v>
      </c>
      <c r="AP209" s="87" t="str">
        <f>HYPERLINK("https://pbs.twimg.com/profile_banners/1252222427267907586/1589281654")</f>
        <v>https://pbs.twimg.com/profile_banners/1252222427267907586/1589281654</v>
      </c>
      <c r="AQ209" s="80" t="b">
        <v>1</v>
      </c>
      <c r="AR209" s="80" t="b">
        <v>0</v>
      </c>
      <c r="AS209" s="80" t="b">
        <v>0</v>
      </c>
      <c r="AT209" s="80"/>
      <c r="AU209" s="80">
        <v>23</v>
      </c>
      <c r="AV209" s="80"/>
      <c r="AW209" s="80" t="b">
        <v>0</v>
      </c>
      <c r="AX209" s="80" t="s">
        <v>10746</v>
      </c>
      <c r="AY209" s="87" t="str">
        <f>HYPERLINK("https://twitter.com/seotips_vanprob")</f>
        <v>https://twitter.com/seotips_vanprob</v>
      </c>
      <c r="AZ209" s="80" t="s">
        <v>66</v>
      </c>
      <c r="BA209" s="2"/>
      <c r="BB209" s="3"/>
      <c r="BC209" s="3"/>
      <c r="BD209" s="3"/>
      <c r="BE209" s="3"/>
    </row>
    <row r="210" spans="1:57" x14ac:dyDescent="0.35">
      <c r="A210" s="66" t="s">
        <v>390</v>
      </c>
      <c r="B210" s="67"/>
      <c r="C210" s="67"/>
      <c r="D210" s="68"/>
      <c r="E210" s="70"/>
      <c r="F210" s="109" t="str">
        <f>HYPERLINK("https://pbs.twimg.com/profile_images/1424614994705059840/W7Uu6IHj_normal.jpg")</f>
        <v>https://pbs.twimg.com/profile_images/1424614994705059840/W7Uu6IHj_normal.jpg</v>
      </c>
      <c r="G210" s="67"/>
      <c r="H210" s="71"/>
      <c r="I210" s="72"/>
      <c r="J210" s="72"/>
      <c r="K210" s="71" t="s">
        <v>10953</v>
      </c>
      <c r="L210" s="75"/>
      <c r="M210" s="76"/>
      <c r="N210" s="76"/>
      <c r="O210" s="77"/>
      <c r="P210" s="78"/>
      <c r="Q210" s="78"/>
      <c r="R210" s="92"/>
      <c r="S210" s="92"/>
      <c r="T210" s="92"/>
      <c r="U210" s="92"/>
      <c r="V210" s="52"/>
      <c r="W210" s="52"/>
      <c r="X210" s="52"/>
      <c r="Y210" s="52"/>
      <c r="Z210" s="51"/>
      <c r="AA210" s="73"/>
      <c r="AB210" s="73"/>
      <c r="AC210" s="74"/>
      <c r="AD210" s="80" t="s">
        <v>6793</v>
      </c>
      <c r="AE210" s="85" t="s">
        <v>8045</v>
      </c>
      <c r="AF210" s="80">
        <v>421</v>
      </c>
      <c r="AG210" s="80">
        <v>12</v>
      </c>
      <c r="AH210" s="80">
        <v>990</v>
      </c>
      <c r="AI210" s="80">
        <v>569</v>
      </c>
      <c r="AJ210" s="80"/>
      <c r="AK210" s="80" t="s">
        <v>9146</v>
      </c>
      <c r="AL210" s="80" t="s">
        <v>10232</v>
      </c>
      <c r="AM210" s="80"/>
      <c r="AN210" s="80"/>
      <c r="AO210" s="82">
        <v>43538.552476851852</v>
      </c>
      <c r="AP210" s="80"/>
      <c r="AQ210" s="80" t="b">
        <v>1</v>
      </c>
      <c r="AR210" s="80" t="b">
        <v>0</v>
      </c>
      <c r="AS210" s="80" t="b">
        <v>0</v>
      </c>
      <c r="AT210" s="80"/>
      <c r="AU210" s="80">
        <v>0</v>
      </c>
      <c r="AV210" s="80"/>
      <c r="AW210" s="80" t="b">
        <v>0</v>
      </c>
      <c r="AX210" s="80" t="s">
        <v>10746</v>
      </c>
      <c r="AY210" s="87" t="str">
        <f>HYPERLINK("https://twitter.com/ehteshambilal")</f>
        <v>https://twitter.com/ehteshambilal</v>
      </c>
      <c r="AZ210" s="80" t="s">
        <v>66</v>
      </c>
      <c r="BA210" s="2"/>
      <c r="BB210" s="3"/>
      <c r="BC210" s="3"/>
      <c r="BD210" s="3"/>
      <c r="BE210" s="3"/>
    </row>
    <row r="211" spans="1:57" x14ac:dyDescent="0.35">
      <c r="A211" s="66" t="s">
        <v>391</v>
      </c>
      <c r="B211" s="67"/>
      <c r="C211" s="67"/>
      <c r="D211" s="68"/>
      <c r="E211" s="70"/>
      <c r="F211" s="109" t="str">
        <f>HYPERLINK("https://pbs.twimg.com/profile_images/1352349776986034176/xGPNAdXm_normal.jpg")</f>
        <v>https://pbs.twimg.com/profile_images/1352349776986034176/xGPNAdXm_normal.jpg</v>
      </c>
      <c r="G211" s="67"/>
      <c r="H211" s="71"/>
      <c r="I211" s="72"/>
      <c r="J211" s="72"/>
      <c r="K211" s="71" t="s">
        <v>10954</v>
      </c>
      <c r="L211" s="75"/>
      <c r="M211" s="76"/>
      <c r="N211" s="76"/>
      <c r="O211" s="77"/>
      <c r="P211" s="78"/>
      <c r="Q211" s="78"/>
      <c r="R211" s="92"/>
      <c r="S211" s="92"/>
      <c r="T211" s="92"/>
      <c r="U211" s="92"/>
      <c r="V211" s="52"/>
      <c r="W211" s="52"/>
      <c r="X211" s="52"/>
      <c r="Y211" s="52"/>
      <c r="Z211" s="51"/>
      <c r="AA211" s="73"/>
      <c r="AB211" s="73"/>
      <c r="AC211" s="74"/>
      <c r="AD211" s="80" t="s">
        <v>6794</v>
      </c>
      <c r="AE211" s="85" t="s">
        <v>8046</v>
      </c>
      <c r="AF211" s="80">
        <v>59</v>
      </c>
      <c r="AG211" s="80">
        <v>54</v>
      </c>
      <c r="AH211" s="80">
        <v>510</v>
      </c>
      <c r="AI211" s="80">
        <v>38</v>
      </c>
      <c r="AJ211" s="80"/>
      <c r="AK211" s="80" t="s">
        <v>9147</v>
      </c>
      <c r="AL211" s="80" t="s">
        <v>6547</v>
      </c>
      <c r="AM211" s="80"/>
      <c r="AN211" s="80"/>
      <c r="AO211" s="82">
        <v>43481.49931712963</v>
      </c>
      <c r="AP211" s="87" t="str">
        <f>HYPERLINK("https://pbs.twimg.com/profile_banners/1085506708447780864/1625745467")</f>
        <v>https://pbs.twimg.com/profile_banners/1085506708447780864/1625745467</v>
      </c>
      <c r="AQ211" s="80" t="b">
        <v>1</v>
      </c>
      <c r="AR211" s="80" t="b">
        <v>0</v>
      </c>
      <c r="AS211" s="80" t="b">
        <v>0</v>
      </c>
      <c r="AT211" s="80"/>
      <c r="AU211" s="80">
        <v>0</v>
      </c>
      <c r="AV211" s="80"/>
      <c r="AW211" s="80" t="b">
        <v>0</v>
      </c>
      <c r="AX211" s="80" t="s">
        <v>10746</v>
      </c>
      <c r="AY211" s="87" t="str">
        <f>HYPERLINK("https://twitter.com/iruuulll__")</f>
        <v>https://twitter.com/iruuulll__</v>
      </c>
      <c r="AZ211" s="80" t="s">
        <v>66</v>
      </c>
      <c r="BA211" s="2"/>
      <c r="BB211" s="3"/>
      <c r="BC211" s="3"/>
      <c r="BD211" s="3"/>
      <c r="BE211" s="3"/>
    </row>
    <row r="212" spans="1:57" x14ac:dyDescent="0.35">
      <c r="A212" s="66" t="s">
        <v>392</v>
      </c>
      <c r="B212" s="67"/>
      <c r="C212" s="67"/>
      <c r="D212" s="68"/>
      <c r="E212" s="70"/>
      <c r="F212" s="109" t="str">
        <f>HYPERLINK("https://pbs.twimg.com/profile_images/1028597099556888576/dzChXvPK_normal.jpg")</f>
        <v>https://pbs.twimg.com/profile_images/1028597099556888576/dzChXvPK_normal.jpg</v>
      </c>
      <c r="G212" s="67"/>
      <c r="H212" s="71"/>
      <c r="I212" s="72"/>
      <c r="J212" s="72"/>
      <c r="K212" s="71" t="s">
        <v>10955</v>
      </c>
      <c r="L212" s="75"/>
      <c r="M212" s="76"/>
      <c r="N212" s="76"/>
      <c r="O212" s="77"/>
      <c r="P212" s="78"/>
      <c r="Q212" s="78"/>
      <c r="R212" s="92"/>
      <c r="S212" s="92"/>
      <c r="T212" s="92"/>
      <c r="U212" s="92"/>
      <c r="V212" s="52"/>
      <c r="W212" s="52"/>
      <c r="X212" s="52"/>
      <c r="Y212" s="52"/>
      <c r="Z212" s="51"/>
      <c r="AA212" s="73"/>
      <c r="AB212" s="73"/>
      <c r="AC212" s="74"/>
      <c r="AD212" s="80" t="s">
        <v>6795</v>
      </c>
      <c r="AE212" s="85" t="s">
        <v>8047</v>
      </c>
      <c r="AF212" s="80">
        <v>430</v>
      </c>
      <c r="AG212" s="80">
        <v>388</v>
      </c>
      <c r="AH212" s="80">
        <v>23821</v>
      </c>
      <c r="AI212" s="80">
        <v>902</v>
      </c>
      <c r="AJ212" s="80"/>
      <c r="AK212" s="80" t="s">
        <v>9148</v>
      </c>
      <c r="AL212" s="80" t="s">
        <v>10233</v>
      </c>
      <c r="AM212" s="87" t="str">
        <f>HYPERLINK("https://t.co/9RbB3KRaIK")</f>
        <v>https://t.co/9RbB3KRaIK</v>
      </c>
      <c r="AN212" s="80"/>
      <c r="AO212" s="82">
        <v>40466.613703703704</v>
      </c>
      <c r="AP212" s="87" t="str">
        <f>HYPERLINK("https://pbs.twimg.com/profile_banners/203098285/1572429245")</f>
        <v>https://pbs.twimg.com/profile_banners/203098285/1572429245</v>
      </c>
      <c r="AQ212" s="80" t="b">
        <v>0</v>
      </c>
      <c r="AR212" s="80" t="b">
        <v>0</v>
      </c>
      <c r="AS212" s="80" t="b">
        <v>1</v>
      </c>
      <c r="AT212" s="80"/>
      <c r="AU212" s="80">
        <v>1</v>
      </c>
      <c r="AV212" s="87" t="str">
        <f>HYPERLINK("https://abs.twimg.com/images/themes/theme7/bg.gif")</f>
        <v>https://abs.twimg.com/images/themes/theme7/bg.gif</v>
      </c>
      <c r="AW212" s="80" t="b">
        <v>0</v>
      </c>
      <c r="AX212" s="80" t="s">
        <v>10746</v>
      </c>
      <c r="AY212" s="87" t="str">
        <f>HYPERLINK("https://twitter.com/liyanaabubakar")</f>
        <v>https://twitter.com/liyanaabubakar</v>
      </c>
      <c r="AZ212" s="80" t="s">
        <v>66</v>
      </c>
      <c r="BA212" s="2"/>
      <c r="BB212" s="3"/>
      <c r="BC212" s="3"/>
      <c r="BD212" s="3"/>
      <c r="BE212" s="3"/>
    </row>
    <row r="213" spans="1:57" x14ac:dyDescent="0.35">
      <c r="A213" s="66" t="s">
        <v>393</v>
      </c>
      <c r="B213" s="67"/>
      <c r="C213" s="67"/>
      <c r="D213" s="68"/>
      <c r="E213" s="70"/>
      <c r="F213" s="109" t="str">
        <f>HYPERLINK("https://pbs.twimg.com/profile_images/1433601734085996574/E1uaFObJ_normal.jpg")</f>
        <v>https://pbs.twimg.com/profile_images/1433601734085996574/E1uaFObJ_normal.jpg</v>
      </c>
      <c r="G213" s="67"/>
      <c r="H213" s="71"/>
      <c r="I213" s="72"/>
      <c r="J213" s="72"/>
      <c r="K213" s="71" t="s">
        <v>10956</v>
      </c>
      <c r="L213" s="75"/>
      <c r="M213" s="76"/>
      <c r="N213" s="76"/>
      <c r="O213" s="77"/>
      <c r="P213" s="78"/>
      <c r="Q213" s="78"/>
      <c r="R213" s="92"/>
      <c r="S213" s="92"/>
      <c r="T213" s="92"/>
      <c r="U213" s="92"/>
      <c r="V213" s="52"/>
      <c r="W213" s="52"/>
      <c r="X213" s="52"/>
      <c r="Y213" s="52"/>
      <c r="Z213" s="51"/>
      <c r="AA213" s="73"/>
      <c r="AB213" s="73"/>
      <c r="AC213" s="74"/>
      <c r="AD213" s="80" t="s">
        <v>6796</v>
      </c>
      <c r="AE213" s="85" t="s">
        <v>8048</v>
      </c>
      <c r="AF213" s="80">
        <v>950</v>
      </c>
      <c r="AG213" s="80">
        <v>1055</v>
      </c>
      <c r="AH213" s="80">
        <v>3113</v>
      </c>
      <c r="AI213" s="80">
        <v>17103</v>
      </c>
      <c r="AJ213" s="80"/>
      <c r="AK213" s="80"/>
      <c r="AL213" s="80" t="s">
        <v>10234</v>
      </c>
      <c r="AM213" s="80"/>
      <c r="AN213" s="80"/>
      <c r="AO213" s="82">
        <v>42454.431064814817</v>
      </c>
      <c r="AP213" s="87" t="str">
        <f>HYPERLINK("https://pbs.twimg.com/profile_banners/713309636690976769/1609662652")</f>
        <v>https://pbs.twimg.com/profile_banners/713309636690976769/1609662652</v>
      </c>
      <c r="AQ213" s="80" t="b">
        <v>1</v>
      </c>
      <c r="AR213" s="80" t="b">
        <v>0</v>
      </c>
      <c r="AS213" s="80" t="b">
        <v>0</v>
      </c>
      <c r="AT213" s="80"/>
      <c r="AU213" s="80">
        <v>0</v>
      </c>
      <c r="AV213" s="80"/>
      <c r="AW213" s="80" t="b">
        <v>0</v>
      </c>
      <c r="AX213" s="80" t="s">
        <v>10746</v>
      </c>
      <c r="AY213" s="87" t="str">
        <f>HYPERLINK("https://twitter.com/odhsbnsjhgg")</f>
        <v>https://twitter.com/odhsbnsjhgg</v>
      </c>
      <c r="AZ213" s="80" t="s">
        <v>66</v>
      </c>
      <c r="BA213" s="2"/>
      <c r="BB213" s="3"/>
      <c r="BC213" s="3"/>
      <c r="BD213" s="3"/>
      <c r="BE213" s="3"/>
    </row>
    <row r="214" spans="1:57" x14ac:dyDescent="0.35">
      <c r="A214" s="66" t="s">
        <v>1301</v>
      </c>
      <c r="B214" s="67"/>
      <c r="C214" s="67"/>
      <c r="D214" s="68"/>
      <c r="E214" s="70"/>
      <c r="F214" s="109" t="str">
        <f>HYPERLINK("https://pbs.twimg.com/profile_images/1428758593352835074/BiB38fUa_normal.jpg")</f>
        <v>https://pbs.twimg.com/profile_images/1428758593352835074/BiB38fUa_normal.jpg</v>
      </c>
      <c r="G214" s="67"/>
      <c r="H214" s="71"/>
      <c r="I214" s="72"/>
      <c r="J214" s="72"/>
      <c r="K214" s="71" t="s">
        <v>10957</v>
      </c>
      <c r="L214" s="75"/>
      <c r="M214" s="76"/>
      <c r="N214" s="76"/>
      <c r="O214" s="77"/>
      <c r="P214" s="78"/>
      <c r="Q214" s="78"/>
      <c r="R214" s="92"/>
      <c r="S214" s="92"/>
      <c r="T214" s="92"/>
      <c r="U214" s="92"/>
      <c r="V214" s="52"/>
      <c r="W214" s="52"/>
      <c r="X214" s="52"/>
      <c r="Y214" s="52"/>
      <c r="Z214" s="51"/>
      <c r="AA214" s="73"/>
      <c r="AB214" s="73"/>
      <c r="AC214" s="74"/>
      <c r="AD214" s="80" t="s">
        <v>6797</v>
      </c>
      <c r="AE214" s="85" t="s">
        <v>6272</v>
      </c>
      <c r="AF214" s="80">
        <v>2241</v>
      </c>
      <c r="AG214" s="80">
        <v>65703</v>
      </c>
      <c r="AH214" s="80">
        <v>376171</v>
      </c>
      <c r="AI214" s="80">
        <v>3</v>
      </c>
      <c r="AJ214" s="80"/>
      <c r="AK214" s="80" t="s">
        <v>9149</v>
      </c>
      <c r="AL214" s="80" t="s">
        <v>10235</v>
      </c>
      <c r="AM214" s="87" t="str">
        <f>HYPERLINK("https://t.co/1gfU4Zlpj1")</f>
        <v>https://t.co/1gfU4Zlpj1</v>
      </c>
      <c r="AN214" s="80"/>
      <c r="AO214" s="82">
        <v>43952.265972222223</v>
      </c>
      <c r="AP214" s="87" t="str">
        <f>HYPERLINK("https://pbs.twimg.com/profile_banners/1256106786915880960/1591971276")</f>
        <v>https://pbs.twimg.com/profile_banners/1256106786915880960/1591971276</v>
      </c>
      <c r="AQ214" s="80" t="b">
        <v>1</v>
      </c>
      <c r="AR214" s="80" t="b">
        <v>0</v>
      </c>
      <c r="AS214" s="80" t="b">
        <v>0</v>
      </c>
      <c r="AT214" s="80"/>
      <c r="AU214" s="80">
        <v>851</v>
      </c>
      <c r="AV214" s="80"/>
      <c r="AW214" s="80" t="b">
        <v>0</v>
      </c>
      <c r="AX214" s="80" t="s">
        <v>10746</v>
      </c>
      <c r="AY214" s="87" t="str">
        <f>HYPERLINK("https://twitter.com/sygfess")</f>
        <v>https://twitter.com/sygfess</v>
      </c>
      <c r="AZ214" s="80" t="s">
        <v>65</v>
      </c>
      <c r="BA214" s="2"/>
      <c r="BB214" s="3"/>
      <c r="BC214" s="3"/>
      <c r="BD214" s="3"/>
      <c r="BE214" s="3"/>
    </row>
    <row r="215" spans="1:57" x14ac:dyDescent="0.35">
      <c r="A215" s="66" t="s">
        <v>394</v>
      </c>
      <c r="B215" s="67"/>
      <c r="C215" s="67"/>
      <c r="D215" s="68"/>
      <c r="E215" s="70"/>
      <c r="F215" s="109" t="str">
        <f>HYPERLINK("https://pbs.twimg.com/profile_images/1441729117175500804/wkSSR4Ma_normal.jpg")</f>
        <v>https://pbs.twimg.com/profile_images/1441729117175500804/wkSSR4Ma_normal.jpg</v>
      </c>
      <c r="G215" s="67"/>
      <c r="H215" s="71"/>
      <c r="I215" s="72"/>
      <c r="J215" s="72"/>
      <c r="K215" s="71" t="s">
        <v>10958</v>
      </c>
      <c r="L215" s="75"/>
      <c r="M215" s="76"/>
      <c r="N215" s="76"/>
      <c r="O215" s="77"/>
      <c r="P215" s="78"/>
      <c r="Q215" s="78"/>
      <c r="R215" s="92"/>
      <c r="S215" s="92"/>
      <c r="T215" s="92"/>
      <c r="U215" s="92"/>
      <c r="V215" s="52"/>
      <c r="W215" s="52"/>
      <c r="X215" s="52"/>
      <c r="Y215" s="52"/>
      <c r="Z215" s="51"/>
      <c r="AA215" s="73"/>
      <c r="AB215" s="73"/>
      <c r="AC215" s="74"/>
      <c r="AD215" s="80" t="s">
        <v>6798</v>
      </c>
      <c r="AE215" s="85" t="s">
        <v>8049</v>
      </c>
      <c r="AF215" s="80">
        <v>793</v>
      </c>
      <c r="AG215" s="80">
        <v>311</v>
      </c>
      <c r="AH215" s="80">
        <v>4240</v>
      </c>
      <c r="AI215" s="80">
        <v>838</v>
      </c>
      <c r="AJ215" s="80"/>
      <c r="AK215" s="80" t="s">
        <v>9150</v>
      </c>
      <c r="AL215" s="80" t="s">
        <v>10236</v>
      </c>
      <c r="AM215" s="80"/>
      <c r="AN215" s="80"/>
      <c r="AO215" s="82">
        <v>44429.118171296293</v>
      </c>
      <c r="AP215" s="87" t="str">
        <f>HYPERLINK("https://pbs.twimg.com/profile_banners/1428912226031702021/1632576849")</f>
        <v>https://pbs.twimg.com/profile_banners/1428912226031702021/1632576849</v>
      </c>
      <c r="AQ215" s="80" t="b">
        <v>1</v>
      </c>
      <c r="AR215" s="80" t="b">
        <v>0</v>
      </c>
      <c r="AS215" s="80" t="b">
        <v>0</v>
      </c>
      <c r="AT215" s="80"/>
      <c r="AU215" s="80">
        <v>0</v>
      </c>
      <c r="AV215" s="80"/>
      <c r="AW215" s="80" t="b">
        <v>0</v>
      </c>
      <c r="AX215" s="80" t="s">
        <v>10746</v>
      </c>
      <c r="AY215" s="87" t="str">
        <f>HYPERLINK("https://twitter.com/woshbeom")</f>
        <v>https://twitter.com/woshbeom</v>
      </c>
      <c r="AZ215" s="80" t="s">
        <v>66</v>
      </c>
      <c r="BA215" s="2"/>
      <c r="BB215" s="3"/>
      <c r="BC215" s="3"/>
      <c r="BD215" s="3"/>
      <c r="BE215" s="3"/>
    </row>
    <row r="216" spans="1:57" x14ac:dyDescent="0.35">
      <c r="A216" s="66" t="s">
        <v>395</v>
      </c>
      <c r="B216" s="67"/>
      <c r="C216" s="67"/>
      <c r="D216" s="68"/>
      <c r="E216" s="70"/>
      <c r="F216" s="109" t="str">
        <f>HYPERLINK("https://pbs.twimg.com/profile_images/1277580324965191680/zzTeHE-c_normal.jpg")</f>
        <v>https://pbs.twimg.com/profile_images/1277580324965191680/zzTeHE-c_normal.jpg</v>
      </c>
      <c r="G216" s="67"/>
      <c r="H216" s="71"/>
      <c r="I216" s="72"/>
      <c r="J216" s="72"/>
      <c r="K216" s="71" t="s">
        <v>10959</v>
      </c>
      <c r="L216" s="75"/>
      <c r="M216" s="76"/>
      <c r="N216" s="76"/>
      <c r="O216" s="77"/>
      <c r="P216" s="78"/>
      <c r="Q216" s="78"/>
      <c r="R216" s="92"/>
      <c r="S216" s="92"/>
      <c r="T216" s="92"/>
      <c r="U216" s="92"/>
      <c r="V216" s="52"/>
      <c r="W216" s="52"/>
      <c r="X216" s="52"/>
      <c r="Y216" s="52"/>
      <c r="Z216" s="51"/>
      <c r="AA216" s="73"/>
      <c r="AB216" s="73"/>
      <c r="AC216" s="74"/>
      <c r="AD216" s="80" t="s">
        <v>6799</v>
      </c>
      <c r="AE216" s="85" t="s">
        <v>6273</v>
      </c>
      <c r="AF216" s="80">
        <v>256</v>
      </c>
      <c r="AG216" s="80">
        <v>575</v>
      </c>
      <c r="AH216" s="80">
        <v>3028</v>
      </c>
      <c r="AI216" s="80">
        <v>3040</v>
      </c>
      <c r="AJ216" s="80"/>
      <c r="AK216" s="80"/>
      <c r="AL216" s="80"/>
      <c r="AM216" s="80"/>
      <c r="AN216" s="80"/>
      <c r="AO216" s="82">
        <v>42508.127939814818</v>
      </c>
      <c r="AP216" s="80"/>
      <c r="AQ216" s="80" t="b">
        <v>1</v>
      </c>
      <c r="AR216" s="80" t="b">
        <v>0</v>
      </c>
      <c r="AS216" s="80" t="b">
        <v>0</v>
      </c>
      <c r="AT216" s="80"/>
      <c r="AU216" s="80">
        <v>2</v>
      </c>
      <c r="AV216" s="80"/>
      <c r="AW216" s="80" t="b">
        <v>0</v>
      </c>
      <c r="AX216" s="80" t="s">
        <v>10746</v>
      </c>
      <c r="AY216" s="87" t="str">
        <f>HYPERLINK("https://twitter.com/karantinapdg")</f>
        <v>https://twitter.com/karantinapdg</v>
      </c>
      <c r="AZ216" s="80" t="s">
        <v>66</v>
      </c>
      <c r="BA216" s="2"/>
      <c r="BB216" s="3"/>
      <c r="BC216" s="3"/>
      <c r="BD216" s="3"/>
      <c r="BE216" s="3"/>
    </row>
    <row r="217" spans="1:57" x14ac:dyDescent="0.35">
      <c r="A217" s="66" t="s">
        <v>396</v>
      </c>
      <c r="B217" s="67"/>
      <c r="C217" s="67"/>
      <c r="D217" s="68"/>
      <c r="E217" s="70"/>
      <c r="F217" s="109" t="str">
        <f>HYPERLINK("https://pbs.twimg.com/profile_images/1436728248822423553/6MW1lzib_normal.jpg")</f>
        <v>https://pbs.twimg.com/profile_images/1436728248822423553/6MW1lzib_normal.jpg</v>
      </c>
      <c r="G217" s="67"/>
      <c r="H217" s="71"/>
      <c r="I217" s="72"/>
      <c r="J217" s="72"/>
      <c r="K217" s="71" t="s">
        <v>10960</v>
      </c>
      <c r="L217" s="75"/>
      <c r="M217" s="76"/>
      <c r="N217" s="76"/>
      <c r="O217" s="77"/>
      <c r="P217" s="78"/>
      <c r="Q217" s="78"/>
      <c r="R217" s="92"/>
      <c r="S217" s="92"/>
      <c r="T217" s="92"/>
      <c r="U217" s="92"/>
      <c r="V217" s="52"/>
      <c r="W217" s="52"/>
      <c r="X217" s="52"/>
      <c r="Y217" s="52"/>
      <c r="Z217" s="51"/>
      <c r="AA217" s="73"/>
      <c r="AB217" s="73"/>
      <c r="AC217" s="74"/>
      <c r="AD217" s="80" t="s">
        <v>6800</v>
      </c>
      <c r="AE217" s="85" t="s">
        <v>8050</v>
      </c>
      <c r="AF217" s="80">
        <v>100</v>
      </c>
      <c r="AG217" s="80">
        <v>84</v>
      </c>
      <c r="AH217" s="80">
        <v>2139</v>
      </c>
      <c r="AI217" s="80">
        <v>166</v>
      </c>
      <c r="AJ217" s="80"/>
      <c r="AK217" s="80" t="s">
        <v>9151</v>
      </c>
      <c r="AL217" s="80" t="s">
        <v>10237</v>
      </c>
      <c r="AM217" s="80"/>
      <c r="AN217" s="80"/>
      <c r="AO217" s="82">
        <v>41329.27920138889</v>
      </c>
      <c r="AP217" s="87" t="str">
        <f>HYPERLINK("https://pbs.twimg.com/profile_banners/1214703697/1560680658")</f>
        <v>https://pbs.twimg.com/profile_banners/1214703697/1560680658</v>
      </c>
      <c r="AQ217" s="80" t="b">
        <v>0</v>
      </c>
      <c r="AR217" s="80" t="b">
        <v>0</v>
      </c>
      <c r="AS217" s="80" t="b">
        <v>1</v>
      </c>
      <c r="AT217" s="80"/>
      <c r="AU217" s="80">
        <v>0</v>
      </c>
      <c r="AV217" s="87" t="str">
        <f>HYPERLINK("https://abs.twimg.com/images/themes/theme1/bg.png")</f>
        <v>https://abs.twimg.com/images/themes/theme1/bg.png</v>
      </c>
      <c r="AW217" s="80" t="b">
        <v>0</v>
      </c>
      <c r="AX217" s="80" t="s">
        <v>10746</v>
      </c>
      <c r="AY217" s="87" t="str">
        <f>HYPERLINK("https://twitter.com/mazeruney")</f>
        <v>https://twitter.com/mazeruney</v>
      </c>
      <c r="AZ217" s="80" t="s">
        <v>66</v>
      </c>
      <c r="BA217" s="2"/>
      <c r="BB217" s="3"/>
      <c r="BC217" s="3"/>
      <c r="BD217" s="3"/>
      <c r="BE217" s="3"/>
    </row>
    <row r="218" spans="1:57" x14ac:dyDescent="0.35">
      <c r="A218" s="66" t="s">
        <v>1302</v>
      </c>
      <c r="B218" s="67"/>
      <c r="C218" s="67"/>
      <c r="D218" s="68"/>
      <c r="E218" s="70"/>
      <c r="F218" s="109" t="str">
        <f>HYPERLINK("https://pbs.twimg.com/profile_images/1405461104445181954/b-Ziawtq_normal.jpg")</f>
        <v>https://pbs.twimg.com/profile_images/1405461104445181954/b-Ziawtq_normal.jpg</v>
      </c>
      <c r="G218" s="67"/>
      <c r="H218" s="71"/>
      <c r="I218" s="72"/>
      <c r="J218" s="72"/>
      <c r="K218" s="71" t="s">
        <v>10961</v>
      </c>
      <c r="L218" s="75"/>
      <c r="M218" s="76"/>
      <c r="N218" s="76"/>
      <c r="O218" s="77"/>
      <c r="P218" s="78"/>
      <c r="Q218" s="78"/>
      <c r="R218" s="92"/>
      <c r="S218" s="92"/>
      <c r="T218" s="92"/>
      <c r="U218" s="92"/>
      <c r="V218" s="52"/>
      <c r="W218" s="52"/>
      <c r="X218" s="52"/>
      <c r="Y218" s="52"/>
      <c r="Z218" s="51"/>
      <c r="AA218" s="73"/>
      <c r="AB218" s="73"/>
      <c r="AC218" s="74"/>
      <c r="AD218" s="80" t="s">
        <v>6801</v>
      </c>
      <c r="AE218" s="85" t="s">
        <v>6274</v>
      </c>
      <c r="AF218" s="80">
        <v>731</v>
      </c>
      <c r="AG218" s="80">
        <v>11514</v>
      </c>
      <c r="AH218" s="80">
        <v>70083</v>
      </c>
      <c r="AI218" s="80">
        <v>12</v>
      </c>
      <c r="AJ218" s="80"/>
      <c r="AK218" s="80" t="s">
        <v>9152</v>
      </c>
      <c r="AL218" s="80"/>
      <c r="AM218" s="87" t="str">
        <f>HYPERLINK("https://t.co/SDRFznb7MZ")</f>
        <v>https://t.co/SDRFznb7MZ</v>
      </c>
      <c r="AN218" s="80"/>
      <c r="AO218" s="82">
        <v>42693.076504629629</v>
      </c>
      <c r="AP218" s="87" t="str">
        <f>HYPERLINK("https://pbs.twimg.com/profile_banners/799791846079639552/1613139213")</f>
        <v>https://pbs.twimg.com/profile_banners/799791846079639552/1613139213</v>
      </c>
      <c r="AQ218" s="80" t="b">
        <v>1</v>
      </c>
      <c r="AR218" s="80" t="b">
        <v>0</v>
      </c>
      <c r="AS218" s="80" t="b">
        <v>0</v>
      </c>
      <c r="AT218" s="80"/>
      <c r="AU218" s="80">
        <v>159</v>
      </c>
      <c r="AV218" s="80"/>
      <c r="AW218" s="80" t="b">
        <v>0</v>
      </c>
      <c r="AX218" s="80" t="s">
        <v>10746</v>
      </c>
      <c r="AY218" s="87" t="str">
        <f>HYPERLINK("https://twitter.com/jualanmenfess")</f>
        <v>https://twitter.com/jualanmenfess</v>
      </c>
      <c r="AZ218" s="80" t="s">
        <v>65</v>
      </c>
      <c r="BA218" s="2"/>
      <c r="BB218" s="3"/>
      <c r="BC218" s="3"/>
      <c r="BD218" s="3"/>
      <c r="BE218" s="3"/>
    </row>
    <row r="219" spans="1:57" x14ac:dyDescent="0.35">
      <c r="A219" s="66" t="s">
        <v>397</v>
      </c>
      <c r="B219" s="67"/>
      <c r="C219" s="67"/>
      <c r="D219" s="68"/>
      <c r="E219" s="70"/>
      <c r="F219" s="109" t="str">
        <f>HYPERLINK("https://pbs.twimg.com/profile_images/1411509101507465220/Me5C6DPW_normal.jpg")</f>
        <v>https://pbs.twimg.com/profile_images/1411509101507465220/Me5C6DPW_normal.jpg</v>
      </c>
      <c r="G219" s="67"/>
      <c r="H219" s="71"/>
      <c r="I219" s="72"/>
      <c r="J219" s="72"/>
      <c r="K219" s="71" t="s">
        <v>10962</v>
      </c>
      <c r="L219" s="75"/>
      <c r="M219" s="76"/>
      <c r="N219" s="76"/>
      <c r="O219" s="77"/>
      <c r="P219" s="78"/>
      <c r="Q219" s="78"/>
      <c r="R219" s="92"/>
      <c r="S219" s="92"/>
      <c r="T219" s="92"/>
      <c r="U219" s="92"/>
      <c r="V219" s="52"/>
      <c r="W219" s="52"/>
      <c r="X219" s="52"/>
      <c r="Y219" s="52"/>
      <c r="Z219" s="51"/>
      <c r="AA219" s="73"/>
      <c r="AB219" s="73"/>
      <c r="AC219" s="74"/>
      <c r="AD219" s="80" t="s">
        <v>6802</v>
      </c>
      <c r="AE219" s="85" t="s">
        <v>8051</v>
      </c>
      <c r="AF219" s="80">
        <v>28221</v>
      </c>
      <c r="AG219" s="80">
        <v>32537</v>
      </c>
      <c r="AH219" s="80">
        <v>164723</v>
      </c>
      <c r="AI219" s="80">
        <v>17933</v>
      </c>
      <c r="AJ219" s="80"/>
      <c r="AK219" s="80" t="s">
        <v>9153</v>
      </c>
      <c r="AL219" s="80" t="s">
        <v>10182</v>
      </c>
      <c r="AM219" s="87" t="str">
        <f>HYPERLINK("https://t.co/lAVLoI12C1")</f>
        <v>https://t.co/lAVLoI12C1</v>
      </c>
      <c r="AN219" s="80"/>
      <c r="AO219" s="82">
        <v>41572.483368055553</v>
      </c>
      <c r="AP219" s="87" t="str">
        <f>HYPERLINK("https://pbs.twimg.com/profile_banners/2154720368/1620095619")</f>
        <v>https://pbs.twimg.com/profile_banners/2154720368/1620095619</v>
      </c>
      <c r="AQ219" s="80" t="b">
        <v>0</v>
      </c>
      <c r="AR219" s="80" t="b">
        <v>0</v>
      </c>
      <c r="AS219" s="80" t="b">
        <v>1</v>
      </c>
      <c r="AT219" s="80"/>
      <c r="AU219" s="80">
        <v>10</v>
      </c>
      <c r="AV219" s="87" t="str">
        <f>HYPERLINK("https://abs.twimg.com/images/themes/theme1/bg.png")</f>
        <v>https://abs.twimg.com/images/themes/theme1/bg.png</v>
      </c>
      <c r="AW219" s="80" t="b">
        <v>0</v>
      </c>
      <c r="AX219" s="80" t="s">
        <v>10746</v>
      </c>
      <c r="AY219" s="87" t="str">
        <f>HYPERLINK("https://twitter.com/lailaarina_")</f>
        <v>https://twitter.com/lailaarina_</v>
      </c>
      <c r="AZ219" s="80" t="s">
        <v>66</v>
      </c>
      <c r="BA219" s="2"/>
      <c r="BB219" s="3"/>
      <c r="BC219" s="3"/>
      <c r="BD219" s="3"/>
      <c r="BE219" s="3"/>
    </row>
    <row r="220" spans="1:57" x14ac:dyDescent="0.35">
      <c r="A220" s="66" t="s">
        <v>398</v>
      </c>
      <c r="B220" s="67"/>
      <c r="C220" s="67"/>
      <c r="D220" s="68"/>
      <c r="E220" s="70"/>
      <c r="F220" s="109" t="str">
        <f>HYPERLINK("https://pbs.twimg.com/profile_images/1360915066237775873/OhSbHqj1_normal.jpg")</f>
        <v>https://pbs.twimg.com/profile_images/1360915066237775873/OhSbHqj1_normal.jpg</v>
      </c>
      <c r="G220" s="67"/>
      <c r="H220" s="71"/>
      <c r="I220" s="72"/>
      <c r="J220" s="72"/>
      <c r="K220" s="71" t="s">
        <v>10963</v>
      </c>
      <c r="L220" s="75"/>
      <c r="M220" s="76"/>
      <c r="N220" s="76"/>
      <c r="O220" s="77"/>
      <c r="P220" s="78"/>
      <c r="Q220" s="78"/>
      <c r="R220" s="92"/>
      <c r="S220" s="92"/>
      <c r="T220" s="92"/>
      <c r="U220" s="92"/>
      <c r="V220" s="52"/>
      <c r="W220" s="52"/>
      <c r="X220" s="52"/>
      <c r="Y220" s="52"/>
      <c r="Z220" s="51"/>
      <c r="AA220" s="73"/>
      <c r="AB220" s="73"/>
      <c r="AC220" s="74"/>
      <c r="AD220" s="80" t="s">
        <v>6803</v>
      </c>
      <c r="AE220" s="85" t="s">
        <v>8052</v>
      </c>
      <c r="AF220" s="80">
        <v>227</v>
      </c>
      <c r="AG220" s="80">
        <v>2884</v>
      </c>
      <c r="AH220" s="80">
        <v>100538</v>
      </c>
      <c r="AI220" s="80">
        <v>74500</v>
      </c>
      <c r="AJ220" s="80"/>
      <c r="AK220" s="80" t="s">
        <v>9154</v>
      </c>
      <c r="AL220" s="80"/>
      <c r="AM220" s="80"/>
      <c r="AN220" s="80"/>
      <c r="AO220" s="82">
        <v>41439.38853009259</v>
      </c>
      <c r="AP220" s="87" t="str">
        <f>HYPERLINK("https://pbs.twimg.com/profile_banners/1515881054/1535114552")</f>
        <v>https://pbs.twimg.com/profile_banners/1515881054/1535114552</v>
      </c>
      <c r="AQ220" s="80" t="b">
        <v>0</v>
      </c>
      <c r="AR220" s="80" t="b">
        <v>0</v>
      </c>
      <c r="AS220" s="80" t="b">
        <v>1</v>
      </c>
      <c r="AT220" s="80"/>
      <c r="AU220" s="80">
        <v>4</v>
      </c>
      <c r="AV220" s="87" t="str">
        <f>HYPERLINK("https://abs.twimg.com/images/themes/theme14/bg.gif")</f>
        <v>https://abs.twimg.com/images/themes/theme14/bg.gif</v>
      </c>
      <c r="AW220" s="80" t="b">
        <v>0</v>
      </c>
      <c r="AX220" s="80" t="s">
        <v>10746</v>
      </c>
      <c r="AY220" s="87" t="str">
        <f>HYPERLINK("https://twitter.com/muzaliii")</f>
        <v>https://twitter.com/muzaliii</v>
      </c>
      <c r="AZ220" s="80" t="s">
        <v>66</v>
      </c>
      <c r="BA220" s="2"/>
      <c r="BB220" s="3"/>
      <c r="BC220" s="3"/>
      <c r="BD220" s="3"/>
      <c r="BE220" s="3"/>
    </row>
    <row r="221" spans="1:57" x14ac:dyDescent="0.35">
      <c r="A221" s="66" t="s">
        <v>399</v>
      </c>
      <c r="B221" s="67"/>
      <c r="C221" s="67"/>
      <c r="D221" s="68"/>
      <c r="E221" s="70"/>
      <c r="F221" s="109" t="str">
        <f>HYPERLINK("https://pbs.twimg.com/profile_images/1438405719968022529/pUZQoUcS_normal.jpg")</f>
        <v>https://pbs.twimg.com/profile_images/1438405719968022529/pUZQoUcS_normal.jpg</v>
      </c>
      <c r="G221" s="67"/>
      <c r="H221" s="71"/>
      <c r="I221" s="72"/>
      <c r="J221" s="72"/>
      <c r="K221" s="71" t="s">
        <v>10964</v>
      </c>
      <c r="L221" s="75"/>
      <c r="M221" s="76"/>
      <c r="N221" s="76"/>
      <c r="O221" s="77"/>
      <c r="P221" s="78"/>
      <c r="Q221" s="78"/>
      <c r="R221" s="92"/>
      <c r="S221" s="92"/>
      <c r="T221" s="92"/>
      <c r="U221" s="92"/>
      <c r="V221" s="52"/>
      <c r="W221" s="52"/>
      <c r="X221" s="52"/>
      <c r="Y221" s="52"/>
      <c r="Z221" s="51"/>
      <c r="AA221" s="73"/>
      <c r="AB221" s="73"/>
      <c r="AC221" s="74"/>
      <c r="AD221" s="80" t="s">
        <v>6804</v>
      </c>
      <c r="AE221" s="85" t="s">
        <v>8053</v>
      </c>
      <c r="AF221" s="80">
        <v>1424</v>
      </c>
      <c r="AG221" s="80">
        <v>1415</v>
      </c>
      <c r="AH221" s="80">
        <v>8839</v>
      </c>
      <c r="AI221" s="80">
        <v>9117</v>
      </c>
      <c r="AJ221" s="80"/>
      <c r="AK221" s="87" t="str">
        <f>HYPERLINK("https://t.co/iOdPDx56it")</f>
        <v>https://t.co/iOdPDx56it</v>
      </c>
      <c r="AL221" s="80" t="s">
        <v>10238</v>
      </c>
      <c r="AM221" s="80"/>
      <c r="AN221" s="80"/>
      <c r="AO221" s="82">
        <v>44149.407939814817</v>
      </c>
      <c r="AP221" s="87" t="str">
        <f>HYPERLINK("https://pbs.twimg.com/profile_banners/1327548607319343104/1606106850")</f>
        <v>https://pbs.twimg.com/profile_banners/1327548607319343104/1606106850</v>
      </c>
      <c r="AQ221" s="80" t="b">
        <v>1</v>
      </c>
      <c r="AR221" s="80" t="b">
        <v>0</v>
      </c>
      <c r="AS221" s="80" t="b">
        <v>0</v>
      </c>
      <c r="AT221" s="80"/>
      <c r="AU221" s="80">
        <v>0</v>
      </c>
      <c r="AV221" s="80"/>
      <c r="AW221" s="80" t="b">
        <v>0</v>
      </c>
      <c r="AX221" s="80" t="s">
        <v>10746</v>
      </c>
      <c r="AY221" s="87" t="str">
        <f>HYPERLINK("https://twitter.com/reshtua")</f>
        <v>https://twitter.com/reshtua</v>
      </c>
      <c r="AZ221" s="80" t="s">
        <v>66</v>
      </c>
      <c r="BA221" s="2"/>
      <c r="BB221" s="3"/>
      <c r="BC221" s="3"/>
      <c r="BD221" s="3"/>
      <c r="BE221" s="3"/>
    </row>
    <row r="222" spans="1:57" x14ac:dyDescent="0.35">
      <c r="A222" s="66" t="s">
        <v>416</v>
      </c>
      <c r="B222" s="67"/>
      <c r="C222" s="67"/>
      <c r="D222" s="68"/>
      <c r="E222" s="70"/>
      <c r="F222" s="109" t="str">
        <f>HYPERLINK("https://pbs.twimg.com/profile_images/1438758233254993921/xBdwdurT_normal.jpg")</f>
        <v>https://pbs.twimg.com/profile_images/1438758233254993921/xBdwdurT_normal.jpg</v>
      </c>
      <c r="G222" s="67"/>
      <c r="H222" s="71"/>
      <c r="I222" s="72"/>
      <c r="J222" s="72"/>
      <c r="K222" s="71" t="s">
        <v>10965</v>
      </c>
      <c r="L222" s="75"/>
      <c r="M222" s="76"/>
      <c r="N222" s="76"/>
      <c r="O222" s="77"/>
      <c r="P222" s="78"/>
      <c r="Q222" s="78"/>
      <c r="R222" s="92"/>
      <c r="S222" s="92"/>
      <c r="T222" s="92"/>
      <c r="U222" s="92"/>
      <c r="V222" s="52"/>
      <c r="W222" s="52"/>
      <c r="X222" s="52"/>
      <c r="Y222" s="52"/>
      <c r="Z222" s="51"/>
      <c r="AA222" s="73"/>
      <c r="AB222" s="73"/>
      <c r="AC222" s="74"/>
      <c r="AD222" s="80" t="s">
        <v>6805</v>
      </c>
      <c r="AE222" s="85" t="s">
        <v>8054</v>
      </c>
      <c r="AF222" s="80">
        <v>2246</v>
      </c>
      <c r="AG222" s="80">
        <v>2291</v>
      </c>
      <c r="AH222" s="80">
        <v>15375</v>
      </c>
      <c r="AI222" s="80">
        <v>14648</v>
      </c>
      <c r="AJ222" s="80"/>
      <c r="AK222" s="80" t="s">
        <v>9155</v>
      </c>
      <c r="AL222" s="80"/>
      <c r="AM222" s="80"/>
      <c r="AN222" s="80"/>
      <c r="AO222" s="82">
        <v>41491.643287037034</v>
      </c>
      <c r="AP222" s="87" t="str">
        <f>HYPERLINK("https://pbs.twimg.com/profile_banners/1648045466/1616979026")</f>
        <v>https://pbs.twimg.com/profile_banners/1648045466/1616979026</v>
      </c>
      <c r="AQ222" s="80" t="b">
        <v>1</v>
      </c>
      <c r="AR222" s="80" t="b">
        <v>0</v>
      </c>
      <c r="AS222" s="80" t="b">
        <v>0</v>
      </c>
      <c r="AT222" s="80"/>
      <c r="AU222" s="80">
        <v>0</v>
      </c>
      <c r="AV222" s="87" t="str">
        <f>HYPERLINK("https://abs.twimg.com/images/themes/theme1/bg.png")</f>
        <v>https://abs.twimg.com/images/themes/theme1/bg.png</v>
      </c>
      <c r="AW222" s="80" t="b">
        <v>0</v>
      </c>
      <c r="AX222" s="80" t="s">
        <v>10746</v>
      </c>
      <c r="AY222" s="87" t="str">
        <f>HYPERLINK("https://twitter.com/_antaresh29")</f>
        <v>https://twitter.com/_antaresh29</v>
      </c>
      <c r="AZ222" s="80" t="s">
        <v>66</v>
      </c>
      <c r="BA222" s="2"/>
      <c r="BB222" s="3"/>
      <c r="BC222" s="3"/>
      <c r="BD222" s="3"/>
      <c r="BE222" s="3"/>
    </row>
    <row r="223" spans="1:57" x14ac:dyDescent="0.35">
      <c r="A223" s="66" t="s">
        <v>415</v>
      </c>
      <c r="B223" s="67"/>
      <c r="C223" s="67"/>
      <c r="D223" s="68"/>
      <c r="E223" s="70"/>
      <c r="F223" s="109" t="str">
        <f>HYPERLINK("https://pbs.twimg.com/profile_images/1302732844700106752/dFv7rrg2_normal.jpg")</f>
        <v>https://pbs.twimg.com/profile_images/1302732844700106752/dFv7rrg2_normal.jpg</v>
      </c>
      <c r="G223" s="67"/>
      <c r="H223" s="71"/>
      <c r="I223" s="72"/>
      <c r="J223" s="72"/>
      <c r="K223" s="71" t="s">
        <v>10966</v>
      </c>
      <c r="L223" s="75"/>
      <c r="M223" s="76"/>
      <c r="N223" s="76"/>
      <c r="O223" s="77"/>
      <c r="P223" s="78"/>
      <c r="Q223" s="78"/>
      <c r="R223" s="92"/>
      <c r="S223" s="92"/>
      <c r="T223" s="92"/>
      <c r="U223" s="92"/>
      <c r="V223" s="52"/>
      <c r="W223" s="52"/>
      <c r="X223" s="52"/>
      <c r="Y223" s="52"/>
      <c r="Z223" s="51"/>
      <c r="AA223" s="73"/>
      <c r="AB223" s="73"/>
      <c r="AC223" s="74"/>
      <c r="AD223" s="80" t="s">
        <v>6806</v>
      </c>
      <c r="AE223" s="85" t="s">
        <v>8055</v>
      </c>
      <c r="AF223" s="80">
        <v>4431</v>
      </c>
      <c r="AG223" s="80">
        <v>4436</v>
      </c>
      <c r="AH223" s="80">
        <v>16077</v>
      </c>
      <c r="AI223" s="80">
        <v>15486</v>
      </c>
      <c r="AJ223" s="80"/>
      <c r="AK223" s="80" t="s">
        <v>9156</v>
      </c>
      <c r="AL223" s="80"/>
      <c r="AM223" s="80"/>
      <c r="AN223" s="80"/>
      <c r="AO223" s="82">
        <v>43967.139861111114</v>
      </c>
      <c r="AP223" s="87" t="str">
        <f>HYPERLINK("https://pbs.twimg.com/profile_banners/1261496786440515586/1610018252")</f>
        <v>https://pbs.twimg.com/profile_banners/1261496786440515586/1610018252</v>
      </c>
      <c r="AQ223" s="80" t="b">
        <v>1</v>
      </c>
      <c r="AR223" s="80" t="b">
        <v>0</v>
      </c>
      <c r="AS223" s="80" t="b">
        <v>0</v>
      </c>
      <c r="AT223" s="80"/>
      <c r="AU223" s="80">
        <v>0</v>
      </c>
      <c r="AV223" s="80"/>
      <c r="AW223" s="80" t="b">
        <v>0</v>
      </c>
      <c r="AX223" s="80" t="s">
        <v>10746</v>
      </c>
      <c r="AY223" s="87" t="str">
        <f>HYPERLINK("https://twitter.com/rbonafida")</f>
        <v>https://twitter.com/rbonafida</v>
      </c>
      <c r="AZ223" s="80" t="s">
        <v>66</v>
      </c>
      <c r="BA223" s="2"/>
      <c r="BB223" s="3"/>
      <c r="BC223" s="3"/>
      <c r="BD223" s="3"/>
      <c r="BE223" s="3"/>
    </row>
    <row r="224" spans="1:57" x14ac:dyDescent="0.35">
      <c r="A224" s="66" t="s">
        <v>400</v>
      </c>
      <c r="B224" s="67"/>
      <c r="C224" s="67"/>
      <c r="D224" s="68"/>
      <c r="E224" s="70"/>
      <c r="F224" s="109" t="str">
        <f>HYPERLINK("https://pbs.twimg.com/profile_images/1324209183760150529/EwY_4l4s_normal.jpg")</f>
        <v>https://pbs.twimg.com/profile_images/1324209183760150529/EwY_4l4s_normal.jpg</v>
      </c>
      <c r="G224" s="67"/>
      <c r="H224" s="71"/>
      <c r="I224" s="72"/>
      <c r="J224" s="72"/>
      <c r="K224" s="71" t="s">
        <v>10967</v>
      </c>
      <c r="L224" s="75"/>
      <c r="M224" s="76"/>
      <c r="N224" s="76"/>
      <c r="O224" s="77"/>
      <c r="P224" s="78"/>
      <c r="Q224" s="78"/>
      <c r="R224" s="92"/>
      <c r="S224" s="92"/>
      <c r="T224" s="92"/>
      <c r="U224" s="92"/>
      <c r="V224" s="52"/>
      <c r="W224" s="52"/>
      <c r="X224" s="52"/>
      <c r="Y224" s="52"/>
      <c r="Z224" s="51"/>
      <c r="AA224" s="73"/>
      <c r="AB224" s="73"/>
      <c r="AC224" s="74"/>
      <c r="AD224" s="80" t="s">
        <v>6807</v>
      </c>
      <c r="AE224" s="85" t="s">
        <v>8056</v>
      </c>
      <c r="AF224" s="80">
        <v>192</v>
      </c>
      <c r="AG224" s="80">
        <v>3227</v>
      </c>
      <c r="AH224" s="80">
        <v>154798</v>
      </c>
      <c r="AI224" s="80">
        <v>172</v>
      </c>
      <c r="AJ224" s="80"/>
      <c r="AK224" s="80" t="s">
        <v>9157</v>
      </c>
      <c r="AL224" s="80" t="s">
        <v>10139</v>
      </c>
      <c r="AM224" s="87" t="str">
        <f>HYPERLINK("https://t.co/Bx6bFNB09q")</f>
        <v>https://t.co/Bx6bFNB09q</v>
      </c>
      <c r="AN224" s="80"/>
      <c r="AO224" s="82">
        <v>43091.514351851853</v>
      </c>
      <c r="AP224" s="87" t="str">
        <f>HYPERLINK("https://pbs.twimg.com/profile_banners/944180887171743745/1609148178")</f>
        <v>https://pbs.twimg.com/profile_banners/944180887171743745/1609148178</v>
      </c>
      <c r="AQ224" s="80" t="b">
        <v>1</v>
      </c>
      <c r="AR224" s="80" t="b">
        <v>0</v>
      </c>
      <c r="AS224" s="80" t="b">
        <v>0</v>
      </c>
      <c r="AT224" s="80"/>
      <c r="AU224" s="80">
        <v>11</v>
      </c>
      <c r="AV224" s="80"/>
      <c r="AW224" s="80" t="b">
        <v>0</v>
      </c>
      <c r="AX224" s="80" t="s">
        <v>10746</v>
      </c>
      <c r="AY224" s="87" t="str">
        <f>HYPERLINK("https://twitter.com/inewsdotid")</f>
        <v>https://twitter.com/inewsdotid</v>
      </c>
      <c r="AZ224" s="80" t="s">
        <v>66</v>
      </c>
      <c r="BA224" s="2"/>
      <c r="BB224" s="3"/>
      <c r="BC224" s="3"/>
      <c r="BD224" s="3"/>
      <c r="BE224" s="3"/>
    </row>
    <row r="225" spans="1:57" x14ac:dyDescent="0.35">
      <c r="A225" s="66" t="s">
        <v>401</v>
      </c>
      <c r="B225" s="67"/>
      <c r="C225" s="67"/>
      <c r="D225" s="68"/>
      <c r="E225" s="70"/>
      <c r="F225" s="109" t="str">
        <f>HYPERLINK("https://pbs.twimg.com/profile_images/1329318010838945792/wZ6JTe8V_normal.jpg")</f>
        <v>https://pbs.twimg.com/profile_images/1329318010838945792/wZ6JTe8V_normal.jpg</v>
      </c>
      <c r="G225" s="67"/>
      <c r="H225" s="71"/>
      <c r="I225" s="72"/>
      <c r="J225" s="72"/>
      <c r="K225" s="71" t="s">
        <v>10968</v>
      </c>
      <c r="L225" s="75"/>
      <c r="M225" s="76"/>
      <c r="N225" s="76"/>
      <c r="O225" s="77"/>
      <c r="P225" s="78"/>
      <c r="Q225" s="78"/>
      <c r="R225" s="92"/>
      <c r="S225" s="92"/>
      <c r="T225" s="92"/>
      <c r="U225" s="92"/>
      <c r="V225" s="52"/>
      <c r="W225" s="52"/>
      <c r="X225" s="52"/>
      <c r="Y225" s="52"/>
      <c r="Z225" s="51"/>
      <c r="AA225" s="73"/>
      <c r="AB225" s="73"/>
      <c r="AC225" s="74"/>
      <c r="AD225" s="80" t="s">
        <v>6808</v>
      </c>
      <c r="AE225" s="85" t="s">
        <v>8057</v>
      </c>
      <c r="AF225" s="80">
        <v>236</v>
      </c>
      <c r="AG225" s="80">
        <v>309</v>
      </c>
      <c r="AH225" s="80">
        <v>67163</v>
      </c>
      <c r="AI225" s="80">
        <v>74993</v>
      </c>
      <c r="AJ225" s="80"/>
      <c r="AK225" s="80" t="s">
        <v>9158</v>
      </c>
      <c r="AL225" s="80"/>
      <c r="AM225" s="80"/>
      <c r="AN225" s="80"/>
      <c r="AO225" s="82">
        <v>41113.541863425926</v>
      </c>
      <c r="AP225" s="87" t="str">
        <f>HYPERLINK("https://pbs.twimg.com/profile_banners/712386606/1474695375")</f>
        <v>https://pbs.twimg.com/profile_banners/712386606/1474695375</v>
      </c>
      <c r="AQ225" s="80" t="b">
        <v>0</v>
      </c>
      <c r="AR225" s="80" t="b">
        <v>0</v>
      </c>
      <c r="AS225" s="80" t="b">
        <v>1</v>
      </c>
      <c r="AT225" s="80"/>
      <c r="AU225" s="80">
        <v>0</v>
      </c>
      <c r="AV225" s="87" t="str">
        <f>HYPERLINK("https://abs.twimg.com/images/themes/theme1/bg.png")</f>
        <v>https://abs.twimg.com/images/themes/theme1/bg.png</v>
      </c>
      <c r="AW225" s="80" t="b">
        <v>0</v>
      </c>
      <c r="AX225" s="80" t="s">
        <v>10746</v>
      </c>
      <c r="AY225" s="87" t="str">
        <f>HYPERLINK("https://twitter.com/dearmiyra")</f>
        <v>https://twitter.com/dearmiyra</v>
      </c>
      <c r="AZ225" s="80" t="s">
        <v>66</v>
      </c>
      <c r="BA225" s="2"/>
      <c r="BB225" s="3"/>
      <c r="BC225" s="3"/>
      <c r="BD225" s="3"/>
      <c r="BE225" s="3"/>
    </row>
    <row r="226" spans="1:57" x14ac:dyDescent="0.35">
      <c r="A226" s="66" t="s">
        <v>402</v>
      </c>
      <c r="B226" s="67"/>
      <c r="C226" s="67"/>
      <c r="D226" s="68"/>
      <c r="E226" s="70"/>
      <c r="F226" s="109" t="str">
        <f>HYPERLINK("https://pbs.twimg.com/profile_images/1421686849324535810/PnrID7mG_normal.png")</f>
        <v>https://pbs.twimg.com/profile_images/1421686849324535810/PnrID7mG_normal.png</v>
      </c>
      <c r="G226" s="67"/>
      <c r="H226" s="71"/>
      <c r="I226" s="72"/>
      <c r="J226" s="72"/>
      <c r="K226" s="71" t="s">
        <v>10969</v>
      </c>
      <c r="L226" s="75"/>
      <c r="M226" s="76"/>
      <c r="N226" s="76"/>
      <c r="O226" s="77"/>
      <c r="P226" s="78"/>
      <c r="Q226" s="78"/>
      <c r="R226" s="92"/>
      <c r="S226" s="92"/>
      <c r="T226" s="92"/>
      <c r="U226" s="92"/>
      <c r="V226" s="52"/>
      <c r="W226" s="52"/>
      <c r="X226" s="52"/>
      <c r="Y226" s="52"/>
      <c r="Z226" s="51"/>
      <c r="AA226" s="73"/>
      <c r="AB226" s="73"/>
      <c r="AC226" s="74"/>
      <c r="AD226" s="80" t="s">
        <v>6809</v>
      </c>
      <c r="AE226" s="85" t="s">
        <v>8058</v>
      </c>
      <c r="AF226" s="80">
        <v>250</v>
      </c>
      <c r="AG226" s="80">
        <v>165</v>
      </c>
      <c r="AH226" s="80">
        <v>7752</v>
      </c>
      <c r="AI226" s="80">
        <v>22590</v>
      </c>
      <c r="AJ226" s="80"/>
      <c r="AK226" s="80" t="s">
        <v>9159</v>
      </c>
      <c r="AL226" s="80" t="s">
        <v>10239</v>
      </c>
      <c r="AM226" s="80"/>
      <c r="AN226" s="80"/>
      <c r="AO226" s="82">
        <v>43972.596388888887</v>
      </c>
      <c r="AP226" s="87" t="str">
        <f>HYPERLINK("https://pbs.twimg.com/profile_banners/1263474169838284808/1600605943")</f>
        <v>https://pbs.twimg.com/profile_banners/1263474169838284808/1600605943</v>
      </c>
      <c r="AQ226" s="80" t="b">
        <v>1</v>
      </c>
      <c r="AR226" s="80" t="b">
        <v>0</v>
      </c>
      <c r="AS226" s="80" t="b">
        <v>0</v>
      </c>
      <c r="AT226" s="80"/>
      <c r="AU226" s="80">
        <v>1</v>
      </c>
      <c r="AV226" s="80"/>
      <c r="AW226" s="80" t="b">
        <v>0</v>
      </c>
      <c r="AX226" s="80" t="s">
        <v>10746</v>
      </c>
      <c r="AY226" s="87" t="str">
        <f>HYPERLINK("https://twitter.com/aiyudiaa")</f>
        <v>https://twitter.com/aiyudiaa</v>
      </c>
      <c r="AZ226" s="80" t="s">
        <v>66</v>
      </c>
      <c r="BA226" s="2"/>
      <c r="BB226" s="3"/>
      <c r="BC226" s="3"/>
      <c r="BD226" s="3"/>
      <c r="BE226" s="3"/>
    </row>
    <row r="227" spans="1:57" x14ac:dyDescent="0.35">
      <c r="A227" s="66" t="s">
        <v>1303</v>
      </c>
      <c r="B227" s="67"/>
      <c r="C227" s="67"/>
      <c r="D227" s="68"/>
      <c r="E227" s="70"/>
      <c r="F227" s="109" t="str">
        <f>HYPERLINK("https://pbs.twimg.com/profile_images/1442488009065074691/N9Ls20Mi_normal.jpg")</f>
        <v>https://pbs.twimg.com/profile_images/1442488009065074691/N9Ls20Mi_normal.jpg</v>
      </c>
      <c r="G227" s="67"/>
      <c r="H227" s="71"/>
      <c r="I227" s="72"/>
      <c r="J227" s="72"/>
      <c r="K227" s="71" t="s">
        <v>10970</v>
      </c>
      <c r="L227" s="75"/>
      <c r="M227" s="76"/>
      <c r="N227" s="76"/>
      <c r="O227" s="77"/>
      <c r="P227" s="78"/>
      <c r="Q227" s="78"/>
      <c r="R227" s="92"/>
      <c r="S227" s="92"/>
      <c r="T227" s="92"/>
      <c r="U227" s="92"/>
      <c r="V227" s="52"/>
      <c r="W227" s="52"/>
      <c r="X227" s="52"/>
      <c r="Y227" s="52"/>
      <c r="Z227" s="51"/>
      <c r="AA227" s="73"/>
      <c r="AB227" s="73"/>
      <c r="AC227" s="74"/>
      <c r="AD227" s="80" t="s">
        <v>6810</v>
      </c>
      <c r="AE227" s="85" t="s">
        <v>6275</v>
      </c>
      <c r="AF227" s="80">
        <v>425</v>
      </c>
      <c r="AG227" s="80">
        <v>408</v>
      </c>
      <c r="AH227" s="80">
        <v>6332</v>
      </c>
      <c r="AI227" s="80">
        <v>2717</v>
      </c>
      <c r="AJ227" s="80"/>
      <c r="AK227" s="80" t="s">
        <v>9160</v>
      </c>
      <c r="AL227" s="80" t="s">
        <v>10240</v>
      </c>
      <c r="AM227" s="80"/>
      <c r="AN227" s="80"/>
      <c r="AO227" s="82">
        <v>43934.16510416667</v>
      </c>
      <c r="AP227" s="87" t="str">
        <f>HYPERLINK("https://pbs.twimg.com/profile_banners/1249547255402483714/1632745067")</f>
        <v>https://pbs.twimg.com/profile_banners/1249547255402483714/1632745067</v>
      </c>
      <c r="AQ227" s="80" t="b">
        <v>1</v>
      </c>
      <c r="AR227" s="80" t="b">
        <v>0</v>
      </c>
      <c r="AS227" s="80" t="b">
        <v>0</v>
      </c>
      <c r="AT227" s="80"/>
      <c r="AU227" s="80">
        <v>2</v>
      </c>
      <c r="AV227" s="80"/>
      <c r="AW227" s="80" t="b">
        <v>0</v>
      </c>
      <c r="AX227" s="80" t="s">
        <v>10746</v>
      </c>
      <c r="AY227" s="87" t="str">
        <f>HYPERLINK("https://twitter.com/urdreamjen")</f>
        <v>https://twitter.com/urdreamjen</v>
      </c>
      <c r="AZ227" s="80" t="s">
        <v>65</v>
      </c>
      <c r="BA227" s="2"/>
      <c r="BB227" s="3"/>
      <c r="BC227" s="3"/>
      <c r="BD227" s="3"/>
      <c r="BE227" s="3"/>
    </row>
    <row r="228" spans="1:57" x14ac:dyDescent="0.35">
      <c r="A228" s="66" t="s">
        <v>403</v>
      </c>
      <c r="B228" s="67"/>
      <c r="C228" s="67"/>
      <c r="D228" s="68"/>
      <c r="E228" s="70"/>
      <c r="F228" s="109" t="str">
        <f>HYPERLINK("https://pbs.twimg.com/profile_images/1439965040233234436/cki-I_om_normal.jpg")</f>
        <v>https://pbs.twimg.com/profile_images/1439965040233234436/cki-I_om_normal.jpg</v>
      </c>
      <c r="G228" s="67"/>
      <c r="H228" s="71"/>
      <c r="I228" s="72"/>
      <c r="J228" s="72"/>
      <c r="K228" s="71" t="s">
        <v>10971</v>
      </c>
      <c r="L228" s="75"/>
      <c r="M228" s="76"/>
      <c r="N228" s="76"/>
      <c r="O228" s="77"/>
      <c r="P228" s="78"/>
      <c r="Q228" s="78"/>
      <c r="R228" s="92"/>
      <c r="S228" s="92"/>
      <c r="T228" s="92"/>
      <c r="U228" s="92"/>
      <c r="V228" s="52"/>
      <c r="W228" s="52"/>
      <c r="X228" s="52"/>
      <c r="Y228" s="52"/>
      <c r="Z228" s="51"/>
      <c r="AA228" s="73"/>
      <c r="AB228" s="73"/>
      <c r="AC228" s="74"/>
      <c r="AD228" s="80" t="s">
        <v>6811</v>
      </c>
      <c r="AE228" s="85" t="s">
        <v>8059</v>
      </c>
      <c r="AF228" s="80">
        <v>429</v>
      </c>
      <c r="AG228" s="80">
        <v>430</v>
      </c>
      <c r="AH228" s="80">
        <v>45258</v>
      </c>
      <c r="AI228" s="80">
        <v>1107</v>
      </c>
      <c r="AJ228" s="80"/>
      <c r="AK228" s="80" t="s">
        <v>9161</v>
      </c>
      <c r="AL228" s="80"/>
      <c r="AM228" s="87" t="str">
        <f>HYPERLINK("https://t.co/4kjzVzWkB1")</f>
        <v>https://t.co/4kjzVzWkB1</v>
      </c>
      <c r="AN228" s="80"/>
      <c r="AO228" s="82">
        <v>42665.360659722224</v>
      </c>
      <c r="AP228" s="87" t="str">
        <f>HYPERLINK("https://pbs.twimg.com/profile_banners/789747961756389376/1563610264")</f>
        <v>https://pbs.twimg.com/profile_banners/789747961756389376/1563610264</v>
      </c>
      <c r="AQ228" s="80" t="b">
        <v>0</v>
      </c>
      <c r="AR228" s="80" t="b">
        <v>0</v>
      </c>
      <c r="AS228" s="80" t="b">
        <v>1</v>
      </c>
      <c r="AT228" s="80"/>
      <c r="AU228" s="80">
        <v>0</v>
      </c>
      <c r="AV228" s="87" t="str">
        <f>HYPERLINK("https://abs.twimg.com/images/themes/theme1/bg.png")</f>
        <v>https://abs.twimg.com/images/themes/theme1/bg.png</v>
      </c>
      <c r="AW228" s="80" t="b">
        <v>0</v>
      </c>
      <c r="AX228" s="80" t="s">
        <v>10746</v>
      </c>
      <c r="AY228" s="87" t="str">
        <f>HYPERLINK("https://twitter.com/nrulafiqah17")</f>
        <v>https://twitter.com/nrulafiqah17</v>
      </c>
      <c r="AZ228" s="80" t="s">
        <v>66</v>
      </c>
      <c r="BA228" s="2"/>
      <c r="BB228" s="3"/>
      <c r="BC228" s="3"/>
      <c r="BD228" s="3"/>
      <c r="BE228" s="3"/>
    </row>
    <row r="229" spans="1:57" x14ac:dyDescent="0.35">
      <c r="A229" s="66" t="s">
        <v>404</v>
      </c>
      <c r="B229" s="67"/>
      <c r="C229" s="67"/>
      <c r="D229" s="68"/>
      <c r="E229" s="70"/>
      <c r="F229" s="109" t="str">
        <f>HYPERLINK("https://pbs.twimg.com/profile_images/1411257319355084801/sJ8JFPSG_normal.jpg")</f>
        <v>https://pbs.twimg.com/profile_images/1411257319355084801/sJ8JFPSG_normal.jpg</v>
      </c>
      <c r="G229" s="67"/>
      <c r="H229" s="71"/>
      <c r="I229" s="72"/>
      <c r="J229" s="72"/>
      <c r="K229" s="71" t="s">
        <v>10972</v>
      </c>
      <c r="L229" s="75"/>
      <c r="M229" s="76"/>
      <c r="N229" s="76"/>
      <c r="O229" s="77"/>
      <c r="P229" s="78"/>
      <c r="Q229" s="78"/>
      <c r="R229" s="92"/>
      <c r="S229" s="92"/>
      <c r="T229" s="92"/>
      <c r="U229" s="92"/>
      <c r="V229" s="52"/>
      <c r="W229" s="52"/>
      <c r="X229" s="52"/>
      <c r="Y229" s="52"/>
      <c r="Z229" s="51"/>
      <c r="AA229" s="73"/>
      <c r="AB229" s="73"/>
      <c r="AC229" s="74"/>
      <c r="AD229" s="80" t="s">
        <v>6812</v>
      </c>
      <c r="AE229" s="85" t="s">
        <v>8060</v>
      </c>
      <c r="AF229" s="80">
        <v>311</v>
      </c>
      <c r="AG229" s="80">
        <v>456</v>
      </c>
      <c r="AH229" s="80">
        <v>66883</v>
      </c>
      <c r="AI229" s="80">
        <v>149932</v>
      </c>
      <c r="AJ229" s="80"/>
      <c r="AK229" s="80" t="s">
        <v>9162</v>
      </c>
      <c r="AL229" s="80" t="s">
        <v>10210</v>
      </c>
      <c r="AM229" s="80"/>
      <c r="AN229" s="80"/>
      <c r="AO229" s="82">
        <v>41344.562962962962</v>
      </c>
      <c r="AP229" s="87" t="str">
        <f>HYPERLINK("https://pbs.twimg.com/profile_banners/1259455908/1567610505")</f>
        <v>https://pbs.twimg.com/profile_banners/1259455908/1567610505</v>
      </c>
      <c r="AQ229" s="80" t="b">
        <v>0</v>
      </c>
      <c r="AR229" s="80" t="b">
        <v>0</v>
      </c>
      <c r="AS229" s="80" t="b">
        <v>1</v>
      </c>
      <c r="AT229" s="80"/>
      <c r="AU229" s="80">
        <v>4</v>
      </c>
      <c r="AV229" s="87" t="str">
        <f>HYPERLINK("https://abs.twimg.com/images/themes/theme9/bg.gif")</f>
        <v>https://abs.twimg.com/images/themes/theme9/bg.gif</v>
      </c>
      <c r="AW229" s="80" t="b">
        <v>0</v>
      </c>
      <c r="AX229" s="80" t="s">
        <v>10746</v>
      </c>
      <c r="AY229" s="87" t="str">
        <f>HYPERLINK("https://twitter.com/21anishafizah")</f>
        <v>https://twitter.com/21anishafizah</v>
      </c>
      <c r="AZ229" s="80" t="s">
        <v>66</v>
      </c>
      <c r="BA229" s="2"/>
      <c r="BB229" s="3"/>
      <c r="BC229" s="3"/>
      <c r="BD229" s="3"/>
      <c r="BE229" s="3"/>
    </row>
    <row r="230" spans="1:57" x14ac:dyDescent="0.35">
      <c r="A230" s="66" t="s">
        <v>405</v>
      </c>
      <c r="B230" s="67"/>
      <c r="C230" s="67"/>
      <c r="D230" s="68"/>
      <c r="E230" s="70"/>
      <c r="F230" s="109" t="str">
        <f>HYPERLINK("https://pbs.twimg.com/profile_images/1437247717638479875/WC7tixWG_normal.jpg")</f>
        <v>https://pbs.twimg.com/profile_images/1437247717638479875/WC7tixWG_normal.jpg</v>
      </c>
      <c r="G230" s="67"/>
      <c r="H230" s="71"/>
      <c r="I230" s="72"/>
      <c r="J230" s="72"/>
      <c r="K230" s="71" t="s">
        <v>10973</v>
      </c>
      <c r="L230" s="75"/>
      <c r="M230" s="76"/>
      <c r="N230" s="76"/>
      <c r="O230" s="77"/>
      <c r="P230" s="78"/>
      <c r="Q230" s="78"/>
      <c r="R230" s="92"/>
      <c r="S230" s="92"/>
      <c r="T230" s="92"/>
      <c r="U230" s="92"/>
      <c r="V230" s="52"/>
      <c r="W230" s="52"/>
      <c r="X230" s="52"/>
      <c r="Y230" s="52"/>
      <c r="Z230" s="51"/>
      <c r="AA230" s="73"/>
      <c r="AB230" s="73"/>
      <c r="AC230" s="74"/>
      <c r="AD230" s="80" t="s">
        <v>6813</v>
      </c>
      <c r="AE230" s="85" t="s">
        <v>8061</v>
      </c>
      <c r="AF230" s="80">
        <v>4</v>
      </c>
      <c r="AG230" s="80">
        <v>1</v>
      </c>
      <c r="AH230" s="80">
        <v>298</v>
      </c>
      <c r="AI230" s="80">
        <v>26</v>
      </c>
      <c r="AJ230" s="80"/>
      <c r="AK230" s="80" t="s">
        <v>9163</v>
      </c>
      <c r="AL230" s="80"/>
      <c r="AM230" s="87" t="str">
        <f>HYPERLINK("https://t.co/k4kMR15cbq")</f>
        <v>https://t.co/k4kMR15cbq</v>
      </c>
      <c r="AN230" s="80"/>
      <c r="AO230" s="82">
        <v>44425.988344907404</v>
      </c>
      <c r="AP230" s="87" t="str">
        <f>HYPERLINK("https://pbs.twimg.com/profile_banners/1427778028713644034/1631501668")</f>
        <v>https://pbs.twimg.com/profile_banners/1427778028713644034/1631501668</v>
      </c>
      <c r="AQ230" s="80" t="b">
        <v>1</v>
      </c>
      <c r="AR230" s="80" t="b">
        <v>0</v>
      </c>
      <c r="AS230" s="80" t="b">
        <v>0</v>
      </c>
      <c r="AT230" s="80"/>
      <c r="AU230" s="80">
        <v>0</v>
      </c>
      <c r="AV230" s="80"/>
      <c r="AW230" s="80" t="b">
        <v>0</v>
      </c>
      <c r="AX230" s="80" t="s">
        <v>10746</v>
      </c>
      <c r="AY230" s="87" t="str">
        <f>HYPERLINK("https://twitter.com/pryoung61")</f>
        <v>https://twitter.com/pryoung61</v>
      </c>
      <c r="AZ230" s="80" t="s">
        <v>66</v>
      </c>
      <c r="BA230" s="2"/>
      <c r="BB230" s="3"/>
      <c r="BC230" s="3"/>
      <c r="BD230" s="3"/>
      <c r="BE230" s="3"/>
    </row>
    <row r="231" spans="1:57" x14ac:dyDescent="0.35">
      <c r="A231" s="66" t="s">
        <v>1304</v>
      </c>
      <c r="B231" s="67"/>
      <c r="C231" s="67"/>
      <c r="D231" s="68"/>
      <c r="E231" s="70"/>
      <c r="F231" s="109" t="str">
        <f>HYPERLINK("https://pbs.twimg.com/profile_images/1412636258887630848/iQo5m-rq_normal.jpg")</f>
        <v>https://pbs.twimg.com/profile_images/1412636258887630848/iQo5m-rq_normal.jpg</v>
      </c>
      <c r="G231" s="67"/>
      <c r="H231" s="71"/>
      <c r="I231" s="72"/>
      <c r="J231" s="72"/>
      <c r="K231" s="71" t="s">
        <v>10974</v>
      </c>
      <c r="L231" s="75"/>
      <c r="M231" s="76"/>
      <c r="N231" s="76"/>
      <c r="O231" s="77"/>
      <c r="P231" s="78"/>
      <c r="Q231" s="78"/>
      <c r="R231" s="92"/>
      <c r="S231" s="92"/>
      <c r="T231" s="92"/>
      <c r="U231" s="92"/>
      <c r="V231" s="52"/>
      <c r="W231" s="52"/>
      <c r="X231" s="52"/>
      <c r="Y231" s="52"/>
      <c r="Z231" s="51"/>
      <c r="AA231" s="73"/>
      <c r="AB231" s="73"/>
      <c r="AC231" s="74"/>
      <c r="AD231" s="80" t="s">
        <v>6814</v>
      </c>
      <c r="AE231" s="85" t="s">
        <v>6276</v>
      </c>
      <c r="AF231" s="80">
        <v>1381</v>
      </c>
      <c r="AG231" s="80">
        <v>18200</v>
      </c>
      <c r="AH231" s="80">
        <v>139493</v>
      </c>
      <c r="AI231" s="80">
        <v>34</v>
      </c>
      <c r="AJ231" s="80"/>
      <c r="AK231" s="80" t="s">
        <v>9164</v>
      </c>
      <c r="AL231" s="80" t="s">
        <v>10241</v>
      </c>
      <c r="AM231" s="87" t="str">
        <f>HYPERLINK("https://t.co/8q2eLlNMTd")</f>
        <v>https://t.co/8q2eLlNMTd</v>
      </c>
      <c r="AN231" s="80"/>
      <c r="AO231" s="82">
        <v>44129.150752314818</v>
      </c>
      <c r="AP231" s="87" t="str">
        <f>HYPERLINK("https://pbs.twimg.com/profile_banners/1320207670675030016/1625633703")</f>
        <v>https://pbs.twimg.com/profile_banners/1320207670675030016/1625633703</v>
      </c>
      <c r="AQ231" s="80" t="b">
        <v>1</v>
      </c>
      <c r="AR231" s="80" t="b">
        <v>0</v>
      </c>
      <c r="AS231" s="80" t="b">
        <v>0</v>
      </c>
      <c r="AT231" s="80"/>
      <c r="AU231" s="80">
        <v>134</v>
      </c>
      <c r="AV231" s="80"/>
      <c r="AW231" s="80" t="b">
        <v>0</v>
      </c>
      <c r="AX231" s="80" t="s">
        <v>10746</v>
      </c>
      <c r="AY231" s="87" t="str">
        <f>HYPERLINK("https://twitter.com/erinajajan")</f>
        <v>https://twitter.com/erinajajan</v>
      </c>
      <c r="AZ231" s="80" t="s">
        <v>65</v>
      </c>
      <c r="BA231" s="2"/>
      <c r="BB231" s="3"/>
      <c r="BC231" s="3"/>
      <c r="BD231" s="3"/>
      <c r="BE231" s="3"/>
    </row>
    <row r="232" spans="1:57" x14ac:dyDescent="0.35">
      <c r="A232" s="66" t="s">
        <v>406</v>
      </c>
      <c r="B232" s="67"/>
      <c r="C232" s="67"/>
      <c r="D232" s="68"/>
      <c r="E232" s="70"/>
      <c r="F232" s="109" t="str">
        <f>HYPERLINK("https://pbs.twimg.com/profile_images/1439434867079467014/oUouW4qP_normal.jpg")</f>
        <v>https://pbs.twimg.com/profile_images/1439434867079467014/oUouW4qP_normal.jpg</v>
      </c>
      <c r="G232" s="67"/>
      <c r="H232" s="71"/>
      <c r="I232" s="72"/>
      <c r="J232" s="72"/>
      <c r="K232" s="71" t="s">
        <v>10975</v>
      </c>
      <c r="L232" s="75"/>
      <c r="M232" s="76"/>
      <c r="N232" s="76"/>
      <c r="O232" s="77"/>
      <c r="P232" s="78"/>
      <c r="Q232" s="78"/>
      <c r="R232" s="92"/>
      <c r="S232" s="92"/>
      <c r="T232" s="92"/>
      <c r="U232" s="92"/>
      <c r="V232" s="52"/>
      <c r="W232" s="52"/>
      <c r="X232" s="52"/>
      <c r="Y232" s="52"/>
      <c r="Z232" s="51"/>
      <c r="AA232" s="73"/>
      <c r="AB232" s="73"/>
      <c r="AC232" s="74"/>
      <c r="AD232" s="80" t="s">
        <v>6815</v>
      </c>
      <c r="AE232" s="85" t="s">
        <v>8062</v>
      </c>
      <c r="AF232" s="80">
        <v>728</v>
      </c>
      <c r="AG232" s="80">
        <v>1064</v>
      </c>
      <c r="AH232" s="80">
        <v>13064</v>
      </c>
      <c r="AI232" s="80">
        <v>3719</v>
      </c>
      <c r="AJ232" s="80"/>
      <c r="AK232" s="80" t="s">
        <v>9165</v>
      </c>
      <c r="AL232" s="80" t="s">
        <v>6547</v>
      </c>
      <c r="AM232" s="80"/>
      <c r="AN232" s="80"/>
      <c r="AO232" s="82">
        <v>44238.329259259262</v>
      </c>
      <c r="AP232" s="87" t="str">
        <f>HYPERLINK("https://pbs.twimg.com/profile_banners/1359772617033482245/1613037356")</f>
        <v>https://pbs.twimg.com/profile_banners/1359772617033482245/1613037356</v>
      </c>
      <c r="AQ232" s="80" t="b">
        <v>1</v>
      </c>
      <c r="AR232" s="80" t="b">
        <v>0</v>
      </c>
      <c r="AS232" s="80" t="b">
        <v>1</v>
      </c>
      <c r="AT232" s="80"/>
      <c r="AU232" s="80">
        <v>0</v>
      </c>
      <c r="AV232" s="80"/>
      <c r="AW232" s="80" t="b">
        <v>0</v>
      </c>
      <c r="AX232" s="80" t="s">
        <v>10746</v>
      </c>
      <c r="AY232" s="87" t="str">
        <f>HYPERLINK("https://twitter.com/pakdembud")</f>
        <v>https://twitter.com/pakdembud</v>
      </c>
      <c r="AZ232" s="80" t="s">
        <v>66</v>
      </c>
      <c r="BA232" s="2"/>
      <c r="BB232" s="3"/>
      <c r="BC232" s="3"/>
      <c r="BD232" s="3"/>
      <c r="BE232" s="3"/>
    </row>
    <row r="233" spans="1:57" x14ac:dyDescent="0.35">
      <c r="A233" s="66" t="s">
        <v>1305</v>
      </c>
      <c r="B233" s="67"/>
      <c r="C233" s="67"/>
      <c r="D233" s="68"/>
      <c r="E233" s="70"/>
      <c r="F233" s="109" t="str">
        <f>HYPERLINK("https://pbs.twimg.com/profile_images/1364197194517995523/TzfvdWNj_normal.jpg")</f>
        <v>https://pbs.twimg.com/profile_images/1364197194517995523/TzfvdWNj_normal.jpg</v>
      </c>
      <c r="G233" s="67"/>
      <c r="H233" s="71"/>
      <c r="I233" s="72"/>
      <c r="J233" s="72"/>
      <c r="K233" s="71" t="s">
        <v>10976</v>
      </c>
      <c r="L233" s="75"/>
      <c r="M233" s="76"/>
      <c r="N233" s="76"/>
      <c r="O233" s="77"/>
      <c r="P233" s="78"/>
      <c r="Q233" s="78"/>
      <c r="R233" s="92"/>
      <c r="S233" s="92"/>
      <c r="T233" s="92"/>
      <c r="U233" s="92"/>
      <c r="V233" s="52"/>
      <c r="W233" s="52"/>
      <c r="X233" s="52"/>
      <c r="Y233" s="52"/>
      <c r="Z233" s="51"/>
      <c r="AA233" s="73"/>
      <c r="AB233" s="73"/>
      <c r="AC233" s="74"/>
      <c r="AD233" s="80" t="s">
        <v>6816</v>
      </c>
      <c r="AE233" s="85" t="s">
        <v>6277</v>
      </c>
      <c r="AF233" s="80">
        <v>3846</v>
      </c>
      <c r="AG233" s="80">
        <v>5840</v>
      </c>
      <c r="AH233" s="80">
        <v>385349</v>
      </c>
      <c r="AI233" s="80">
        <v>106086</v>
      </c>
      <c r="AJ233" s="80"/>
      <c r="AK233" s="80" t="s">
        <v>9166</v>
      </c>
      <c r="AL233" s="80" t="s">
        <v>10242</v>
      </c>
      <c r="AM233" s="87" t="str">
        <f>HYPERLINK("https://t.co/EtBENBZG90")</f>
        <v>https://t.co/EtBENBZG90</v>
      </c>
      <c r="AN233" s="80"/>
      <c r="AO233" s="82">
        <v>39801.81082175926</v>
      </c>
      <c r="AP233" s="87" t="str">
        <f>HYPERLINK("https://pbs.twimg.com/profile_banners/18249099/1566145981")</f>
        <v>https://pbs.twimg.com/profile_banners/18249099/1566145981</v>
      </c>
      <c r="AQ233" s="80" t="b">
        <v>0</v>
      </c>
      <c r="AR233" s="80" t="b">
        <v>0</v>
      </c>
      <c r="AS233" s="80" t="b">
        <v>1</v>
      </c>
      <c r="AT233" s="80"/>
      <c r="AU233" s="80">
        <v>34</v>
      </c>
      <c r="AV233" s="87" t="str">
        <f>HYPERLINK("https://abs.twimg.com/images/themes/theme13/bg.gif")</f>
        <v>https://abs.twimg.com/images/themes/theme13/bg.gif</v>
      </c>
      <c r="AW233" s="80" t="b">
        <v>0</v>
      </c>
      <c r="AX233" s="80" t="s">
        <v>10746</v>
      </c>
      <c r="AY233" s="87" t="str">
        <f>HYPERLINK("https://twitter.com/timmymalachi")</f>
        <v>https://twitter.com/timmymalachi</v>
      </c>
      <c r="AZ233" s="80" t="s">
        <v>65</v>
      </c>
      <c r="BA233" s="2"/>
      <c r="BB233" s="3"/>
      <c r="BC233" s="3"/>
      <c r="BD233" s="3"/>
      <c r="BE233" s="3"/>
    </row>
    <row r="234" spans="1:57" x14ac:dyDescent="0.35">
      <c r="A234" s="66" t="s">
        <v>407</v>
      </c>
      <c r="B234" s="67"/>
      <c r="C234" s="67"/>
      <c r="D234" s="68"/>
      <c r="E234" s="70"/>
      <c r="F234" s="109" t="str">
        <f>HYPERLINK("https://pbs.twimg.com/profile_images/1439911813093593091/oH5LOtT4_normal.jpg")</f>
        <v>https://pbs.twimg.com/profile_images/1439911813093593091/oH5LOtT4_normal.jpg</v>
      </c>
      <c r="G234" s="67"/>
      <c r="H234" s="71"/>
      <c r="I234" s="72"/>
      <c r="J234" s="72"/>
      <c r="K234" s="71" t="s">
        <v>10977</v>
      </c>
      <c r="L234" s="75"/>
      <c r="M234" s="76"/>
      <c r="N234" s="76"/>
      <c r="O234" s="77"/>
      <c r="P234" s="78"/>
      <c r="Q234" s="78"/>
      <c r="R234" s="92"/>
      <c r="S234" s="92"/>
      <c r="T234" s="92"/>
      <c r="U234" s="92"/>
      <c r="V234" s="52"/>
      <c r="W234" s="52"/>
      <c r="X234" s="52"/>
      <c r="Y234" s="52"/>
      <c r="Z234" s="51"/>
      <c r="AA234" s="73"/>
      <c r="AB234" s="73"/>
      <c r="AC234" s="74"/>
      <c r="AD234" s="80" t="s">
        <v>6817</v>
      </c>
      <c r="AE234" s="85" t="s">
        <v>8063</v>
      </c>
      <c r="AF234" s="80">
        <v>173</v>
      </c>
      <c r="AG234" s="80">
        <v>147</v>
      </c>
      <c r="AH234" s="80">
        <v>410</v>
      </c>
      <c r="AI234" s="80">
        <v>628</v>
      </c>
      <c r="AJ234" s="80"/>
      <c r="AK234" s="80" t="s">
        <v>9167</v>
      </c>
      <c r="AL234" s="80"/>
      <c r="AM234" s="80"/>
      <c r="AN234" s="80"/>
      <c r="AO234" s="82">
        <v>44406.62641203704</v>
      </c>
      <c r="AP234" s="87" t="str">
        <f>HYPERLINK("https://pbs.twimg.com/profile_banners/1420761512625414146/1631670421")</f>
        <v>https://pbs.twimg.com/profile_banners/1420761512625414146/1631670421</v>
      </c>
      <c r="AQ234" s="80" t="b">
        <v>1</v>
      </c>
      <c r="AR234" s="80" t="b">
        <v>0</v>
      </c>
      <c r="AS234" s="80" t="b">
        <v>0</v>
      </c>
      <c r="AT234" s="80"/>
      <c r="AU234" s="80">
        <v>0</v>
      </c>
      <c r="AV234" s="80"/>
      <c r="AW234" s="80" t="b">
        <v>0</v>
      </c>
      <c r="AX234" s="80" t="s">
        <v>10746</v>
      </c>
      <c r="AY234" s="87" t="str">
        <f>HYPERLINK("https://twitter.com/r20250207")</f>
        <v>https://twitter.com/r20250207</v>
      </c>
      <c r="AZ234" s="80" t="s">
        <v>66</v>
      </c>
      <c r="BA234" s="2"/>
      <c r="BB234" s="3"/>
      <c r="BC234" s="3"/>
      <c r="BD234" s="3"/>
      <c r="BE234" s="3"/>
    </row>
    <row r="235" spans="1:57" x14ac:dyDescent="0.35">
      <c r="A235" s="66" t="s">
        <v>1306</v>
      </c>
      <c r="B235" s="67"/>
      <c r="C235" s="67"/>
      <c r="D235" s="68"/>
      <c r="E235" s="70"/>
      <c r="F235" s="109" t="str">
        <f>HYPERLINK("https://pbs.twimg.com/profile_images/1377680121604104192/7lBuZ7PN_normal.png")</f>
        <v>https://pbs.twimg.com/profile_images/1377680121604104192/7lBuZ7PN_normal.png</v>
      </c>
      <c r="G235" s="67"/>
      <c r="H235" s="71"/>
      <c r="I235" s="72"/>
      <c r="J235" s="72"/>
      <c r="K235" s="71" t="s">
        <v>10978</v>
      </c>
      <c r="L235" s="75"/>
      <c r="M235" s="76"/>
      <c r="N235" s="76"/>
      <c r="O235" s="77"/>
      <c r="P235" s="78"/>
      <c r="Q235" s="78"/>
      <c r="R235" s="92"/>
      <c r="S235" s="92"/>
      <c r="T235" s="92"/>
      <c r="U235" s="92"/>
      <c r="V235" s="52"/>
      <c r="W235" s="52"/>
      <c r="X235" s="52"/>
      <c r="Y235" s="52"/>
      <c r="Z235" s="51"/>
      <c r="AA235" s="73"/>
      <c r="AB235" s="73"/>
      <c r="AC235" s="74"/>
      <c r="AD235" s="80" t="s">
        <v>6818</v>
      </c>
      <c r="AE235" s="85" t="s">
        <v>6278</v>
      </c>
      <c r="AF235" s="80">
        <v>3535</v>
      </c>
      <c r="AG235" s="80">
        <v>38145</v>
      </c>
      <c r="AH235" s="80">
        <v>577504</v>
      </c>
      <c r="AI235" s="80">
        <v>175</v>
      </c>
      <c r="AJ235" s="80"/>
      <c r="AK235" s="80" t="s">
        <v>9168</v>
      </c>
      <c r="AL235" s="80" t="s">
        <v>10243</v>
      </c>
      <c r="AM235" s="87" t="str">
        <f>HYPERLINK("https://t.co/fGCcVvLDB2")</f>
        <v>https://t.co/fGCcVvLDB2</v>
      </c>
      <c r="AN235" s="80"/>
      <c r="AO235" s="82">
        <v>43983.320034722223</v>
      </c>
      <c r="AP235" s="87" t="str">
        <f>HYPERLINK("https://pbs.twimg.com/profile_banners/1267360391891312641/1617299589")</f>
        <v>https://pbs.twimg.com/profile_banners/1267360391891312641/1617299589</v>
      </c>
      <c r="AQ235" s="80" t="b">
        <v>1</v>
      </c>
      <c r="AR235" s="80" t="b">
        <v>0</v>
      </c>
      <c r="AS235" s="80" t="b">
        <v>0</v>
      </c>
      <c r="AT235" s="80"/>
      <c r="AU235" s="80">
        <v>1032</v>
      </c>
      <c r="AV235" s="80"/>
      <c r="AW235" s="80" t="b">
        <v>0</v>
      </c>
      <c r="AX235" s="80" t="s">
        <v>10746</v>
      </c>
      <c r="AY235" s="87" t="str">
        <f>HYPERLINK("https://twitter.com/jajanbhlabels")</f>
        <v>https://twitter.com/jajanbhlabels</v>
      </c>
      <c r="AZ235" s="80" t="s">
        <v>65</v>
      </c>
      <c r="BA235" s="2"/>
      <c r="BB235" s="3"/>
      <c r="BC235" s="3"/>
      <c r="BD235" s="3"/>
      <c r="BE235" s="3"/>
    </row>
    <row r="236" spans="1:57" x14ac:dyDescent="0.35">
      <c r="A236" s="66" t="s">
        <v>408</v>
      </c>
      <c r="B236" s="67"/>
      <c r="C236" s="67"/>
      <c r="D236" s="68"/>
      <c r="E236" s="70"/>
      <c r="F236" s="109" t="str">
        <f>HYPERLINK("https://pbs.twimg.com/profile_images/1437413269531025408/YC51VN5O_normal.jpg")</f>
        <v>https://pbs.twimg.com/profile_images/1437413269531025408/YC51VN5O_normal.jpg</v>
      </c>
      <c r="G236" s="67"/>
      <c r="H236" s="71"/>
      <c r="I236" s="72"/>
      <c r="J236" s="72"/>
      <c r="K236" s="71" t="s">
        <v>10979</v>
      </c>
      <c r="L236" s="75"/>
      <c r="M236" s="76"/>
      <c r="N236" s="76"/>
      <c r="O236" s="77"/>
      <c r="P236" s="78"/>
      <c r="Q236" s="78"/>
      <c r="R236" s="92"/>
      <c r="S236" s="92"/>
      <c r="T236" s="92"/>
      <c r="U236" s="92"/>
      <c r="V236" s="52"/>
      <c r="W236" s="52"/>
      <c r="X236" s="52"/>
      <c r="Y236" s="52"/>
      <c r="Z236" s="51"/>
      <c r="AA236" s="73"/>
      <c r="AB236" s="73"/>
      <c r="AC236" s="74"/>
      <c r="AD236" s="80" t="s">
        <v>6819</v>
      </c>
      <c r="AE236" s="85" t="s">
        <v>8064</v>
      </c>
      <c r="AF236" s="80">
        <v>267</v>
      </c>
      <c r="AG236" s="80">
        <v>287</v>
      </c>
      <c r="AH236" s="80">
        <v>32832</v>
      </c>
      <c r="AI236" s="80">
        <v>12282</v>
      </c>
      <c r="AJ236" s="80"/>
      <c r="AK236" s="80" t="s">
        <v>9169</v>
      </c>
      <c r="AL236" s="80" t="s">
        <v>10244</v>
      </c>
      <c r="AM236" s="87" t="str">
        <f>HYPERLINK("https://t.co/Wtuj9jeFZg")</f>
        <v>https://t.co/Wtuj9jeFZg</v>
      </c>
      <c r="AN236" s="80"/>
      <c r="AO236" s="82">
        <v>44223.462314814817</v>
      </c>
      <c r="AP236" s="87" t="str">
        <f>HYPERLINK("https://pbs.twimg.com/profile_banners/1354385066424639489/1611772835")</f>
        <v>https://pbs.twimg.com/profile_banners/1354385066424639489/1611772835</v>
      </c>
      <c r="AQ236" s="80" t="b">
        <v>1</v>
      </c>
      <c r="AR236" s="80" t="b">
        <v>0</v>
      </c>
      <c r="AS236" s="80" t="b">
        <v>0</v>
      </c>
      <c r="AT236" s="80"/>
      <c r="AU236" s="80">
        <v>1</v>
      </c>
      <c r="AV236" s="80"/>
      <c r="AW236" s="80" t="b">
        <v>0</v>
      </c>
      <c r="AX236" s="80" t="s">
        <v>10746</v>
      </c>
      <c r="AY236" s="87" t="str">
        <f>HYPERLINK("https://twitter.com/nvamjin")</f>
        <v>https://twitter.com/nvamjin</v>
      </c>
      <c r="AZ236" s="80" t="s">
        <v>66</v>
      </c>
      <c r="BA236" s="2"/>
      <c r="BB236" s="3"/>
      <c r="BC236" s="3"/>
      <c r="BD236" s="3"/>
      <c r="BE236" s="3"/>
    </row>
    <row r="237" spans="1:57" x14ac:dyDescent="0.35">
      <c r="A237" s="66" t="s">
        <v>409</v>
      </c>
      <c r="B237" s="67"/>
      <c r="C237" s="67"/>
      <c r="D237" s="68"/>
      <c r="E237" s="70"/>
      <c r="F237" s="109" t="str">
        <f>HYPERLINK("https://pbs.twimg.com/profile_images/1344847701100224512/NaYexbZW_normal.jpg")</f>
        <v>https://pbs.twimg.com/profile_images/1344847701100224512/NaYexbZW_normal.jpg</v>
      </c>
      <c r="G237" s="67"/>
      <c r="H237" s="71"/>
      <c r="I237" s="72"/>
      <c r="J237" s="72"/>
      <c r="K237" s="71" t="s">
        <v>10980</v>
      </c>
      <c r="L237" s="75"/>
      <c r="M237" s="76"/>
      <c r="N237" s="76"/>
      <c r="O237" s="77"/>
      <c r="P237" s="78"/>
      <c r="Q237" s="78"/>
      <c r="R237" s="92"/>
      <c r="S237" s="92"/>
      <c r="T237" s="92"/>
      <c r="U237" s="92"/>
      <c r="V237" s="52"/>
      <c r="W237" s="52"/>
      <c r="X237" s="52"/>
      <c r="Y237" s="52"/>
      <c r="Z237" s="51"/>
      <c r="AA237" s="73"/>
      <c r="AB237" s="73"/>
      <c r="AC237" s="74"/>
      <c r="AD237" s="80" t="s">
        <v>6820</v>
      </c>
      <c r="AE237" s="85" t="s">
        <v>8065</v>
      </c>
      <c r="AF237" s="80">
        <v>250</v>
      </c>
      <c r="AG237" s="80">
        <v>375</v>
      </c>
      <c r="AH237" s="80">
        <v>23351</v>
      </c>
      <c r="AI237" s="80">
        <v>28793</v>
      </c>
      <c r="AJ237" s="80"/>
      <c r="AK237" s="80" t="s">
        <v>9170</v>
      </c>
      <c r="AL237" s="80" t="s">
        <v>10245</v>
      </c>
      <c r="AM237" s="80"/>
      <c r="AN237" s="80"/>
      <c r="AO237" s="82">
        <v>40448.140081018515</v>
      </c>
      <c r="AP237" s="87" t="str">
        <f>HYPERLINK("https://pbs.twimg.com/profile_banners/195601967/1568039022")</f>
        <v>https://pbs.twimg.com/profile_banners/195601967/1568039022</v>
      </c>
      <c r="AQ237" s="80" t="b">
        <v>0</v>
      </c>
      <c r="AR237" s="80" t="b">
        <v>0</v>
      </c>
      <c r="AS237" s="80" t="b">
        <v>1</v>
      </c>
      <c r="AT237" s="80"/>
      <c r="AU237" s="80">
        <v>0</v>
      </c>
      <c r="AV237" s="87" t="str">
        <f>HYPERLINK("https://abs.twimg.com/images/themes/theme10/bg.gif")</f>
        <v>https://abs.twimg.com/images/themes/theme10/bg.gif</v>
      </c>
      <c r="AW237" s="80" t="b">
        <v>0</v>
      </c>
      <c r="AX237" s="80" t="s">
        <v>10746</v>
      </c>
      <c r="AY237" s="87" t="str">
        <f>HYPERLINK("https://twitter.com/nblhrsl_")</f>
        <v>https://twitter.com/nblhrsl_</v>
      </c>
      <c r="AZ237" s="80" t="s">
        <v>66</v>
      </c>
      <c r="BA237" s="2"/>
      <c r="BB237" s="3"/>
      <c r="BC237" s="3"/>
      <c r="BD237" s="3"/>
      <c r="BE237" s="3"/>
    </row>
    <row r="238" spans="1:57" x14ac:dyDescent="0.35">
      <c r="A238" s="66" t="s">
        <v>410</v>
      </c>
      <c r="B238" s="67"/>
      <c r="C238" s="67"/>
      <c r="D238" s="68"/>
      <c r="E238" s="70"/>
      <c r="F238" s="109" t="str">
        <f>HYPERLINK("https://pbs.twimg.com/profile_images/1439990657347506178/zWDl4GQf_normal.jpg")</f>
        <v>https://pbs.twimg.com/profile_images/1439990657347506178/zWDl4GQf_normal.jpg</v>
      </c>
      <c r="G238" s="67"/>
      <c r="H238" s="71"/>
      <c r="I238" s="72"/>
      <c r="J238" s="72"/>
      <c r="K238" s="71" t="s">
        <v>10981</v>
      </c>
      <c r="L238" s="75"/>
      <c r="M238" s="76"/>
      <c r="N238" s="76"/>
      <c r="O238" s="77"/>
      <c r="P238" s="78"/>
      <c r="Q238" s="78"/>
      <c r="R238" s="92"/>
      <c r="S238" s="92"/>
      <c r="T238" s="92"/>
      <c r="U238" s="92"/>
      <c r="V238" s="52"/>
      <c r="W238" s="52"/>
      <c r="X238" s="52"/>
      <c r="Y238" s="52"/>
      <c r="Z238" s="51"/>
      <c r="AA238" s="73"/>
      <c r="AB238" s="73"/>
      <c r="AC238" s="74"/>
      <c r="AD238" s="80" t="s">
        <v>6821</v>
      </c>
      <c r="AE238" s="85" t="s">
        <v>8066</v>
      </c>
      <c r="AF238" s="80">
        <v>2299</v>
      </c>
      <c r="AG238" s="80">
        <v>1340</v>
      </c>
      <c r="AH238" s="80">
        <v>165311</v>
      </c>
      <c r="AI238" s="80">
        <v>138620</v>
      </c>
      <c r="AJ238" s="80"/>
      <c r="AK238" s="80" t="s">
        <v>9171</v>
      </c>
      <c r="AL238" s="80">
        <v>47130</v>
      </c>
      <c r="AM238" s="80"/>
      <c r="AN238" s="80"/>
      <c r="AO238" s="82">
        <v>40764.574490740742</v>
      </c>
      <c r="AP238" s="87" t="str">
        <f>HYPERLINK("https://pbs.twimg.com/profile_banners/351600804/1568180588")</f>
        <v>https://pbs.twimg.com/profile_banners/351600804/1568180588</v>
      </c>
      <c r="AQ238" s="80" t="b">
        <v>0</v>
      </c>
      <c r="AR238" s="80" t="b">
        <v>0</v>
      </c>
      <c r="AS238" s="80" t="b">
        <v>1</v>
      </c>
      <c r="AT238" s="80"/>
      <c r="AU238" s="80">
        <v>7</v>
      </c>
      <c r="AV238" s="87" t="str">
        <f>HYPERLINK("https://abs.twimg.com/images/themes/theme6/bg.gif")</f>
        <v>https://abs.twimg.com/images/themes/theme6/bg.gif</v>
      </c>
      <c r="AW238" s="80" t="b">
        <v>0</v>
      </c>
      <c r="AX238" s="80" t="s">
        <v>10746</v>
      </c>
      <c r="AY238" s="87" t="str">
        <f>HYPERLINK("https://twitter.com/mhdrejab")</f>
        <v>https://twitter.com/mhdrejab</v>
      </c>
      <c r="AZ238" s="80" t="s">
        <v>66</v>
      </c>
      <c r="BA238" s="2"/>
      <c r="BB238" s="3"/>
      <c r="BC238" s="3"/>
      <c r="BD238" s="3"/>
      <c r="BE238" s="3"/>
    </row>
    <row r="239" spans="1:57" x14ac:dyDescent="0.35">
      <c r="A239" s="66" t="s">
        <v>411</v>
      </c>
      <c r="B239" s="67"/>
      <c r="C239" s="67"/>
      <c r="D239" s="68"/>
      <c r="E239" s="70"/>
      <c r="F239" s="109" t="str">
        <f>HYPERLINK("https://pbs.twimg.com/profile_images/1438173068011008007/KQXj6Wwv_normal.jpg")</f>
        <v>https://pbs.twimg.com/profile_images/1438173068011008007/KQXj6Wwv_normal.jpg</v>
      </c>
      <c r="G239" s="67"/>
      <c r="H239" s="71"/>
      <c r="I239" s="72"/>
      <c r="J239" s="72"/>
      <c r="K239" s="71" t="s">
        <v>10982</v>
      </c>
      <c r="L239" s="75"/>
      <c r="M239" s="76"/>
      <c r="N239" s="76"/>
      <c r="O239" s="77"/>
      <c r="P239" s="78"/>
      <c r="Q239" s="78"/>
      <c r="R239" s="92"/>
      <c r="S239" s="92"/>
      <c r="T239" s="92"/>
      <c r="U239" s="92"/>
      <c r="V239" s="52"/>
      <c r="W239" s="52"/>
      <c r="X239" s="52"/>
      <c r="Y239" s="52"/>
      <c r="Z239" s="51"/>
      <c r="AA239" s="73"/>
      <c r="AB239" s="73"/>
      <c r="AC239" s="74"/>
      <c r="AD239" s="80" t="s">
        <v>6822</v>
      </c>
      <c r="AE239" s="85" t="s">
        <v>8067</v>
      </c>
      <c r="AF239" s="80">
        <v>57</v>
      </c>
      <c r="AG239" s="80">
        <v>6</v>
      </c>
      <c r="AH239" s="80">
        <v>1859</v>
      </c>
      <c r="AI239" s="80">
        <v>1402</v>
      </c>
      <c r="AJ239" s="80"/>
      <c r="AK239" s="80" t="s">
        <v>9172</v>
      </c>
      <c r="AL239" s="80"/>
      <c r="AM239" s="80"/>
      <c r="AN239" s="80"/>
      <c r="AO239" s="82">
        <v>44316.306134259263</v>
      </c>
      <c r="AP239" s="87" t="str">
        <f>HYPERLINK("https://pbs.twimg.com/profile_banners/1388030530277449730/1630921102")</f>
        <v>https://pbs.twimg.com/profile_banners/1388030530277449730/1630921102</v>
      </c>
      <c r="AQ239" s="80" t="b">
        <v>1</v>
      </c>
      <c r="AR239" s="80" t="b">
        <v>0</v>
      </c>
      <c r="AS239" s="80" t="b">
        <v>0</v>
      </c>
      <c r="AT239" s="80"/>
      <c r="AU239" s="80">
        <v>0</v>
      </c>
      <c r="AV239" s="80"/>
      <c r="AW239" s="80" t="b">
        <v>0</v>
      </c>
      <c r="AX239" s="80" t="s">
        <v>10746</v>
      </c>
      <c r="AY239" s="87" t="str">
        <f>HYPERLINK("https://twitter.com/shaewillow_")</f>
        <v>https://twitter.com/shaewillow_</v>
      </c>
      <c r="AZ239" s="80" t="s">
        <v>66</v>
      </c>
      <c r="BA239" s="2"/>
      <c r="BB239" s="3"/>
      <c r="BC239" s="3"/>
      <c r="BD239" s="3"/>
      <c r="BE239" s="3"/>
    </row>
    <row r="240" spans="1:57" x14ac:dyDescent="0.35">
      <c r="A240" s="66" t="s">
        <v>412</v>
      </c>
      <c r="B240" s="67"/>
      <c r="C240" s="67"/>
      <c r="D240" s="68"/>
      <c r="E240" s="70"/>
      <c r="F240" s="109" t="str">
        <f>HYPERLINK("https://pbs.twimg.com/profile_images/1411622058199457794/aQ5HXVbt_normal.jpg")</f>
        <v>https://pbs.twimg.com/profile_images/1411622058199457794/aQ5HXVbt_normal.jpg</v>
      </c>
      <c r="G240" s="67"/>
      <c r="H240" s="71"/>
      <c r="I240" s="72"/>
      <c r="J240" s="72"/>
      <c r="K240" s="71" t="s">
        <v>10983</v>
      </c>
      <c r="L240" s="75"/>
      <c r="M240" s="76"/>
      <c r="N240" s="76"/>
      <c r="O240" s="77"/>
      <c r="P240" s="78"/>
      <c r="Q240" s="78"/>
      <c r="R240" s="92"/>
      <c r="S240" s="92"/>
      <c r="T240" s="92"/>
      <c r="U240" s="92"/>
      <c r="V240" s="52"/>
      <c r="W240" s="52"/>
      <c r="X240" s="52"/>
      <c r="Y240" s="52"/>
      <c r="Z240" s="51"/>
      <c r="AA240" s="73"/>
      <c r="AB240" s="73"/>
      <c r="AC240" s="74"/>
      <c r="AD240" s="80" t="s">
        <v>6823</v>
      </c>
      <c r="AE240" s="85" t="s">
        <v>8068</v>
      </c>
      <c r="AF240" s="80">
        <v>1099</v>
      </c>
      <c r="AG240" s="80">
        <v>389</v>
      </c>
      <c r="AH240" s="80">
        <v>14248</v>
      </c>
      <c r="AI240" s="80">
        <v>9751</v>
      </c>
      <c r="AJ240" s="80"/>
      <c r="AK240" s="80" t="s">
        <v>9173</v>
      </c>
      <c r="AL240" s="80" t="s">
        <v>10246</v>
      </c>
      <c r="AM240" s="80"/>
      <c r="AN240" s="80"/>
      <c r="AO240" s="82">
        <v>41329.177303240744</v>
      </c>
      <c r="AP240" s="87" t="str">
        <f>HYPERLINK("https://pbs.twimg.com/profile_banners/1214439320/1619541575")</f>
        <v>https://pbs.twimg.com/profile_banners/1214439320/1619541575</v>
      </c>
      <c r="AQ240" s="80" t="b">
        <v>0</v>
      </c>
      <c r="AR240" s="80" t="b">
        <v>0</v>
      </c>
      <c r="AS240" s="80" t="b">
        <v>1</v>
      </c>
      <c r="AT240" s="80"/>
      <c r="AU240" s="80">
        <v>1</v>
      </c>
      <c r="AV240" s="87" t="str">
        <f>HYPERLINK("https://abs.twimg.com/images/themes/theme14/bg.gif")</f>
        <v>https://abs.twimg.com/images/themes/theme14/bg.gif</v>
      </c>
      <c r="AW240" s="80" t="b">
        <v>0</v>
      </c>
      <c r="AX240" s="80" t="s">
        <v>10746</v>
      </c>
      <c r="AY240" s="87" t="str">
        <f>HYPERLINK("https://twitter.com/iqo_uwaizzz")</f>
        <v>https://twitter.com/iqo_uwaizzz</v>
      </c>
      <c r="AZ240" s="80" t="s">
        <v>66</v>
      </c>
      <c r="BA240" s="2"/>
      <c r="BB240" s="3"/>
      <c r="BC240" s="3"/>
      <c r="BD240" s="3"/>
      <c r="BE240" s="3"/>
    </row>
    <row r="241" spans="1:57" x14ac:dyDescent="0.35">
      <c r="A241" s="66" t="s">
        <v>413</v>
      </c>
      <c r="B241" s="67"/>
      <c r="C241" s="67"/>
      <c r="D241" s="68"/>
      <c r="E241" s="70"/>
      <c r="F241" s="109" t="str">
        <f>HYPERLINK("https://pbs.twimg.com/profile_images/1429662083851841542/jVSZ3JDk_normal.jpg")</f>
        <v>https://pbs.twimg.com/profile_images/1429662083851841542/jVSZ3JDk_normal.jpg</v>
      </c>
      <c r="G241" s="67"/>
      <c r="H241" s="71"/>
      <c r="I241" s="72"/>
      <c r="J241" s="72"/>
      <c r="K241" s="71" t="s">
        <v>10984</v>
      </c>
      <c r="L241" s="75"/>
      <c r="M241" s="76"/>
      <c r="N241" s="76"/>
      <c r="O241" s="77"/>
      <c r="P241" s="78"/>
      <c r="Q241" s="78"/>
      <c r="R241" s="92"/>
      <c r="S241" s="92"/>
      <c r="T241" s="92"/>
      <c r="U241" s="92"/>
      <c r="V241" s="52"/>
      <c r="W241" s="52"/>
      <c r="X241" s="52"/>
      <c r="Y241" s="52"/>
      <c r="Z241" s="51"/>
      <c r="AA241" s="73"/>
      <c r="AB241" s="73"/>
      <c r="AC241" s="74"/>
      <c r="AD241" s="80" t="s">
        <v>6824</v>
      </c>
      <c r="AE241" s="85" t="s">
        <v>8069</v>
      </c>
      <c r="AF241" s="80">
        <v>446</v>
      </c>
      <c r="AG241" s="80">
        <v>102</v>
      </c>
      <c r="AH241" s="80">
        <v>15414</v>
      </c>
      <c r="AI241" s="80">
        <v>886</v>
      </c>
      <c r="AJ241" s="80"/>
      <c r="AK241" s="80" t="s">
        <v>9174</v>
      </c>
      <c r="AL241" s="80" t="s">
        <v>10182</v>
      </c>
      <c r="AM241" s="80"/>
      <c r="AN241" s="80"/>
      <c r="AO241" s="82">
        <v>42982.231620370374</v>
      </c>
      <c r="AP241" s="87" t="str">
        <f>HYPERLINK("https://pbs.twimg.com/profile_banners/904578152239841281/1629693030")</f>
        <v>https://pbs.twimg.com/profile_banners/904578152239841281/1629693030</v>
      </c>
      <c r="AQ241" s="80" t="b">
        <v>1</v>
      </c>
      <c r="AR241" s="80" t="b">
        <v>0</v>
      </c>
      <c r="AS241" s="80" t="b">
        <v>1</v>
      </c>
      <c r="AT241" s="80"/>
      <c r="AU241" s="80">
        <v>0</v>
      </c>
      <c r="AV241" s="80"/>
      <c r="AW241" s="80" t="b">
        <v>0</v>
      </c>
      <c r="AX241" s="80" t="s">
        <v>10746</v>
      </c>
      <c r="AY241" s="87" t="str">
        <f>HYPERLINK("https://twitter.com/eymaiizeckae_")</f>
        <v>https://twitter.com/eymaiizeckae_</v>
      </c>
      <c r="AZ241" s="80" t="s">
        <v>66</v>
      </c>
      <c r="BA241" s="2"/>
      <c r="BB241" s="3"/>
      <c r="BC241" s="3"/>
      <c r="BD241" s="3"/>
      <c r="BE241" s="3"/>
    </row>
    <row r="242" spans="1:57" x14ac:dyDescent="0.35">
      <c r="A242" s="66" t="s">
        <v>414</v>
      </c>
      <c r="B242" s="67"/>
      <c r="C242" s="67"/>
      <c r="D242" s="68"/>
      <c r="E242" s="70"/>
      <c r="F242" s="109" t="str">
        <f>HYPERLINK("https://pbs.twimg.com/profile_images/1410231877907017733/SahIe6Zc_normal.jpg")</f>
        <v>https://pbs.twimg.com/profile_images/1410231877907017733/SahIe6Zc_normal.jpg</v>
      </c>
      <c r="G242" s="67"/>
      <c r="H242" s="71"/>
      <c r="I242" s="72"/>
      <c r="J242" s="72"/>
      <c r="K242" s="71" t="s">
        <v>10985</v>
      </c>
      <c r="L242" s="75"/>
      <c r="M242" s="76"/>
      <c r="N242" s="76"/>
      <c r="O242" s="77"/>
      <c r="P242" s="78"/>
      <c r="Q242" s="78"/>
      <c r="R242" s="92"/>
      <c r="S242" s="92"/>
      <c r="T242" s="92"/>
      <c r="U242" s="92"/>
      <c r="V242" s="52"/>
      <c r="W242" s="52"/>
      <c r="X242" s="52"/>
      <c r="Y242" s="52"/>
      <c r="Z242" s="51"/>
      <c r="AA242" s="73"/>
      <c r="AB242" s="73"/>
      <c r="AC242" s="74"/>
      <c r="AD242" s="80" t="s">
        <v>6825</v>
      </c>
      <c r="AE242" s="85" t="s">
        <v>8070</v>
      </c>
      <c r="AF242" s="80">
        <v>160</v>
      </c>
      <c r="AG242" s="80">
        <v>192</v>
      </c>
      <c r="AH242" s="80">
        <v>20422</v>
      </c>
      <c r="AI242" s="80">
        <v>19055</v>
      </c>
      <c r="AJ242" s="80"/>
      <c r="AK242" s="80" t="s">
        <v>9175</v>
      </c>
      <c r="AL242" s="80" t="s">
        <v>10247</v>
      </c>
      <c r="AM242" s="87" t="str">
        <f>HYPERLINK("https://t.co/OZb1bAl5Xz")</f>
        <v>https://t.co/OZb1bAl5Xz</v>
      </c>
      <c r="AN242" s="80"/>
      <c r="AO242" s="82">
        <v>43118.609930555554</v>
      </c>
      <c r="AP242" s="87" t="str">
        <f>HYPERLINK("https://pbs.twimg.com/profile_banners/953999998303191040/1585179414")</f>
        <v>https://pbs.twimg.com/profile_banners/953999998303191040/1585179414</v>
      </c>
      <c r="AQ242" s="80" t="b">
        <v>1</v>
      </c>
      <c r="AR242" s="80" t="b">
        <v>0</v>
      </c>
      <c r="AS242" s="80" t="b">
        <v>1</v>
      </c>
      <c r="AT242" s="80"/>
      <c r="AU242" s="80">
        <v>1</v>
      </c>
      <c r="AV242" s="80"/>
      <c r="AW242" s="80" t="b">
        <v>0</v>
      </c>
      <c r="AX242" s="80" t="s">
        <v>10746</v>
      </c>
      <c r="AY242" s="87" t="str">
        <f>HYPERLINK("https://twitter.com/munirahhh98")</f>
        <v>https://twitter.com/munirahhh98</v>
      </c>
      <c r="AZ242" s="80" t="s">
        <v>66</v>
      </c>
      <c r="BA242" s="2"/>
      <c r="BB242" s="3"/>
      <c r="BC242" s="3"/>
      <c r="BD242" s="3"/>
      <c r="BE242" s="3"/>
    </row>
    <row r="243" spans="1:57" x14ac:dyDescent="0.35">
      <c r="A243" s="66" t="s">
        <v>417</v>
      </c>
      <c r="B243" s="67"/>
      <c r="C243" s="67"/>
      <c r="D243" s="68"/>
      <c r="E243" s="70"/>
      <c r="F243" s="109" t="str">
        <f>HYPERLINK("https://pbs.twimg.com/profile_images/1441671848563855362/jHEumlBH_normal.jpg")</f>
        <v>https://pbs.twimg.com/profile_images/1441671848563855362/jHEumlBH_normal.jpg</v>
      </c>
      <c r="G243" s="67"/>
      <c r="H243" s="71"/>
      <c r="I243" s="72"/>
      <c r="J243" s="72"/>
      <c r="K243" s="71" t="s">
        <v>10986</v>
      </c>
      <c r="L243" s="75"/>
      <c r="M243" s="76"/>
      <c r="N243" s="76"/>
      <c r="O243" s="77"/>
      <c r="P243" s="78"/>
      <c r="Q243" s="78"/>
      <c r="R243" s="92"/>
      <c r="S243" s="92"/>
      <c r="T243" s="92"/>
      <c r="U243" s="92"/>
      <c r="V243" s="52"/>
      <c r="W243" s="52"/>
      <c r="X243" s="52"/>
      <c r="Y243" s="52"/>
      <c r="Z243" s="51"/>
      <c r="AA243" s="73"/>
      <c r="AB243" s="73"/>
      <c r="AC243" s="74"/>
      <c r="AD243" s="80" t="s">
        <v>6826</v>
      </c>
      <c r="AE243" s="85" t="s">
        <v>8071</v>
      </c>
      <c r="AF243" s="80">
        <v>865</v>
      </c>
      <c r="AG243" s="80">
        <v>544</v>
      </c>
      <c r="AH243" s="80">
        <v>25455</v>
      </c>
      <c r="AI243" s="80">
        <v>43866</v>
      </c>
      <c r="AJ243" s="80"/>
      <c r="AK243" s="80"/>
      <c r="AL243" s="80" t="s">
        <v>10248</v>
      </c>
      <c r="AM243" s="80"/>
      <c r="AN243" s="80"/>
      <c r="AO243" s="82">
        <v>43749.269826388889</v>
      </c>
      <c r="AP243" s="87" t="str">
        <f>HYPERLINK("https://pbs.twimg.com/profile_banners/1182543438383734784/1632556330")</f>
        <v>https://pbs.twimg.com/profile_banners/1182543438383734784/1632556330</v>
      </c>
      <c r="AQ243" s="80" t="b">
        <v>1</v>
      </c>
      <c r="AR243" s="80" t="b">
        <v>0</v>
      </c>
      <c r="AS243" s="80" t="b">
        <v>0</v>
      </c>
      <c r="AT243" s="80"/>
      <c r="AU243" s="80">
        <v>4</v>
      </c>
      <c r="AV243" s="80"/>
      <c r="AW243" s="80" t="b">
        <v>0</v>
      </c>
      <c r="AX243" s="80" t="s">
        <v>10746</v>
      </c>
      <c r="AY243" s="87" t="str">
        <f>HYPERLINK("https://twitter.com/lilstayy")</f>
        <v>https://twitter.com/lilstayy</v>
      </c>
      <c r="AZ243" s="80" t="s">
        <v>66</v>
      </c>
      <c r="BA243" s="2"/>
      <c r="BB243" s="3"/>
      <c r="BC243" s="3"/>
      <c r="BD243" s="3"/>
      <c r="BE243" s="3"/>
    </row>
    <row r="244" spans="1:57" x14ac:dyDescent="0.35">
      <c r="A244" s="66" t="s">
        <v>1247</v>
      </c>
      <c r="B244" s="67"/>
      <c r="C244" s="67"/>
      <c r="D244" s="68"/>
      <c r="E244" s="70"/>
      <c r="F244" s="109" t="str">
        <f>HYPERLINK("https://pbs.twimg.com/profile_images/1433456933713838081/4Ox3kgNB_normal.jpg")</f>
        <v>https://pbs.twimg.com/profile_images/1433456933713838081/4Ox3kgNB_normal.jpg</v>
      </c>
      <c r="G244" s="67"/>
      <c r="H244" s="71"/>
      <c r="I244" s="72"/>
      <c r="J244" s="72"/>
      <c r="K244" s="71" t="s">
        <v>10987</v>
      </c>
      <c r="L244" s="75"/>
      <c r="M244" s="76"/>
      <c r="N244" s="76"/>
      <c r="O244" s="77"/>
      <c r="P244" s="78"/>
      <c r="Q244" s="78"/>
      <c r="R244" s="92"/>
      <c r="S244" s="92"/>
      <c r="T244" s="92"/>
      <c r="U244" s="92"/>
      <c r="V244" s="52"/>
      <c r="W244" s="52"/>
      <c r="X244" s="52"/>
      <c r="Y244" s="52"/>
      <c r="Z244" s="51"/>
      <c r="AA244" s="73"/>
      <c r="AB244" s="73"/>
      <c r="AC244" s="74"/>
      <c r="AD244" s="80" t="s">
        <v>6827</v>
      </c>
      <c r="AE244" s="85" t="s">
        <v>8072</v>
      </c>
      <c r="AF244" s="80">
        <v>338</v>
      </c>
      <c r="AG244" s="80">
        <v>115</v>
      </c>
      <c r="AH244" s="80">
        <v>4124</v>
      </c>
      <c r="AI244" s="80">
        <v>22050</v>
      </c>
      <c r="AJ244" s="80"/>
      <c r="AK244" s="80" t="s">
        <v>9176</v>
      </c>
      <c r="AL244" s="80" t="s">
        <v>10249</v>
      </c>
      <c r="AM244" s="80"/>
      <c r="AN244" s="80"/>
      <c r="AO244" s="82">
        <v>44008.38753472222</v>
      </c>
      <c r="AP244" s="87" t="str">
        <f>HYPERLINK("https://pbs.twimg.com/profile_banners/1276444510520635392/1631329191")</f>
        <v>https://pbs.twimg.com/profile_banners/1276444510520635392/1631329191</v>
      </c>
      <c r="AQ244" s="80" t="b">
        <v>1</v>
      </c>
      <c r="AR244" s="80" t="b">
        <v>0</v>
      </c>
      <c r="AS244" s="80" t="b">
        <v>0</v>
      </c>
      <c r="AT244" s="80"/>
      <c r="AU244" s="80">
        <v>5</v>
      </c>
      <c r="AV244" s="80"/>
      <c r="AW244" s="80" t="b">
        <v>0</v>
      </c>
      <c r="AX244" s="80" t="s">
        <v>10746</v>
      </c>
      <c r="AY244" s="87" t="str">
        <f>HYPERLINK("https://twitter.com/linorieng")</f>
        <v>https://twitter.com/linorieng</v>
      </c>
      <c r="AZ244" s="80" t="s">
        <v>66</v>
      </c>
      <c r="BA244" s="2"/>
      <c r="BB244" s="3"/>
      <c r="BC244" s="3"/>
      <c r="BD244" s="3"/>
      <c r="BE244" s="3"/>
    </row>
    <row r="245" spans="1:57" x14ac:dyDescent="0.35">
      <c r="A245" s="66" t="s">
        <v>418</v>
      </c>
      <c r="B245" s="67"/>
      <c r="C245" s="67"/>
      <c r="D245" s="68"/>
      <c r="E245" s="70"/>
      <c r="F245" s="109" t="str">
        <f>HYPERLINK("https://pbs.twimg.com/profile_images/1403352042098151427/brnDxOcT_normal.jpg")</f>
        <v>https://pbs.twimg.com/profile_images/1403352042098151427/brnDxOcT_normal.jpg</v>
      </c>
      <c r="G245" s="67"/>
      <c r="H245" s="71"/>
      <c r="I245" s="72"/>
      <c r="J245" s="72"/>
      <c r="K245" s="71" t="s">
        <v>10988</v>
      </c>
      <c r="L245" s="75"/>
      <c r="M245" s="76"/>
      <c r="N245" s="76"/>
      <c r="O245" s="77"/>
      <c r="P245" s="78"/>
      <c r="Q245" s="78"/>
      <c r="R245" s="92"/>
      <c r="S245" s="92"/>
      <c r="T245" s="92"/>
      <c r="U245" s="92"/>
      <c r="V245" s="52"/>
      <c r="W245" s="52"/>
      <c r="X245" s="52"/>
      <c r="Y245" s="52"/>
      <c r="Z245" s="51"/>
      <c r="AA245" s="73"/>
      <c r="AB245" s="73"/>
      <c r="AC245" s="74"/>
      <c r="AD245" s="80" t="s">
        <v>6828</v>
      </c>
      <c r="AE245" s="85" t="s">
        <v>8073</v>
      </c>
      <c r="AF245" s="80">
        <v>117</v>
      </c>
      <c r="AG245" s="80">
        <v>1035</v>
      </c>
      <c r="AH245" s="80">
        <v>2559</v>
      </c>
      <c r="AI245" s="80">
        <v>6003</v>
      </c>
      <c r="AJ245" s="80"/>
      <c r="AK245" s="80" t="s">
        <v>9177</v>
      </c>
      <c r="AL245" s="80" t="s">
        <v>10250</v>
      </c>
      <c r="AM245" s="87" t="str">
        <f>HYPERLINK("https://t.co/WL863yZ4OO")</f>
        <v>https://t.co/WL863yZ4OO</v>
      </c>
      <c r="AN245" s="80"/>
      <c r="AO245" s="82">
        <v>44221.432268518518</v>
      </c>
      <c r="AP245" s="87" t="str">
        <f>HYPERLINK("https://pbs.twimg.com/profile_banners/1353649368851648513/1611833869")</f>
        <v>https://pbs.twimg.com/profile_banners/1353649368851648513/1611833869</v>
      </c>
      <c r="AQ245" s="80" t="b">
        <v>1</v>
      </c>
      <c r="AR245" s="80" t="b">
        <v>0</v>
      </c>
      <c r="AS245" s="80" t="b">
        <v>0</v>
      </c>
      <c r="AT245" s="80"/>
      <c r="AU245" s="80">
        <v>2</v>
      </c>
      <c r="AV245" s="80"/>
      <c r="AW245" s="80" t="b">
        <v>0</v>
      </c>
      <c r="AX245" s="80" t="s">
        <v>10746</v>
      </c>
      <c r="AY245" s="87" t="str">
        <f>HYPERLINK("https://twitter.com/bubblestarnoona")</f>
        <v>https://twitter.com/bubblestarnoona</v>
      </c>
      <c r="AZ245" s="80" t="s">
        <v>66</v>
      </c>
      <c r="BA245" s="2"/>
      <c r="BB245" s="3"/>
      <c r="BC245" s="3"/>
      <c r="BD245" s="3"/>
      <c r="BE245" s="3"/>
    </row>
    <row r="246" spans="1:57" x14ac:dyDescent="0.35">
      <c r="A246" s="66" t="s">
        <v>419</v>
      </c>
      <c r="B246" s="67"/>
      <c r="C246" s="67"/>
      <c r="D246" s="68"/>
      <c r="E246" s="70"/>
      <c r="F246" s="109" t="str">
        <f>HYPERLINK("https://pbs.twimg.com/profile_images/1435551193061752833/XztGL7Gl_normal.jpg")</f>
        <v>https://pbs.twimg.com/profile_images/1435551193061752833/XztGL7Gl_normal.jpg</v>
      </c>
      <c r="G246" s="67"/>
      <c r="H246" s="71"/>
      <c r="I246" s="72"/>
      <c r="J246" s="72"/>
      <c r="K246" s="71" t="s">
        <v>10989</v>
      </c>
      <c r="L246" s="75"/>
      <c r="M246" s="76"/>
      <c r="N246" s="76"/>
      <c r="O246" s="77"/>
      <c r="P246" s="78"/>
      <c r="Q246" s="78"/>
      <c r="R246" s="92"/>
      <c r="S246" s="92"/>
      <c r="T246" s="92"/>
      <c r="U246" s="92"/>
      <c r="V246" s="52"/>
      <c r="W246" s="52"/>
      <c r="X246" s="52"/>
      <c r="Y246" s="52"/>
      <c r="Z246" s="51"/>
      <c r="AA246" s="73"/>
      <c r="AB246" s="73"/>
      <c r="AC246" s="74"/>
      <c r="AD246" s="80" t="s">
        <v>6829</v>
      </c>
      <c r="AE246" s="85" t="s">
        <v>8074</v>
      </c>
      <c r="AF246" s="80">
        <v>376</v>
      </c>
      <c r="AG246" s="80">
        <v>335</v>
      </c>
      <c r="AH246" s="80">
        <v>11195</v>
      </c>
      <c r="AI246" s="80">
        <v>5892</v>
      </c>
      <c r="AJ246" s="80"/>
      <c r="AK246" s="80" t="s">
        <v>9178</v>
      </c>
      <c r="AL246" s="80" t="s">
        <v>10251</v>
      </c>
      <c r="AM246" s="87" t="str">
        <f>HYPERLINK("https://t.co/vsoe6cFXnL")</f>
        <v>https://t.co/vsoe6cFXnL</v>
      </c>
      <c r="AN246" s="80"/>
      <c r="AO246" s="82">
        <v>43021.341249999998</v>
      </c>
      <c r="AP246" s="87" t="str">
        <f>HYPERLINK("https://pbs.twimg.com/profile_banners/918751008288792576/1631271961")</f>
        <v>https://pbs.twimg.com/profile_banners/918751008288792576/1631271961</v>
      </c>
      <c r="AQ246" s="80" t="b">
        <v>1</v>
      </c>
      <c r="AR246" s="80" t="b">
        <v>0</v>
      </c>
      <c r="AS246" s="80" t="b">
        <v>1</v>
      </c>
      <c r="AT246" s="80"/>
      <c r="AU246" s="80">
        <v>2</v>
      </c>
      <c r="AV246" s="80"/>
      <c r="AW246" s="80" t="b">
        <v>0</v>
      </c>
      <c r="AX246" s="80" t="s">
        <v>10746</v>
      </c>
      <c r="AY246" s="87" t="str">
        <f>HYPERLINK("https://twitter.com/inlifeu_")</f>
        <v>https://twitter.com/inlifeu_</v>
      </c>
      <c r="AZ246" s="80" t="s">
        <v>66</v>
      </c>
      <c r="BA246" s="2"/>
      <c r="BB246" s="3"/>
      <c r="BC246" s="3"/>
      <c r="BD246" s="3"/>
      <c r="BE246" s="3"/>
    </row>
    <row r="247" spans="1:57" x14ac:dyDescent="0.35">
      <c r="A247" s="66" t="s">
        <v>420</v>
      </c>
      <c r="B247" s="67"/>
      <c r="C247" s="67"/>
      <c r="D247" s="68"/>
      <c r="E247" s="70"/>
      <c r="F247" s="109" t="str">
        <f>HYPERLINK("https://pbs.twimg.com/profile_images/1341643759491006465/SgeuE4cI_normal.jpg")</f>
        <v>https://pbs.twimg.com/profile_images/1341643759491006465/SgeuE4cI_normal.jpg</v>
      </c>
      <c r="G247" s="67"/>
      <c r="H247" s="71"/>
      <c r="I247" s="72"/>
      <c r="J247" s="72"/>
      <c r="K247" s="71" t="s">
        <v>10990</v>
      </c>
      <c r="L247" s="75"/>
      <c r="M247" s="76"/>
      <c r="N247" s="76"/>
      <c r="O247" s="77"/>
      <c r="P247" s="78"/>
      <c r="Q247" s="78"/>
      <c r="R247" s="92"/>
      <c r="S247" s="92"/>
      <c r="T247" s="92"/>
      <c r="U247" s="92"/>
      <c r="V247" s="52"/>
      <c r="W247" s="52"/>
      <c r="X247" s="52"/>
      <c r="Y247" s="52"/>
      <c r="Z247" s="51"/>
      <c r="AA247" s="73"/>
      <c r="AB247" s="73"/>
      <c r="AC247" s="74"/>
      <c r="AD247" s="80" t="s">
        <v>6830</v>
      </c>
      <c r="AE247" s="85" t="s">
        <v>8075</v>
      </c>
      <c r="AF247" s="80">
        <v>393</v>
      </c>
      <c r="AG247" s="80">
        <v>200</v>
      </c>
      <c r="AH247" s="80">
        <v>30671</v>
      </c>
      <c r="AI247" s="80">
        <v>88168</v>
      </c>
      <c r="AJ247" s="80"/>
      <c r="AK247" s="80" t="s">
        <v>9179</v>
      </c>
      <c r="AL247" s="80" t="s">
        <v>10252</v>
      </c>
      <c r="AM247" s="80"/>
      <c r="AN247" s="80"/>
      <c r="AO247" s="82">
        <v>43827.040393518517</v>
      </c>
      <c r="AP247" s="87" t="str">
        <f>HYPERLINK("https://pbs.twimg.com/profile_banners/1210726552826044417/1577515111")</f>
        <v>https://pbs.twimg.com/profile_banners/1210726552826044417/1577515111</v>
      </c>
      <c r="AQ247" s="80" t="b">
        <v>1</v>
      </c>
      <c r="AR247" s="80" t="b">
        <v>0</v>
      </c>
      <c r="AS247" s="80" t="b">
        <v>1</v>
      </c>
      <c r="AT247" s="80"/>
      <c r="AU247" s="80">
        <v>0</v>
      </c>
      <c r="AV247" s="80"/>
      <c r="AW247" s="80" t="b">
        <v>0</v>
      </c>
      <c r="AX247" s="80" t="s">
        <v>10746</v>
      </c>
      <c r="AY247" s="87" t="str">
        <f>HYPERLINK("https://twitter.com/_ainnabilaa")</f>
        <v>https://twitter.com/_ainnabilaa</v>
      </c>
      <c r="AZ247" s="80" t="s">
        <v>66</v>
      </c>
      <c r="BA247" s="2"/>
      <c r="BB247" s="3"/>
      <c r="BC247" s="3"/>
      <c r="BD247" s="3"/>
      <c r="BE247" s="3"/>
    </row>
    <row r="248" spans="1:57" x14ac:dyDescent="0.35">
      <c r="A248" s="66" t="s">
        <v>421</v>
      </c>
      <c r="B248" s="67"/>
      <c r="C248" s="67"/>
      <c r="D248" s="68"/>
      <c r="E248" s="70"/>
      <c r="F248" s="109" t="str">
        <f>HYPERLINK("https://pbs.twimg.com/profile_images/1442083440531107846/26xEpO2b_normal.jpg")</f>
        <v>https://pbs.twimg.com/profile_images/1442083440531107846/26xEpO2b_normal.jpg</v>
      </c>
      <c r="G248" s="67"/>
      <c r="H248" s="71"/>
      <c r="I248" s="72"/>
      <c r="J248" s="72"/>
      <c r="K248" s="71" t="s">
        <v>10991</v>
      </c>
      <c r="L248" s="75"/>
      <c r="M248" s="76"/>
      <c r="N248" s="76"/>
      <c r="O248" s="77"/>
      <c r="P248" s="78"/>
      <c r="Q248" s="78"/>
      <c r="R248" s="92"/>
      <c r="S248" s="92"/>
      <c r="T248" s="92"/>
      <c r="U248" s="92"/>
      <c r="V248" s="52"/>
      <c r="W248" s="52"/>
      <c r="X248" s="52"/>
      <c r="Y248" s="52"/>
      <c r="Z248" s="51"/>
      <c r="AA248" s="73"/>
      <c r="AB248" s="73"/>
      <c r="AC248" s="74"/>
      <c r="AD248" s="80" t="s">
        <v>6831</v>
      </c>
      <c r="AE248" s="85" t="s">
        <v>8076</v>
      </c>
      <c r="AF248" s="80">
        <v>670</v>
      </c>
      <c r="AG248" s="80">
        <v>636</v>
      </c>
      <c r="AH248" s="80">
        <v>10134</v>
      </c>
      <c r="AI248" s="80">
        <v>6252</v>
      </c>
      <c r="AJ248" s="80"/>
      <c r="AK248" s="80" t="s">
        <v>9180</v>
      </c>
      <c r="AL248" s="80"/>
      <c r="AM248" s="80"/>
      <c r="AN248" s="80"/>
      <c r="AO248" s="82">
        <v>42729.825613425928</v>
      </c>
      <c r="AP248" s="87" t="str">
        <f>HYPERLINK("https://pbs.twimg.com/profile_banners/813109278558912512/1627734266")</f>
        <v>https://pbs.twimg.com/profile_banners/813109278558912512/1627734266</v>
      </c>
      <c r="AQ248" s="80" t="b">
        <v>1</v>
      </c>
      <c r="AR248" s="80" t="b">
        <v>0</v>
      </c>
      <c r="AS248" s="80" t="b">
        <v>0</v>
      </c>
      <c r="AT248" s="80"/>
      <c r="AU248" s="80">
        <v>0</v>
      </c>
      <c r="AV248" s="80"/>
      <c r="AW248" s="80" t="b">
        <v>0</v>
      </c>
      <c r="AX248" s="80" t="s">
        <v>10746</v>
      </c>
      <c r="AY248" s="87" t="str">
        <f>HYPERLINK("https://twitter.com/hanniestar00")</f>
        <v>https://twitter.com/hanniestar00</v>
      </c>
      <c r="AZ248" s="80" t="s">
        <v>66</v>
      </c>
      <c r="BA248" s="2"/>
      <c r="BB248" s="3"/>
      <c r="BC248" s="3"/>
      <c r="BD248" s="3"/>
      <c r="BE248" s="3"/>
    </row>
    <row r="249" spans="1:57" x14ac:dyDescent="0.35">
      <c r="A249" s="66" t="s">
        <v>422</v>
      </c>
      <c r="B249" s="67"/>
      <c r="C249" s="67"/>
      <c r="D249" s="68"/>
      <c r="E249" s="70"/>
      <c r="F249" s="109" t="str">
        <f>HYPERLINK("https://pbs.twimg.com/profile_images/1442307061321068550/TEoxJir9_normal.jpg")</f>
        <v>https://pbs.twimg.com/profile_images/1442307061321068550/TEoxJir9_normal.jpg</v>
      </c>
      <c r="G249" s="67"/>
      <c r="H249" s="71"/>
      <c r="I249" s="72"/>
      <c r="J249" s="72"/>
      <c r="K249" s="71" t="s">
        <v>10992</v>
      </c>
      <c r="L249" s="75"/>
      <c r="M249" s="76"/>
      <c r="N249" s="76"/>
      <c r="O249" s="77"/>
      <c r="P249" s="78"/>
      <c r="Q249" s="78"/>
      <c r="R249" s="92"/>
      <c r="S249" s="92"/>
      <c r="T249" s="92"/>
      <c r="U249" s="92"/>
      <c r="V249" s="52"/>
      <c r="W249" s="52"/>
      <c r="X249" s="52"/>
      <c r="Y249" s="52"/>
      <c r="Z249" s="51"/>
      <c r="AA249" s="73"/>
      <c r="AB249" s="73"/>
      <c r="AC249" s="74"/>
      <c r="AD249" s="80" t="s">
        <v>6832</v>
      </c>
      <c r="AE249" s="85" t="s">
        <v>8077</v>
      </c>
      <c r="AF249" s="80">
        <v>274</v>
      </c>
      <c r="AG249" s="80">
        <v>259</v>
      </c>
      <c r="AH249" s="80">
        <v>1825</v>
      </c>
      <c r="AI249" s="80">
        <v>4326</v>
      </c>
      <c r="AJ249" s="80"/>
      <c r="AK249" s="80" t="s">
        <v>9181</v>
      </c>
      <c r="AL249" s="80" t="s">
        <v>10253</v>
      </c>
      <c r="AM249" s="80"/>
      <c r="AN249" s="80"/>
      <c r="AO249" s="82">
        <v>44403.108564814815</v>
      </c>
      <c r="AP249" s="87" t="str">
        <f>HYPERLINK("https://pbs.twimg.com/profile_banners/1419486652725035010/1631938673")</f>
        <v>https://pbs.twimg.com/profile_banners/1419486652725035010/1631938673</v>
      </c>
      <c r="AQ249" s="80" t="b">
        <v>1</v>
      </c>
      <c r="AR249" s="80" t="b">
        <v>0</v>
      </c>
      <c r="AS249" s="80" t="b">
        <v>0</v>
      </c>
      <c r="AT249" s="80"/>
      <c r="AU249" s="80">
        <v>3</v>
      </c>
      <c r="AV249" s="80"/>
      <c r="AW249" s="80" t="b">
        <v>0</v>
      </c>
      <c r="AX249" s="80" t="s">
        <v>10746</v>
      </c>
      <c r="AY249" s="87" t="str">
        <f>HYPERLINK("https://twitter.com/hanniequokkache")</f>
        <v>https://twitter.com/hanniequokkache</v>
      </c>
      <c r="AZ249" s="80" t="s">
        <v>66</v>
      </c>
      <c r="BA249" s="2"/>
      <c r="BB249" s="3"/>
      <c r="BC249" s="3"/>
      <c r="BD249" s="3"/>
      <c r="BE249" s="3"/>
    </row>
    <row r="250" spans="1:57" x14ac:dyDescent="0.35">
      <c r="A250" s="66" t="s">
        <v>423</v>
      </c>
      <c r="B250" s="67"/>
      <c r="C250" s="67"/>
      <c r="D250" s="68"/>
      <c r="E250" s="70"/>
      <c r="F250" s="109" t="str">
        <f>HYPERLINK("https://pbs.twimg.com/profile_images/1442209106064859145/28WPqRoF_normal.jpg")</f>
        <v>https://pbs.twimg.com/profile_images/1442209106064859145/28WPqRoF_normal.jpg</v>
      </c>
      <c r="G250" s="67"/>
      <c r="H250" s="71"/>
      <c r="I250" s="72"/>
      <c r="J250" s="72"/>
      <c r="K250" s="71" t="s">
        <v>10993</v>
      </c>
      <c r="L250" s="75"/>
      <c r="M250" s="76"/>
      <c r="N250" s="76"/>
      <c r="O250" s="77"/>
      <c r="P250" s="78"/>
      <c r="Q250" s="78"/>
      <c r="R250" s="92"/>
      <c r="S250" s="92"/>
      <c r="T250" s="92"/>
      <c r="U250" s="92"/>
      <c r="V250" s="52"/>
      <c r="W250" s="52"/>
      <c r="X250" s="52"/>
      <c r="Y250" s="52"/>
      <c r="Z250" s="51"/>
      <c r="AA250" s="73"/>
      <c r="AB250" s="73"/>
      <c r="AC250" s="74"/>
      <c r="AD250" s="80" t="s">
        <v>6833</v>
      </c>
      <c r="AE250" s="85" t="s">
        <v>8078</v>
      </c>
      <c r="AF250" s="80">
        <v>193</v>
      </c>
      <c r="AG250" s="80">
        <v>379</v>
      </c>
      <c r="AH250" s="80">
        <v>5096</v>
      </c>
      <c r="AI250" s="80">
        <v>16941</v>
      </c>
      <c r="AJ250" s="80"/>
      <c r="AK250" s="80" t="s">
        <v>9182</v>
      </c>
      <c r="AL250" s="80"/>
      <c r="AM250" s="80"/>
      <c r="AN250" s="80"/>
      <c r="AO250" s="82">
        <v>43772.166504629633</v>
      </c>
      <c r="AP250" s="87" t="str">
        <f>HYPERLINK("https://pbs.twimg.com/profile_banners/1190840921299939329/1627364455")</f>
        <v>https://pbs.twimg.com/profile_banners/1190840921299939329/1627364455</v>
      </c>
      <c r="AQ250" s="80" t="b">
        <v>1</v>
      </c>
      <c r="AR250" s="80" t="b">
        <v>0</v>
      </c>
      <c r="AS250" s="80" t="b">
        <v>0</v>
      </c>
      <c r="AT250" s="80"/>
      <c r="AU250" s="80">
        <v>0</v>
      </c>
      <c r="AV250" s="80"/>
      <c r="AW250" s="80" t="b">
        <v>0</v>
      </c>
      <c r="AX250" s="80" t="s">
        <v>10746</v>
      </c>
      <c r="AY250" s="87" t="str">
        <f>HYPERLINK("https://twitter.com/alyacoups")</f>
        <v>https://twitter.com/alyacoups</v>
      </c>
      <c r="AZ250" s="80" t="s">
        <v>66</v>
      </c>
      <c r="BA250" s="2"/>
      <c r="BB250" s="3"/>
      <c r="BC250" s="3"/>
      <c r="BD250" s="3"/>
      <c r="BE250" s="3"/>
    </row>
    <row r="251" spans="1:57" x14ac:dyDescent="0.35">
      <c r="A251" s="66" t="s">
        <v>424</v>
      </c>
      <c r="B251" s="67"/>
      <c r="C251" s="67"/>
      <c r="D251" s="68"/>
      <c r="E251" s="70"/>
      <c r="F251" s="109" t="str">
        <f>HYPERLINK("https://pbs.twimg.com/profile_images/1442161134778290186/e5B4LqgW_normal.jpg")</f>
        <v>https://pbs.twimg.com/profile_images/1442161134778290186/e5B4LqgW_normal.jpg</v>
      </c>
      <c r="G251" s="67"/>
      <c r="H251" s="71"/>
      <c r="I251" s="72"/>
      <c r="J251" s="72"/>
      <c r="K251" s="71" t="s">
        <v>10994</v>
      </c>
      <c r="L251" s="75"/>
      <c r="M251" s="76"/>
      <c r="N251" s="76"/>
      <c r="O251" s="77"/>
      <c r="P251" s="78"/>
      <c r="Q251" s="78"/>
      <c r="R251" s="92"/>
      <c r="S251" s="92"/>
      <c r="T251" s="92"/>
      <c r="U251" s="92"/>
      <c r="V251" s="52"/>
      <c r="W251" s="52"/>
      <c r="X251" s="52"/>
      <c r="Y251" s="52"/>
      <c r="Z251" s="51"/>
      <c r="AA251" s="73"/>
      <c r="AB251" s="73"/>
      <c r="AC251" s="74"/>
      <c r="AD251" s="80" t="s">
        <v>6834</v>
      </c>
      <c r="AE251" s="85" t="s">
        <v>8079</v>
      </c>
      <c r="AF251" s="80">
        <v>208</v>
      </c>
      <c r="AG251" s="80">
        <v>113</v>
      </c>
      <c r="AH251" s="80">
        <v>1146</v>
      </c>
      <c r="AI251" s="80">
        <v>4660</v>
      </c>
      <c r="AJ251" s="80"/>
      <c r="AK251" s="80" t="s">
        <v>9183</v>
      </c>
      <c r="AL251" s="80"/>
      <c r="AM251" s="87" t="str">
        <f>HYPERLINK("https://t.co/K00enq5N2j")</f>
        <v>https://t.co/K00enq5N2j</v>
      </c>
      <c r="AN251" s="80"/>
      <c r="AO251" s="82">
        <v>43624.683067129627</v>
      </c>
      <c r="AP251" s="87" t="str">
        <f>HYPERLINK("https://pbs.twimg.com/profile_banners/1137394760111468545/1629646689")</f>
        <v>https://pbs.twimg.com/profile_banners/1137394760111468545/1629646689</v>
      </c>
      <c r="AQ251" s="80" t="b">
        <v>1</v>
      </c>
      <c r="AR251" s="80" t="b">
        <v>0</v>
      </c>
      <c r="AS251" s="80" t="b">
        <v>0</v>
      </c>
      <c r="AT251" s="80"/>
      <c r="AU251" s="80">
        <v>1</v>
      </c>
      <c r="AV251" s="80"/>
      <c r="AW251" s="80" t="b">
        <v>0</v>
      </c>
      <c r="AX251" s="80" t="s">
        <v>10746</v>
      </c>
      <c r="AY251" s="87" t="str">
        <f>HYPERLINK("https://twitter.com/zulaikanordin_")</f>
        <v>https://twitter.com/zulaikanordin_</v>
      </c>
      <c r="AZ251" s="80" t="s">
        <v>66</v>
      </c>
      <c r="BA251" s="2"/>
      <c r="BB251" s="3"/>
      <c r="BC251" s="3"/>
      <c r="BD251" s="3"/>
      <c r="BE251" s="3"/>
    </row>
    <row r="252" spans="1:57" x14ac:dyDescent="0.35">
      <c r="A252" s="66" t="s">
        <v>425</v>
      </c>
      <c r="B252" s="67"/>
      <c r="C252" s="67"/>
      <c r="D252" s="68"/>
      <c r="E252" s="70"/>
      <c r="F252" s="109" t="str">
        <f>HYPERLINK("https://pbs.twimg.com/profile_images/1438120330178949120/ShkOhC6s_normal.jpg")</f>
        <v>https://pbs.twimg.com/profile_images/1438120330178949120/ShkOhC6s_normal.jpg</v>
      </c>
      <c r="G252" s="67"/>
      <c r="H252" s="71"/>
      <c r="I252" s="72"/>
      <c r="J252" s="72"/>
      <c r="K252" s="71" t="s">
        <v>10995</v>
      </c>
      <c r="L252" s="75"/>
      <c r="M252" s="76"/>
      <c r="N252" s="76"/>
      <c r="O252" s="77"/>
      <c r="P252" s="78"/>
      <c r="Q252" s="78"/>
      <c r="R252" s="92"/>
      <c r="S252" s="92"/>
      <c r="T252" s="92"/>
      <c r="U252" s="92"/>
      <c r="V252" s="52"/>
      <c r="W252" s="52"/>
      <c r="X252" s="52"/>
      <c r="Y252" s="52"/>
      <c r="Z252" s="51"/>
      <c r="AA252" s="73"/>
      <c r="AB252" s="73"/>
      <c r="AC252" s="74"/>
      <c r="AD252" s="80" t="s">
        <v>6835</v>
      </c>
      <c r="AE252" s="85" t="s">
        <v>8080</v>
      </c>
      <c r="AF252" s="80">
        <v>908</v>
      </c>
      <c r="AG252" s="80">
        <v>1185</v>
      </c>
      <c r="AH252" s="80">
        <v>6272</v>
      </c>
      <c r="AI252" s="80">
        <v>6316</v>
      </c>
      <c r="AJ252" s="80"/>
      <c r="AK252" s="80" t="s">
        <v>9184</v>
      </c>
      <c r="AL252" s="80"/>
      <c r="AM252" s="87" t="str">
        <f>HYPERLINK("https://t.co/i7WUxHhvnW")</f>
        <v>https://t.co/i7WUxHhvnW</v>
      </c>
      <c r="AN252" s="80"/>
      <c r="AO252" s="82">
        <v>41115.429699074077</v>
      </c>
      <c r="AP252" s="87" t="str">
        <f>HYPERLINK("https://pbs.twimg.com/profile_banners/715843826/1630956032")</f>
        <v>https://pbs.twimg.com/profile_banners/715843826/1630956032</v>
      </c>
      <c r="AQ252" s="80" t="b">
        <v>1</v>
      </c>
      <c r="AR252" s="80" t="b">
        <v>0</v>
      </c>
      <c r="AS252" s="80" t="b">
        <v>0</v>
      </c>
      <c r="AT252" s="80"/>
      <c r="AU252" s="80">
        <v>2</v>
      </c>
      <c r="AV252" s="87" t="str">
        <f>HYPERLINK("https://abs.twimg.com/images/themes/theme1/bg.png")</f>
        <v>https://abs.twimg.com/images/themes/theme1/bg.png</v>
      </c>
      <c r="AW252" s="80" t="b">
        <v>0</v>
      </c>
      <c r="AX252" s="80" t="s">
        <v>10746</v>
      </c>
      <c r="AY252" s="87" t="str">
        <f>HYPERLINK("https://twitter.com/felixismyloveee")</f>
        <v>https://twitter.com/felixismyloveee</v>
      </c>
      <c r="AZ252" s="80" t="s">
        <v>66</v>
      </c>
      <c r="BA252" s="2"/>
      <c r="BB252" s="3"/>
      <c r="BC252" s="3"/>
      <c r="BD252" s="3"/>
      <c r="BE252" s="3"/>
    </row>
    <row r="253" spans="1:57" x14ac:dyDescent="0.35">
      <c r="A253" s="66" t="s">
        <v>426</v>
      </c>
      <c r="B253" s="67"/>
      <c r="C253" s="67"/>
      <c r="D253" s="68"/>
      <c r="E253" s="70"/>
      <c r="F253" s="109" t="str">
        <f>HYPERLINK("https://pbs.twimg.com/profile_images/1441723845224787971/GokyA5zO_normal.jpg")</f>
        <v>https://pbs.twimg.com/profile_images/1441723845224787971/GokyA5zO_normal.jpg</v>
      </c>
      <c r="G253" s="67"/>
      <c r="H253" s="71"/>
      <c r="I253" s="72"/>
      <c r="J253" s="72"/>
      <c r="K253" s="71" t="s">
        <v>10996</v>
      </c>
      <c r="L253" s="75"/>
      <c r="M253" s="76"/>
      <c r="N253" s="76"/>
      <c r="O253" s="77"/>
      <c r="P253" s="78"/>
      <c r="Q253" s="78"/>
      <c r="R253" s="92"/>
      <c r="S253" s="92"/>
      <c r="T253" s="92"/>
      <c r="U253" s="92"/>
      <c r="V253" s="52"/>
      <c r="W253" s="52"/>
      <c r="X253" s="52"/>
      <c r="Y253" s="52"/>
      <c r="Z253" s="51"/>
      <c r="AA253" s="73"/>
      <c r="AB253" s="73"/>
      <c r="AC253" s="74"/>
      <c r="AD253" s="80" t="s">
        <v>6836</v>
      </c>
      <c r="AE253" s="85" t="s">
        <v>8081</v>
      </c>
      <c r="AF253" s="80">
        <v>139</v>
      </c>
      <c r="AG253" s="80">
        <v>95</v>
      </c>
      <c r="AH253" s="80">
        <v>7205</v>
      </c>
      <c r="AI253" s="80">
        <v>12714</v>
      </c>
      <c r="AJ253" s="80"/>
      <c r="AK253" s="80" t="s">
        <v>9185</v>
      </c>
      <c r="AL253" s="80" t="s">
        <v>10254</v>
      </c>
      <c r="AM253" s="87" t="str">
        <f>HYPERLINK("https://t.co/2ro2nMfNh0")</f>
        <v>https://t.co/2ro2nMfNh0</v>
      </c>
      <c r="AN253" s="80"/>
      <c r="AO253" s="82">
        <v>44228.482754629629</v>
      </c>
      <c r="AP253" s="87" t="str">
        <f>HYPERLINK("https://pbs.twimg.com/profile_banners/1356204373508988929/1632568903")</f>
        <v>https://pbs.twimg.com/profile_banners/1356204373508988929/1632568903</v>
      </c>
      <c r="AQ253" s="80" t="b">
        <v>1</v>
      </c>
      <c r="AR253" s="80" t="b">
        <v>0</v>
      </c>
      <c r="AS253" s="80" t="b">
        <v>0</v>
      </c>
      <c r="AT253" s="80"/>
      <c r="AU253" s="80">
        <v>0</v>
      </c>
      <c r="AV253" s="80"/>
      <c r="AW253" s="80" t="b">
        <v>0</v>
      </c>
      <c r="AX253" s="80" t="s">
        <v>10746</v>
      </c>
      <c r="AY253" s="87" t="str">
        <f>HYPERLINK("https://twitter.com/janjuink")</f>
        <v>https://twitter.com/janjuink</v>
      </c>
      <c r="AZ253" s="80" t="s">
        <v>66</v>
      </c>
      <c r="BA253" s="2"/>
      <c r="BB253" s="3"/>
      <c r="BC253" s="3"/>
      <c r="BD253" s="3"/>
      <c r="BE253" s="3"/>
    </row>
    <row r="254" spans="1:57" x14ac:dyDescent="0.35">
      <c r="A254" s="66" t="s">
        <v>427</v>
      </c>
      <c r="B254" s="67"/>
      <c r="C254" s="67"/>
      <c r="D254" s="68"/>
      <c r="E254" s="70"/>
      <c r="F254" s="109" t="str">
        <f>HYPERLINK("https://pbs.twimg.com/profile_images/1439250970555285510/mnWDnuqa_normal.jpg")</f>
        <v>https://pbs.twimg.com/profile_images/1439250970555285510/mnWDnuqa_normal.jpg</v>
      </c>
      <c r="G254" s="67"/>
      <c r="H254" s="71"/>
      <c r="I254" s="72"/>
      <c r="J254" s="72"/>
      <c r="K254" s="71" t="s">
        <v>10997</v>
      </c>
      <c r="L254" s="75"/>
      <c r="M254" s="76"/>
      <c r="N254" s="76"/>
      <c r="O254" s="77"/>
      <c r="P254" s="78"/>
      <c r="Q254" s="78"/>
      <c r="R254" s="92"/>
      <c r="S254" s="92"/>
      <c r="T254" s="92"/>
      <c r="U254" s="92"/>
      <c r="V254" s="52"/>
      <c r="W254" s="52"/>
      <c r="X254" s="52"/>
      <c r="Y254" s="52"/>
      <c r="Z254" s="51"/>
      <c r="AA254" s="73"/>
      <c r="AB254" s="73"/>
      <c r="AC254" s="74"/>
      <c r="AD254" s="80" t="s">
        <v>6837</v>
      </c>
      <c r="AE254" s="85" t="s">
        <v>8082</v>
      </c>
      <c r="AF254" s="80">
        <v>516</v>
      </c>
      <c r="AG254" s="80">
        <v>417</v>
      </c>
      <c r="AH254" s="80">
        <v>6126</v>
      </c>
      <c r="AI254" s="80">
        <v>7413</v>
      </c>
      <c r="AJ254" s="80"/>
      <c r="AK254" s="80" t="s">
        <v>9186</v>
      </c>
      <c r="AL254" s="80" t="s">
        <v>10208</v>
      </c>
      <c r="AM254" s="80"/>
      <c r="AN254" s="80"/>
      <c r="AO254" s="82">
        <v>44371.172581018516</v>
      </c>
      <c r="AP254" s="87" t="str">
        <f>HYPERLINK("https://pbs.twimg.com/profile_banners/1407913415146762240/1630138142")</f>
        <v>https://pbs.twimg.com/profile_banners/1407913415146762240/1630138142</v>
      </c>
      <c r="AQ254" s="80" t="b">
        <v>1</v>
      </c>
      <c r="AR254" s="80" t="b">
        <v>0</v>
      </c>
      <c r="AS254" s="80" t="b">
        <v>0</v>
      </c>
      <c r="AT254" s="80"/>
      <c r="AU254" s="80">
        <v>4</v>
      </c>
      <c r="AV254" s="80"/>
      <c r="AW254" s="80" t="b">
        <v>0</v>
      </c>
      <c r="AX254" s="80" t="s">
        <v>10746</v>
      </c>
      <c r="AY254" s="87" t="str">
        <f>HYPERLINK("https://twitter.com/sunforyoo")</f>
        <v>https://twitter.com/sunforyoo</v>
      </c>
      <c r="AZ254" s="80" t="s">
        <v>66</v>
      </c>
      <c r="BA254" s="2"/>
      <c r="BB254" s="3"/>
      <c r="BC254" s="3"/>
      <c r="BD254" s="3"/>
      <c r="BE254" s="3"/>
    </row>
    <row r="255" spans="1:57" x14ac:dyDescent="0.35">
      <c r="A255" s="66" t="s">
        <v>1307</v>
      </c>
      <c r="B255" s="67"/>
      <c r="C255" s="67"/>
      <c r="D255" s="68"/>
      <c r="E255" s="70"/>
      <c r="F255" s="109" t="str">
        <f>HYPERLINK("https://pbs.twimg.com/profile_images/1438806507324260352/fLCUdZiN_normal.jpg")</f>
        <v>https://pbs.twimg.com/profile_images/1438806507324260352/fLCUdZiN_normal.jpg</v>
      </c>
      <c r="G255" s="67"/>
      <c r="H255" s="71"/>
      <c r="I255" s="72"/>
      <c r="J255" s="72"/>
      <c r="K255" s="71" t="s">
        <v>10998</v>
      </c>
      <c r="L255" s="75"/>
      <c r="M255" s="76"/>
      <c r="N255" s="76"/>
      <c r="O255" s="77"/>
      <c r="P255" s="78"/>
      <c r="Q255" s="78"/>
      <c r="R255" s="92"/>
      <c r="S255" s="92"/>
      <c r="T255" s="92"/>
      <c r="U255" s="92"/>
      <c r="V255" s="52"/>
      <c r="W255" s="52"/>
      <c r="X255" s="52"/>
      <c r="Y255" s="52"/>
      <c r="Z255" s="51"/>
      <c r="AA255" s="73"/>
      <c r="AB255" s="73"/>
      <c r="AC255" s="74"/>
      <c r="AD255" s="80" t="s">
        <v>6838</v>
      </c>
      <c r="AE255" s="85" t="s">
        <v>6279</v>
      </c>
      <c r="AF255" s="80">
        <v>388</v>
      </c>
      <c r="AG255" s="80">
        <v>414</v>
      </c>
      <c r="AH255" s="80">
        <v>22502</v>
      </c>
      <c r="AI255" s="80">
        <v>15061</v>
      </c>
      <c r="AJ255" s="80"/>
      <c r="AK255" s="80" t="s">
        <v>9187</v>
      </c>
      <c r="AL255" s="80"/>
      <c r="AM255" s="80"/>
      <c r="AN255" s="80"/>
      <c r="AO255" s="82">
        <v>44269.567245370374</v>
      </c>
      <c r="AP255" s="87" t="str">
        <f>HYPERLINK("https://pbs.twimg.com/profile_banners/1371092915825483776/1630044405")</f>
        <v>https://pbs.twimg.com/profile_banners/1371092915825483776/1630044405</v>
      </c>
      <c r="AQ255" s="80" t="b">
        <v>1</v>
      </c>
      <c r="AR255" s="80" t="b">
        <v>0</v>
      </c>
      <c r="AS255" s="80" t="b">
        <v>0</v>
      </c>
      <c r="AT255" s="80"/>
      <c r="AU255" s="80">
        <v>2</v>
      </c>
      <c r="AV255" s="80"/>
      <c r="AW255" s="80" t="b">
        <v>0</v>
      </c>
      <c r="AX255" s="80" t="s">
        <v>10746</v>
      </c>
      <c r="AY255" s="87" t="str">
        <f>HYPERLINK("https://twitter.com/fantasysepgu94")</f>
        <v>https://twitter.com/fantasysepgu94</v>
      </c>
      <c r="AZ255" s="80" t="s">
        <v>65</v>
      </c>
      <c r="BA255" s="2"/>
      <c r="BB255" s="3"/>
      <c r="BC255" s="3"/>
      <c r="BD255" s="3"/>
      <c r="BE255" s="3"/>
    </row>
    <row r="256" spans="1:57" x14ac:dyDescent="0.35">
      <c r="A256" s="66" t="s">
        <v>428</v>
      </c>
      <c r="B256" s="67"/>
      <c r="C256" s="67"/>
      <c r="D256" s="68"/>
      <c r="E256" s="70"/>
      <c r="F256" s="109" t="str">
        <f>HYPERLINK("https://pbs.twimg.com/profile_images/1424692998810456068/_8mfY-1t_normal.jpg")</f>
        <v>https://pbs.twimg.com/profile_images/1424692998810456068/_8mfY-1t_normal.jpg</v>
      </c>
      <c r="G256" s="67"/>
      <c r="H256" s="71"/>
      <c r="I256" s="72"/>
      <c r="J256" s="72"/>
      <c r="K256" s="71" t="s">
        <v>10999</v>
      </c>
      <c r="L256" s="75"/>
      <c r="M256" s="76"/>
      <c r="N256" s="76"/>
      <c r="O256" s="77"/>
      <c r="P256" s="78"/>
      <c r="Q256" s="78"/>
      <c r="R256" s="92"/>
      <c r="S256" s="92"/>
      <c r="T256" s="92"/>
      <c r="U256" s="92"/>
      <c r="V256" s="52"/>
      <c r="W256" s="52"/>
      <c r="X256" s="52"/>
      <c r="Y256" s="52"/>
      <c r="Z256" s="51"/>
      <c r="AA256" s="73"/>
      <c r="AB256" s="73"/>
      <c r="AC256" s="74"/>
      <c r="AD256" s="80" t="s">
        <v>6839</v>
      </c>
      <c r="AE256" s="85" t="s">
        <v>8083</v>
      </c>
      <c r="AF256" s="80">
        <v>23</v>
      </c>
      <c r="AG256" s="80">
        <v>103</v>
      </c>
      <c r="AH256" s="80">
        <v>180</v>
      </c>
      <c r="AI256" s="80">
        <v>49</v>
      </c>
      <c r="AJ256" s="80"/>
      <c r="AK256" s="80" t="s">
        <v>9188</v>
      </c>
      <c r="AL256" s="80" t="s">
        <v>10255</v>
      </c>
      <c r="AM256" s="87" t="str">
        <f>HYPERLINK("https://t.co/FtGxB7KGOI")</f>
        <v>https://t.co/FtGxB7KGOI</v>
      </c>
      <c r="AN256" s="80"/>
      <c r="AO256" s="82">
        <v>44175.842488425929</v>
      </c>
      <c r="AP256" s="87" t="str">
        <f>HYPERLINK("https://pbs.twimg.com/profile_banners/1337128208055988224/1629299418")</f>
        <v>https://pbs.twimg.com/profile_banners/1337128208055988224/1629299418</v>
      </c>
      <c r="AQ256" s="80" t="b">
        <v>1</v>
      </c>
      <c r="AR256" s="80" t="b">
        <v>0</v>
      </c>
      <c r="AS256" s="80" t="b">
        <v>0</v>
      </c>
      <c r="AT256" s="80"/>
      <c r="AU256" s="80">
        <v>0</v>
      </c>
      <c r="AV256" s="80"/>
      <c r="AW256" s="80" t="b">
        <v>0</v>
      </c>
      <c r="AX256" s="80" t="s">
        <v>10746</v>
      </c>
      <c r="AY256" s="87" t="str">
        <f>HYPERLINK("https://twitter.com/cutmeng_backup")</f>
        <v>https://twitter.com/cutmeng_backup</v>
      </c>
      <c r="AZ256" s="80" t="s">
        <v>66</v>
      </c>
      <c r="BA256" s="2"/>
      <c r="BB256" s="3"/>
      <c r="BC256" s="3"/>
      <c r="BD256" s="3"/>
      <c r="BE256" s="3"/>
    </row>
    <row r="257" spans="1:57" x14ac:dyDescent="0.35">
      <c r="A257" s="66" t="s">
        <v>429</v>
      </c>
      <c r="B257" s="67"/>
      <c r="C257" s="67"/>
      <c r="D257" s="68"/>
      <c r="E257" s="70"/>
      <c r="F257" s="109" t="str">
        <f>HYPERLINK("https://pbs.twimg.com/profile_images/1438560064432861184/U_N7rIpC_normal.jpg")</f>
        <v>https://pbs.twimg.com/profile_images/1438560064432861184/U_N7rIpC_normal.jpg</v>
      </c>
      <c r="G257" s="67"/>
      <c r="H257" s="71"/>
      <c r="I257" s="72"/>
      <c r="J257" s="72"/>
      <c r="K257" s="71" t="s">
        <v>11000</v>
      </c>
      <c r="L257" s="75"/>
      <c r="M257" s="76"/>
      <c r="N257" s="76"/>
      <c r="O257" s="77"/>
      <c r="P257" s="78"/>
      <c r="Q257" s="78"/>
      <c r="R257" s="92"/>
      <c r="S257" s="92"/>
      <c r="T257" s="92"/>
      <c r="U257" s="92"/>
      <c r="V257" s="52"/>
      <c r="W257" s="52"/>
      <c r="X257" s="52"/>
      <c r="Y257" s="52"/>
      <c r="Z257" s="51"/>
      <c r="AA257" s="73"/>
      <c r="AB257" s="73"/>
      <c r="AC257" s="74"/>
      <c r="AD257" s="80" t="s">
        <v>6840</v>
      </c>
      <c r="AE257" s="85" t="s">
        <v>8084</v>
      </c>
      <c r="AF257" s="80">
        <v>81</v>
      </c>
      <c r="AG257" s="80">
        <v>19</v>
      </c>
      <c r="AH257" s="80">
        <v>354</v>
      </c>
      <c r="AI257" s="80">
        <v>426</v>
      </c>
      <c r="AJ257" s="80"/>
      <c r="AK257" s="80" t="s">
        <v>9189</v>
      </c>
      <c r="AL257" s="80" t="s">
        <v>10154</v>
      </c>
      <c r="AM257" s="80"/>
      <c r="AN257" s="80"/>
      <c r="AO257" s="82">
        <v>44438.570486111108</v>
      </c>
      <c r="AP257" s="87" t="str">
        <f>HYPERLINK("https://pbs.twimg.com/profile_banners/1432337623381471237/1630691210")</f>
        <v>https://pbs.twimg.com/profile_banners/1432337623381471237/1630691210</v>
      </c>
      <c r="AQ257" s="80" t="b">
        <v>1</v>
      </c>
      <c r="AR257" s="80" t="b">
        <v>0</v>
      </c>
      <c r="AS257" s="80" t="b">
        <v>0</v>
      </c>
      <c r="AT257" s="80"/>
      <c r="AU257" s="80">
        <v>0</v>
      </c>
      <c r="AV257" s="80"/>
      <c r="AW257" s="80" t="b">
        <v>0</v>
      </c>
      <c r="AX257" s="80" t="s">
        <v>10746</v>
      </c>
      <c r="AY257" s="87" t="str">
        <f>HYPERLINK("https://twitter.com/cikiebokkie")</f>
        <v>https://twitter.com/cikiebokkie</v>
      </c>
      <c r="AZ257" s="80" t="s">
        <v>66</v>
      </c>
      <c r="BA257" s="2"/>
      <c r="BB257" s="3"/>
      <c r="BC257" s="3"/>
      <c r="BD257" s="3"/>
      <c r="BE257" s="3"/>
    </row>
    <row r="258" spans="1:57" x14ac:dyDescent="0.35">
      <c r="A258" s="66" t="s">
        <v>430</v>
      </c>
      <c r="B258" s="67"/>
      <c r="C258" s="67"/>
      <c r="D258" s="68"/>
      <c r="E258" s="70"/>
      <c r="F258" s="109" t="str">
        <f>HYPERLINK("https://pbs.twimg.com/profile_images/1441888219813933059/RoVmZ8OX_normal.jpg")</f>
        <v>https://pbs.twimg.com/profile_images/1441888219813933059/RoVmZ8OX_normal.jpg</v>
      </c>
      <c r="G258" s="67"/>
      <c r="H258" s="71"/>
      <c r="I258" s="72"/>
      <c r="J258" s="72"/>
      <c r="K258" s="71" t="s">
        <v>11001</v>
      </c>
      <c r="L258" s="75"/>
      <c r="M258" s="76"/>
      <c r="N258" s="76"/>
      <c r="O258" s="77"/>
      <c r="P258" s="78"/>
      <c r="Q258" s="78"/>
      <c r="R258" s="92"/>
      <c r="S258" s="92"/>
      <c r="T258" s="92"/>
      <c r="U258" s="92"/>
      <c r="V258" s="52"/>
      <c r="W258" s="52"/>
      <c r="X258" s="52"/>
      <c r="Y258" s="52"/>
      <c r="Z258" s="51"/>
      <c r="AA258" s="73"/>
      <c r="AB258" s="73"/>
      <c r="AC258" s="74"/>
      <c r="AD258" s="80" t="s">
        <v>6841</v>
      </c>
      <c r="AE258" s="85" t="s">
        <v>8085</v>
      </c>
      <c r="AF258" s="80">
        <v>140</v>
      </c>
      <c r="AG258" s="80">
        <v>57</v>
      </c>
      <c r="AH258" s="80">
        <v>4988</v>
      </c>
      <c r="AI258" s="80">
        <v>1247</v>
      </c>
      <c r="AJ258" s="80"/>
      <c r="AK258" s="80" t="s">
        <v>9190</v>
      </c>
      <c r="AL258" s="80"/>
      <c r="AM258" s="80"/>
      <c r="AN258" s="80"/>
      <c r="AO258" s="82">
        <v>44423.673090277778</v>
      </c>
      <c r="AP258" s="87" t="str">
        <f>HYPERLINK("https://pbs.twimg.com/profile_banners/1426939008433541120/1632607914")</f>
        <v>https://pbs.twimg.com/profile_banners/1426939008433541120/1632607914</v>
      </c>
      <c r="AQ258" s="80" t="b">
        <v>1</v>
      </c>
      <c r="AR258" s="80" t="b">
        <v>0</v>
      </c>
      <c r="AS258" s="80" t="b">
        <v>0</v>
      </c>
      <c r="AT258" s="80"/>
      <c r="AU258" s="80">
        <v>0</v>
      </c>
      <c r="AV258" s="80"/>
      <c r="AW258" s="80" t="b">
        <v>0</v>
      </c>
      <c r="AX258" s="80" t="s">
        <v>10746</v>
      </c>
      <c r="AY258" s="87" t="str">
        <f>HYPERLINK("https://twitter.com/newstayskz")</f>
        <v>https://twitter.com/newstayskz</v>
      </c>
      <c r="AZ258" s="80" t="s">
        <v>66</v>
      </c>
      <c r="BA258" s="2"/>
      <c r="BB258" s="3"/>
      <c r="BC258" s="3"/>
      <c r="BD258" s="3"/>
      <c r="BE258" s="3"/>
    </row>
    <row r="259" spans="1:57" x14ac:dyDescent="0.35">
      <c r="A259" s="66" t="s">
        <v>432</v>
      </c>
      <c r="B259" s="67"/>
      <c r="C259" s="67"/>
      <c r="D259" s="68"/>
      <c r="E259" s="70"/>
      <c r="F259" s="109" t="str">
        <f>HYPERLINK("https://pbs.twimg.com/profile_images/1431954348595036161/XWrDvpwX_normal.jpg")</f>
        <v>https://pbs.twimg.com/profile_images/1431954348595036161/XWrDvpwX_normal.jpg</v>
      </c>
      <c r="G259" s="67"/>
      <c r="H259" s="71"/>
      <c r="I259" s="72"/>
      <c r="J259" s="72"/>
      <c r="K259" s="71" t="s">
        <v>11002</v>
      </c>
      <c r="L259" s="75"/>
      <c r="M259" s="76"/>
      <c r="N259" s="76"/>
      <c r="O259" s="77"/>
      <c r="P259" s="78"/>
      <c r="Q259" s="78"/>
      <c r="R259" s="92"/>
      <c r="S259" s="92"/>
      <c r="T259" s="92"/>
      <c r="U259" s="92"/>
      <c r="V259" s="52"/>
      <c r="W259" s="52"/>
      <c r="X259" s="52"/>
      <c r="Y259" s="52"/>
      <c r="Z259" s="51"/>
      <c r="AA259" s="73"/>
      <c r="AB259" s="73"/>
      <c r="AC259" s="74"/>
      <c r="AD259" s="80" t="s">
        <v>6842</v>
      </c>
      <c r="AE259" s="85" t="s">
        <v>8086</v>
      </c>
      <c r="AF259" s="80">
        <v>52</v>
      </c>
      <c r="AG259" s="80">
        <v>30</v>
      </c>
      <c r="AH259" s="80">
        <v>556</v>
      </c>
      <c r="AI259" s="80">
        <v>730</v>
      </c>
      <c r="AJ259" s="80"/>
      <c r="AK259" s="80" t="s">
        <v>9191</v>
      </c>
      <c r="AL259" s="80" t="s">
        <v>10256</v>
      </c>
      <c r="AM259" s="80"/>
      <c r="AN259" s="80"/>
      <c r="AO259" s="82">
        <v>43275.461608796293</v>
      </c>
      <c r="AP259" s="87" t="str">
        <f>HYPERLINK("https://pbs.twimg.com/profile_banners/1010841139560079360/1577520576")</f>
        <v>https://pbs.twimg.com/profile_banners/1010841139560079360/1577520576</v>
      </c>
      <c r="AQ259" s="80" t="b">
        <v>0</v>
      </c>
      <c r="AR259" s="80" t="b">
        <v>0</v>
      </c>
      <c r="AS259" s="80" t="b">
        <v>0</v>
      </c>
      <c r="AT259" s="80"/>
      <c r="AU259" s="80">
        <v>0</v>
      </c>
      <c r="AV259" s="87" t="str">
        <f>HYPERLINK("https://abs.twimg.com/images/themes/theme1/bg.png")</f>
        <v>https://abs.twimg.com/images/themes/theme1/bg.png</v>
      </c>
      <c r="AW259" s="80" t="b">
        <v>0</v>
      </c>
      <c r="AX259" s="80" t="s">
        <v>10746</v>
      </c>
      <c r="AY259" s="87" t="str">
        <f>HYPERLINK("https://twitter.com/rhyuwanda")</f>
        <v>https://twitter.com/rhyuwanda</v>
      </c>
      <c r="AZ259" s="80" t="s">
        <v>66</v>
      </c>
      <c r="BA259" s="2"/>
      <c r="BB259" s="3"/>
      <c r="BC259" s="3"/>
      <c r="BD259" s="3"/>
      <c r="BE259" s="3"/>
    </row>
    <row r="260" spans="1:57" x14ac:dyDescent="0.35">
      <c r="A260" s="66" t="s">
        <v>433</v>
      </c>
      <c r="B260" s="67"/>
      <c r="C260" s="67"/>
      <c r="D260" s="68"/>
      <c r="E260" s="70"/>
      <c r="F260" s="109" t="str">
        <f>HYPERLINK("https://pbs.twimg.com/profile_images/1369920100074094595/lCDyxNMn_normal.jpg")</f>
        <v>https://pbs.twimg.com/profile_images/1369920100074094595/lCDyxNMn_normal.jpg</v>
      </c>
      <c r="G260" s="67"/>
      <c r="H260" s="71"/>
      <c r="I260" s="72"/>
      <c r="J260" s="72"/>
      <c r="K260" s="71" t="s">
        <v>11003</v>
      </c>
      <c r="L260" s="75"/>
      <c r="M260" s="76"/>
      <c r="N260" s="76"/>
      <c r="O260" s="77"/>
      <c r="P260" s="78"/>
      <c r="Q260" s="78"/>
      <c r="R260" s="92"/>
      <c r="S260" s="92"/>
      <c r="T260" s="92"/>
      <c r="U260" s="92"/>
      <c r="V260" s="52"/>
      <c r="W260" s="52"/>
      <c r="X260" s="52"/>
      <c r="Y260" s="52"/>
      <c r="Z260" s="51"/>
      <c r="AA260" s="73"/>
      <c r="AB260" s="73"/>
      <c r="AC260" s="74"/>
      <c r="AD260" s="80" t="s">
        <v>6843</v>
      </c>
      <c r="AE260" s="85" t="s">
        <v>8087</v>
      </c>
      <c r="AF260" s="80">
        <v>18</v>
      </c>
      <c r="AG260" s="80">
        <v>23</v>
      </c>
      <c r="AH260" s="80">
        <v>588</v>
      </c>
      <c r="AI260" s="80">
        <v>181</v>
      </c>
      <c r="AJ260" s="80"/>
      <c r="AK260" s="80" t="s">
        <v>9192</v>
      </c>
      <c r="AL260" s="80" t="s">
        <v>10257</v>
      </c>
      <c r="AM260" s="87" t="str">
        <f>HYPERLINK("https://t.co/9X396rNwQF")</f>
        <v>https://t.co/9X396rNwQF</v>
      </c>
      <c r="AN260" s="80"/>
      <c r="AO260" s="82">
        <v>44266.298900462964</v>
      </c>
      <c r="AP260" s="87" t="str">
        <f>HYPERLINK("https://pbs.twimg.com/profile_banners/1369908501959512064/1630660513")</f>
        <v>https://pbs.twimg.com/profile_banners/1369908501959512064/1630660513</v>
      </c>
      <c r="AQ260" s="80" t="b">
        <v>1</v>
      </c>
      <c r="AR260" s="80" t="b">
        <v>0</v>
      </c>
      <c r="AS260" s="80" t="b">
        <v>0</v>
      </c>
      <c r="AT260" s="80"/>
      <c r="AU260" s="80">
        <v>0</v>
      </c>
      <c r="AV260" s="80"/>
      <c r="AW260" s="80" t="b">
        <v>0</v>
      </c>
      <c r="AX260" s="80" t="s">
        <v>10746</v>
      </c>
      <c r="AY260" s="87" t="str">
        <f>HYPERLINK("https://twitter.com/chyuns99")</f>
        <v>https://twitter.com/chyuns99</v>
      </c>
      <c r="AZ260" s="80" t="s">
        <v>66</v>
      </c>
      <c r="BA260" s="2"/>
      <c r="BB260" s="3"/>
      <c r="BC260" s="3"/>
      <c r="BD260" s="3"/>
      <c r="BE260" s="3"/>
    </row>
    <row r="261" spans="1:57" x14ac:dyDescent="0.35">
      <c r="A261" s="66" t="s">
        <v>434</v>
      </c>
      <c r="B261" s="67"/>
      <c r="C261" s="67"/>
      <c r="D261" s="68"/>
      <c r="E261" s="70"/>
      <c r="F261" s="109" t="str">
        <f>HYPERLINK("https://pbs.twimg.com/profile_images/1439231613066354691/yC32kpqj_normal.jpg")</f>
        <v>https://pbs.twimg.com/profile_images/1439231613066354691/yC32kpqj_normal.jpg</v>
      </c>
      <c r="G261" s="67"/>
      <c r="H261" s="71"/>
      <c r="I261" s="72"/>
      <c r="J261" s="72"/>
      <c r="K261" s="71" t="s">
        <v>11004</v>
      </c>
      <c r="L261" s="75"/>
      <c r="M261" s="76"/>
      <c r="N261" s="76"/>
      <c r="O261" s="77"/>
      <c r="P261" s="78"/>
      <c r="Q261" s="78"/>
      <c r="R261" s="92"/>
      <c r="S261" s="92"/>
      <c r="T261" s="92"/>
      <c r="U261" s="92"/>
      <c r="V261" s="52"/>
      <c r="W261" s="52"/>
      <c r="X261" s="52"/>
      <c r="Y261" s="52"/>
      <c r="Z261" s="51"/>
      <c r="AA261" s="73"/>
      <c r="AB261" s="73"/>
      <c r="AC261" s="74"/>
      <c r="AD261" s="80" t="s">
        <v>6844</v>
      </c>
      <c r="AE261" s="85" t="s">
        <v>8088</v>
      </c>
      <c r="AF261" s="80">
        <v>731</v>
      </c>
      <c r="AG261" s="80">
        <v>495</v>
      </c>
      <c r="AH261" s="80">
        <v>84482</v>
      </c>
      <c r="AI261" s="80">
        <v>102300</v>
      </c>
      <c r="AJ261" s="80"/>
      <c r="AK261" s="80" t="s">
        <v>9193</v>
      </c>
      <c r="AL261" s="80" t="s">
        <v>10258</v>
      </c>
      <c r="AM261" s="87" t="str">
        <f>HYPERLINK("https://t.co/vqsZ71ULao")</f>
        <v>https://t.co/vqsZ71ULao</v>
      </c>
      <c r="AN261" s="80"/>
      <c r="AO261" s="82">
        <v>42036.128587962965</v>
      </c>
      <c r="AP261" s="87" t="str">
        <f>HYPERLINK("https://pbs.twimg.com/profile_banners/3005720286/1622685343")</f>
        <v>https://pbs.twimg.com/profile_banners/3005720286/1622685343</v>
      </c>
      <c r="AQ261" s="80" t="b">
        <v>0</v>
      </c>
      <c r="AR261" s="80" t="b">
        <v>0</v>
      </c>
      <c r="AS261" s="80" t="b">
        <v>1</v>
      </c>
      <c r="AT261" s="80"/>
      <c r="AU261" s="80">
        <v>3</v>
      </c>
      <c r="AV261" s="87" t="str">
        <f>HYPERLINK("https://abs.twimg.com/images/themes/theme1/bg.png")</f>
        <v>https://abs.twimg.com/images/themes/theme1/bg.png</v>
      </c>
      <c r="AW261" s="80" t="b">
        <v>0</v>
      </c>
      <c r="AX261" s="80" t="s">
        <v>10746</v>
      </c>
      <c r="AY261" s="87" t="str">
        <f>HYPERLINK("https://twitter.com/fais_mohder")</f>
        <v>https://twitter.com/fais_mohder</v>
      </c>
      <c r="AZ261" s="80" t="s">
        <v>66</v>
      </c>
      <c r="BA261" s="2"/>
      <c r="BB261" s="3"/>
      <c r="BC261" s="3"/>
      <c r="BD261" s="3"/>
      <c r="BE261" s="3"/>
    </row>
    <row r="262" spans="1:57" x14ac:dyDescent="0.35">
      <c r="A262" s="66" t="s">
        <v>435</v>
      </c>
      <c r="B262" s="67"/>
      <c r="C262" s="67"/>
      <c r="D262" s="68"/>
      <c r="E262" s="70"/>
      <c r="F262" s="109" t="str">
        <f>HYPERLINK("https://pbs.twimg.com/profile_images/1432899524230406146/J30tORrm_normal.jpg")</f>
        <v>https://pbs.twimg.com/profile_images/1432899524230406146/J30tORrm_normal.jpg</v>
      </c>
      <c r="G262" s="67"/>
      <c r="H262" s="71"/>
      <c r="I262" s="72"/>
      <c r="J262" s="72"/>
      <c r="K262" s="71" t="s">
        <v>11005</v>
      </c>
      <c r="L262" s="75"/>
      <c r="M262" s="76"/>
      <c r="N262" s="76"/>
      <c r="O262" s="77"/>
      <c r="P262" s="78"/>
      <c r="Q262" s="78"/>
      <c r="R262" s="92"/>
      <c r="S262" s="92"/>
      <c r="T262" s="92"/>
      <c r="U262" s="92"/>
      <c r="V262" s="52"/>
      <c r="W262" s="52"/>
      <c r="X262" s="52"/>
      <c r="Y262" s="52"/>
      <c r="Z262" s="51"/>
      <c r="AA262" s="73"/>
      <c r="AB262" s="73"/>
      <c r="AC262" s="74"/>
      <c r="AD262" s="80" t="s">
        <v>6845</v>
      </c>
      <c r="AE262" s="85" t="s">
        <v>8089</v>
      </c>
      <c r="AF262" s="80">
        <v>1220</v>
      </c>
      <c r="AG262" s="80">
        <v>546</v>
      </c>
      <c r="AH262" s="80">
        <v>9773</v>
      </c>
      <c r="AI262" s="80">
        <v>10328</v>
      </c>
      <c r="AJ262" s="80"/>
      <c r="AK262" s="80" t="s">
        <v>9194</v>
      </c>
      <c r="AL262" s="80" t="s">
        <v>10259</v>
      </c>
      <c r="AM262" s="80"/>
      <c r="AN262" s="80"/>
      <c r="AO262" s="82">
        <v>41276.347361111111</v>
      </c>
      <c r="AP262" s="87" t="str">
        <f>HYPERLINK("https://pbs.twimg.com/profile_banners/1054520214/1629126221")</f>
        <v>https://pbs.twimg.com/profile_banners/1054520214/1629126221</v>
      </c>
      <c r="AQ262" s="80" t="b">
        <v>0</v>
      </c>
      <c r="AR262" s="80" t="b">
        <v>0</v>
      </c>
      <c r="AS262" s="80" t="b">
        <v>1</v>
      </c>
      <c r="AT262" s="80"/>
      <c r="AU262" s="80">
        <v>2</v>
      </c>
      <c r="AV262" s="87" t="str">
        <f>HYPERLINK("https://abs.twimg.com/images/themes/theme1/bg.png")</f>
        <v>https://abs.twimg.com/images/themes/theme1/bg.png</v>
      </c>
      <c r="AW262" s="80" t="b">
        <v>0</v>
      </c>
      <c r="AX262" s="80" t="s">
        <v>10746</v>
      </c>
      <c r="AY262" s="87" t="str">
        <f>HYPERLINK("https://twitter.com/yellowlixeu")</f>
        <v>https://twitter.com/yellowlixeu</v>
      </c>
      <c r="AZ262" s="80" t="s">
        <v>66</v>
      </c>
      <c r="BA262" s="2"/>
      <c r="BB262" s="3"/>
      <c r="BC262" s="3"/>
      <c r="BD262" s="3"/>
      <c r="BE262" s="3"/>
    </row>
    <row r="263" spans="1:57" x14ac:dyDescent="0.35">
      <c r="A263" s="66" t="s">
        <v>436</v>
      </c>
      <c r="B263" s="67"/>
      <c r="C263" s="67"/>
      <c r="D263" s="68"/>
      <c r="E263" s="70"/>
      <c r="F263" s="109" t="str">
        <f>HYPERLINK("https://pbs.twimg.com/profile_images/1382367745979817987/hMqSS_wX_normal.jpg")</f>
        <v>https://pbs.twimg.com/profile_images/1382367745979817987/hMqSS_wX_normal.jpg</v>
      </c>
      <c r="G263" s="67"/>
      <c r="H263" s="71"/>
      <c r="I263" s="72"/>
      <c r="J263" s="72"/>
      <c r="K263" s="71" t="s">
        <v>11006</v>
      </c>
      <c r="L263" s="75"/>
      <c r="M263" s="76"/>
      <c r="N263" s="76"/>
      <c r="O263" s="77"/>
      <c r="P263" s="78"/>
      <c r="Q263" s="78"/>
      <c r="R263" s="92"/>
      <c r="S263" s="92"/>
      <c r="T263" s="92"/>
      <c r="U263" s="92"/>
      <c r="V263" s="52"/>
      <c r="W263" s="52"/>
      <c r="X263" s="52"/>
      <c r="Y263" s="52"/>
      <c r="Z263" s="51"/>
      <c r="AA263" s="73"/>
      <c r="AB263" s="73"/>
      <c r="AC263" s="74"/>
      <c r="AD263" s="80" t="s">
        <v>6846</v>
      </c>
      <c r="AE263" s="85" t="s">
        <v>8090</v>
      </c>
      <c r="AF263" s="80">
        <v>390</v>
      </c>
      <c r="AG263" s="80">
        <v>238</v>
      </c>
      <c r="AH263" s="80">
        <v>42378</v>
      </c>
      <c r="AI263" s="80">
        <v>6301</v>
      </c>
      <c r="AJ263" s="80"/>
      <c r="AK263" s="80" t="s">
        <v>9195</v>
      </c>
      <c r="AL263" s="80" t="s">
        <v>10260</v>
      </c>
      <c r="AM263" s="80"/>
      <c r="AN263" s="80"/>
      <c r="AO263" s="82">
        <v>42558.265868055554</v>
      </c>
      <c r="AP263" s="87" t="str">
        <f>HYPERLINK("https://pbs.twimg.com/profile_banners/750938107529269248/1618417011")</f>
        <v>https://pbs.twimg.com/profile_banners/750938107529269248/1618417011</v>
      </c>
      <c r="AQ263" s="80" t="b">
        <v>1</v>
      </c>
      <c r="AR263" s="80" t="b">
        <v>0</v>
      </c>
      <c r="AS263" s="80" t="b">
        <v>0</v>
      </c>
      <c r="AT263" s="80"/>
      <c r="AU263" s="80">
        <v>1</v>
      </c>
      <c r="AV263" s="80"/>
      <c r="AW263" s="80" t="b">
        <v>0</v>
      </c>
      <c r="AX263" s="80" t="s">
        <v>10746</v>
      </c>
      <c r="AY263" s="87" t="str">
        <f>HYPERLINK("https://twitter.com/nur_alisyaaa")</f>
        <v>https://twitter.com/nur_alisyaaa</v>
      </c>
      <c r="AZ263" s="80" t="s">
        <v>66</v>
      </c>
      <c r="BA263" s="2"/>
      <c r="BB263" s="3"/>
      <c r="BC263" s="3"/>
      <c r="BD263" s="3"/>
      <c r="BE263" s="3"/>
    </row>
    <row r="264" spans="1:57" x14ac:dyDescent="0.35">
      <c r="A264" s="66" t="s">
        <v>437</v>
      </c>
      <c r="B264" s="67"/>
      <c r="C264" s="67"/>
      <c r="D264" s="68"/>
      <c r="E264" s="70"/>
      <c r="F264" s="109" t="str">
        <f>HYPERLINK("https://pbs.twimg.com/profile_images/1437871797039517699/g_eZSuoB_normal.jpg")</f>
        <v>https://pbs.twimg.com/profile_images/1437871797039517699/g_eZSuoB_normal.jpg</v>
      </c>
      <c r="G264" s="67"/>
      <c r="H264" s="71"/>
      <c r="I264" s="72"/>
      <c r="J264" s="72"/>
      <c r="K264" s="71" t="s">
        <v>11007</v>
      </c>
      <c r="L264" s="75"/>
      <c r="M264" s="76"/>
      <c r="N264" s="76"/>
      <c r="O264" s="77"/>
      <c r="P264" s="78"/>
      <c r="Q264" s="78"/>
      <c r="R264" s="92"/>
      <c r="S264" s="92"/>
      <c r="T264" s="92"/>
      <c r="U264" s="92"/>
      <c r="V264" s="52"/>
      <c r="W264" s="52"/>
      <c r="X264" s="52"/>
      <c r="Y264" s="52"/>
      <c r="Z264" s="51"/>
      <c r="AA264" s="73"/>
      <c r="AB264" s="73"/>
      <c r="AC264" s="74"/>
      <c r="AD264" s="80" t="s">
        <v>6847</v>
      </c>
      <c r="AE264" s="85" t="s">
        <v>8091</v>
      </c>
      <c r="AF264" s="80">
        <v>443</v>
      </c>
      <c r="AG264" s="80">
        <v>5</v>
      </c>
      <c r="AH264" s="80">
        <v>562</v>
      </c>
      <c r="AI264" s="80">
        <v>18</v>
      </c>
      <c r="AJ264" s="80"/>
      <c r="AK264" s="80" t="s">
        <v>9196</v>
      </c>
      <c r="AL264" s="80"/>
      <c r="AM264" s="80"/>
      <c r="AN264" s="80"/>
      <c r="AO264" s="82">
        <v>44119.18545138889</v>
      </c>
      <c r="AP264" s="87" t="str">
        <f>HYPERLINK("https://pbs.twimg.com/profile_banners/1316596243343310849/1631650343")</f>
        <v>https://pbs.twimg.com/profile_banners/1316596243343310849/1631650343</v>
      </c>
      <c r="AQ264" s="80" t="b">
        <v>1</v>
      </c>
      <c r="AR264" s="80" t="b">
        <v>0</v>
      </c>
      <c r="AS264" s="80" t="b">
        <v>0</v>
      </c>
      <c r="AT264" s="80"/>
      <c r="AU264" s="80">
        <v>0</v>
      </c>
      <c r="AV264" s="80"/>
      <c r="AW264" s="80" t="b">
        <v>0</v>
      </c>
      <c r="AX264" s="80" t="s">
        <v>10746</v>
      </c>
      <c r="AY264" s="87" t="str">
        <f>HYPERLINK("https://twitter.com/saifull04800784")</f>
        <v>https://twitter.com/saifull04800784</v>
      </c>
      <c r="AZ264" s="80" t="s">
        <v>66</v>
      </c>
      <c r="BA264" s="2"/>
      <c r="BB264" s="3"/>
      <c r="BC264" s="3"/>
      <c r="BD264" s="3"/>
      <c r="BE264" s="3"/>
    </row>
    <row r="265" spans="1:57" x14ac:dyDescent="0.35">
      <c r="A265" s="66" t="s">
        <v>438</v>
      </c>
      <c r="B265" s="67"/>
      <c r="C265" s="67"/>
      <c r="D265" s="68"/>
      <c r="E265" s="70"/>
      <c r="F265" s="109" t="str">
        <f>HYPERLINK("https://pbs.twimg.com/profile_images/1442413557711192066/HKs_k0U2_normal.jpg")</f>
        <v>https://pbs.twimg.com/profile_images/1442413557711192066/HKs_k0U2_normal.jpg</v>
      </c>
      <c r="G265" s="67"/>
      <c r="H265" s="71"/>
      <c r="I265" s="72"/>
      <c r="J265" s="72"/>
      <c r="K265" s="71" t="s">
        <v>11008</v>
      </c>
      <c r="L265" s="75"/>
      <c r="M265" s="76"/>
      <c r="N265" s="76"/>
      <c r="O265" s="77"/>
      <c r="P265" s="78"/>
      <c r="Q265" s="78"/>
      <c r="R265" s="92"/>
      <c r="S265" s="92"/>
      <c r="T265" s="92"/>
      <c r="U265" s="92"/>
      <c r="V265" s="52"/>
      <c r="W265" s="52"/>
      <c r="X265" s="52"/>
      <c r="Y265" s="52"/>
      <c r="Z265" s="51"/>
      <c r="AA265" s="73"/>
      <c r="AB265" s="73"/>
      <c r="AC265" s="74"/>
      <c r="AD265" s="80" t="s">
        <v>6848</v>
      </c>
      <c r="AE265" s="85" t="s">
        <v>8092</v>
      </c>
      <c r="AF265" s="80">
        <v>4996</v>
      </c>
      <c r="AG265" s="80">
        <v>470</v>
      </c>
      <c r="AH265" s="80">
        <v>135400</v>
      </c>
      <c r="AI265" s="80">
        <v>156775</v>
      </c>
      <c r="AJ265" s="80"/>
      <c r="AK265" s="80" t="s">
        <v>9197</v>
      </c>
      <c r="AL265" s="80"/>
      <c r="AM265" s="80"/>
      <c r="AN265" s="80"/>
      <c r="AO265" s="82">
        <v>42951.571770833332</v>
      </c>
      <c r="AP265" s="87" t="str">
        <f>HYPERLINK("https://pbs.twimg.com/profile_banners/893467394936512512/1632733289")</f>
        <v>https://pbs.twimg.com/profile_banners/893467394936512512/1632733289</v>
      </c>
      <c r="AQ265" s="80" t="b">
        <v>1</v>
      </c>
      <c r="AR265" s="80" t="b">
        <v>0</v>
      </c>
      <c r="AS265" s="80" t="b">
        <v>0</v>
      </c>
      <c r="AT265" s="80"/>
      <c r="AU265" s="80">
        <v>0</v>
      </c>
      <c r="AV265" s="80"/>
      <c r="AW265" s="80" t="b">
        <v>0</v>
      </c>
      <c r="AX265" s="80" t="s">
        <v>10746</v>
      </c>
      <c r="AY265" s="87" t="str">
        <f>HYPERLINK("https://twitter.com/jierahrsli")</f>
        <v>https://twitter.com/jierahrsli</v>
      </c>
      <c r="AZ265" s="80" t="s">
        <v>66</v>
      </c>
      <c r="BA265" s="2"/>
      <c r="BB265" s="3"/>
      <c r="BC265" s="3"/>
      <c r="BD265" s="3"/>
      <c r="BE265" s="3"/>
    </row>
    <row r="266" spans="1:57" x14ac:dyDescent="0.35">
      <c r="A266" s="66" t="s">
        <v>439</v>
      </c>
      <c r="B266" s="67"/>
      <c r="C266" s="67"/>
      <c r="D266" s="68"/>
      <c r="E266" s="70"/>
      <c r="F266" s="109" t="str">
        <f>HYPERLINK("https://pbs.twimg.com/profile_images/1441989345922064386/DMkpEl4U_normal.jpg")</f>
        <v>https://pbs.twimg.com/profile_images/1441989345922064386/DMkpEl4U_normal.jpg</v>
      </c>
      <c r="G266" s="67"/>
      <c r="H266" s="71"/>
      <c r="I266" s="72"/>
      <c r="J266" s="72"/>
      <c r="K266" s="71" t="s">
        <v>11009</v>
      </c>
      <c r="L266" s="75"/>
      <c r="M266" s="76"/>
      <c r="N266" s="76"/>
      <c r="O266" s="77"/>
      <c r="P266" s="78"/>
      <c r="Q266" s="78"/>
      <c r="R266" s="92"/>
      <c r="S266" s="92"/>
      <c r="T266" s="92"/>
      <c r="U266" s="92"/>
      <c r="V266" s="52"/>
      <c r="W266" s="52"/>
      <c r="X266" s="52"/>
      <c r="Y266" s="52"/>
      <c r="Z266" s="51"/>
      <c r="AA266" s="73"/>
      <c r="AB266" s="73"/>
      <c r="AC266" s="74"/>
      <c r="AD266" s="80" t="s">
        <v>6849</v>
      </c>
      <c r="AE266" s="85" t="s">
        <v>8093</v>
      </c>
      <c r="AF266" s="80">
        <v>462</v>
      </c>
      <c r="AG266" s="80">
        <v>512</v>
      </c>
      <c r="AH266" s="80">
        <v>26227</v>
      </c>
      <c r="AI266" s="80">
        <v>33722</v>
      </c>
      <c r="AJ266" s="80"/>
      <c r="AK266" s="80" t="s">
        <v>9198</v>
      </c>
      <c r="AL266" s="80" t="s">
        <v>10154</v>
      </c>
      <c r="AM266" s="87" t="str">
        <f>HYPERLINK("https://t.co/rGEu05yhkT")</f>
        <v>https://t.co/rGEu05yhkT</v>
      </c>
      <c r="AN266" s="80"/>
      <c r="AO266" s="82">
        <v>44025.207928240743</v>
      </c>
      <c r="AP266" s="87" t="str">
        <f>HYPERLINK("https://pbs.twimg.com/profile_banners/1282539963783864322/1631279165")</f>
        <v>https://pbs.twimg.com/profile_banners/1282539963783864322/1631279165</v>
      </c>
      <c r="AQ266" s="80" t="b">
        <v>1</v>
      </c>
      <c r="AR266" s="80" t="b">
        <v>0</v>
      </c>
      <c r="AS266" s="80" t="b">
        <v>0</v>
      </c>
      <c r="AT266" s="80"/>
      <c r="AU266" s="80">
        <v>1</v>
      </c>
      <c r="AV266" s="80"/>
      <c r="AW266" s="80" t="b">
        <v>0</v>
      </c>
      <c r="AX266" s="80" t="s">
        <v>10746</v>
      </c>
      <c r="AY266" s="87" t="str">
        <f>HYPERLINK("https://twitter.com/qwertyahsksk")</f>
        <v>https://twitter.com/qwertyahsksk</v>
      </c>
      <c r="AZ266" s="80" t="s">
        <v>66</v>
      </c>
      <c r="BA266" s="2"/>
      <c r="BB266" s="3"/>
      <c r="BC266" s="3"/>
      <c r="BD266" s="3"/>
      <c r="BE266" s="3"/>
    </row>
    <row r="267" spans="1:57" x14ac:dyDescent="0.35">
      <c r="A267" s="66" t="s">
        <v>440</v>
      </c>
      <c r="B267" s="67"/>
      <c r="C267" s="67"/>
      <c r="D267" s="68"/>
      <c r="E267" s="70"/>
      <c r="F267" s="109" t="str">
        <f>HYPERLINK("https://pbs.twimg.com/profile_images/1442500757916291079/TUM3yGJG_normal.jpg")</f>
        <v>https://pbs.twimg.com/profile_images/1442500757916291079/TUM3yGJG_normal.jpg</v>
      </c>
      <c r="G267" s="67"/>
      <c r="H267" s="71"/>
      <c r="I267" s="72"/>
      <c r="J267" s="72"/>
      <c r="K267" s="71" t="s">
        <v>11010</v>
      </c>
      <c r="L267" s="75"/>
      <c r="M267" s="76"/>
      <c r="N267" s="76"/>
      <c r="O267" s="77"/>
      <c r="P267" s="78"/>
      <c r="Q267" s="78"/>
      <c r="R267" s="92"/>
      <c r="S267" s="92"/>
      <c r="T267" s="92"/>
      <c r="U267" s="92"/>
      <c r="V267" s="52"/>
      <c r="W267" s="52"/>
      <c r="X267" s="52"/>
      <c r="Y267" s="52"/>
      <c r="Z267" s="51"/>
      <c r="AA267" s="73"/>
      <c r="AB267" s="73"/>
      <c r="AC267" s="74"/>
      <c r="AD267" s="80" t="s">
        <v>6850</v>
      </c>
      <c r="AE267" s="85" t="s">
        <v>8094</v>
      </c>
      <c r="AF267" s="80">
        <v>251</v>
      </c>
      <c r="AG267" s="80">
        <v>265</v>
      </c>
      <c r="AH267" s="80">
        <v>14262</v>
      </c>
      <c r="AI267" s="80">
        <v>14265</v>
      </c>
      <c r="AJ267" s="80"/>
      <c r="AK267" s="80" t="s">
        <v>9199</v>
      </c>
      <c r="AL267" s="80" t="s">
        <v>10261</v>
      </c>
      <c r="AM267" s="87" t="str">
        <f>HYPERLINK("https://t.co/jQQsPPPR4v")</f>
        <v>https://t.co/jQQsPPPR4v</v>
      </c>
      <c r="AN267" s="80"/>
      <c r="AO267" s="82">
        <v>44346.540046296293</v>
      </c>
      <c r="AP267" s="87" t="str">
        <f>HYPERLINK("https://pbs.twimg.com/profile_banners/1398986910530359301/1632754508")</f>
        <v>https://pbs.twimg.com/profile_banners/1398986910530359301/1632754508</v>
      </c>
      <c r="AQ267" s="80" t="b">
        <v>1</v>
      </c>
      <c r="AR267" s="80" t="b">
        <v>0</v>
      </c>
      <c r="AS267" s="80" t="b">
        <v>0</v>
      </c>
      <c r="AT267" s="80"/>
      <c r="AU267" s="80">
        <v>0</v>
      </c>
      <c r="AV267" s="80"/>
      <c r="AW267" s="80" t="b">
        <v>0</v>
      </c>
      <c r="AX267" s="80" t="s">
        <v>10746</v>
      </c>
      <c r="AY267" s="87" t="str">
        <f>HYPERLINK("https://twitter.com/sevngjinluvr")</f>
        <v>https://twitter.com/sevngjinluvr</v>
      </c>
      <c r="AZ267" s="80" t="s">
        <v>66</v>
      </c>
      <c r="BA267" s="2"/>
      <c r="BB267" s="3"/>
      <c r="BC267" s="3"/>
      <c r="BD267" s="3"/>
      <c r="BE267" s="3"/>
    </row>
    <row r="268" spans="1:57" x14ac:dyDescent="0.35">
      <c r="A268" s="66" t="s">
        <v>441</v>
      </c>
      <c r="B268" s="67"/>
      <c r="C268" s="67"/>
      <c r="D268" s="68"/>
      <c r="E268" s="70"/>
      <c r="F268" s="109" t="str">
        <f>HYPERLINK("https://pbs.twimg.com/profile_images/1440178941013069829/HLMLfJXP_normal.jpg")</f>
        <v>https://pbs.twimg.com/profile_images/1440178941013069829/HLMLfJXP_normal.jpg</v>
      </c>
      <c r="G268" s="67"/>
      <c r="H268" s="71"/>
      <c r="I268" s="72"/>
      <c r="J268" s="72"/>
      <c r="K268" s="71" t="s">
        <v>11011</v>
      </c>
      <c r="L268" s="75"/>
      <c r="M268" s="76"/>
      <c r="N268" s="76"/>
      <c r="O268" s="77"/>
      <c r="P268" s="78"/>
      <c r="Q268" s="78"/>
      <c r="R268" s="92"/>
      <c r="S268" s="92"/>
      <c r="T268" s="92"/>
      <c r="U268" s="92"/>
      <c r="V268" s="52"/>
      <c r="W268" s="52"/>
      <c r="X268" s="52"/>
      <c r="Y268" s="52"/>
      <c r="Z268" s="51"/>
      <c r="AA268" s="73"/>
      <c r="AB268" s="73"/>
      <c r="AC268" s="74"/>
      <c r="AD268" s="80" t="s">
        <v>6851</v>
      </c>
      <c r="AE268" s="85" t="s">
        <v>8095</v>
      </c>
      <c r="AF268" s="80">
        <v>1428</v>
      </c>
      <c r="AG268" s="80">
        <v>59698</v>
      </c>
      <c r="AH268" s="80">
        <v>283701</v>
      </c>
      <c r="AI268" s="80">
        <v>17010</v>
      </c>
      <c r="AJ268" s="80"/>
      <c r="AK268" s="108">
        <v>0.20277777777777781</v>
      </c>
      <c r="AL268" s="80" t="s">
        <v>10262</v>
      </c>
      <c r="AM268" s="80"/>
      <c r="AN268" s="80"/>
      <c r="AO268" s="82">
        <v>39939.601331018515</v>
      </c>
      <c r="AP268" s="87" t="str">
        <f>HYPERLINK("https://pbs.twimg.com/profile_banners/38187845/1609093388")</f>
        <v>https://pbs.twimg.com/profile_banners/38187845/1609093388</v>
      </c>
      <c r="AQ268" s="80" t="b">
        <v>0</v>
      </c>
      <c r="AR268" s="80" t="b">
        <v>0</v>
      </c>
      <c r="AS268" s="80" t="b">
        <v>1</v>
      </c>
      <c r="AT268" s="80"/>
      <c r="AU268" s="80">
        <v>225</v>
      </c>
      <c r="AV268" s="87" t="str">
        <f>HYPERLINK("https://abs.twimg.com/images/themes/theme1/bg.png")</f>
        <v>https://abs.twimg.com/images/themes/theme1/bg.png</v>
      </c>
      <c r="AW268" s="80" t="b">
        <v>0</v>
      </c>
      <c r="AX268" s="80" t="s">
        <v>10746</v>
      </c>
      <c r="AY268" s="87" t="str">
        <f>HYPERLINK("https://twitter.com/gembrit")</f>
        <v>https://twitter.com/gembrit</v>
      </c>
      <c r="AZ268" s="80" t="s">
        <v>66</v>
      </c>
      <c r="BA268" s="2"/>
      <c r="BB268" s="3"/>
      <c r="BC268" s="3"/>
      <c r="BD268" s="3"/>
      <c r="BE268" s="3"/>
    </row>
    <row r="269" spans="1:57" x14ac:dyDescent="0.35">
      <c r="A269" s="66" t="s">
        <v>1261</v>
      </c>
      <c r="B269" s="67"/>
      <c r="C269" s="67"/>
      <c r="D269" s="68"/>
      <c r="E269" s="70"/>
      <c r="F269" s="109" t="str">
        <f>HYPERLINK("https://pbs.twimg.com/profile_images/1437384983451107334/ONFcXxtG_normal.jpg")</f>
        <v>https://pbs.twimg.com/profile_images/1437384983451107334/ONFcXxtG_normal.jpg</v>
      </c>
      <c r="G269" s="67"/>
      <c r="H269" s="71"/>
      <c r="I269" s="72"/>
      <c r="J269" s="72"/>
      <c r="K269" s="71" t="s">
        <v>11012</v>
      </c>
      <c r="L269" s="75"/>
      <c r="M269" s="76"/>
      <c r="N269" s="76"/>
      <c r="O269" s="77"/>
      <c r="P269" s="78"/>
      <c r="Q269" s="78"/>
      <c r="R269" s="92"/>
      <c r="S269" s="92"/>
      <c r="T269" s="92"/>
      <c r="U269" s="92"/>
      <c r="V269" s="52"/>
      <c r="W269" s="52"/>
      <c r="X269" s="52"/>
      <c r="Y269" s="52"/>
      <c r="Z269" s="51"/>
      <c r="AA269" s="73"/>
      <c r="AB269" s="73"/>
      <c r="AC269" s="74"/>
      <c r="AD269" s="80" t="s">
        <v>6852</v>
      </c>
      <c r="AE269" s="85" t="s">
        <v>8096</v>
      </c>
      <c r="AF269" s="80">
        <v>1170</v>
      </c>
      <c r="AG269" s="80">
        <v>11868</v>
      </c>
      <c r="AH269" s="80">
        <v>159190</v>
      </c>
      <c r="AI269" s="80">
        <v>9848</v>
      </c>
      <c r="AJ269" s="80"/>
      <c r="AK269" s="80" t="s">
        <v>9200</v>
      </c>
      <c r="AL269" s="80" t="s">
        <v>10263</v>
      </c>
      <c r="AM269" s="80"/>
      <c r="AN269" s="80"/>
      <c r="AO269" s="82">
        <v>40512.627662037034</v>
      </c>
      <c r="AP269" s="87" t="str">
        <f>HYPERLINK("https://pbs.twimg.com/profile_banners/221392511/1466736295")</f>
        <v>https://pbs.twimg.com/profile_banners/221392511/1466736295</v>
      </c>
      <c r="AQ269" s="80" t="b">
        <v>0</v>
      </c>
      <c r="AR269" s="80" t="b">
        <v>0</v>
      </c>
      <c r="AS269" s="80" t="b">
        <v>1</v>
      </c>
      <c r="AT269" s="80"/>
      <c r="AU269" s="80">
        <v>34</v>
      </c>
      <c r="AV269" s="87" t="str">
        <f>HYPERLINK("https://abs.twimg.com/images/themes/theme10/bg.gif")</f>
        <v>https://abs.twimg.com/images/themes/theme10/bg.gif</v>
      </c>
      <c r="AW269" s="80" t="b">
        <v>0</v>
      </c>
      <c r="AX269" s="80" t="s">
        <v>10746</v>
      </c>
      <c r="AY269" s="87" t="str">
        <f>HYPERLINK("https://twitter.com/amwidyou")</f>
        <v>https://twitter.com/amwidyou</v>
      </c>
      <c r="AZ269" s="80" t="s">
        <v>66</v>
      </c>
      <c r="BA269" s="2"/>
      <c r="BB269" s="3"/>
      <c r="BC269" s="3"/>
      <c r="BD269" s="3"/>
      <c r="BE269" s="3"/>
    </row>
    <row r="270" spans="1:57" x14ac:dyDescent="0.35">
      <c r="A270" s="66" t="s">
        <v>442</v>
      </c>
      <c r="B270" s="67"/>
      <c r="C270" s="67"/>
      <c r="D270" s="68"/>
      <c r="E270" s="70"/>
      <c r="F270" s="109" t="str">
        <f>HYPERLINK("https://pbs.twimg.com/profile_images/2403233207/1ureqe990iqtocwup1fb_normal.jpeg")</f>
        <v>https://pbs.twimg.com/profile_images/2403233207/1ureqe990iqtocwup1fb_normal.jpeg</v>
      </c>
      <c r="G270" s="67"/>
      <c r="H270" s="71"/>
      <c r="I270" s="72"/>
      <c r="J270" s="72"/>
      <c r="K270" s="71" t="s">
        <v>11013</v>
      </c>
      <c r="L270" s="75"/>
      <c r="M270" s="76"/>
      <c r="N270" s="76"/>
      <c r="O270" s="77"/>
      <c r="P270" s="78"/>
      <c r="Q270" s="78"/>
      <c r="R270" s="92"/>
      <c r="S270" s="92"/>
      <c r="T270" s="92"/>
      <c r="U270" s="92"/>
      <c r="V270" s="52"/>
      <c r="W270" s="52"/>
      <c r="X270" s="52"/>
      <c r="Y270" s="52"/>
      <c r="Z270" s="51"/>
      <c r="AA270" s="73"/>
      <c r="AB270" s="73"/>
      <c r="AC270" s="74"/>
      <c r="AD270" s="80" t="s">
        <v>6853</v>
      </c>
      <c r="AE270" s="85" t="s">
        <v>8097</v>
      </c>
      <c r="AF270" s="80">
        <v>75</v>
      </c>
      <c r="AG270" s="80">
        <v>686</v>
      </c>
      <c r="AH270" s="80">
        <v>72975</v>
      </c>
      <c r="AI270" s="80">
        <v>2</v>
      </c>
      <c r="AJ270" s="80"/>
      <c r="AK270" s="80" t="s">
        <v>9201</v>
      </c>
      <c r="AL270" s="80"/>
      <c r="AM270" s="80"/>
      <c r="AN270" s="80"/>
      <c r="AO270" s="82">
        <v>39958.458078703705</v>
      </c>
      <c r="AP270" s="87" t="str">
        <f>HYPERLINK("https://pbs.twimg.com/profile_banners/42387292/1398598611")</f>
        <v>https://pbs.twimg.com/profile_banners/42387292/1398598611</v>
      </c>
      <c r="AQ270" s="80" t="b">
        <v>0</v>
      </c>
      <c r="AR270" s="80" t="b">
        <v>0</v>
      </c>
      <c r="AS270" s="80" t="b">
        <v>0</v>
      </c>
      <c r="AT270" s="80"/>
      <c r="AU270" s="80">
        <v>4</v>
      </c>
      <c r="AV270" s="87" t="str">
        <f>HYPERLINK("https://abs.twimg.com/images/themes/theme9/bg.gif")</f>
        <v>https://abs.twimg.com/images/themes/theme9/bg.gif</v>
      </c>
      <c r="AW270" s="80" t="b">
        <v>0</v>
      </c>
      <c r="AX270" s="80" t="s">
        <v>10746</v>
      </c>
      <c r="AY270" s="87" t="str">
        <f>HYPERLINK("https://twitter.com/kabigon89")</f>
        <v>https://twitter.com/kabigon89</v>
      </c>
      <c r="AZ270" s="80" t="s">
        <v>66</v>
      </c>
      <c r="BA270" s="2"/>
      <c r="BB270" s="3"/>
      <c r="BC270" s="3"/>
      <c r="BD270" s="3"/>
      <c r="BE270" s="3"/>
    </row>
    <row r="271" spans="1:57" x14ac:dyDescent="0.35">
      <c r="A271" s="66" t="s">
        <v>443</v>
      </c>
      <c r="B271" s="67"/>
      <c r="C271" s="67"/>
      <c r="D271" s="68"/>
      <c r="E271" s="70"/>
      <c r="F271" s="109" t="str">
        <f>HYPERLINK("https://pbs.twimg.com/profile_images/1415998395416670209/_ctnT7Vj_normal.jpg")</f>
        <v>https://pbs.twimg.com/profile_images/1415998395416670209/_ctnT7Vj_normal.jpg</v>
      </c>
      <c r="G271" s="67"/>
      <c r="H271" s="71"/>
      <c r="I271" s="72"/>
      <c r="J271" s="72"/>
      <c r="K271" s="71" t="s">
        <v>11014</v>
      </c>
      <c r="L271" s="75"/>
      <c r="M271" s="76"/>
      <c r="N271" s="76"/>
      <c r="O271" s="77"/>
      <c r="P271" s="78"/>
      <c r="Q271" s="78"/>
      <c r="R271" s="92"/>
      <c r="S271" s="92"/>
      <c r="T271" s="92"/>
      <c r="U271" s="92"/>
      <c r="V271" s="52"/>
      <c r="W271" s="52"/>
      <c r="X271" s="52"/>
      <c r="Y271" s="52"/>
      <c r="Z271" s="51"/>
      <c r="AA271" s="73"/>
      <c r="AB271" s="73"/>
      <c r="AC271" s="74"/>
      <c r="AD271" s="80" t="s">
        <v>6854</v>
      </c>
      <c r="AE271" s="85" t="s">
        <v>8098</v>
      </c>
      <c r="AF271" s="80">
        <v>837</v>
      </c>
      <c r="AG271" s="80">
        <v>663</v>
      </c>
      <c r="AH271" s="80">
        <v>50729</v>
      </c>
      <c r="AI271" s="80">
        <v>25086</v>
      </c>
      <c r="AJ271" s="80"/>
      <c r="AK271" s="80" t="s">
        <v>9202</v>
      </c>
      <c r="AL271" s="80"/>
      <c r="AM271" s="80"/>
      <c r="AN271" s="80"/>
      <c r="AO271" s="82">
        <v>40319.455613425926</v>
      </c>
      <c r="AP271" s="87" t="str">
        <f>HYPERLINK("https://pbs.twimg.com/profile_banners/146410272/1624787629")</f>
        <v>https://pbs.twimg.com/profile_banners/146410272/1624787629</v>
      </c>
      <c r="AQ271" s="80" t="b">
        <v>0</v>
      </c>
      <c r="AR271" s="80" t="b">
        <v>0</v>
      </c>
      <c r="AS271" s="80" t="b">
        <v>1</v>
      </c>
      <c r="AT271" s="80"/>
      <c r="AU271" s="80">
        <v>0</v>
      </c>
      <c r="AV271" s="87" t="str">
        <f>HYPERLINK("https://abs.twimg.com/images/themes/theme2/bg.gif")</f>
        <v>https://abs.twimg.com/images/themes/theme2/bg.gif</v>
      </c>
      <c r="AW271" s="80" t="b">
        <v>0</v>
      </c>
      <c r="AX271" s="80" t="s">
        <v>10746</v>
      </c>
      <c r="AY271" s="87" t="str">
        <f>HYPERLINK("https://twitter.com/m_sael")</f>
        <v>https://twitter.com/m_sael</v>
      </c>
      <c r="AZ271" s="80" t="s">
        <v>66</v>
      </c>
      <c r="BA271" s="2"/>
      <c r="BB271" s="3"/>
      <c r="BC271" s="3"/>
      <c r="BD271" s="3"/>
      <c r="BE271" s="3"/>
    </row>
    <row r="272" spans="1:57" x14ac:dyDescent="0.35">
      <c r="A272" s="66" t="s">
        <v>444</v>
      </c>
      <c r="B272" s="67"/>
      <c r="C272" s="67"/>
      <c r="D272" s="68"/>
      <c r="E272" s="70"/>
      <c r="F272" s="109" t="str">
        <f>HYPERLINK("https://pbs.twimg.com/profile_images/1438319250788126722/AilxXsSH_normal.jpg")</f>
        <v>https://pbs.twimg.com/profile_images/1438319250788126722/AilxXsSH_normal.jpg</v>
      </c>
      <c r="G272" s="67"/>
      <c r="H272" s="71"/>
      <c r="I272" s="72"/>
      <c r="J272" s="72"/>
      <c r="K272" s="71" t="s">
        <v>11015</v>
      </c>
      <c r="L272" s="75"/>
      <c r="M272" s="76"/>
      <c r="N272" s="76"/>
      <c r="O272" s="77"/>
      <c r="P272" s="78"/>
      <c r="Q272" s="78"/>
      <c r="R272" s="92"/>
      <c r="S272" s="92"/>
      <c r="T272" s="92"/>
      <c r="U272" s="92"/>
      <c r="V272" s="52"/>
      <c r="W272" s="52"/>
      <c r="X272" s="52"/>
      <c r="Y272" s="52"/>
      <c r="Z272" s="51"/>
      <c r="AA272" s="73"/>
      <c r="AB272" s="73"/>
      <c r="AC272" s="74"/>
      <c r="AD272" s="80" t="s">
        <v>6855</v>
      </c>
      <c r="AE272" s="85" t="s">
        <v>8099</v>
      </c>
      <c r="AF272" s="80">
        <v>905</v>
      </c>
      <c r="AG272" s="80">
        <v>6</v>
      </c>
      <c r="AH272" s="80">
        <v>480</v>
      </c>
      <c r="AI272" s="80">
        <v>34</v>
      </c>
      <c r="AJ272" s="80"/>
      <c r="AK272" s="80" t="s">
        <v>9203</v>
      </c>
      <c r="AL272" s="80"/>
      <c r="AM272" s="80"/>
      <c r="AN272" s="80"/>
      <c r="AO272" s="82">
        <v>44455.076203703706</v>
      </c>
      <c r="AP272" s="80"/>
      <c r="AQ272" s="80" t="b">
        <v>1</v>
      </c>
      <c r="AR272" s="80" t="b">
        <v>0</v>
      </c>
      <c r="AS272" s="80" t="b">
        <v>0</v>
      </c>
      <c r="AT272" s="80"/>
      <c r="AU272" s="80">
        <v>0</v>
      </c>
      <c r="AV272" s="80"/>
      <c r="AW272" s="80" t="b">
        <v>0</v>
      </c>
      <c r="AX272" s="80" t="s">
        <v>10746</v>
      </c>
      <c r="AY272" s="87" t="str">
        <f>HYPERLINK("https://twitter.com/khan0348700")</f>
        <v>https://twitter.com/khan0348700</v>
      </c>
      <c r="AZ272" s="80" t="s">
        <v>66</v>
      </c>
      <c r="BA272" s="2"/>
      <c r="BB272" s="3"/>
      <c r="BC272" s="3"/>
      <c r="BD272" s="3"/>
      <c r="BE272" s="3"/>
    </row>
    <row r="273" spans="1:57" x14ac:dyDescent="0.35">
      <c r="A273" s="66" t="s">
        <v>445</v>
      </c>
      <c r="B273" s="67"/>
      <c r="C273" s="67"/>
      <c r="D273" s="68"/>
      <c r="E273" s="70"/>
      <c r="F273" s="109" t="str">
        <f>HYPERLINK("https://pbs.twimg.com/profile_images/1442370351317458944/Qp2AWO5a_normal.jpg")</f>
        <v>https://pbs.twimg.com/profile_images/1442370351317458944/Qp2AWO5a_normal.jpg</v>
      </c>
      <c r="G273" s="67"/>
      <c r="H273" s="71"/>
      <c r="I273" s="72"/>
      <c r="J273" s="72"/>
      <c r="K273" s="71" t="s">
        <v>11016</v>
      </c>
      <c r="L273" s="75"/>
      <c r="M273" s="76"/>
      <c r="N273" s="76"/>
      <c r="O273" s="77"/>
      <c r="P273" s="78"/>
      <c r="Q273" s="78"/>
      <c r="R273" s="92"/>
      <c r="S273" s="92"/>
      <c r="T273" s="92"/>
      <c r="U273" s="92"/>
      <c r="V273" s="52"/>
      <c r="W273" s="52"/>
      <c r="X273" s="52"/>
      <c r="Y273" s="52"/>
      <c r="Z273" s="51"/>
      <c r="AA273" s="73"/>
      <c r="AB273" s="73"/>
      <c r="AC273" s="74"/>
      <c r="AD273" s="80" t="s">
        <v>6856</v>
      </c>
      <c r="AE273" s="85" t="s">
        <v>8100</v>
      </c>
      <c r="AF273" s="80">
        <v>722</v>
      </c>
      <c r="AG273" s="80">
        <v>477</v>
      </c>
      <c r="AH273" s="80">
        <v>23799</v>
      </c>
      <c r="AI273" s="80">
        <v>22302</v>
      </c>
      <c r="AJ273" s="80"/>
      <c r="AK273" s="80" t="s">
        <v>9204</v>
      </c>
      <c r="AL273" s="80"/>
      <c r="AM273" s="80"/>
      <c r="AN273" s="80"/>
      <c r="AO273" s="82">
        <v>44138.591863425929</v>
      </c>
      <c r="AP273" s="87" t="str">
        <f>HYPERLINK("https://pbs.twimg.com/profile_banners/1323628884395356161/1616421751")</f>
        <v>https://pbs.twimg.com/profile_banners/1323628884395356161/1616421751</v>
      </c>
      <c r="AQ273" s="80" t="b">
        <v>1</v>
      </c>
      <c r="AR273" s="80" t="b">
        <v>0</v>
      </c>
      <c r="AS273" s="80" t="b">
        <v>1</v>
      </c>
      <c r="AT273" s="80"/>
      <c r="AU273" s="80">
        <v>2</v>
      </c>
      <c r="AV273" s="80"/>
      <c r="AW273" s="80" t="b">
        <v>0</v>
      </c>
      <c r="AX273" s="80" t="s">
        <v>10746</v>
      </c>
      <c r="AY273" s="87" t="str">
        <f>HYPERLINK("https://twitter.com/_chrisnini")</f>
        <v>https://twitter.com/_chrisnini</v>
      </c>
      <c r="AZ273" s="80" t="s">
        <v>66</v>
      </c>
      <c r="BA273" s="2"/>
      <c r="BB273" s="3"/>
      <c r="BC273" s="3"/>
      <c r="BD273" s="3"/>
      <c r="BE273" s="3"/>
    </row>
    <row r="274" spans="1:57" x14ac:dyDescent="0.35">
      <c r="A274" s="66" t="s">
        <v>581</v>
      </c>
      <c r="B274" s="67"/>
      <c r="C274" s="67"/>
      <c r="D274" s="68"/>
      <c r="E274" s="70"/>
      <c r="F274" s="109" t="str">
        <f>HYPERLINK("https://pbs.twimg.com/profile_images/1438883525336256519/4NtsUscU_normal.jpg")</f>
        <v>https://pbs.twimg.com/profile_images/1438883525336256519/4NtsUscU_normal.jpg</v>
      </c>
      <c r="G274" s="67"/>
      <c r="H274" s="71"/>
      <c r="I274" s="72"/>
      <c r="J274" s="72"/>
      <c r="K274" s="71" t="s">
        <v>11017</v>
      </c>
      <c r="L274" s="75"/>
      <c r="M274" s="76"/>
      <c r="N274" s="76"/>
      <c r="O274" s="77"/>
      <c r="P274" s="78"/>
      <c r="Q274" s="78"/>
      <c r="R274" s="92"/>
      <c r="S274" s="92"/>
      <c r="T274" s="92"/>
      <c r="U274" s="92"/>
      <c r="V274" s="52"/>
      <c r="W274" s="52"/>
      <c r="X274" s="52"/>
      <c r="Y274" s="52"/>
      <c r="Z274" s="51"/>
      <c r="AA274" s="73"/>
      <c r="AB274" s="73"/>
      <c r="AC274" s="74"/>
      <c r="AD274" s="80" t="s">
        <v>6857</v>
      </c>
      <c r="AE274" s="85" t="s">
        <v>8101</v>
      </c>
      <c r="AF274" s="80">
        <v>4</v>
      </c>
      <c r="AG274" s="80">
        <v>10</v>
      </c>
      <c r="AH274" s="80">
        <v>85</v>
      </c>
      <c r="AI274" s="80">
        <v>1</v>
      </c>
      <c r="AJ274" s="80"/>
      <c r="AK274" s="80" t="s">
        <v>9205</v>
      </c>
      <c r="AL274" s="80"/>
      <c r="AM274" s="80"/>
      <c r="AN274" s="80"/>
      <c r="AO274" s="82">
        <v>44452.245000000003</v>
      </c>
      <c r="AP274" s="87" t="str">
        <f>HYPERLINK("https://pbs.twimg.com/profile_banners/1437293115031711744/1631512981")</f>
        <v>https://pbs.twimg.com/profile_banners/1437293115031711744/1631512981</v>
      </c>
      <c r="AQ274" s="80" t="b">
        <v>1</v>
      </c>
      <c r="AR274" s="80" t="b">
        <v>0</v>
      </c>
      <c r="AS274" s="80" t="b">
        <v>0</v>
      </c>
      <c r="AT274" s="80"/>
      <c r="AU274" s="80">
        <v>0</v>
      </c>
      <c r="AV274" s="80"/>
      <c r="AW274" s="80" t="b">
        <v>0</v>
      </c>
      <c r="AX274" s="80" t="s">
        <v>10746</v>
      </c>
      <c r="AY274" s="87" t="str">
        <f>HYPERLINK("https://twitter.com/jiniretselling")</f>
        <v>https://twitter.com/jiniretselling</v>
      </c>
      <c r="AZ274" s="80" t="s">
        <v>66</v>
      </c>
      <c r="BA274" s="2"/>
      <c r="BB274" s="3"/>
      <c r="BC274" s="3"/>
      <c r="BD274" s="3"/>
      <c r="BE274" s="3"/>
    </row>
    <row r="275" spans="1:57" x14ac:dyDescent="0.35">
      <c r="A275" s="66" t="s">
        <v>446</v>
      </c>
      <c r="B275" s="67"/>
      <c r="C275" s="67"/>
      <c r="D275" s="68"/>
      <c r="E275" s="70"/>
      <c r="F275" s="109" t="str">
        <f>HYPERLINK("https://pbs.twimg.com/profile_images/1438882228180635653/fy4ZlWrf_normal.jpg")</f>
        <v>https://pbs.twimg.com/profile_images/1438882228180635653/fy4ZlWrf_normal.jpg</v>
      </c>
      <c r="G275" s="67"/>
      <c r="H275" s="71"/>
      <c r="I275" s="72"/>
      <c r="J275" s="72"/>
      <c r="K275" s="71" t="s">
        <v>11018</v>
      </c>
      <c r="L275" s="75"/>
      <c r="M275" s="76"/>
      <c r="N275" s="76"/>
      <c r="O275" s="77"/>
      <c r="P275" s="78"/>
      <c r="Q275" s="78"/>
      <c r="R275" s="92"/>
      <c r="S275" s="92"/>
      <c r="T275" s="92"/>
      <c r="U275" s="92"/>
      <c r="V275" s="52"/>
      <c r="W275" s="52"/>
      <c r="X275" s="52"/>
      <c r="Y275" s="52"/>
      <c r="Z275" s="51"/>
      <c r="AA275" s="73"/>
      <c r="AB275" s="73"/>
      <c r="AC275" s="74"/>
      <c r="AD275" s="80" t="s">
        <v>6858</v>
      </c>
      <c r="AE275" s="85" t="s">
        <v>8102</v>
      </c>
      <c r="AF275" s="80">
        <v>247</v>
      </c>
      <c r="AG275" s="80">
        <v>134</v>
      </c>
      <c r="AH275" s="80">
        <v>14011</v>
      </c>
      <c r="AI275" s="80">
        <v>1696</v>
      </c>
      <c r="AJ275" s="80"/>
      <c r="AK275" s="80" t="s">
        <v>9206</v>
      </c>
      <c r="AL275" s="80"/>
      <c r="AM275" s="80"/>
      <c r="AN275" s="80"/>
      <c r="AO275" s="82">
        <v>43425.475057870368</v>
      </c>
      <c r="AP275" s="87" t="str">
        <f>HYPERLINK("https://pbs.twimg.com/profile_banners/1065204196159381504/1628136721")</f>
        <v>https://pbs.twimg.com/profile_banners/1065204196159381504/1628136721</v>
      </c>
      <c r="AQ275" s="80" t="b">
        <v>1</v>
      </c>
      <c r="AR275" s="80" t="b">
        <v>0</v>
      </c>
      <c r="AS275" s="80" t="b">
        <v>0</v>
      </c>
      <c r="AT275" s="80"/>
      <c r="AU275" s="80">
        <v>0</v>
      </c>
      <c r="AV275" s="80"/>
      <c r="AW275" s="80" t="b">
        <v>0</v>
      </c>
      <c r="AX275" s="80" t="s">
        <v>10746</v>
      </c>
      <c r="AY275" s="87" t="str">
        <f>HYPERLINK("https://twitter.com/jiniretsmole")</f>
        <v>https://twitter.com/jiniretsmole</v>
      </c>
      <c r="AZ275" s="80" t="s">
        <v>66</v>
      </c>
      <c r="BA275" s="2"/>
      <c r="BB275" s="3"/>
      <c r="BC275" s="3"/>
      <c r="BD275" s="3"/>
      <c r="BE275" s="3"/>
    </row>
    <row r="276" spans="1:57" x14ac:dyDescent="0.35">
      <c r="A276" s="66" t="s">
        <v>447</v>
      </c>
      <c r="B276" s="67"/>
      <c r="C276" s="67"/>
      <c r="D276" s="68"/>
      <c r="E276" s="70"/>
      <c r="F276" s="109" t="str">
        <f>HYPERLINK("https://pbs.twimg.com/profile_images/1442372318563475459/3gMMs6Yg_normal.jpg")</f>
        <v>https://pbs.twimg.com/profile_images/1442372318563475459/3gMMs6Yg_normal.jpg</v>
      </c>
      <c r="G276" s="67"/>
      <c r="H276" s="71"/>
      <c r="I276" s="72"/>
      <c r="J276" s="72"/>
      <c r="K276" s="71" t="s">
        <v>11019</v>
      </c>
      <c r="L276" s="75"/>
      <c r="M276" s="76"/>
      <c r="N276" s="76"/>
      <c r="O276" s="77"/>
      <c r="P276" s="78"/>
      <c r="Q276" s="78"/>
      <c r="R276" s="92"/>
      <c r="S276" s="92"/>
      <c r="T276" s="92"/>
      <c r="U276" s="92"/>
      <c r="V276" s="52"/>
      <c r="W276" s="52"/>
      <c r="X276" s="52"/>
      <c r="Y276" s="52"/>
      <c r="Z276" s="51"/>
      <c r="AA276" s="73"/>
      <c r="AB276" s="73"/>
      <c r="AC276" s="74"/>
      <c r="AD276" s="80" t="s">
        <v>6859</v>
      </c>
      <c r="AE276" s="85" t="s">
        <v>8103</v>
      </c>
      <c r="AF276" s="80">
        <v>181</v>
      </c>
      <c r="AG276" s="80">
        <v>177</v>
      </c>
      <c r="AH276" s="80">
        <v>3052</v>
      </c>
      <c r="AI276" s="80">
        <v>5603</v>
      </c>
      <c r="AJ276" s="80"/>
      <c r="AK276" s="80" t="s">
        <v>9207</v>
      </c>
      <c r="AL276" s="80"/>
      <c r="AM276" s="80"/>
      <c r="AN276" s="80"/>
      <c r="AO276" s="82">
        <v>44346.118217592593</v>
      </c>
      <c r="AP276" s="87" t="str">
        <f>HYPERLINK("https://pbs.twimg.com/profile_banners/1398834068620419076/1632670563")</f>
        <v>https://pbs.twimg.com/profile_banners/1398834068620419076/1632670563</v>
      </c>
      <c r="AQ276" s="80" t="b">
        <v>1</v>
      </c>
      <c r="AR276" s="80" t="b">
        <v>0</v>
      </c>
      <c r="AS276" s="80" t="b">
        <v>0</v>
      </c>
      <c r="AT276" s="80"/>
      <c r="AU276" s="80">
        <v>1</v>
      </c>
      <c r="AV276" s="80"/>
      <c r="AW276" s="80" t="b">
        <v>0</v>
      </c>
      <c r="AX276" s="80" t="s">
        <v>10746</v>
      </c>
      <c r="AY276" s="87" t="str">
        <f>HYPERLINK("https://twitter.com/_h0wling_")</f>
        <v>https://twitter.com/_h0wling_</v>
      </c>
      <c r="AZ276" s="80" t="s">
        <v>66</v>
      </c>
      <c r="BA276" s="2"/>
      <c r="BB276" s="3"/>
      <c r="BC276" s="3"/>
      <c r="BD276" s="3"/>
      <c r="BE276" s="3"/>
    </row>
    <row r="277" spans="1:57" x14ac:dyDescent="0.35">
      <c r="A277" s="66" t="s">
        <v>448</v>
      </c>
      <c r="B277" s="67"/>
      <c r="C277" s="67"/>
      <c r="D277" s="68"/>
      <c r="E277" s="70"/>
      <c r="F277" s="109" t="str">
        <f>HYPERLINK("https://pbs.twimg.com/profile_images/1440620803310047233/5UPA2qf8_normal.jpg")</f>
        <v>https://pbs.twimg.com/profile_images/1440620803310047233/5UPA2qf8_normal.jpg</v>
      </c>
      <c r="G277" s="67"/>
      <c r="H277" s="71"/>
      <c r="I277" s="72"/>
      <c r="J277" s="72"/>
      <c r="K277" s="71" t="s">
        <v>11020</v>
      </c>
      <c r="L277" s="75"/>
      <c r="M277" s="76"/>
      <c r="N277" s="76"/>
      <c r="O277" s="77"/>
      <c r="P277" s="78"/>
      <c r="Q277" s="78"/>
      <c r="R277" s="92"/>
      <c r="S277" s="92"/>
      <c r="T277" s="92"/>
      <c r="U277" s="92"/>
      <c r="V277" s="52"/>
      <c r="W277" s="52"/>
      <c r="X277" s="52"/>
      <c r="Y277" s="52"/>
      <c r="Z277" s="51"/>
      <c r="AA277" s="73"/>
      <c r="AB277" s="73"/>
      <c r="AC277" s="74"/>
      <c r="AD277" s="80" t="s">
        <v>6860</v>
      </c>
      <c r="AE277" s="85" t="s">
        <v>8104</v>
      </c>
      <c r="AF277" s="80">
        <v>497</v>
      </c>
      <c r="AG277" s="80">
        <v>492</v>
      </c>
      <c r="AH277" s="80">
        <v>10548</v>
      </c>
      <c r="AI277" s="80">
        <v>161</v>
      </c>
      <c r="AJ277" s="80"/>
      <c r="AK277" s="80">
        <v>1987</v>
      </c>
      <c r="AL277" s="80"/>
      <c r="AM277" s="80"/>
      <c r="AN277" s="80"/>
      <c r="AO277" s="82">
        <v>43421.737245370372</v>
      </c>
      <c r="AP277" s="87" t="str">
        <f>HYPERLINK("https://pbs.twimg.com/profile_banners/1063849657338519552/1631806167")</f>
        <v>https://pbs.twimg.com/profile_banners/1063849657338519552/1631806167</v>
      </c>
      <c r="AQ277" s="80" t="b">
        <v>1</v>
      </c>
      <c r="AR277" s="80" t="b">
        <v>0</v>
      </c>
      <c r="AS277" s="80" t="b">
        <v>0</v>
      </c>
      <c r="AT277" s="80"/>
      <c r="AU277" s="80">
        <v>4</v>
      </c>
      <c r="AV277" s="80"/>
      <c r="AW277" s="80" t="b">
        <v>0</v>
      </c>
      <c r="AX277" s="80" t="s">
        <v>10746</v>
      </c>
      <c r="AY277" s="87" t="str">
        <f>HYPERLINK("https://twitter.com/aimonogatari_")</f>
        <v>https://twitter.com/aimonogatari_</v>
      </c>
      <c r="AZ277" s="80" t="s">
        <v>66</v>
      </c>
      <c r="BA277" s="2"/>
      <c r="BB277" s="3"/>
      <c r="BC277" s="3"/>
      <c r="BD277" s="3"/>
      <c r="BE277" s="3"/>
    </row>
    <row r="278" spans="1:57" x14ac:dyDescent="0.35">
      <c r="A278" s="66" t="s">
        <v>1308</v>
      </c>
      <c r="B278" s="67"/>
      <c r="C278" s="67"/>
      <c r="D278" s="68"/>
      <c r="E278" s="70"/>
      <c r="F278" s="109" t="str">
        <f>HYPERLINK("https://pbs.twimg.com/profile_images/1438158004453400578/ephnhB73_normal.jpg")</f>
        <v>https://pbs.twimg.com/profile_images/1438158004453400578/ephnhB73_normal.jpg</v>
      </c>
      <c r="G278" s="67"/>
      <c r="H278" s="71"/>
      <c r="I278" s="72"/>
      <c r="J278" s="72"/>
      <c r="K278" s="71" t="s">
        <v>11021</v>
      </c>
      <c r="L278" s="75"/>
      <c r="M278" s="76"/>
      <c r="N278" s="76"/>
      <c r="O278" s="77"/>
      <c r="P278" s="78"/>
      <c r="Q278" s="78"/>
      <c r="R278" s="92"/>
      <c r="S278" s="92"/>
      <c r="T278" s="92"/>
      <c r="U278" s="92"/>
      <c r="V278" s="52"/>
      <c r="W278" s="52"/>
      <c r="X278" s="52"/>
      <c r="Y278" s="52"/>
      <c r="Z278" s="51"/>
      <c r="AA278" s="73"/>
      <c r="AB278" s="73"/>
      <c r="AC278" s="74"/>
      <c r="AD278" s="80" t="s">
        <v>6861</v>
      </c>
      <c r="AE278" s="85" t="s">
        <v>6280</v>
      </c>
      <c r="AF278" s="80">
        <v>477</v>
      </c>
      <c r="AG278" s="80">
        <v>302</v>
      </c>
      <c r="AH278" s="80">
        <v>43920</v>
      </c>
      <c r="AI278" s="80">
        <v>3856</v>
      </c>
      <c r="AJ278" s="80"/>
      <c r="AK278" s="80" t="s">
        <v>9208</v>
      </c>
      <c r="AL278" s="80" t="s">
        <v>10264</v>
      </c>
      <c r="AM278" s="87" t="str">
        <f>HYPERLINK("https://t.co/IwFYnHhhAW")</f>
        <v>https://t.co/IwFYnHhhAW</v>
      </c>
      <c r="AN278" s="80"/>
      <c r="AO278" s="82">
        <v>41834.282939814817</v>
      </c>
      <c r="AP278" s="87" t="str">
        <f>HYPERLINK("https://pbs.twimg.com/profile_banners/2643905629/1632020118")</f>
        <v>https://pbs.twimg.com/profile_banners/2643905629/1632020118</v>
      </c>
      <c r="AQ278" s="80" t="b">
        <v>0</v>
      </c>
      <c r="AR278" s="80" t="b">
        <v>0</v>
      </c>
      <c r="AS278" s="80" t="b">
        <v>0</v>
      </c>
      <c r="AT278" s="80"/>
      <c r="AU278" s="80">
        <v>3</v>
      </c>
      <c r="AV278" s="87" t="str">
        <f>HYPERLINK("https://abs.twimg.com/images/themes/theme1/bg.png")</f>
        <v>https://abs.twimg.com/images/themes/theme1/bg.png</v>
      </c>
      <c r="AW278" s="80" t="b">
        <v>0</v>
      </c>
      <c r="AX278" s="80" t="s">
        <v>10746</v>
      </c>
      <c r="AY278" s="87" t="str">
        <f>HYPERLINK("https://twitter.com/xylonj_")</f>
        <v>https://twitter.com/xylonj_</v>
      </c>
      <c r="AZ278" s="80" t="s">
        <v>65</v>
      </c>
      <c r="BA278" s="2"/>
      <c r="BB278" s="3"/>
      <c r="BC278" s="3"/>
      <c r="BD278" s="3"/>
      <c r="BE278" s="3"/>
    </row>
    <row r="279" spans="1:57" x14ac:dyDescent="0.35">
      <c r="A279" s="66" t="s">
        <v>449</v>
      </c>
      <c r="B279" s="67"/>
      <c r="C279" s="67"/>
      <c r="D279" s="68"/>
      <c r="E279" s="70"/>
      <c r="F279" s="109" t="str">
        <f>HYPERLINK("https://pbs.twimg.com/profile_images/1413561736599310338/ls6aYoc-_normal.jpg")</f>
        <v>https://pbs.twimg.com/profile_images/1413561736599310338/ls6aYoc-_normal.jpg</v>
      </c>
      <c r="G279" s="67"/>
      <c r="H279" s="71"/>
      <c r="I279" s="72"/>
      <c r="J279" s="72"/>
      <c r="K279" s="71" t="s">
        <v>11022</v>
      </c>
      <c r="L279" s="75"/>
      <c r="M279" s="76"/>
      <c r="N279" s="76"/>
      <c r="O279" s="77"/>
      <c r="P279" s="78"/>
      <c r="Q279" s="78"/>
      <c r="R279" s="92"/>
      <c r="S279" s="92"/>
      <c r="T279" s="92"/>
      <c r="U279" s="92"/>
      <c r="V279" s="52"/>
      <c r="W279" s="52"/>
      <c r="X279" s="52"/>
      <c r="Y279" s="52"/>
      <c r="Z279" s="51"/>
      <c r="AA279" s="73"/>
      <c r="AB279" s="73"/>
      <c r="AC279" s="74"/>
      <c r="AD279" s="80" t="s">
        <v>6862</v>
      </c>
      <c r="AE279" s="85" t="s">
        <v>8105</v>
      </c>
      <c r="AF279" s="80">
        <v>978</v>
      </c>
      <c r="AG279" s="80">
        <v>29</v>
      </c>
      <c r="AH279" s="80">
        <v>690</v>
      </c>
      <c r="AI279" s="80">
        <v>283</v>
      </c>
      <c r="AJ279" s="80"/>
      <c r="AK279" s="80" t="s">
        <v>9209</v>
      </c>
      <c r="AL279" s="80"/>
      <c r="AM279" s="80"/>
      <c r="AN279" s="80"/>
      <c r="AO279" s="82">
        <v>44386.758379629631</v>
      </c>
      <c r="AP279" s="80"/>
      <c r="AQ279" s="80" t="b">
        <v>1</v>
      </c>
      <c r="AR279" s="80" t="b">
        <v>0</v>
      </c>
      <c r="AS279" s="80" t="b">
        <v>1</v>
      </c>
      <c r="AT279" s="80"/>
      <c r="AU279" s="80">
        <v>0</v>
      </c>
      <c r="AV279" s="80"/>
      <c r="AW279" s="80" t="b">
        <v>0</v>
      </c>
      <c r="AX279" s="80" t="s">
        <v>10746</v>
      </c>
      <c r="AY279" s="87" t="str">
        <f>HYPERLINK("https://twitter.com/abdulre26789541")</f>
        <v>https://twitter.com/abdulre26789541</v>
      </c>
      <c r="AZ279" s="80" t="s">
        <v>66</v>
      </c>
      <c r="BA279" s="2"/>
      <c r="BB279" s="3"/>
      <c r="BC279" s="3"/>
      <c r="BD279" s="3"/>
      <c r="BE279" s="3"/>
    </row>
    <row r="280" spans="1:57" x14ac:dyDescent="0.35">
      <c r="A280" s="66" t="s">
        <v>450</v>
      </c>
      <c r="B280" s="67"/>
      <c r="C280" s="67"/>
      <c r="D280" s="68"/>
      <c r="E280" s="70"/>
      <c r="F280" s="109" t="str">
        <f>HYPERLINK("https://pbs.twimg.com/profile_images/1436008513579323393/CbaoMHsp_normal.jpg")</f>
        <v>https://pbs.twimg.com/profile_images/1436008513579323393/CbaoMHsp_normal.jpg</v>
      </c>
      <c r="G280" s="67"/>
      <c r="H280" s="71"/>
      <c r="I280" s="72"/>
      <c r="J280" s="72"/>
      <c r="K280" s="71" t="s">
        <v>11023</v>
      </c>
      <c r="L280" s="75"/>
      <c r="M280" s="76"/>
      <c r="N280" s="76"/>
      <c r="O280" s="77"/>
      <c r="P280" s="78"/>
      <c r="Q280" s="78"/>
      <c r="R280" s="92"/>
      <c r="S280" s="92"/>
      <c r="T280" s="92"/>
      <c r="U280" s="92"/>
      <c r="V280" s="52"/>
      <c r="W280" s="52"/>
      <c r="X280" s="52"/>
      <c r="Y280" s="52"/>
      <c r="Z280" s="51"/>
      <c r="AA280" s="73"/>
      <c r="AB280" s="73"/>
      <c r="AC280" s="74"/>
      <c r="AD280" s="80" t="s">
        <v>6863</v>
      </c>
      <c r="AE280" s="85" t="s">
        <v>8106</v>
      </c>
      <c r="AF280" s="80">
        <v>592</v>
      </c>
      <c r="AG280" s="80">
        <v>7</v>
      </c>
      <c r="AH280" s="80">
        <v>425</v>
      </c>
      <c r="AI280" s="80">
        <v>345</v>
      </c>
      <c r="AJ280" s="80"/>
      <c r="AK280" s="80" t="s">
        <v>9146</v>
      </c>
      <c r="AL280" s="80"/>
      <c r="AM280" s="80"/>
      <c r="AN280" s="80"/>
      <c r="AO280" s="82">
        <v>44447.463518518518</v>
      </c>
      <c r="AP280" s="80"/>
      <c r="AQ280" s="80" t="b">
        <v>1</v>
      </c>
      <c r="AR280" s="80" t="b">
        <v>0</v>
      </c>
      <c r="AS280" s="80" t="b">
        <v>0</v>
      </c>
      <c r="AT280" s="80"/>
      <c r="AU280" s="80">
        <v>0</v>
      </c>
      <c r="AV280" s="80"/>
      <c r="AW280" s="80" t="b">
        <v>0</v>
      </c>
      <c r="AX280" s="80" t="s">
        <v>10746</v>
      </c>
      <c r="AY280" s="87" t="str">
        <f>HYPERLINK("https://twitter.com/parvinabasi")</f>
        <v>https://twitter.com/parvinabasi</v>
      </c>
      <c r="AZ280" s="80" t="s">
        <v>66</v>
      </c>
      <c r="BA280" s="2"/>
      <c r="BB280" s="3"/>
      <c r="BC280" s="3"/>
      <c r="BD280" s="3"/>
      <c r="BE280" s="3"/>
    </row>
    <row r="281" spans="1:57" x14ac:dyDescent="0.35">
      <c r="A281" s="66" t="s">
        <v>451</v>
      </c>
      <c r="B281" s="67"/>
      <c r="C281" s="67"/>
      <c r="D281" s="68"/>
      <c r="E281" s="70"/>
      <c r="F281" s="109" t="str">
        <f>HYPERLINK("https://pbs.twimg.com/profile_images/1377225506848825348/h1B8yUdP_normal.jpg")</f>
        <v>https://pbs.twimg.com/profile_images/1377225506848825348/h1B8yUdP_normal.jpg</v>
      </c>
      <c r="G281" s="67"/>
      <c r="H281" s="71"/>
      <c r="I281" s="72"/>
      <c r="J281" s="72"/>
      <c r="K281" s="71" t="s">
        <v>11024</v>
      </c>
      <c r="L281" s="75"/>
      <c r="M281" s="76"/>
      <c r="N281" s="76"/>
      <c r="O281" s="77"/>
      <c r="P281" s="78"/>
      <c r="Q281" s="78"/>
      <c r="R281" s="92"/>
      <c r="S281" s="92"/>
      <c r="T281" s="92"/>
      <c r="U281" s="92"/>
      <c r="V281" s="52"/>
      <c r="W281" s="52"/>
      <c r="X281" s="52"/>
      <c r="Y281" s="52"/>
      <c r="Z281" s="51"/>
      <c r="AA281" s="73"/>
      <c r="AB281" s="73"/>
      <c r="AC281" s="74"/>
      <c r="AD281" s="80" t="s">
        <v>6864</v>
      </c>
      <c r="AE281" s="85" t="s">
        <v>8107</v>
      </c>
      <c r="AF281" s="80">
        <v>2720</v>
      </c>
      <c r="AG281" s="80">
        <v>3320</v>
      </c>
      <c r="AH281" s="80">
        <v>61044</v>
      </c>
      <c r="AI281" s="80">
        <v>815</v>
      </c>
      <c r="AJ281" s="80"/>
      <c r="AK281" s="80" t="s">
        <v>9210</v>
      </c>
      <c r="AL281" s="80" t="s">
        <v>10265</v>
      </c>
      <c r="AM281" s="80"/>
      <c r="AN281" s="80"/>
      <c r="AO281" s="82">
        <v>43286.423310185186</v>
      </c>
      <c r="AP281" s="87" t="str">
        <f>HYPERLINK("https://pbs.twimg.com/profile_banners/1014813527733727232/1605623559")</f>
        <v>https://pbs.twimg.com/profile_banners/1014813527733727232/1605623559</v>
      </c>
      <c r="AQ281" s="80" t="b">
        <v>1</v>
      </c>
      <c r="AR281" s="80" t="b">
        <v>0</v>
      </c>
      <c r="AS281" s="80" t="b">
        <v>1</v>
      </c>
      <c r="AT281" s="80"/>
      <c r="AU281" s="80">
        <v>14</v>
      </c>
      <c r="AV281" s="80"/>
      <c r="AW281" s="80" t="b">
        <v>0</v>
      </c>
      <c r="AX281" s="80" t="s">
        <v>10746</v>
      </c>
      <c r="AY281" s="87" t="str">
        <f>HYPERLINK("https://twitter.com/cranberiesh")</f>
        <v>https://twitter.com/cranberiesh</v>
      </c>
      <c r="AZ281" s="80" t="s">
        <v>66</v>
      </c>
      <c r="BA281" s="2"/>
      <c r="BB281" s="3"/>
      <c r="BC281" s="3"/>
      <c r="BD281" s="3"/>
      <c r="BE281" s="3"/>
    </row>
    <row r="282" spans="1:57" x14ac:dyDescent="0.35">
      <c r="A282" s="66" t="s">
        <v>452</v>
      </c>
      <c r="B282" s="67"/>
      <c r="C282" s="67"/>
      <c r="D282" s="68"/>
      <c r="E282" s="70"/>
      <c r="F282" s="109" t="str">
        <f>HYPERLINK("https://pbs.twimg.com/profile_images/1442159998553841666/p-a-iuqX_normal.jpg")</f>
        <v>https://pbs.twimg.com/profile_images/1442159998553841666/p-a-iuqX_normal.jpg</v>
      </c>
      <c r="G282" s="67"/>
      <c r="H282" s="71"/>
      <c r="I282" s="72"/>
      <c r="J282" s="72"/>
      <c r="K282" s="71" t="s">
        <v>11025</v>
      </c>
      <c r="L282" s="75"/>
      <c r="M282" s="76"/>
      <c r="N282" s="76"/>
      <c r="O282" s="77"/>
      <c r="P282" s="78"/>
      <c r="Q282" s="78"/>
      <c r="R282" s="92"/>
      <c r="S282" s="92"/>
      <c r="T282" s="92"/>
      <c r="U282" s="92"/>
      <c r="V282" s="52"/>
      <c r="W282" s="52"/>
      <c r="X282" s="52"/>
      <c r="Y282" s="52"/>
      <c r="Z282" s="51"/>
      <c r="AA282" s="73"/>
      <c r="AB282" s="73"/>
      <c r="AC282" s="74"/>
      <c r="AD282" s="80" t="s">
        <v>6865</v>
      </c>
      <c r="AE282" s="85" t="s">
        <v>8108</v>
      </c>
      <c r="AF282" s="80">
        <v>62</v>
      </c>
      <c r="AG282" s="80">
        <v>45</v>
      </c>
      <c r="AH282" s="80">
        <v>1280</v>
      </c>
      <c r="AI282" s="80">
        <v>811</v>
      </c>
      <c r="AJ282" s="80"/>
      <c r="AK282" s="80" t="s">
        <v>9211</v>
      </c>
      <c r="AL282" s="80"/>
      <c r="AM282" s="80"/>
      <c r="AN282" s="80"/>
      <c r="AO282" s="82">
        <v>43950.627442129633</v>
      </c>
      <c r="AP282" s="87" t="str">
        <f>HYPERLINK("https://pbs.twimg.com/profile_banners/1255513015639834629/1631436805")</f>
        <v>https://pbs.twimg.com/profile_banners/1255513015639834629/1631436805</v>
      </c>
      <c r="AQ282" s="80" t="b">
        <v>1</v>
      </c>
      <c r="AR282" s="80" t="b">
        <v>0</v>
      </c>
      <c r="AS282" s="80" t="b">
        <v>0</v>
      </c>
      <c r="AT282" s="80"/>
      <c r="AU282" s="80">
        <v>0</v>
      </c>
      <c r="AV282" s="80"/>
      <c r="AW282" s="80" t="b">
        <v>0</v>
      </c>
      <c r="AX282" s="80" t="s">
        <v>10746</v>
      </c>
      <c r="AY282" s="87" t="str">
        <f>HYPERLINK("https://twitter.com/leenoninxx")</f>
        <v>https://twitter.com/leenoninxx</v>
      </c>
      <c r="AZ282" s="80" t="s">
        <v>66</v>
      </c>
      <c r="BA282" s="2"/>
      <c r="BB282" s="3"/>
      <c r="BC282" s="3"/>
      <c r="BD282" s="3"/>
      <c r="BE282" s="3"/>
    </row>
    <row r="283" spans="1:57" x14ac:dyDescent="0.35">
      <c r="A283" s="66" t="s">
        <v>453</v>
      </c>
      <c r="B283" s="67"/>
      <c r="C283" s="67"/>
      <c r="D283" s="68"/>
      <c r="E283" s="70"/>
      <c r="F283" s="109" t="str">
        <f>HYPERLINK("https://pbs.twimg.com/profile_images/1440255806717382661/nIfujllw_normal.jpg")</f>
        <v>https://pbs.twimg.com/profile_images/1440255806717382661/nIfujllw_normal.jpg</v>
      </c>
      <c r="G283" s="67"/>
      <c r="H283" s="71"/>
      <c r="I283" s="72"/>
      <c r="J283" s="72"/>
      <c r="K283" s="71" t="s">
        <v>11026</v>
      </c>
      <c r="L283" s="75"/>
      <c r="M283" s="76"/>
      <c r="N283" s="76"/>
      <c r="O283" s="77"/>
      <c r="P283" s="78"/>
      <c r="Q283" s="78"/>
      <c r="R283" s="92"/>
      <c r="S283" s="92"/>
      <c r="T283" s="92"/>
      <c r="U283" s="92"/>
      <c r="V283" s="52"/>
      <c r="W283" s="52"/>
      <c r="X283" s="52"/>
      <c r="Y283" s="52"/>
      <c r="Z283" s="51"/>
      <c r="AA283" s="73"/>
      <c r="AB283" s="73"/>
      <c r="AC283" s="74"/>
      <c r="AD283" s="80" t="s">
        <v>6866</v>
      </c>
      <c r="AE283" s="85" t="s">
        <v>8109</v>
      </c>
      <c r="AF283" s="80">
        <v>79</v>
      </c>
      <c r="AG283" s="80">
        <v>47</v>
      </c>
      <c r="AH283" s="80">
        <v>1638</v>
      </c>
      <c r="AI283" s="80">
        <v>320</v>
      </c>
      <c r="AJ283" s="80"/>
      <c r="AK283" s="80" t="s">
        <v>9212</v>
      </c>
      <c r="AL283" s="80" t="s">
        <v>10266</v>
      </c>
      <c r="AM283" s="80"/>
      <c r="AN283" s="80"/>
      <c r="AO283" s="82">
        <v>44336.08803240741</v>
      </c>
      <c r="AP283" s="87" t="str">
        <f>HYPERLINK("https://pbs.twimg.com/profile_banners/1395199185641644033/1631119971")</f>
        <v>https://pbs.twimg.com/profile_banners/1395199185641644033/1631119971</v>
      </c>
      <c r="AQ283" s="80" t="b">
        <v>1</v>
      </c>
      <c r="AR283" s="80" t="b">
        <v>0</v>
      </c>
      <c r="AS283" s="80" t="b">
        <v>0</v>
      </c>
      <c r="AT283" s="80"/>
      <c r="AU283" s="80">
        <v>0</v>
      </c>
      <c r="AV283" s="80"/>
      <c r="AW283" s="80" t="b">
        <v>0</v>
      </c>
      <c r="AX283" s="80" t="s">
        <v>10746</v>
      </c>
      <c r="AY283" s="87" t="str">
        <f>HYPERLINK("https://twitter.com/stayeri1")</f>
        <v>https://twitter.com/stayeri1</v>
      </c>
      <c r="AZ283" s="80" t="s">
        <v>66</v>
      </c>
      <c r="BA283" s="2"/>
      <c r="BB283" s="3"/>
      <c r="BC283" s="3"/>
      <c r="BD283" s="3"/>
      <c r="BE283" s="3"/>
    </row>
    <row r="284" spans="1:57" x14ac:dyDescent="0.35">
      <c r="A284" s="66" t="s">
        <v>454</v>
      </c>
      <c r="B284" s="67"/>
      <c r="C284" s="67"/>
      <c r="D284" s="68"/>
      <c r="E284" s="70"/>
      <c r="F284" s="109" t="str">
        <f>HYPERLINK("https://pbs.twimg.com/profile_images/1402847123557605379/GXffAPgT_normal.jpg")</f>
        <v>https://pbs.twimg.com/profile_images/1402847123557605379/GXffAPgT_normal.jpg</v>
      </c>
      <c r="G284" s="67"/>
      <c r="H284" s="71"/>
      <c r="I284" s="72"/>
      <c r="J284" s="72"/>
      <c r="K284" s="71" t="s">
        <v>11027</v>
      </c>
      <c r="L284" s="75"/>
      <c r="M284" s="76"/>
      <c r="N284" s="76"/>
      <c r="O284" s="77"/>
      <c r="P284" s="78"/>
      <c r="Q284" s="78"/>
      <c r="R284" s="92"/>
      <c r="S284" s="92"/>
      <c r="T284" s="92"/>
      <c r="U284" s="92"/>
      <c r="V284" s="52"/>
      <c r="W284" s="52"/>
      <c r="X284" s="52"/>
      <c r="Y284" s="52"/>
      <c r="Z284" s="51"/>
      <c r="AA284" s="73"/>
      <c r="AB284" s="73"/>
      <c r="AC284" s="74"/>
      <c r="AD284" s="80" t="s">
        <v>6867</v>
      </c>
      <c r="AE284" s="85" t="s">
        <v>8110</v>
      </c>
      <c r="AF284" s="80">
        <v>324</v>
      </c>
      <c r="AG284" s="80">
        <v>481</v>
      </c>
      <c r="AH284" s="80">
        <v>22136</v>
      </c>
      <c r="AI284" s="80">
        <v>29713</v>
      </c>
      <c r="AJ284" s="80"/>
      <c r="AK284" s="80" t="s">
        <v>9213</v>
      </c>
      <c r="AL284" s="80"/>
      <c r="AM284" s="80"/>
      <c r="AN284" s="80"/>
      <c r="AO284" s="82">
        <v>42055.320509259262</v>
      </c>
      <c r="AP284" s="87" t="str">
        <f>HYPERLINK("https://pbs.twimg.com/profile_banners/3032351012/1622740073")</f>
        <v>https://pbs.twimg.com/profile_banners/3032351012/1622740073</v>
      </c>
      <c r="AQ284" s="80" t="b">
        <v>1</v>
      </c>
      <c r="AR284" s="80" t="b">
        <v>0</v>
      </c>
      <c r="AS284" s="80" t="b">
        <v>1</v>
      </c>
      <c r="AT284" s="80"/>
      <c r="AU284" s="80">
        <v>2</v>
      </c>
      <c r="AV284" s="87" t="str">
        <f>HYPERLINK("https://abs.twimg.com/images/themes/theme1/bg.png")</f>
        <v>https://abs.twimg.com/images/themes/theme1/bg.png</v>
      </c>
      <c r="AW284" s="80" t="b">
        <v>0</v>
      </c>
      <c r="AX284" s="80" t="s">
        <v>10746</v>
      </c>
      <c r="AY284" s="87" t="str">
        <f>HYPERLINK("https://twitter.com/alikmrdnn")</f>
        <v>https://twitter.com/alikmrdnn</v>
      </c>
      <c r="AZ284" s="80" t="s">
        <v>66</v>
      </c>
      <c r="BA284" s="2"/>
      <c r="BB284" s="3"/>
      <c r="BC284" s="3"/>
      <c r="BD284" s="3"/>
      <c r="BE284" s="3"/>
    </row>
    <row r="285" spans="1:57" x14ac:dyDescent="0.35">
      <c r="A285" s="66" t="s">
        <v>455</v>
      </c>
      <c r="B285" s="67"/>
      <c r="C285" s="67"/>
      <c r="D285" s="68"/>
      <c r="E285" s="70"/>
      <c r="F285" s="109" t="str">
        <f>HYPERLINK("https://pbs.twimg.com/profile_images/780659330676731905/wcQ_XcYe_normal.jpg")</f>
        <v>https://pbs.twimg.com/profile_images/780659330676731905/wcQ_XcYe_normal.jpg</v>
      </c>
      <c r="G285" s="67"/>
      <c r="H285" s="71"/>
      <c r="I285" s="72"/>
      <c r="J285" s="72"/>
      <c r="K285" s="71" t="s">
        <v>11028</v>
      </c>
      <c r="L285" s="75"/>
      <c r="M285" s="76"/>
      <c r="N285" s="76"/>
      <c r="O285" s="77"/>
      <c r="P285" s="78"/>
      <c r="Q285" s="78"/>
      <c r="R285" s="92"/>
      <c r="S285" s="92"/>
      <c r="T285" s="92"/>
      <c r="U285" s="92"/>
      <c r="V285" s="52"/>
      <c r="W285" s="52"/>
      <c r="X285" s="52"/>
      <c r="Y285" s="52"/>
      <c r="Z285" s="51"/>
      <c r="AA285" s="73"/>
      <c r="AB285" s="73"/>
      <c r="AC285" s="74"/>
      <c r="AD285" s="80" t="s">
        <v>6868</v>
      </c>
      <c r="AE285" s="85" t="s">
        <v>8111</v>
      </c>
      <c r="AF285" s="80">
        <v>1</v>
      </c>
      <c r="AG285" s="80">
        <v>544353</v>
      </c>
      <c r="AH285" s="80">
        <v>1499708</v>
      </c>
      <c r="AI285" s="80">
        <v>16</v>
      </c>
      <c r="AJ285" s="80"/>
      <c r="AK285" s="80" t="s">
        <v>9214</v>
      </c>
      <c r="AL285" s="80" t="s">
        <v>6543</v>
      </c>
      <c r="AM285" s="87" t="str">
        <f>HYPERLINK("https://t.co/FUKIPm0L1e")</f>
        <v>https://t.co/FUKIPm0L1e</v>
      </c>
      <c r="AN285" s="80"/>
      <c r="AO285" s="82">
        <v>41019.343298611115</v>
      </c>
      <c r="AP285" s="87" t="str">
        <f>HYPERLINK("https://pbs.twimg.com/profile_banners/558516132/1603034157")</f>
        <v>https://pbs.twimg.com/profile_banners/558516132/1603034157</v>
      </c>
      <c r="AQ285" s="80" t="b">
        <v>1</v>
      </c>
      <c r="AR285" s="80" t="b">
        <v>0</v>
      </c>
      <c r="AS285" s="80" t="b">
        <v>1</v>
      </c>
      <c r="AT285" s="80"/>
      <c r="AU285" s="80">
        <v>460</v>
      </c>
      <c r="AV285" s="87" t="str">
        <f>HYPERLINK("https://abs.twimg.com/images/themes/theme1/bg.png")</f>
        <v>https://abs.twimg.com/images/themes/theme1/bg.png</v>
      </c>
      <c r="AW285" s="80" t="b">
        <v>1</v>
      </c>
      <c r="AX285" s="80" t="s">
        <v>10746</v>
      </c>
      <c r="AY285" s="87" t="str">
        <f>HYPERLINK("https://twitter.com/pln_123")</f>
        <v>https://twitter.com/pln_123</v>
      </c>
      <c r="AZ285" s="80" t="s">
        <v>66</v>
      </c>
      <c r="BA285" s="2"/>
      <c r="BB285" s="3"/>
      <c r="BC285" s="3"/>
      <c r="BD285" s="3"/>
      <c r="BE285" s="3"/>
    </row>
    <row r="286" spans="1:57" x14ac:dyDescent="0.35">
      <c r="A286" s="66" t="s">
        <v>1309</v>
      </c>
      <c r="B286" s="67"/>
      <c r="C286" s="67"/>
      <c r="D286" s="68"/>
      <c r="E286" s="70"/>
      <c r="F286" s="109" t="str">
        <f>HYPERLINK("https://pbs.twimg.com/profile_images/1020937464842633218/VtSusK5l_normal.jpg")</f>
        <v>https://pbs.twimg.com/profile_images/1020937464842633218/VtSusK5l_normal.jpg</v>
      </c>
      <c r="G286" s="67"/>
      <c r="H286" s="71"/>
      <c r="I286" s="72"/>
      <c r="J286" s="72"/>
      <c r="K286" s="71" t="s">
        <v>11029</v>
      </c>
      <c r="L286" s="75"/>
      <c r="M286" s="76"/>
      <c r="N286" s="76"/>
      <c r="O286" s="77"/>
      <c r="P286" s="78"/>
      <c r="Q286" s="78"/>
      <c r="R286" s="92"/>
      <c r="S286" s="92"/>
      <c r="T286" s="92"/>
      <c r="U286" s="92"/>
      <c r="V286" s="52"/>
      <c r="W286" s="52"/>
      <c r="X286" s="52"/>
      <c r="Y286" s="52"/>
      <c r="Z286" s="51"/>
      <c r="AA286" s="73"/>
      <c r="AB286" s="73"/>
      <c r="AC286" s="74"/>
      <c r="AD286" s="80" t="s">
        <v>6869</v>
      </c>
      <c r="AE286" s="85" t="s">
        <v>6281</v>
      </c>
      <c r="AF286" s="80">
        <v>1904</v>
      </c>
      <c r="AG286" s="80">
        <v>1126</v>
      </c>
      <c r="AH286" s="80">
        <v>9505</v>
      </c>
      <c r="AI286" s="80">
        <v>3384</v>
      </c>
      <c r="AJ286" s="80"/>
      <c r="AK286" s="80"/>
      <c r="AL286" s="80" t="s">
        <v>10267</v>
      </c>
      <c r="AM286" s="80"/>
      <c r="AN286" s="80"/>
      <c r="AO286" s="82">
        <v>41888.694178240738</v>
      </c>
      <c r="AP286" s="87" t="str">
        <f>HYPERLINK("https://pbs.twimg.com/profile_banners/2794339567/1550451613")</f>
        <v>https://pbs.twimg.com/profile_banners/2794339567/1550451613</v>
      </c>
      <c r="AQ286" s="80" t="b">
        <v>1</v>
      </c>
      <c r="AR286" s="80" t="b">
        <v>0</v>
      </c>
      <c r="AS286" s="80" t="b">
        <v>0</v>
      </c>
      <c r="AT286" s="80"/>
      <c r="AU286" s="80">
        <v>2</v>
      </c>
      <c r="AV286" s="87" t="str">
        <f>HYPERLINK("https://abs.twimg.com/images/themes/theme1/bg.png")</f>
        <v>https://abs.twimg.com/images/themes/theme1/bg.png</v>
      </c>
      <c r="AW286" s="80" t="b">
        <v>0</v>
      </c>
      <c r="AX286" s="80" t="s">
        <v>10746</v>
      </c>
      <c r="AY286" s="87" t="str">
        <f>HYPERLINK("https://twitter.com/anissaherdian")</f>
        <v>https://twitter.com/anissaherdian</v>
      </c>
      <c r="AZ286" s="80" t="s">
        <v>65</v>
      </c>
      <c r="BA286" s="2"/>
      <c r="BB286" s="3"/>
      <c r="BC286" s="3"/>
      <c r="BD286" s="3"/>
      <c r="BE286" s="3"/>
    </row>
    <row r="287" spans="1:57" x14ac:dyDescent="0.35">
      <c r="A287" s="66" t="s">
        <v>1310</v>
      </c>
      <c r="B287" s="67"/>
      <c r="C287" s="67"/>
      <c r="D287" s="68"/>
      <c r="E287" s="70"/>
      <c r="F287" s="109" t="str">
        <f>HYPERLINK("https://pbs.twimg.com/profile_images/1076060230616662016/_6GDncHA_normal.jpg")</f>
        <v>https://pbs.twimg.com/profile_images/1076060230616662016/_6GDncHA_normal.jpg</v>
      </c>
      <c r="G287" s="67"/>
      <c r="H287" s="71"/>
      <c r="I287" s="72"/>
      <c r="J287" s="72"/>
      <c r="K287" s="71" t="s">
        <v>11030</v>
      </c>
      <c r="L287" s="75"/>
      <c r="M287" s="76"/>
      <c r="N287" s="76"/>
      <c r="O287" s="77"/>
      <c r="P287" s="78"/>
      <c r="Q287" s="78"/>
      <c r="R287" s="92"/>
      <c r="S287" s="92"/>
      <c r="T287" s="92"/>
      <c r="U287" s="92"/>
      <c r="V287" s="52"/>
      <c r="W287" s="52"/>
      <c r="X287" s="52"/>
      <c r="Y287" s="52"/>
      <c r="Z287" s="51"/>
      <c r="AA287" s="73"/>
      <c r="AB287" s="73"/>
      <c r="AC287" s="74"/>
      <c r="AD287" s="80" t="s">
        <v>6870</v>
      </c>
      <c r="AE287" s="85" t="s">
        <v>8112</v>
      </c>
      <c r="AF287" s="80">
        <v>38210</v>
      </c>
      <c r="AG287" s="80">
        <v>218269</v>
      </c>
      <c r="AH287" s="80">
        <v>929906</v>
      </c>
      <c r="AI287" s="80">
        <v>98</v>
      </c>
      <c r="AJ287" s="80"/>
      <c r="AK287" s="80" t="s">
        <v>9215</v>
      </c>
      <c r="AL287" s="80"/>
      <c r="AM287" s="87" t="str">
        <f>HYPERLINK("https://t.co/6ecDNM0ky2")</f>
        <v>https://t.co/6ecDNM0ky2</v>
      </c>
      <c r="AN287" s="80"/>
      <c r="AO287" s="82">
        <v>43454.363622685189</v>
      </c>
      <c r="AP287" s="87" t="str">
        <f>HYPERLINK("https://pbs.twimg.com/profile_banners/1075673058931806208/1628068991")</f>
        <v>https://pbs.twimg.com/profile_banners/1075673058931806208/1628068991</v>
      </c>
      <c r="AQ287" s="80" t="b">
        <v>1</v>
      </c>
      <c r="AR287" s="80" t="b">
        <v>0</v>
      </c>
      <c r="AS287" s="80" t="b">
        <v>0</v>
      </c>
      <c r="AT287" s="80"/>
      <c r="AU287" s="80">
        <v>72</v>
      </c>
      <c r="AV287" s="80"/>
      <c r="AW287" s="80" t="b">
        <v>1</v>
      </c>
      <c r="AX287" s="80" t="s">
        <v>10746</v>
      </c>
      <c r="AY287" s="87" t="str">
        <f>HYPERLINK("https://twitter.com/indihome")</f>
        <v>https://twitter.com/indihome</v>
      </c>
      <c r="AZ287" s="80" t="s">
        <v>65</v>
      </c>
      <c r="BA287" s="2"/>
      <c r="BB287" s="3"/>
      <c r="BC287" s="3"/>
      <c r="BD287" s="3"/>
      <c r="BE287" s="3"/>
    </row>
    <row r="288" spans="1:57" x14ac:dyDescent="0.35">
      <c r="A288" s="66" t="s">
        <v>1311</v>
      </c>
      <c r="B288" s="67"/>
      <c r="C288" s="67"/>
      <c r="D288" s="68"/>
      <c r="E288" s="70"/>
      <c r="F288" s="109" t="str">
        <f>HYPERLINK("https://pbs.twimg.com/profile_images/1114889621840650240/s-T7tlV7_normal.jpg")</f>
        <v>https://pbs.twimg.com/profile_images/1114889621840650240/s-T7tlV7_normal.jpg</v>
      </c>
      <c r="G288" s="67"/>
      <c r="H288" s="71"/>
      <c r="I288" s="72"/>
      <c r="J288" s="72"/>
      <c r="K288" s="71" t="s">
        <v>11031</v>
      </c>
      <c r="L288" s="75"/>
      <c r="M288" s="76"/>
      <c r="N288" s="76"/>
      <c r="O288" s="77"/>
      <c r="P288" s="78"/>
      <c r="Q288" s="78"/>
      <c r="R288" s="92"/>
      <c r="S288" s="92"/>
      <c r="T288" s="92"/>
      <c r="U288" s="92"/>
      <c r="V288" s="52"/>
      <c r="W288" s="52"/>
      <c r="X288" s="52"/>
      <c r="Y288" s="52"/>
      <c r="Z288" s="51"/>
      <c r="AA288" s="73"/>
      <c r="AB288" s="73"/>
      <c r="AC288" s="74"/>
      <c r="AD288" s="80" t="s">
        <v>6871</v>
      </c>
      <c r="AE288" s="85" t="s">
        <v>6282</v>
      </c>
      <c r="AF288" s="80">
        <v>74</v>
      </c>
      <c r="AG288" s="80">
        <v>6</v>
      </c>
      <c r="AH288" s="80">
        <v>643</v>
      </c>
      <c r="AI288" s="80">
        <v>401</v>
      </c>
      <c r="AJ288" s="80"/>
      <c r="AK288" s="80"/>
      <c r="AL288" s="80"/>
      <c r="AM288" s="80"/>
      <c r="AN288" s="80"/>
      <c r="AO288" s="82">
        <v>43465.258125</v>
      </c>
      <c r="AP288" s="80"/>
      <c r="AQ288" s="80" t="b">
        <v>1</v>
      </c>
      <c r="AR288" s="80" t="b">
        <v>0</v>
      </c>
      <c r="AS288" s="80" t="b">
        <v>1</v>
      </c>
      <c r="AT288" s="80"/>
      <c r="AU288" s="80">
        <v>0</v>
      </c>
      <c r="AV288" s="80"/>
      <c r="AW288" s="80" t="b">
        <v>0</v>
      </c>
      <c r="AX288" s="80" t="s">
        <v>10746</v>
      </c>
      <c r="AY288" s="87" t="str">
        <f>HYPERLINK("https://twitter.com/jahja81285550")</f>
        <v>https://twitter.com/jahja81285550</v>
      </c>
      <c r="AZ288" s="80" t="s">
        <v>65</v>
      </c>
      <c r="BA288" s="2"/>
      <c r="BB288" s="3"/>
      <c r="BC288" s="3"/>
      <c r="BD288" s="3"/>
      <c r="BE288" s="3"/>
    </row>
    <row r="289" spans="1:57" x14ac:dyDescent="0.35">
      <c r="A289" s="66" t="s">
        <v>456</v>
      </c>
      <c r="B289" s="67"/>
      <c r="C289" s="67"/>
      <c r="D289" s="68"/>
      <c r="E289" s="70"/>
      <c r="F289" s="109" t="str">
        <f>HYPERLINK("https://pbs.twimg.com/profile_images/1419169594397192198/M32wnBjZ_normal.jpg")</f>
        <v>https://pbs.twimg.com/profile_images/1419169594397192198/M32wnBjZ_normal.jpg</v>
      </c>
      <c r="G289" s="67"/>
      <c r="H289" s="71"/>
      <c r="I289" s="72"/>
      <c r="J289" s="72"/>
      <c r="K289" s="71" t="s">
        <v>11032</v>
      </c>
      <c r="L289" s="75"/>
      <c r="M289" s="76"/>
      <c r="N289" s="76"/>
      <c r="O289" s="77"/>
      <c r="P289" s="78"/>
      <c r="Q289" s="78"/>
      <c r="R289" s="92"/>
      <c r="S289" s="92"/>
      <c r="T289" s="92"/>
      <c r="U289" s="92"/>
      <c r="V289" s="52"/>
      <c r="W289" s="52"/>
      <c r="X289" s="52"/>
      <c r="Y289" s="52"/>
      <c r="Z289" s="51"/>
      <c r="AA289" s="73"/>
      <c r="AB289" s="73"/>
      <c r="AC289" s="74"/>
      <c r="AD289" s="80" t="s">
        <v>6872</v>
      </c>
      <c r="AE289" s="85" t="s">
        <v>8113</v>
      </c>
      <c r="AF289" s="80">
        <v>271</v>
      </c>
      <c r="AG289" s="80">
        <v>429</v>
      </c>
      <c r="AH289" s="80">
        <v>20927</v>
      </c>
      <c r="AI289" s="80">
        <v>1113</v>
      </c>
      <c r="AJ289" s="80"/>
      <c r="AK289" s="80" t="s">
        <v>9216</v>
      </c>
      <c r="AL289" s="80"/>
      <c r="AM289" s="80"/>
      <c r="AN289" s="80"/>
      <c r="AO289" s="82">
        <v>40329.608622685184</v>
      </c>
      <c r="AP289" s="87" t="str">
        <f>HYPERLINK("https://pbs.twimg.com/profile_banners/150274980/1627191402")</f>
        <v>https://pbs.twimg.com/profile_banners/150274980/1627191402</v>
      </c>
      <c r="AQ289" s="80" t="b">
        <v>0</v>
      </c>
      <c r="AR289" s="80" t="b">
        <v>0</v>
      </c>
      <c r="AS289" s="80" t="b">
        <v>1</v>
      </c>
      <c r="AT289" s="80"/>
      <c r="AU289" s="80">
        <v>2</v>
      </c>
      <c r="AV289" s="87" t="str">
        <f>HYPERLINK("https://abs.twimg.com/images/themes/theme9/bg.gif")</f>
        <v>https://abs.twimg.com/images/themes/theme9/bg.gif</v>
      </c>
      <c r="AW289" s="80" t="b">
        <v>0</v>
      </c>
      <c r="AX289" s="80" t="s">
        <v>10746</v>
      </c>
      <c r="AY289" s="87" t="str">
        <f>HYPERLINK("https://twitter.com/ivonnnn")</f>
        <v>https://twitter.com/ivonnnn</v>
      </c>
      <c r="AZ289" s="80" t="s">
        <v>66</v>
      </c>
      <c r="BA289" s="2"/>
      <c r="BB289" s="3"/>
      <c r="BC289" s="3"/>
      <c r="BD289" s="3"/>
      <c r="BE289" s="3"/>
    </row>
    <row r="290" spans="1:57" x14ac:dyDescent="0.35">
      <c r="A290" s="66" t="s">
        <v>457</v>
      </c>
      <c r="B290" s="67"/>
      <c r="C290" s="67"/>
      <c r="D290" s="68"/>
      <c r="E290" s="70"/>
      <c r="F290" s="109" t="str">
        <f>HYPERLINK("https://pbs.twimg.com/profile_images/1441328642362019851/kgCuJREq_normal.jpg")</f>
        <v>https://pbs.twimg.com/profile_images/1441328642362019851/kgCuJREq_normal.jpg</v>
      </c>
      <c r="G290" s="67"/>
      <c r="H290" s="71"/>
      <c r="I290" s="72"/>
      <c r="J290" s="72"/>
      <c r="K290" s="71" t="s">
        <v>11033</v>
      </c>
      <c r="L290" s="75"/>
      <c r="M290" s="76"/>
      <c r="N290" s="76"/>
      <c r="O290" s="77"/>
      <c r="P290" s="78"/>
      <c r="Q290" s="78"/>
      <c r="R290" s="92"/>
      <c r="S290" s="92"/>
      <c r="T290" s="92"/>
      <c r="U290" s="92"/>
      <c r="V290" s="52"/>
      <c r="W290" s="52"/>
      <c r="X290" s="52"/>
      <c r="Y290" s="52"/>
      <c r="Z290" s="51"/>
      <c r="AA290" s="73"/>
      <c r="AB290" s="73"/>
      <c r="AC290" s="74"/>
      <c r="AD290" s="80" t="s">
        <v>6873</v>
      </c>
      <c r="AE290" s="85" t="s">
        <v>8114</v>
      </c>
      <c r="AF290" s="80">
        <v>378</v>
      </c>
      <c r="AG290" s="80">
        <v>297</v>
      </c>
      <c r="AH290" s="80">
        <v>5614</v>
      </c>
      <c r="AI290" s="80">
        <v>6723</v>
      </c>
      <c r="AJ290" s="80"/>
      <c r="AK290" s="80" t="s">
        <v>9217</v>
      </c>
      <c r="AL290" s="80" t="s">
        <v>10248</v>
      </c>
      <c r="AM290" s="87" t="str">
        <f>HYPERLINK("https://t.co/i7aD5j3Nra")</f>
        <v>https://t.co/i7aD5j3Nra</v>
      </c>
      <c r="AN290" s="80"/>
      <c r="AO290" s="82">
        <v>43816.60974537037</v>
      </c>
      <c r="AP290" s="87" t="str">
        <f>HYPERLINK("https://pbs.twimg.com/profile_banners/1206946606161022976/1626843760")</f>
        <v>https://pbs.twimg.com/profile_banners/1206946606161022976/1626843760</v>
      </c>
      <c r="AQ290" s="80" t="b">
        <v>1</v>
      </c>
      <c r="AR290" s="80" t="b">
        <v>0</v>
      </c>
      <c r="AS290" s="80" t="b">
        <v>0</v>
      </c>
      <c r="AT290" s="80"/>
      <c r="AU290" s="80">
        <v>2</v>
      </c>
      <c r="AV290" s="80"/>
      <c r="AW290" s="80" t="b">
        <v>0</v>
      </c>
      <c r="AX290" s="80" t="s">
        <v>10746</v>
      </c>
      <c r="AY290" s="87" t="str">
        <f>HYPERLINK("https://twitter.com/4v0cado1")</f>
        <v>https://twitter.com/4v0cado1</v>
      </c>
      <c r="AZ290" s="80" t="s">
        <v>66</v>
      </c>
      <c r="BA290" s="2"/>
      <c r="BB290" s="3"/>
      <c r="BC290" s="3"/>
      <c r="BD290" s="3"/>
      <c r="BE290" s="3"/>
    </row>
    <row r="291" spans="1:57" x14ac:dyDescent="0.35">
      <c r="A291" s="66" t="s">
        <v>1312</v>
      </c>
      <c r="B291" s="67"/>
      <c r="C291" s="67"/>
      <c r="D291" s="68"/>
      <c r="E291" s="70"/>
      <c r="F291" s="109" t="str">
        <f>HYPERLINK("https://pbs.twimg.com/profile_images/1437697502971453447/U_OztyDS_normal.jpg")</f>
        <v>https://pbs.twimg.com/profile_images/1437697502971453447/U_OztyDS_normal.jpg</v>
      </c>
      <c r="G291" s="67"/>
      <c r="H291" s="71"/>
      <c r="I291" s="72"/>
      <c r="J291" s="72"/>
      <c r="K291" s="71" t="s">
        <v>11034</v>
      </c>
      <c r="L291" s="75"/>
      <c r="M291" s="76"/>
      <c r="N291" s="76"/>
      <c r="O291" s="77"/>
      <c r="P291" s="78"/>
      <c r="Q291" s="78"/>
      <c r="R291" s="92"/>
      <c r="S291" s="92"/>
      <c r="T291" s="92"/>
      <c r="U291" s="92"/>
      <c r="V291" s="52"/>
      <c r="W291" s="52"/>
      <c r="X291" s="52"/>
      <c r="Y291" s="52"/>
      <c r="Z291" s="51"/>
      <c r="AA291" s="73"/>
      <c r="AB291" s="73"/>
      <c r="AC291" s="74"/>
      <c r="AD291" s="80" t="s">
        <v>6874</v>
      </c>
      <c r="AE291" s="85" t="s">
        <v>8115</v>
      </c>
      <c r="AF291" s="80">
        <v>215</v>
      </c>
      <c r="AG291" s="80">
        <v>188</v>
      </c>
      <c r="AH291" s="80">
        <v>2416</v>
      </c>
      <c r="AI291" s="80">
        <v>8197</v>
      </c>
      <c r="AJ291" s="80"/>
      <c r="AK291" s="85" t="s">
        <v>9218</v>
      </c>
      <c r="AL291" s="80" t="s">
        <v>10268</v>
      </c>
      <c r="AM291" s="80"/>
      <c r="AN291" s="80"/>
      <c r="AO291" s="82">
        <v>44078.021354166667</v>
      </c>
      <c r="AP291" s="87" t="str">
        <f>HYPERLINK("https://pbs.twimg.com/profile_banners/1301678758256996352/1631608775")</f>
        <v>https://pbs.twimg.com/profile_banners/1301678758256996352/1631608775</v>
      </c>
      <c r="AQ291" s="80" t="b">
        <v>1</v>
      </c>
      <c r="AR291" s="80" t="b">
        <v>0</v>
      </c>
      <c r="AS291" s="80" t="b">
        <v>0</v>
      </c>
      <c r="AT291" s="80"/>
      <c r="AU291" s="80">
        <v>0</v>
      </c>
      <c r="AV291" s="80"/>
      <c r="AW291" s="80" t="b">
        <v>0</v>
      </c>
      <c r="AX291" s="80" t="s">
        <v>10746</v>
      </c>
      <c r="AY291" s="87" t="str">
        <f>HYPERLINK("https://twitter.com/sshmyyy")</f>
        <v>https://twitter.com/sshmyyy</v>
      </c>
      <c r="AZ291" s="80" t="s">
        <v>65</v>
      </c>
      <c r="BA291" s="2"/>
      <c r="BB291" s="3"/>
      <c r="BC291" s="3"/>
      <c r="BD291" s="3"/>
      <c r="BE291" s="3"/>
    </row>
    <row r="292" spans="1:57" x14ac:dyDescent="0.35">
      <c r="A292" s="66" t="s">
        <v>1313</v>
      </c>
      <c r="B292" s="67"/>
      <c r="C292" s="67"/>
      <c r="D292" s="68"/>
      <c r="E292" s="70"/>
      <c r="F292" s="109" t="str">
        <f>HYPERLINK("https://pbs.twimg.com/profile_images/1440704394060697608/zk2y82E3_normal.jpg")</f>
        <v>https://pbs.twimg.com/profile_images/1440704394060697608/zk2y82E3_normal.jpg</v>
      </c>
      <c r="G292" s="67"/>
      <c r="H292" s="71"/>
      <c r="I292" s="72"/>
      <c r="J292" s="72"/>
      <c r="K292" s="71" t="s">
        <v>11035</v>
      </c>
      <c r="L292" s="75"/>
      <c r="M292" s="76"/>
      <c r="N292" s="76"/>
      <c r="O292" s="77"/>
      <c r="P292" s="78"/>
      <c r="Q292" s="78"/>
      <c r="R292" s="92"/>
      <c r="S292" s="92"/>
      <c r="T292" s="92"/>
      <c r="U292" s="92"/>
      <c r="V292" s="52"/>
      <c r="W292" s="52"/>
      <c r="X292" s="52"/>
      <c r="Y292" s="52"/>
      <c r="Z292" s="51"/>
      <c r="AA292" s="73"/>
      <c r="AB292" s="73"/>
      <c r="AC292" s="74"/>
      <c r="AD292" s="80" t="s">
        <v>6875</v>
      </c>
      <c r="AE292" s="85" t="s">
        <v>8116</v>
      </c>
      <c r="AF292" s="80">
        <v>328</v>
      </c>
      <c r="AG292" s="80">
        <v>291</v>
      </c>
      <c r="AH292" s="80">
        <v>2477</v>
      </c>
      <c r="AI292" s="80">
        <v>22517</v>
      </c>
      <c r="AJ292" s="80"/>
      <c r="AK292" s="80" t="s">
        <v>9219</v>
      </c>
      <c r="AL292" s="80" t="s">
        <v>10269</v>
      </c>
      <c r="AM292" s="80"/>
      <c r="AN292" s="80"/>
      <c r="AO292" s="82">
        <v>43953.963217592594</v>
      </c>
      <c r="AP292" s="87" t="str">
        <f>HYPERLINK("https://pbs.twimg.com/profile_banners/1256721786928017420/1632411943")</f>
        <v>https://pbs.twimg.com/profile_banners/1256721786928017420/1632411943</v>
      </c>
      <c r="AQ292" s="80" t="b">
        <v>1</v>
      </c>
      <c r="AR292" s="80" t="b">
        <v>0</v>
      </c>
      <c r="AS292" s="80" t="b">
        <v>1</v>
      </c>
      <c r="AT292" s="80"/>
      <c r="AU292" s="80">
        <v>0</v>
      </c>
      <c r="AV292" s="80"/>
      <c r="AW292" s="80" t="b">
        <v>0</v>
      </c>
      <c r="AX292" s="80" t="s">
        <v>10746</v>
      </c>
      <c r="AY292" s="87" t="str">
        <f>HYPERLINK("https://twitter.com/breadeujinnie")</f>
        <v>https://twitter.com/breadeujinnie</v>
      </c>
      <c r="AZ292" s="80" t="s">
        <v>65</v>
      </c>
      <c r="BA292" s="2"/>
      <c r="BB292" s="3"/>
      <c r="BC292" s="3"/>
      <c r="BD292" s="3"/>
      <c r="BE292" s="3"/>
    </row>
    <row r="293" spans="1:57" x14ac:dyDescent="0.35">
      <c r="A293" s="66" t="s">
        <v>1314</v>
      </c>
      <c r="B293" s="67"/>
      <c r="C293" s="67"/>
      <c r="D293" s="68"/>
      <c r="E293" s="70"/>
      <c r="F293" s="109" t="str">
        <f>HYPERLINK("https://pbs.twimg.com/profile_images/1442016121230553093/8chl_p5__normal.jpg")</f>
        <v>https://pbs.twimg.com/profile_images/1442016121230553093/8chl_p5__normal.jpg</v>
      </c>
      <c r="G293" s="67"/>
      <c r="H293" s="71"/>
      <c r="I293" s="72"/>
      <c r="J293" s="72"/>
      <c r="K293" s="71" t="s">
        <v>11036</v>
      </c>
      <c r="L293" s="75"/>
      <c r="M293" s="76"/>
      <c r="N293" s="76"/>
      <c r="O293" s="77"/>
      <c r="P293" s="78"/>
      <c r="Q293" s="78"/>
      <c r="R293" s="92"/>
      <c r="S293" s="92"/>
      <c r="T293" s="92"/>
      <c r="U293" s="92"/>
      <c r="V293" s="52"/>
      <c r="W293" s="52"/>
      <c r="X293" s="52"/>
      <c r="Y293" s="52"/>
      <c r="Z293" s="51"/>
      <c r="AA293" s="73"/>
      <c r="AB293" s="73"/>
      <c r="AC293" s="74"/>
      <c r="AD293" s="80" t="s">
        <v>6876</v>
      </c>
      <c r="AE293" s="85" t="s">
        <v>6283</v>
      </c>
      <c r="AF293" s="80">
        <v>785</v>
      </c>
      <c r="AG293" s="80">
        <v>833</v>
      </c>
      <c r="AH293" s="80">
        <v>9747</v>
      </c>
      <c r="AI293" s="80">
        <v>15083</v>
      </c>
      <c r="AJ293" s="80"/>
      <c r="AK293" s="80" t="s">
        <v>9220</v>
      </c>
      <c r="AL293" s="80" t="s">
        <v>10270</v>
      </c>
      <c r="AM293" s="80"/>
      <c r="AN293" s="80"/>
      <c r="AO293" s="82">
        <v>44168.284143518518</v>
      </c>
      <c r="AP293" s="87" t="str">
        <f>HYPERLINK("https://pbs.twimg.com/profile_banners/1334389129929363457/1632805624")</f>
        <v>https://pbs.twimg.com/profile_banners/1334389129929363457/1632805624</v>
      </c>
      <c r="AQ293" s="80" t="b">
        <v>1</v>
      </c>
      <c r="AR293" s="80" t="b">
        <v>0</v>
      </c>
      <c r="AS293" s="80" t="b">
        <v>0</v>
      </c>
      <c r="AT293" s="80"/>
      <c r="AU293" s="80">
        <v>4</v>
      </c>
      <c r="AV293" s="80"/>
      <c r="AW293" s="80" t="b">
        <v>0</v>
      </c>
      <c r="AX293" s="80" t="s">
        <v>10746</v>
      </c>
      <c r="AY293" s="87" t="str">
        <f>HYPERLINK("https://twitter.com/lovlypjs_")</f>
        <v>https://twitter.com/lovlypjs_</v>
      </c>
      <c r="AZ293" s="80" t="s">
        <v>65</v>
      </c>
      <c r="BA293" s="2"/>
      <c r="BB293" s="3"/>
      <c r="BC293" s="3"/>
      <c r="BD293" s="3"/>
      <c r="BE293" s="3"/>
    </row>
    <row r="294" spans="1:57" x14ac:dyDescent="0.35">
      <c r="A294" s="66" t="s">
        <v>458</v>
      </c>
      <c r="B294" s="67"/>
      <c r="C294" s="67"/>
      <c r="D294" s="68"/>
      <c r="E294" s="70"/>
      <c r="F294" s="109" t="str">
        <f>HYPERLINK("https://pbs.twimg.com/profile_images/531043339680751617/xf-KpceA_normal.png")</f>
        <v>https://pbs.twimg.com/profile_images/531043339680751617/xf-KpceA_normal.png</v>
      </c>
      <c r="G294" s="67"/>
      <c r="H294" s="71"/>
      <c r="I294" s="72"/>
      <c r="J294" s="72"/>
      <c r="K294" s="71" t="s">
        <v>11037</v>
      </c>
      <c r="L294" s="75"/>
      <c r="M294" s="76"/>
      <c r="N294" s="76"/>
      <c r="O294" s="77"/>
      <c r="P294" s="78"/>
      <c r="Q294" s="78"/>
      <c r="R294" s="92"/>
      <c r="S294" s="92"/>
      <c r="T294" s="92"/>
      <c r="U294" s="92"/>
      <c r="V294" s="52"/>
      <c r="W294" s="52"/>
      <c r="X294" s="52"/>
      <c r="Y294" s="52"/>
      <c r="Z294" s="51"/>
      <c r="AA294" s="73"/>
      <c r="AB294" s="73"/>
      <c r="AC294" s="74"/>
      <c r="AD294" s="80" t="s">
        <v>6877</v>
      </c>
      <c r="AE294" s="85" t="s">
        <v>8117</v>
      </c>
      <c r="AF294" s="80">
        <v>3</v>
      </c>
      <c r="AG294" s="80">
        <v>3936</v>
      </c>
      <c r="AH294" s="80">
        <v>113149</v>
      </c>
      <c r="AI294" s="80">
        <v>0</v>
      </c>
      <c r="AJ294" s="80"/>
      <c r="AK294" s="80" t="s">
        <v>9221</v>
      </c>
      <c r="AL294" s="80" t="s">
        <v>10139</v>
      </c>
      <c r="AM294" s="80"/>
      <c r="AN294" s="80"/>
      <c r="AO294" s="82">
        <v>41951.471666666665</v>
      </c>
      <c r="AP294" s="87" t="str">
        <f>HYPERLINK("https://pbs.twimg.com/profile_banners/2893722433/1415445824")</f>
        <v>https://pbs.twimg.com/profile_banners/2893722433/1415445824</v>
      </c>
      <c r="AQ294" s="80" t="b">
        <v>0</v>
      </c>
      <c r="AR294" s="80" t="b">
        <v>0</v>
      </c>
      <c r="AS294" s="80" t="b">
        <v>0</v>
      </c>
      <c r="AT294" s="80"/>
      <c r="AU294" s="80">
        <v>71</v>
      </c>
      <c r="AV294" s="87" t="str">
        <f>HYPERLINK("https://abs.twimg.com/images/themes/theme10/bg.gif")</f>
        <v>https://abs.twimg.com/images/themes/theme10/bg.gif</v>
      </c>
      <c r="AW294" s="80" t="b">
        <v>0</v>
      </c>
      <c r="AX294" s="80" t="s">
        <v>10746</v>
      </c>
      <c r="AY294" s="87" t="str">
        <f>HYPERLINK("https://twitter.com/bknsquare")</f>
        <v>https://twitter.com/bknsquare</v>
      </c>
      <c r="AZ294" s="80" t="s">
        <v>66</v>
      </c>
      <c r="BA294" s="2"/>
      <c r="BB294" s="3"/>
      <c r="BC294" s="3"/>
      <c r="BD294" s="3"/>
      <c r="BE294" s="3"/>
    </row>
    <row r="295" spans="1:57" x14ac:dyDescent="0.35">
      <c r="A295" s="66" t="s">
        <v>459</v>
      </c>
      <c r="B295" s="67"/>
      <c r="C295" s="67"/>
      <c r="D295" s="68"/>
      <c r="E295" s="70"/>
      <c r="F295" s="109" t="str">
        <f>HYPERLINK("https://pbs.twimg.com/profile_images/1434843546813702147/1XfLrlDJ_normal.jpg")</f>
        <v>https://pbs.twimg.com/profile_images/1434843546813702147/1XfLrlDJ_normal.jpg</v>
      </c>
      <c r="G295" s="67"/>
      <c r="H295" s="71"/>
      <c r="I295" s="72"/>
      <c r="J295" s="72"/>
      <c r="K295" s="71" t="s">
        <v>11038</v>
      </c>
      <c r="L295" s="75"/>
      <c r="M295" s="76"/>
      <c r="N295" s="76"/>
      <c r="O295" s="77"/>
      <c r="P295" s="78"/>
      <c r="Q295" s="78"/>
      <c r="R295" s="92"/>
      <c r="S295" s="92"/>
      <c r="T295" s="92"/>
      <c r="U295" s="92"/>
      <c r="V295" s="52"/>
      <c r="W295" s="52"/>
      <c r="X295" s="52"/>
      <c r="Y295" s="52"/>
      <c r="Z295" s="51"/>
      <c r="AA295" s="73"/>
      <c r="AB295" s="73"/>
      <c r="AC295" s="74"/>
      <c r="AD295" s="80" t="s">
        <v>6878</v>
      </c>
      <c r="AE295" s="85" t="s">
        <v>8118</v>
      </c>
      <c r="AF295" s="80">
        <v>153</v>
      </c>
      <c r="AG295" s="80">
        <v>10</v>
      </c>
      <c r="AH295" s="80">
        <v>736</v>
      </c>
      <c r="AI295" s="80">
        <v>486</v>
      </c>
      <c r="AJ295" s="80"/>
      <c r="AK295" s="80" t="s">
        <v>9222</v>
      </c>
      <c r="AL295" s="80"/>
      <c r="AM295" s="80"/>
      <c r="AN295" s="80"/>
      <c r="AO295" s="82">
        <v>44445.485000000001</v>
      </c>
      <c r="AP295" s="80"/>
      <c r="AQ295" s="80" t="b">
        <v>1</v>
      </c>
      <c r="AR295" s="80" t="b">
        <v>0</v>
      </c>
      <c r="AS295" s="80" t="b">
        <v>0</v>
      </c>
      <c r="AT295" s="80"/>
      <c r="AU295" s="80">
        <v>0</v>
      </c>
      <c r="AV295" s="80"/>
      <c r="AW295" s="80" t="b">
        <v>0</v>
      </c>
      <c r="AX295" s="80" t="s">
        <v>10746</v>
      </c>
      <c r="AY295" s="87" t="str">
        <f>HYPERLINK("https://twitter.com/oyehero4200")</f>
        <v>https://twitter.com/oyehero4200</v>
      </c>
      <c r="AZ295" s="80" t="s">
        <v>66</v>
      </c>
      <c r="BA295" s="2"/>
      <c r="BB295" s="3"/>
      <c r="BC295" s="3"/>
      <c r="BD295" s="3"/>
      <c r="BE295" s="3"/>
    </row>
    <row r="296" spans="1:57" x14ac:dyDescent="0.35">
      <c r="A296" s="66" t="s">
        <v>460</v>
      </c>
      <c r="B296" s="67"/>
      <c r="C296" s="67"/>
      <c r="D296" s="68"/>
      <c r="E296" s="70"/>
      <c r="F296" s="109" t="str">
        <f>HYPERLINK("https://pbs.twimg.com/profile_images/1431264894297382919/iqMmDMsn_normal.jpg")</f>
        <v>https://pbs.twimg.com/profile_images/1431264894297382919/iqMmDMsn_normal.jpg</v>
      </c>
      <c r="G296" s="67"/>
      <c r="H296" s="71"/>
      <c r="I296" s="72"/>
      <c r="J296" s="72"/>
      <c r="K296" s="71" t="s">
        <v>11039</v>
      </c>
      <c r="L296" s="75"/>
      <c r="M296" s="76"/>
      <c r="N296" s="76"/>
      <c r="O296" s="77"/>
      <c r="P296" s="78"/>
      <c r="Q296" s="78"/>
      <c r="R296" s="92"/>
      <c r="S296" s="92"/>
      <c r="T296" s="92"/>
      <c r="U296" s="92"/>
      <c r="V296" s="52"/>
      <c r="W296" s="52"/>
      <c r="X296" s="52"/>
      <c r="Y296" s="52"/>
      <c r="Z296" s="51"/>
      <c r="AA296" s="73"/>
      <c r="AB296" s="73"/>
      <c r="AC296" s="74"/>
      <c r="AD296" s="80" t="s">
        <v>6632</v>
      </c>
      <c r="AE296" s="85" t="s">
        <v>8119</v>
      </c>
      <c r="AF296" s="80">
        <v>7</v>
      </c>
      <c r="AG296" s="80">
        <v>11</v>
      </c>
      <c r="AH296" s="80">
        <v>1202</v>
      </c>
      <c r="AI296" s="80">
        <v>2</v>
      </c>
      <c r="AJ296" s="80"/>
      <c r="AK296" s="80" t="s">
        <v>9223</v>
      </c>
      <c r="AL296" s="80"/>
      <c r="AM296" s="80"/>
      <c r="AN296" s="80"/>
      <c r="AO296" s="82">
        <v>44435.599988425929</v>
      </c>
      <c r="AP296" s="80"/>
      <c r="AQ296" s="80" t="b">
        <v>1</v>
      </c>
      <c r="AR296" s="80" t="b">
        <v>0</v>
      </c>
      <c r="AS296" s="80" t="b">
        <v>0</v>
      </c>
      <c r="AT296" s="80"/>
      <c r="AU296" s="80">
        <v>0</v>
      </c>
      <c r="AV296" s="80"/>
      <c r="AW296" s="80" t="b">
        <v>0</v>
      </c>
      <c r="AX296" s="80" t="s">
        <v>10746</v>
      </c>
      <c r="AY296" s="87" t="str">
        <f>HYPERLINK("https://twitter.com/malangdorn1")</f>
        <v>https://twitter.com/malangdorn1</v>
      </c>
      <c r="AZ296" s="80" t="s">
        <v>66</v>
      </c>
      <c r="BA296" s="2"/>
      <c r="BB296" s="3"/>
      <c r="BC296" s="3"/>
      <c r="BD296" s="3"/>
      <c r="BE296" s="3"/>
    </row>
    <row r="297" spans="1:57" x14ac:dyDescent="0.35">
      <c r="A297" s="66" t="s">
        <v>461</v>
      </c>
      <c r="B297" s="67"/>
      <c r="C297" s="67"/>
      <c r="D297" s="68"/>
      <c r="E297" s="70"/>
      <c r="F297" s="109" t="str">
        <f>HYPERLINK("https://pbs.twimg.com/profile_images/1435997564898217985/wEp96SUf_normal.jpg")</f>
        <v>https://pbs.twimg.com/profile_images/1435997564898217985/wEp96SUf_normal.jpg</v>
      </c>
      <c r="G297" s="67"/>
      <c r="H297" s="71"/>
      <c r="I297" s="72"/>
      <c r="J297" s="72"/>
      <c r="K297" s="71" t="s">
        <v>11040</v>
      </c>
      <c r="L297" s="75"/>
      <c r="M297" s="76"/>
      <c r="N297" s="76"/>
      <c r="O297" s="77"/>
      <c r="P297" s="78"/>
      <c r="Q297" s="78"/>
      <c r="R297" s="92"/>
      <c r="S297" s="92"/>
      <c r="T297" s="92"/>
      <c r="U297" s="92"/>
      <c r="V297" s="52"/>
      <c r="W297" s="52"/>
      <c r="X297" s="52"/>
      <c r="Y297" s="52"/>
      <c r="Z297" s="51"/>
      <c r="AA297" s="73"/>
      <c r="AB297" s="73"/>
      <c r="AC297" s="74"/>
      <c r="AD297" s="80" t="s">
        <v>6879</v>
      </c>
      <c r="AE297" s="85" t="s">
        <v>8120</v>
      </c>
      <c r="AF297" s="80">
        <v>422</v>
      </c>
      <c r="AG297" s="80">
        <v>6</v>
      </c>
      <c r="AH297" s="80">
        <v>269</v>
      </c>
      <c r="AI297" s="80">
        <v>31</v>
      </c>
      <c r="AJ297" s="80"/>
      <c r="AK297" s="80" t="s">
        <v>9224</v>
      </c>
      <c r="AL297" s="80"/>
      <c r="AM297" s="80"/>
      <c r="AN297" s="80"/>
      <c r="AO297" s="82">
        <v>44447.687002314815</v>
      </c>
      <c r="AP297" s="80"/>
      <c r="AQ297" s="80" t="b">
        <v>1</v>
      </c>
      <c r="AR297" s="80" t="b">
        <v>0</v>
      </c>
      <c r="AS297" s="80" t="b">
        <v>0</v>
      </c>
      <c r="AT297" s="80"/>
      <c r="AU297" s="80">
        <v>0</v>
      </c>
      <c r="AV297" s="80"/>
      <c r="AW297" s="80" t="b">
        <v>0</v>
      </c>
      <c r="AX297" s="80" t="s">
        <v>10746</v>
      </c>
      <c r="AY297" s="87" t="str">
        <f>HYPERLINK("https://twitter.com/fatemeh50692110")</f>
        <v>https://twitter.com/fatemeh50692110</v>
      </c>
      <c r="AZ297" s="80" t="s">
        <v>66</v>
      </c>
      <c r="BA297" s="2"/>
      <c r="BB297" s="3"/>
      <c r="BC297" s="3"/>
      <c r="BD297" s="3"/>
      <c r="BE297" s="3"/>
    </row>
    <row r="298" spans="1:57" x14ac:dyDescent="0.35">
      <c r="A298" s="66" t="s">
        <v>462</v>
      </c>
      <c r="B298" s="67"/>
      <c r="C298" s="67"/>
      <c r="D298" s="68"/>
      <c r="E298" s="70"/>
      <c r="F298" s="109" t="str">
        <f>HYPERLINK("https://pbs.twimg.com/profile_images/1430762952697647104/sYtyW0hc_normal.jpg")</f>
        <v>https://pbs.twimg.com/profile_images/1430762952697647104/sYtyW0hc_normal.jpg</v>
      </c>
      <c r="G298" s="67"/>
      <c r="H298" s="71"/>
      <c r="I298" s="72"/>
      <c r="J298" s="72"/>
      <c r="K298" s="71" t="s">
        <v>11041</v>
      </c>
      <c r="L298" s="75"/>
      <c r="M298" s="76"/>
      <c r="N298" s="76"/>
      <c r="O298" s="77"/>
      <c r="P298" s="78"/>
      <c r="Q298" s="78"/>
      <c r="R298" s="92"/>
      <c r="S298" s="92"/>
      <c r="T298" s="92"/>
      <c r="U298" s="92"/>
      <c r="V298" s="52"/>
      <c r="W298" s="52"/>
      <c r="X298" s="52"/>
      <c r="Y298" s="52"/>
      <c r="Z298" s="51"/>
      <c r="AA298" s="73"/>
      <c r="AB298" s="73"/>
      <c r="AC298" s="74"/>
      <c r="AD298" s="80" t="s">
        <v>6880</v>
      </c>
      <c r="AE298" s="85" t="s">
        <v>8121</v>
      </c>
      <c r="AF298" s="80">
        <v>290</v>
      </c>
      <c r="AG298" s="80">
        <v>96</v>
      </c>
      <c r="AH298" s="80">
        <v>658</v>
      </c>
      <c r="AI298" s="80">
        <v>2207</v>
      </c>
      <c r="AJ298" s="80"/>
      <c r="AK298" s="80" t="s">
        <v>9225</v>
      </c>
      <c r="AL298" s="80" t="s">
        <v>10182</v>
      </c>
      <c r="AM298" s="80"/>
      <c r="AN298" s="80"/>
      <c r="AO298" s="82">
        <v>44201.480428240742</v>
      </c>
      <c r="AP298" s="87" t="str">
        <f>HYPERLINK("https://pbs.twimg.com/profile_banners/1346419008510119937/1609846535")</f>
        <v>https://pbs.twimg.com/profile_banners/1346419008510119937/1609846535</v>
      </c>
      <c r="AQ298" s="80" t="b">
        <v>1</v>
      </c>
      <c r="AR298" s="80" t="b">
        <v>0</v>
      </c>
      <c r="AS298" s="80" t="b">
        <v>0</v>
      </c>
      <c r="AT298" s="80"/>
      <c r="AU298" s="80">
        <v>1</v>
      </c>
      <c r="AV298" s="80"/>
      <c r="AW298" s="80" t="b">
        <v>0</v>
      </c>
      <c r="AX298" s="80" t="s">
        <v>10746</v>
      </c>
      <c r="AY298" s="87" t="str">
        <f>HYPERLINK("https://twitter.com/bangqiha")</f>
        <v>https://twitter.com/bangqiha</v>
      </c>
      <c r="AZ298" s="80" t="s">
        <v>66</v>
      </c>
      <c r="BA298" s="2"/>
      <c r="BB298" s="3"/>
      <c r="BC298" s="3"/>
      <c r="BD298" s="3"/>
      <c r="BE298" s="3"/>
    </row>
    <row r="299" spans="1:57" x14ac:dyDescent="0.35">
      <c r="A299" s="66" t="s">
        <v>463</v>
      </c>
      <c r="B299" s="67"/>
      <c r="C299" s="67"/>
      <c r="D299" s="68"/>
      <c r="E299" s="70"/>
      <c r="F299" s="109" t="str">
        <f>HYPERLINK("https://pbs.twimg.com/profile_images/1433485471779201051/cSlmP3Zg_normal.jpg")</f>
        <v>https://pbs.twimg.com/profile_images/1433485471779201051/cSlmP3Zg_normal.jpg</v>
      </c>
      <c r="G299" s="67"/>
      <c r="H299" s="71"/>
      <c r="I299" s="72"/>
      <c r="J299" s="72"/>
      <c r="K299" s="71" t="s">
        <v>11042</v>
      </c>
      <c r="L299" s="75"/>
      <c r="M299" s="76"/>
      <c r="N299" s="76"/>
      <c r="O299" s="77"/>
      <c r="P299" s="78"/>
      <c r="Q299" s="78"/>
      <c r="R299" s="92"/>
      <c r="S299" s="92"/>
      <c r="T299" s="92"/>
      <c r="U299" s="92"/>
      <c r="V299" s="52"/>
      <c r="W299" s="52"/>
      <c r="X299" s="52"/>
      <c r="Y299" s="52"/>
      <c r="Z299" s="51"/>
      <c r="AA299" s="73"/>
      <c r="AB299" s="73"/>
      <c r="AC299" s="74"/>
      <c r="AD299" s="80" t="s">
        <v>6881</v>
      </c>
      <c r="AE299" s="85" t="s">
        <v>8122</v>
      </c>
      <c r="AF299" s="80">
        <v>1255</v>
      </c>
      <c r="AG299" s="80">
        <v>1147</v>
      </c>
      <c r="AH299" s="80">
        <v>8767</v>
      </c>
      <c r="AI299" s="80">
        <v>20532</v>
      </c>
      <c r="AJ299" s="80"/>
      <c r="AK299" s="80" t="s">
        <v>9226</v>
      </c>
      <c r="AL299" s="80" t="s">
        <v>10157</v>
      </c>
      <c r="AM299" s="80"/>
      <c r="AN299" s="80"/>
      <c r="AO299" s="82">
        <v>44296.65079861111</v>
      </c>
      <c r="AP299" s="87" t="str">
        <f>HYPERLINK("https://pbs.twimg.com/profile_banners/1380907660342554625/1629215303")</f>
        <v>https://pbs.twimg.com/profile_banners/1380907660342554625/1629215303</v>
      </c>
      <c r="AQ299" s="80" t="b">
        <v>1</v>
      </c>
      <c r="AR299" s="80" t="b">
        <v>0</v>
      </c>
      <c r="AS299" s="80" t="b">
        <v>0</v>
      </c>
      <c r="AT299" s="80"/>
      <c r="AU299" s="80">
        <v>3</v>
      </c>
      <c r="AV299" s="80"/>
      <c r="AW299" s="80" t="b">
        <v>0</v>
      </c>
      <c r="AX299" s="80" t="s">
        <v>10746</v>
      </c>
      <c r="AY299" s="87" t="str">
        <f>HYPERLINK("https://twitter.com/skzanddstay")</f>
        <v>https://twitter.com/skzanddstay</v>
      </c>
      <c r="AZ299" s="80" t="s">
        <v>66</v>
      </c>
      <c r="BA299" s="2"/>
      <c r="BB299" s="3"/>
      <c r="BC299" s="3"/>
      <c r="BD299" s="3"/>
      <c r="BE299" s="3"/>
    </row>
    <row r="300" spans="1:57" x14ac:dyDescent="0.35">
      <c r="A300" s="66" t="s">
        <v>464</v>
      </c>
      <c r="B300" s="67"/>
      <c r="C300" s="67"/>
      <c r="D300" s="68"/>
      <c r="E300" s="70"/>
      <c r="F300" s="109" t="str">
        <f>HYPERLINK("https://pbs.twimg.com/profile_images/832225583828316160/05RUCyjH_normal.jpg")</f>
        <v>https://pbs.twimg.com/profile_images/832225583828316160/05RUCyjH_normal.jpg</v>
      </c>
      <c r="G300" s="67"/>
      <c r="H300" s="71"/>
      <c r="I300" s="72"/>
      <c r="J300" s="72"/>
      <c r="K300" s="71" t="s">
        <v>11043</v>
      </c>
      <c r="L300" s="75"/>
      <c r="M300" s="76"/>
      <c r="N300" s="76"/>
      <c r="O300" s="77"/>
      <c r="P300" s="78"/>
      <c r="Q300" s="78"/>
      <c r="R300" s="92"/>
      <c r="S300" s="92"/>
      <c r="T300" s="92"/>
      <c r="U300" s="92"/>
      <c r="V300" s="52"/>
      <c r="W300" s="52"/>
      <c r="X300" s="52"/>
      <c r="Y300" s="52"/>
      <c r="Z300" s="51"/>
      <c r="AA300" s="73"/>
      <c r="AB300" s="73"/>
      <c r="AC300" s="74"/>
      <c r="AD300" s="80" t="s">
        <v>6882</v>
      </c>
      <c r="AE300" s="85" t="s">
        <v>8123</v>
      </c>
      <c r="AF300" s="80">
        <v>319</v>
      </c>
      <c r="AG300" s="80">
        <v>83</v>
      </c>
      <c r="AH300" s="80">
        <v>17922</v>
      </c>
      <c r="AI300" s="80">
        <v>218</v>
      </c>
      <c r="AJ300" s="80"/>
      <c r="AK300" s="80" t="s">
        <v>9227</v>
      </c>
      <c r="AL300" s="80" t="s">
        <v>10271</v>
      </c>
      <c r="AM300" s="80"/>
      <c r="AN300" s="80"/>
      <c r="AO300" s="82">
        <v>39968.385740740741</v>
      </c>
      <c r="AP300" s="87" t="str">
        <f>HYPERLINK("https://pbs.twimg.com/profile_banners/44580036/1413834882")</f>
        <v>https://pbs.twimg.com/profile_banners/44580036/1413834882</v>
      </c>
      <c r="AQ300" s="80" t="b">
        <v>0</v>
      </c>
      <c r="AR300" s="80" t="b">
        <v>0</v>
      </c>
      <c r="AS300" s="80" t="b">
        <v>1</v>
      </c>
      <c r="AT300" s="80"/>
      <c r="AU300" s="80">
        <v>0</v>
      </c>
      <c r="AV300" s="87" t="str">
        <f>HYPERLINK("https://abs.twimg.com/images/themes/theme3/bg.gif")</f>
        <v>https://abs.twimg.com/images/themes/theme3/bg.gif</v>
      </c>
      <c r="AW300" s="80" t="b">
        <v>0</v>
      </c>
      <c r="AX300" s="80" t="s">
        <v>10746</v>
      </c>
      <c r="AY300" s="87" t="str">
        <f>HYPERLINK("https://twitter.com/ponilempar")</f>
        <v>https://twitter.com/ponilempar</v>
      </c>
      <c r="AZ300" s="80" t="s">
        <v>66</v>
      </c>
      <c r="BA300" s="2"/>
      <c r="BB300" s="3"/>
      <c r="BC300" s="3"/>
      <c r="BD300" s="3"/>
      <c r="BE300" s="3"/>
    </row>
    <row r="301" spans="1:57" x14ac:dyDescent="0.35">
      <c r="A301" s="66" t="s">
        <v>465</v>
      </c>
      <c r="B301" s="67"/>
      <c r="C301" s="67"/>
      <c r="D301" s="68"/>
      <c r="E301" s="70"/>
      <c r="F301" s="109" t="str">
        <f>HYPERLINK("https://pbs.twimg.com/profile_images/1220615110382649344/dKRc82fC_normal.jpg")</f>
        <v>https://pbs.twimg.com/profile_images/1220615110382649344/dKRc82fC_normal.jpg</v>
      </c>
      <c r="G301" s="67"/>
      <c r="H301" s="71"/>
      <c r="I301" s="72"/>
      <c r="J301" s="72"/>
      <c r="K301" s="71" t="s">
        <v>11044</v>
      </c>
      <c r="L301" s="75"/>
      <c r="M301" s="76"/>
      <c r="N301" s="76"/>
      <c r="O301" s="77"/>
      <c r="P301" s="78"/>
      <c r="Q301" s="78"/>
      <c r="R301" s="92"/>
      <c r="S301" s="92"/>
      <c r="T301" s="92"/>
      <c r="U301" s="92"/>
      <c r="V301" s="52"/>
      <c r="W301" s="52"/>
      <c r="X301" s="52"/>
      <c r="Y301" s="52"/>
      <c r="Z301" s="51"/>
      <c r="AA301" s="73"/>
      <c r="AB301" s="73"/>
      <c r="AC301" s="74"/>
      <c r="AD301" s="80" t="s">
        <v>6883</v>
      </c>
      <c r="AE301" s="85" t="s">
        <v>8124</v>
      </c>
      <c r="AF301" s="80">
        <v>1213</v>
      </c>
      <c r="AG301" s="80">
        <v>99</v>
      </c>
      <c r="AH301" s="80">
        <v>19072</v>
      </c>
      <c r="AI301" s="80">
        <v>41574</v>
      </c>
      <c r="AJ301" s="80"/>
      <c r="AK301" s="80" t="s">
        <v>9228</v>
      </c>
      <c r="AL301" s="80"/>
      <c r="AM301" s="80"/>
      <c r="AN301" s="80"/>
      <c r="AO301" s="82">
        <v>43561.697453703702</v>
      </c>
      <c r="AP301" s="80"/>
      <c r="AQ301" s="80" t="b">
        <v>1</v>
      </c>
      <c r="AR301" s="80" t="b">
        <v>0</v>
      </c>
      <c r="AS301" s="80" t="b">
        <v>0</v>
      </c>
      <c r="AT301" s="80"/>
      <c r="AU301" s="80">
        <v>0</v>
      </c>
      <c r="AV301" s="80"/>
      <c r="AW301" s="80" t="b">
        <v>0</v>
      </c>
      <c r="AX301" s="80" t="s">
        <v>10746</v>
      </c>
      <c r="AY301" s="87" t="str">
        <f>HYPERLINK("https://twitter.com/theblsss")</f>
        <v>https://twitter.com/theblsss</v>
      </c>
      <c r="AZ301" s="80" t="s">
        <v>66</v>
      </c>
      <c r="BA301" s="2"/>
      <c r="BB301" s="3"/>
      <c r="BC301" s="3"/>
      <c r="BD301" s="3"/>
      <c r="BE301" s="3"/>
    </row>
    <row r="302" spans="1:57" x14ac:dyDescent="0.35">
      <c r="A302" s="66" t="s">
        <v>466</v>
      </c>
      <c r="B302" s="67"/>
      <c r="C302" s="67"/>
      <c r="D302" s="68"/>
      <c r="E302" s="70"/>
      <c r="F302" s="109" t="str">
        <f>HYPERLINK("https://pbs.twimg.com/profile_images/1435410777934991363/gz3NdzNE_normal.jpg")</f>
        <v>https://pbs.twimg.com/profile_images/1435410777934991363/gz3NdzNE_normal.jpg</v>
      </c>
      <c r="G302" s="67"/>
      <c r="H302" s="71"/>
      <c r="I302" s="72"/>
      <c r="J302" s="72"/>
      <c r="K302" s="71" t="s">
        <v>11045</v>
      </c>
      <c r="L302" s="75"/>
      <c r="M302" s="76"/>
      <c r="N302" s="76"/>
      <c r="O302" s="77"/>
      <c r="P302" s="78"/>
      <c r="Q302" s="78"/>
      <c r="R302" s="92"/>
      <c r="S302" s="92"/>
      <c r="T302" s="92"/>
      <c r="U302" s="92"/>
      <c r="V302" s="52"/>
      <c r="W302" s="52"/>
      <c r="X302" s="52"/>
      <c r="Y302" s="52"/>
      <c r="Z302" s="51"/>
      <c r="AA302" s="73"/>
      <c r="AB302" s="73"/>
      <c r="AC302" s="74"/>
      <c r="AD302" s="80" t="s">
        <v>6884</v>
      </c>
      <c r="AE302" s="85" t="s">
        <v>8125</v>
      </c>
      <c r="AF302" s="80">
        <v>250</v>
      </c>
      <c r="AG302" s="80">
        <v>1000</v>
      </c>
      <c r="AH302" s="80">
        <v>33615</v>
      </c>
      <c r="AI302" s="80">
        <v>101</v>
      </c>
      <c r="AJ302" s="80"/>
      <c r="AK302" s="80" t="s">
        <v>9229</v>
      </c>
      <c r="AL302" s="80"/>
      <c r="AM302" s="87" t="str">
        <f>HYPERLINK("https://t.co/8cccjWvYDM")</f>
        <v>https://t.co/8cccjWvYDM</v>
      </c>
      <c r="AN302" s="80"/>
      <c r="AO302" s="82">
        <v>40984.185034722221</v>
      </c>
      <c r="AP302" s="87" t="str">
        <f>HYPERLINK("https://pbs.twimg.com/profile_banners/526028429/1632667904")</f>
        <v>https://pbs.twimg.com/profile_banners/526028429/1632667904</v>
      </c>
      <c r="AQ302" s="80" t="b">
        <v>0</v>
      </c>
      <c r="AR302" s="80" t="b">
        <v>0</v>
      </c>
      <c r="AS302" s="80" t="b">
        <v>1</v>
      </c>
      <c r="AT302" s="80"/>
      <c r="AU302" s="80">
        <v>0</v>
      </c>
      <c r="AV302" s="87" t="str">
        <f>HYPERLINK("https://abs.twimg.com/images/themes/theme16/bg.gif")</f>
        <v>https://abs.twimg.com/images/themes/theme16/bg.gif</v>
      </c>
      <c r="AW302" s="80" t="b">
        <v>0</v>
      </c>
      <c r="AX302" s="80" t="s">
        <v>10746</v>
      </c>
      <c r="AY302" s="87" t="str">
        <f>HYPERLINK("https://twitter.com/siskaaudhina")</f>
        <v>https://twitter.com/siskaaudhina</v>
      </c>
      <c r="AZ302" s="80" t="s">
        <v>66</v>
      </c>
      <c r="BA302" s="2"/>
      <c r="BB302" s="3"/>
      <c r="BC302" s="3"/>
      <c r="BD302" s="3"/>
      <c r="BE302" s="3"/>
    </row>
    <row r="303" spans="1:57" x14ac:dyDescent="0.35">
      <c r="A303" s="66" t="s">
        <v>467</v>
      </c>
      <c r="B303" s="67"/>
      <c r="C303" s="67"/>
      <c r="D303" s="68"/>
      <c r="E303" s="70"/>
      <c r="F303" s="109" t="str">
        <f>HYPERLINK("https://pbs.twimg.com/profile_images/1436535696978706435/Q7s_YNJJ_normal.jpg")</f>
        <v>https://pbs.twimg.com/profile_images/1436535696978706435/Q7s_YNJJ_normal.jpg</v>
      </c>
      <c r="G303" s="67"/>
      <c r="H303" s="71"/>
      <c r="I303" s="72"/>
      <c r="J303" s="72"/>
      <c r="K303" s="71" t="s">
        <v>11046</v>
      </c>
      <c r="L303" s="75"/>
      <c r="M303" s="76"/>
      <c r="N303" s="76"/>
      <c r="O303" s="77"/>
      <c r="P303" s="78"/>
      <c r="Q303" s="78"/>
      <c r="R303" s="92"/>
      <c r="S303" s="92"/>
      <c r="T303" s="92"/>
      <c r="U303" s="92"/>
      <c r="V303" s="52"/>
      <c r="W303" s="52"/>
      <c r="X303" s="52"/>
      <c r="Y303" s="52"/>
      <c r="Z303" s="51"/>
      <c r="AA303" s="73"/>
      <c r="AB303" s="73"/>
      <c r="AC303" s="74"/>
      <c r="AD303" s="80" t="s">
        <v>6885</v>
      </c>
      <c r="AE303" s="85" t="s">
        <v>8126</v>
      </c>
      <c r="AF303" s="80">
        <v>106</v>
      </c>
      <c r="AG303" s="80">
        <v>29</v>
      </c>
      <c r="AH303" s="80">
        <v>2184</v>
      </c>
      <c r="AI303" s="80">
        <v>3024</v>
      </c>
      <c r="AJ303" s="80"/>
      <c r="AK303" s="80" t="s">
        <v>9230</v>
      </c>
      <c r="AL303" s="80"/>
      <c r="AM303" s="80"/>
      <c r="AN303" s="80"/>
      <c r="AO303" s="82">
        <v>44378.32304398148</v>
      </c>
      <c r="AP303" s="87" t="str">
        <f>HYPERLINK("https://pbs.twimg.com/profile_banners/1410504699044720648/1631914472")</f>
        <v>https://pbs.twimg.com/profile_banners/1410504699044720648/1631914472</v>
      </c>
      <c r="AQ303" s="80" t="b">
        <v>1</v>
      </c>
      <c r="AR303" s="80" t="b">
        <v>0</v>
      </c>
      <c r="AS303" s="80" t="b">
        <v>0</v>
      </c>
      <c r="AT303" s="80"/>
      <c r="AU303" s="80">
        <v>0</v>
      </c>
      <c r="AV303" s="80"/>
      <c r="AW303" s="80" t="b">
        <v>0</v>
      </c>
      <c r="AX303" s="80" t="s">
        <v>10746</v>
      </c>
      <c r="AY303" s="87" t="str">
        <f>HYPERLINK("https://twitter.com/wolfzenluv")</f>
        <v>https://twitter.com/wolfzenluv</v>
      </c>
      <c r="AZ303" s="80" t="s">
        <v>66</v>
      </c>
      <c r="BA303" s="2"/>
      <c r="BB303" s="3"/>
      <c r="BC303" s="3"/>
      <c r="BD303" s="3"/>
      <c r="BE303" s="3"/>
    </row>
    <row r="304" spans="1:57" x14ac:dyDescent="0.35">
      <c r="A304" s="66" t="s">
        <v>468</v>
      </c>
      <c r="B304" s="67"/>
      <c r="C304" s="67"/>
      <c r="D304" s="68"/>
      <c r="E304" s="70"/>
      <c r="F304" s="109" t="str">
        <f>HYPERLINK("https://pbs.twimg.com/profile_images/1348978369648447488/J6mwhzU6_normal.jpg")</f>
        <v>https://pbs.twimg.com/profile_images/1348978369648447488/J6mwhzU6_normal.jpg</v>
      </c>
      <c r="G304" s="67"/>
      <c r="H304" s="71"/>
      <c r="I304" s="72"/>
      <c r="J304" s="72"/>
      <c r="K304" s="71" t="s">
        <v>11047</v>
      </c>
      <c r="L304" s="75"/>
      <c r="M304" s="76"/>
      <c r="N304" s="76"/>
      <c r="O304" s="77"/>
      <c r="P304" s="78"/>
      <c r="Q304" s="78"/>
      <c r="R304" s="92"/>
      <c r="S304" s="92"/>
      <c r="T304" s="92"/>
      <c r="U304" s="92"/>
      <c r="V304" s="52"/>
      <c r="W304" s="52"/>
      <c r="X304" s="52"/>
      <c r="Y304" s="52"/>
      <c r="Z304" s="51"/>
      <c r="AA304" s="73"/>
      <c r="AB304" s="73"/>
      <c r="AC304" s="74"/>
      <c r="AD304" s="80" t="s">
        <v>6886</v>
      </c>
      <c r="AE304" s="85" t="s">
        <v>8127</v>
      </c>
      <c r="AF304" s="80">
        <v>75</v>
      </c>
      <c r="AG304" s="80">
        <v>5075</v>
      </c>
      <c r="AH304" s="80">
        <v>69089</v>
      </c>
      <c r="AI304" s="80">
        <v>6997</v>
      </c>
      <c r="AJ304" s="80"/>
      <c r="AK304" s="80" t="s">
        <v>9231</v>
      </c>
      <c r="AL304" s="80" t="s">
        <v>10272</v>
      </c>
      <c r="AM304" s="80"/>
      <c r="AN304" s="80"/>
      <c r="AO304" s="82">
        <v>40687.002905092595</v>
      </c>
      <c r="AP304" s="87" t="str">
        <f>HYPERLINK("https://pbs.twimg.com/profile_banners/304124400/1610456526")</f>
        <v>https://pbs.twimg.com/profile_banners/304124400/1610456526</v>
      </c>
      <c r="AQ304" s="80" t="b">
        <v>0</v>
      </c>
      <c r="AR304" s="80" t="b">
        <v>0</v>
      </c>
      <c r="AS304" s="80" t="b">
        <v>1</v>
      </c>
      <c r="AT304" s="80"/>
      <c r="AU304" s="80">
        <v>39</v>
      </c>
      <c r="AV304" s="87" t="str">
        <f>HYPERLINK("https://abs.twimg.com/images/themes/theme5/bg.gif")</f>
        <v>https://abs.twimg.com/images/themes/theme5/bg.gif</v>
      </c>
      <c r="AW304" s="80" t="b">
        <v>0</v>
      </c>
      <c r="AX304" s="80" t="s">
        <v>10746</v>
      </c>
      <c r="AY304" s="87" t="str">
        <f>HYPERLINK("https://twitter.com/kotamagetan_")</f>
        <v>https://twitter.com/kotamagetan_</v>
      </c>
      <c r="AZ304" s="80" t="s">
        <v>66</v>
      </c>
      <c r="BA304" s="2"/>
      <c r="BB304" s="3"/>
      <c r="BC304" s="3"/>
      <c r="BD304" s="3"/>
      <c r="BE304" s="3"/>
    </row>
    <row r="305" spans="1:57" x14ac:dyDescent="0.35">
      <c r="A305" s="66" t="s">
        <v>469</v>
      </c>
      <c r="B305" s="67"/>
      <c r="C305" s="67"/>
      <c r="D305" s="68"/>
      <c r="E305" s="70"/>
      <c r="F305" s="109" t="str">
        <f>HYPERLINK("https://pbs.twimg.com/profile_images/1421552766116376577/CQzo6ABw_normal.jpg")</f>
        <v>https://pbs.twimg.com/profile_images/1421552766116376577/CQzo6ABw_normal.jpg</v>
      </c>
      <c r="G305" s="67"/>
      <c r="H305" s="71"/>
      <c r="I305" s="72"/>
      <c r="J305" s="72"/>
      <c r="K305" s="71" t="s">
        <v>11048</v>
      </c>
      <c r="L305" s="75"/>
      <c r="M305" s="76"/>
      <c r="N305" s="76"/>
      <c r="O305" s="77"/>
      <c r="P305" s="78"/>
      <c r="Q305" s="78"/>
      <c r="R305" s="92"/>
      <c r="S305" s="92"/>
      <c r="T305" s="92"/>
      <c r="U305" s="92"/>
      <c r="V305" s="52"/>
      <c r="W305" s="52"/>
      <c r="X305" s="52"/>
      <c r="Y305" s="52"/>
      <c r="Z305" s="51"/>
      <c r="AA305" s="73"/>
      <c r="AB305" s="73"/>
      <c r="AC305" s="74"/>
      <c r="AD305" s="80" t="s">
        <v>6887</v>
      </c>
      <c r="AE305" s="85" t="s">
        <v>8128</v>
      </c>
      <c r="AF305" s="80">
        <v>637</v>
      </c>
      <c r="AG305" s="80">
        <v>31</v>
      </c>
      <c r="AH305" s="80">
        <v>957</v>
      </c>
      <c r="AI305" s="80">
        <v>691</v>
      </c>
      <c r="AJ305" s="80"/>
      <c r="AK305" s="80" t="s">
        <v>9232</v>
      </c>
      <c r="AL305" s="80"/>
      <c r="AM305" s="80"/>
      <c r="AN305" s="80"/>
      <c r="AO305" s="82">
        <v>44408.809317129628</v>
      </c>
      <c r="AP305" s="87" t="str">
        <f>HYPERLINK("https://pbs.twimg.com/profile_banners/1421552076417650690/1632479665")</f>
        <v>https://pbs.twimg.com/profile_banners/1421552076417650690/1632479665</v>
      </c>
      <c r="AQ305" s="80" t="b">
        <v>1</v>
      </c>
      <c r="AR305" s="80" t="b">
        <v>0</v>
      </c>
      <c r="AS305" s="80" t="b">
        <v>0</v>
      </c>
      <c r="AT305" s="80"/>
      <c r="AU305" s="80">
        <v>0</v>
      </c>
      <c r="AV305" s="80"/>
      <c r="AW305" s="80" t="b">
        <v>0</v>
      </c>
      <c r="AX305" s="80" t="s">
        <v>10746</v>
      </c>
      <c r="AY305" s="87" t="str">
        <f>HYPERLINK("https://twitter.com/mahdibagheli1")</f>
        <v>https://twitter.com/mahdibagheli1</v>
      </c>
      <c r="AZ305" s="80" t="s">
        <v>66</v>
      </c>
      <c r="BA305" s="2"/>
      <c r="BB305" s="3"/>
      <c r="BC305" s="3"/>
      <c r="BD305" s="3"/>
      <c r="BE305" s="3"/>
    </row>
    <row r="306" spans="1:57" x14ac:dyDescent="0.35">
      <c r="A306" s="66" t="s">
        <v>470</v>
      </c>
      <c r="B306" s="67"/>
      <c r="C306" s="67"/>
      <c r="D306" s="68"/>
      <c r="E306" s="70"/>
      <c r="F306" s="109" t="str">
        <f>HYPERLINK("https://pbs.twimg.com/profile_images/1440028716155895809/itw3Ntw__normal.jpg")</f>
        <v>https://pbs.twimg.com/profile_images/1440028716155895809/itw3Ntw__normal.jpg</v>
      </c>
      <c r="G306" s="67"/>
      <c r="H306" s="71"/>
      <c r="I306" s="72"/>
      <c r="J306" s="72"/>
      <c r="K306" s="71" t="s">
        <v>11049</v>
      </c>
      <c r="L306" s="75"/>
      <c r="M306" s="76"/>
      <c r="N306" s="76"/>
      <c r="O306" s="77"/>
      <c r="P306" s="78"/>
      <c r="Q306" s="78"/>
      <c r="R306" s="92"/>
      <c r="S306" s="92"/>
      <c r="T306" s="92"/>
      <c r="U306" s="92"/>
      <c r="V306" s="52"/>
      <c r="W306" s="52"/>
      <c r="X306" s="52"/>
      <c r="Y306" s="52"/>
      <c r="Z306" s="51"/>
      <c r="AA306" s="73"/>
      <c r="AB306" s="73"/>
      <c r="AC306" s="74"/>
      <c r="AD306" s="80" t="s">
        <v>6888</v>
      </c>
      <c r="AE306" s="85" t="s">
        <v>8129</v>
      </c>
      <c r="AF306" s="80">
        <v>116</v>
      </c>
      <c r="AG306" s="80">
        <v>7</v>
      </c>
      <c r="AH306" s="80">
        <v>205</v>
      </c>
      <c r="AI306" s="80">
        <v>186</v>
      </c>
      <c r="AJ306" s="80"/>
      <c r="AK306" s="80" t="s">
        <v>9233</v>
      </c>
      <c r="AL306" s="80"/>
      <c r="AM306" s="80"/>
      <c r="AN306" s="80"/>
      <c r="AO306" s="82">
        <v>44239.194722222222</v>
      </c>
      <c r="AP306" s="87" t="str">
        <f>HYPERLINK("https://pbs.twimg.com/profile_banners/1360085354057932801/1614764594")</f>
        <v>https://pbs.twimg.com/profile_banners/1360085354057932801/1614764594</v>
      </c>
      <c r="AQ306" s="80" t="b">
        <v>1</v>
      </c>
      <c r="AR306" s="80" t="b">
        <v>0</v>
      </c>
      <c r="AS306" s="80" t="b">
        <v>0</v>
      </c>
      <c r="AT306" s="80"/>
      <c r="AU306" s="80">
        <v>0</v>
      </c>
      <c r="AV306" s="80"/>
      <c r="AW306" s="80" t="b">
        <v>0</v>
      </c>
      <c r="AX306" s="80" t="s">
        <v>10746</v>
      </c>
      <c r="AY306" s="87" t="str">
        <f>HYPERLINK("https://twitter.com/yanup77")</f>
        <v>https://twitter.com/yanup77</v>
      </c>
      <c r="AZ306" s="80" t="s">
        <v>66</v>
      </c>
      <c r="BA306" s="2"/>
      <c r="BB306" s="3"/>
      <c r="BC306" s="3"/>
      <c r="BD306" s="3"/>
      <c r="BE306" s="3"/>
    </row>
    <row r="307" spans="1:57" x14ac:dyDescent="0.35">
      <c r="A307" s="66" t="s">
        <v>1315</v>
      </c>
      <c r="B307" s="67"/>
      <c r="C307" s="67"/>
      <c r="D307" s="68"/>
      <c r="E307" s="70"/>
      <c r="F307" s="109" t="str">
        <f>HYPERLINK("https://pbs.twimg.com/profile_images/1143468616160956416/LphbuXZ-_normal.jpg")</f>
        <v>https://pbs.twimg.com/profile_images/1143468616160956416/LphbuXZ-_normal.jpg</v>
      </c>
      <c r="G307" s="67"/>
      <c r="H307" s="71"/>
      <c r="I307" s="72"/>
      <c r="J307" s="72"/>
      <c r="K307" s="71" t="s">
        <v>11050</v>
      </c>
      <c r="L307" s="75"/>
      <c r="M307" s="76"/>
      <c r="N307" s="76"/>
      <c r="O307" s="77"/>
      <c r="P307" s="78"/>
      <c r="Q307" s="78"/>
      <c r="R307" s="92"/>
      <c r="S307" s="92"/>
      <c r="T307" s="92"/>
      <c r="U307" s="92"/>
      <c r="V307" s="52"/>
      <c r="W307" s="52"/>
      <c r="X307" s="52"/>
      <c r="Y307" s="52"/>
      <c r="Z307" s="51"/>
      <c r="AA307" s="73"/>
      <c r="AB307" s="73"/>
      <c r="AC307" s="74"/>
      <c r="AD307" s="80" t="s">
        <v>6889</v>
      </c>
      <c r="AE307" s="85" t="s">
        <v>8130</v>
      </c>
      <c r="AF307" s="80">
        <v>109</v>
      </c>
      <c r="AG307" s="80">
        <v>80322</v>
      </c>
      <c r="AH307" s="80">
        <v>165264</v>
      </c>
      <c r="AI307" s="80">
        <v>6933</v>
      </c>
      <c r="AJ307" s="80"/>
      <c r="AK307" s="80" t="s">
        <v>9234</v>
      </c>
      <c r="AL307" s="80" t="s">
        <v>6543</v>
      </c>
      <c r="AM307" s="87" t="str">
        <f>HYPERLINK("https://t.co/FNaFPjBIMd")</f>
        <v>https://t.co/FNaFPjBIMd</v>
      </c>
      <c r="AN307" s="80"/>
      <c r="AO307" s="82">
        <v>40321.380486111113</v>
      </c>
      <c r="AP307" s="87" t="str">
        <f>HYPERLINK("https://pbs.twimg.com/profile_banners/147137991/1618225892")</f>
        <v>https://pbs.twimg.com/profile_banners/147137991/1618225892</v>
      </c>
      <c r="AQ307" s="80" t="b">
        <v>0</v>
      </c>
      <c r="AR307" s="80" t="b">
        <v>0</v>
      </c>
      <c r="AS307" s="80" t="b">
        <v>1</v>
      </c>
      <c r="AT307" s="80"/>
      <c r="AU307" s="80">
        <v>164</v>
      </c>
      <c r="AV307" s="87" t="str">
        <f>HYPERLINK("https://abs.twimg.com/images/themes/theme1/bg.png")</f>
        <v>https://abs.twimg.com/images/themes/theme1/bg.png</v>
      </c>
      <c r="AW307" s="80" t="b">
        <v>0</v>
      </c>
      <c r="AX307" s="80" t="s">
        <v>10746</v>
      </c>
      <c r="AY307" s="87" t="str">
        <f>HYPERLINK("https://twitter.com/posindonesia")</f>
        <v>https://twitter.com/posindonesia</v>
      </c>
      <c r="AZ307" s="80" t="s">
        <v>65</v>
      </c>
      <c r="BA307" s="2"/>
      <c r="BB307" s="3"/>
      <c r="BC307" s="3"/>
      <c r="BD307" s="3"/>
      <c r="BE307" s="3"/>
    </row>
    <row r="308" spans="1:57" x14ac:dyDescent="0.35">
      <c r="A308" s="66" t="s">
        <v>1146</v>
      </c>
      <c r="B308" s="67"/>
      <c r="C308" s="67"/>
      <c r="D308" s="68"/>
      <c r="E308" s="70"/>
      <c r="F308" s="109" t="str">
        <f>HYPERLINK("https://pbs.twimg.com/profile_images/1184408993088724994/MC06j95i_normal.png")</f>
        <v>https://pbs.twimg.com/profile_images/1184408993088724994/MC06j95i_normal.png</v>
      </c>
      <c r="G308" s="67"/>
      <c r="H308" s="71"/>
      <c r="I308" s="72"/>
      <c r="J308" s="72"/>
      <c r="K308" s="71" t="s">
        <v>11051</v>
      </c>
      <c r="L308" s="75"/>
      <c r="M308" s="76"/>
      <c r="N308" s="76"/>
      <c r="O308" s="77"/>
      <c r="P308" s="78"/>
      <c r="Q308" s="78"/>
      <c r="R308" s="92"/>
      <c r="S308" s="92"/>
      <c r="T308" s="92"/>
      <c r="U308" s="92"/>
      <c r="V308" s="52"/>
      <c r="W308" s="52"/>
      <c r="X308" s="52"/>
      <c r="Y308" s="52"/>
      <c r="Z308" s="51"/>
      <c r="AA308" s="73"/>
      <c r="AB308" s="73"/>
      <c r="AC308" s="74"/>
      <c r="AD308" s="80" t="s">
        <v>6890</v>
      </c>
      <c r="AE308" s="85" t="s">
        <v>8131</v>
      </c>
      <c r="AF308" s="80">
        <v>133</v>
      </c>
      <c r="AG308" s="80">
        <v>141552</v>
      </c>
      <c r="AH308" s="80">
        <v>31495</v>
      </c>
      <c r="AI308" s="80">
        <v>343</v>
      </c>
      <c r="AJ308" s="80"/>
      <c r="AK308" s="80" t="s">
        <v>9235</v>
      </c>
      <c r="AL308" s="80" t="s">
        <v>6543</v>
      </c>
      <c r="AM308" s="87" t="str">
        <f>HYPERLINK("https://t.co/D2HEi6nsqo")</f>
        <v>https://t.co/D2HEi6nsqo</v>
      </c>
      <c r="AN308" s="80"/>
      <c r="AO308" s="82">
        <v>40092.146203703705</v>
      </c>
      <c r="AP308" s="87" t="str">
        <f>HYPERLINK("https://pbs.twimg.com/profile_banners/80204488/1625522690")</f>
        <v>https://pbs.twimg.com/profile_banners/80204488/1625522690</v>
      </c>
      <c r="AQ308" s="80" t="b">
        <v>0</v>
      </c>
      <c r="AR308" s="80" t="b">
        <v>0</v>
      </c>
      <c r="AS308" s="80" t="b">
        <v>1</v>
      </c>
      <c r="AT308" s="80"/>
      <c r="AU308" s="80">
        <v>307</v>
      </c>
      <c r="AV308" s="87" t="str">
        <f>HYPERLINK("https://abs.twimg.com/images/themes/theme16/bg.gif")</f>
        <v>https://abs.twimg.com/images/themes/theme16/bg.gif</v>
      </c>
      <c r="AW308" s="80" t="b">
        <v>1</v>
      </c>
      <c r="AX308" s="80" t="s">
        <v>10746</v>
      </c>
      <c r="AY308" s="87" t="str">
        <f>HYPERLINK("https://twitter.com/telkomindonesia")</f>
        <v>https://twitter.com/telkomindonesia</v>
      </c>
      <c r="AZ308" s="80" t="s">
        <v>66</v>
      </c>
      <c r="BA308" s="2"/>
      <c r="BB308" s="3"/>
      <c r="BC308" s="3"/>
      <c r="BD308" s="3"/>
      <c r="BE308" s="3"/>
    </row>
    <row r="309" spans="1:57" x14ac:dyDescent="0.35">
      <c r="A309" s="66" t="s">
        <v>471</v>
      </c>
      <c r="B309" s="67"/>
      <c r="C309" s="67"/>
      <c r="D309" s="68"/>
      <c r="E309" s="70"/>
      <c r="F309" s="109" t="str">
        <f>HYPERLINK("https://pbs.twimg.com/profile_images/1431753342015971332/X4kOck84_normal.jpg")</f>
        <v>https://pbs.twimg.com/profile_images/1431753342015971332/X4kOck84_normal.jpg</v>
      </c>
      <c r="G309" s="67"/>
      <c r="H309" s="71"/>
      <c r="I309" s="72"/>
      <c r="J309" s="72"/>
      <c r="K309" s="71" t="s">
        <v>11052</v>
      </c>
      <c r="L309" s="75"/>
      <c r="M309" s="76"/>
      <c r="N309" s="76"/>
      <c r="O309" s="77"/>
      <c r="P309" s="78"/>
      <c r="Q309" s="78"/>
      <c r="R309" s="92"/>
      <c r="S309" s="92"/>
      <c r="T309" s="92"/>
      <c r="U309" s="92"/>
      <c r="V309" s="52"/>
      <c r="W309" s="52"/>
      <c r="X309" s="52"/>
      <c r="Y309" s="52"/>
      <c r="Z309" s="51"/>
      <c r="AA309" s="73"/>
      <c r="AB309" s="73"/>
      <c r="AC309" s="74"/>
      <c r="AD309" s="80" t="s">
        <v>6891</v>
      </c>
      <c r="AE309" s="85" t="s">
        <v>8132</v>
      </c>
      <c r="AF309" s="80">
        <v>1262</v>
      </c>
      <c r="AG309" s="80">
        <v>522</v>
      </c>
      <c r="AH309" s="80">
        <v>9124</v>
      </c>
      <c r="AI309" s="80">
        <v>16052</v>
      </c>
      <c r="AJ309" s="80"/>
      <c r="AK309" s="80" t="s">
        <v>9236</v>
      </c>
      <c r="AL309" s="80" t="s">
        <v>10273</v>
      </c>
      <c r="AM309" s="80"/>
      <c r="AN309" s="80"/>
      <c r="AO309" s="82">
        <v>43021.841851851852</v>
      </c>
      <c r="AP309" s="87" t="str">
        <f>HYPERLINK("https://pbs.twimg.com/profile_banners/918932420757458945/1576178425")</f>
        <v>https://pbs.twimg.com/profile_banners/918932420757458945/1576178425</v>
      </c>
      <c r="AQ309" s="80" t="b">
        <v>1</v>
      </c>
      <c r="AR309" s="80" t="b">
        <v>0</v>
      </c>
      <c r="AS309" s="80" t="b">
        <v>1</v>
      </c>
      <c r="AT309" s="80"/>
      <c r="AU309" s="80">
        <v>2</v>
      </c>
      <c r="AV309" s="80"/>
      <c r="AW309" s="80" t="b">
        <v>0</v>
      </c>
      <c r="AX309" s="80" t="s">
        <v>10746</v>
      </c>
      <c r="AY309" s="87" t="str">
        <f>HYPERLINK("https://twitter.com/gustavog22")</f>
        <v>https://twitter.com/gustavog22</v>
      </c>
      <c r="AZ309" s="80" t="s">
        <v>66</v>
      </c>
      <c r="BA309" s="2"/>
      <c r="BB309" s="3"/>
      <c r="BC309" s="3"/>
      <c r="BD309" s="3"/>
      <c r="BE309" s="3"/>
    </row>
    <row r="310" spans="1:57" x14ac:dyDescent="0.35">
      <c r="A310" s="66" t="s">
        <v>472</v>
      </c>
      <c r="B310" s="67"/>
      <c r="C310" s="67"/>
      <c r="D310" s="68"/>
      <c r="E310" s="70"/>
      <c r="F310" s="109" t="str">
        <f>HYPERLINK("https://pbs.twimg.com/profile_images/1439299804182556672/Z0uDMxyp_normal.jpg")</f>
        <v>https://pbs.twimg.com/profile_images/1439299804182556672/Z0uDMxyp_normal.jpg</v>
      </c>
      <c r="G310" s="67"/>
      <c r="H310" s="71"/>
      <c r="I310" s="72"/>
      <c r="J310" s="72"/>
      <c r="K310" s="71" t="s">
        <v>11053</v>
      </c>
      <c r="L310" s="75"/>
      <c r="M310" s="76"/>
      <c r="N310" s="76"/>
      <c r="O310" s="77"/>
      <c r="P310" s="78"/>
      <c r="Q310" s="78"/>
      <c r="R310" s="92"/>
      <c r="S310" s="92"/>
      <c r="T310" s="92"/>
      <c r="U310" s="92"/>
      <c r="V310" s="52"/>
      <c r="W310" s="52"/>
      <c r="X310" s="52"/>
      <c r="Y310" s="52"/>
      <c r="Z310" s="51"/>
      <c r="AA310" s="73"/>
      <c r="AB310" s="73"/>
      <c r="AC310" s="74"/>
      <c r="AD310" s="80" t="s">
        <v>6892</v>
      </c>
      <c r="AE310" s="85" t="s">
        <v>8133</v>
      </c>
      <c r="AF310" s="80">
        <v>994</v>
      </c>
      <c r="AG310" s="80">
        <v>830</v>
      </c>
      <c r="AH310" s="80">
        <v>27787</v>
      </c>
      <c r="AI310" s="80">
        <v>57570</v>
      </c>
      <c r="AJ310" s="80"/>
      <c r="AK310" s="80" t="s">
        <v>9237</v>
      </c>
      <c r="AL310" s="80" t="s">
        <v>10274</v>
      </c>
      <c r="AM310" s="80"/>
      <c r="AN310" s="80"/>
      <c r="AO310" s="82">
        <v>43143.818067129629</v>
      </c>
      <c r="AP310" s="87" t="str">
        <f>HYPERLINK("https://pbs.twimg.com/profile_banners/963135119774158849/1628108289")</f>
        <v>https://pbs.twimg.com/profile_banners/963135119774158849/1628108289</v>
      </c>
      <c r="AQ310" s="80" t="b">
        <v>1</v>
      </c>
      <c r="AR310" s="80" t="b">
        <v>0</v>
      </c>
      <c r="AS310" s="80" t="b">
        <v>0</v>
      </c>
      <c r="AT310" s="80"/>
      <c r="AU310" s="80">
        <v>3</v>
      </c>
      <c r="AV310" s="80"/>
      <c r="AW310" s="80" t="b">
        <v>0</v>
      </c>
      <c r="AX310" s="80" t="s">
        <v>10746</v>
      </c>
      <c r="AY310" s="87" t="str">
        <f>HYPERLINK("https://twitter.com/ikertxu_cero8")</f>
        <v>https://twitter.com/ikertxu_cero8</v>
      </c>
      <c r="AZ310" s="80" t="s">
        <v>66</v>
      </c>
      <c r="BA310" s="2"/>
      <c r="BB310" s="3"/>
      <c r="BC310" s="3"/>
      <c r="BD310" s="3"/>
      <c r="BE310" s="3"/>
    </row>
    <row r="311" spans="1:57" x14ac:dyDescent="0.35">
      <c r="A311" s="66" t="s">
        <v>473</v>
      </c>
      <c r="B311" s="67"/>
      <c r="C311" s="67"/>
      <c r="D311" s="68"/>
      <c r="E311" s="70"/>
      <c r="F311" s="109" t="str">
        <f>HYPERLINK("https://pbs.twimg.com/profile_images/1348576728067686401/MsJkmfdb_normal.jpg")</f>
        <v>https://pbs.twimg.com/profile_images/1348576728067686401/MsJkmfdb_normal.jpg</v>
      </c>
      <c r="G311" s="67"/>
      <c r="H311" s="71"/>
      <c r="I311" s="72"/>
      <c r="J311" s="72"/>
      <c r="K311" s="71" t="s">
        <v>11054</v>
      </c>
      <c r="L311" s="75"/>
      <c r="M311" s="76"/>
      <c r="N311" s="76"/>
      <c r="O311" s="77"/>
      <c r="P311" s="78"/>
      <c r="Q311" s="78"/>
      <c r="R311" s="92"/>
      <c r="S311" s="92"/>
      <c r="T311" s="92"/>
      <c r="U311" s="92"/>
      <c r="V311" s="52"/>
      <c r="W311" s="52"/>
      <c r="X311" s="52"/>
      <c r="Y311" s="52"/>
      <c r="Z311" s="51"/>
      <c r="AA311" s="73"/>
      <c r="AB311" s="73"/>
      <c r="AC311" s="74"/>
      <c r="AD311" s="80" t="s">
        <v>6893</v>
      </c>
      <c r="AE311" s="85" t="s">
        <v>8134</v>
      </c>
      <c r="AF311" s="80">
        <v>226</v>
      </c>
      <c r="AG311" s="80">
        <v>167</v>
      </c>
      <c r="AH311" s="80">
        <v>9087</v>
      </c>
      <c r="AI311" s="80">
        <v>9257</v>
      </c>
      <c r="AJ311" s="80"/>
      <c r="AK311" s="80" t="s">
        <v>9238</v>
      </c>
      <c r="AL311" s="80" t="s">
        <v>10210</v>
      </c>
      <c r="AM311" s="87" t="str">
        <f>HYPERLINK("https://t.co/B1INCNNLhn")</f>
        <v>https://t.co/B1INCNNLhn</v>
      </c>
      <c r="AN311" s="80"/>
      <c r="AO311" s="82">
        <v>43727.356504629628</v>
      </c>
      <c r="AP311" s="87" t="str">
        <f>HYPERLINK("https://pbs.twimg.com/profile_banners/1174602325119291392/1622300306")</f>
        <v>https://pbs.twimg.com/profile_banners/1174602325119291392/1622300306</v>
      </c>
      <c r="AQ311" s="80" t="b">
        <v>1</v>
      </c>
      <c r="AR311" s="80" t="b">
        <v>0</v>
      </c>
      <c r="AS311" s="80" t="b">
        <v>0</v>
      </c>
      <c r="AT311" s="80"/>
      <c r="AU311" s="80">
        <v>0</v>
      </c>
      <c r="AV311" s="80"/>
      <c r="AW311" s="80" t="b">
        <v>0</v>
      </c>
      <c r="AX311" s="80" t="s">
        <v>10746</v>
      </c>
      <c r="AY311" s="87" t="str">
        <f>HYPERLINK("https://twitter.com/alifmuamin")</f>
        <v>https://twitter.com/alifmuamin</v>
      </c>
      <c r="AZ311" s="80" t="s">
        <v>66</v>
      </c>
      <c r="BA311" s="2"/>
      <c r="BB311" s="3"/>
      <c r="BC311" s="3"/>
      <c r="BD311" s="3"/>
      <c r="BE311" s="3"/>
    </row>
    <row r="312" spans="1:57" x14ac:dyDescent="0.35">
      <c r="A312" s="66" t="s">
        <v>474</v>
      </c>
      <c r="B312" s="67"/>
      <c r="C312" s="67"/>
      <c r="D312" s="68"/>
      <c r="E312" s="70"/>
      <c r="F312" s="109" t="str">
        <f>HYPERLINK("https://pbs.twimg.com/profile_images/1441227767731736576/wPIKq29D_normal.jpg")</f>
        <v>https://pbs.twimg.com/profile_images/1441227767731736576/wPIKq29D_normal.jpg</v>
      </c>
      <c r="G312" s="67"/>
      <c r="H312" s="71"/>
      <c r="I312" s="72"/>
      <c r="J312" s="72"/>
      <c r="K312" s="71" t="s">
        <v>11055</v>
      </c>
      <c r="L312" s="75"/>
      <c r="M312" s="76"/>
      <c r="N312" s="76"/>
      <c r="O312" s="77"/>
      <c r="P312" s="78"/>
      <c r="Q312" s="78"/>
      <c r="R312" s="92"/>
      <c r="S312" s="92"/>
      <c r="T312" s="92"/>
      <c r="U312" s="92"/>
      <c r="V312" s="52"/>
      <c r="W312" s="52"/>
      <c r="X312" s="52"/>
      <c r="Y312" s="52"/>
      <c r="Z312" s="51"/>
      <c r="AA312" s="73"/>
      <c r="AB312" s="73"/>
      <c r="AC312" s="74"/>
      <c r="AD312" s="80" t="s">
        <v>6894</v>
      </c>
      <c r="AE312" s="85" t="s">
        <v>8135</v>
      </c>
      <c r="AF312" s="80">
        <v>238</v>
      </c>
      <c r="AG312" s="80">
        <v>517</v>
      </c>
      <c r="AH312" s="80">
        <v>35439</v>
      </c>
      <c r="AI312" s="80">
        <v>742</v>
      </c>
      <c r="AJ312" s="80"/>
      <c r="AK312" s="80" t="s">
        <v>9239</v>
      </c>
      <c r="AL312" s="80"/>
      <c r="AM312" s="80"/>
      <c r="AN312" s="80"/>
      <c r="AO312" s="82">
        <v>39919.296620370369</v>
      </c>
      <c r="AP312" s="87" t="str">
        <f>HYPERLINK("https://pbs.twimg.com/profile_banners/31679256/1504434512")</f>
        <v>https://pbs.twimg.com/profile_banners/31679256/1504434512</v>
      </c>
      <c r="AQ312" s="80" t="b">
        <v>0</v>
      </c>
      <c r="AR312" s="80" t="b">
        <v>0</v>
      </c>
      <c r="AS312" s="80" t="b">
        <v>0</v>
      </c>
      <c r="AT312" s="80"/>
      <c r="AU312" s="80">
        <v>0</v>
      </c>
      <c r="AV312" s="87" t="str">
        <f>HYPERLINK("https://abs.twimg.com/images/themes/theme9/bg.gif")</f>
        <v>https://abs.twimg.com/images/themes/theme9/bg.gif</v>
      </c>
      <c r="AW312" s="80" t="b">
        <v>0</v>
      </c>
      <c r="AX312" s="80" t="s">
        <v>10746</v>
      </c>
      <c r="AY312" s="87" t="str">
        <f>HYPERLINK("https://twitter.com/alyssaaudy")</f>
        <v>https://twitter.com/alyssaaudy</v>
      </c>
      <c r="AZ312" s="80" t="s">
        <v>66</v>
      </c>
      <c r="BA312" s="2"/>
      <c r="BB312" s="3"/>
      <c r="BC312" s="3"/>
      <c r="BD312" s="3"/>
      <c r="BE312" s="3"/>
    </row>
    <row r="313" spans="1:57" x14ac:dyDescent="0.35">
      <c r="A313" s="66" t="s">
        <v>475</v>
      </c>
      <c r="B313" s="67"/>
      <c r="C313" s="67"/>
      <c r="D313" s="68"/>
      <c r="E313" s="70"/>
      <c r="F313" s="109" t="str">
        <f>HYPERLINK("https://pbs.twimg.com/profile_images/1433076098808438786/YEr4UQyd_normal.jpg")</f>
        <v>https://pbs.twimg.com/profile_images/1433076098808438786/YEr4UQyd_normal.jpg</v>
      </c>
      <c r="G313" s="67"/>
      <c r="H313" s="71"/>
      <c r="I313" s="72"/>
      <c r="J313" s="72"/>
      <c r="K313" s="71" t="s">
        <v>11056</v>
      </c>
      <c r="L313" s="75"/>
      <c r="M313" s="76"/>
      <c r="N313" s="76"/>
      <c r="O313" s="77"/>
      <c r="P313" s="78"/>
      <c r="Q313" s="78"/>
      <c r="R313" s="92"/>
      <c r="S313" s="92"/>
      <c r="T313" s="92"/>
      <c r="U313" s="92"/>
      <c r="V313" s="52"/>
      <c r="W313" s="52"/>
      <c r="X313" s="52"/>
      <c r="Y313" s="52"/>
      <c r="Z313" s="51"/>
      <c r="AA313" s="73"/>
      <c r="AB313" s="73"/>
      <c r="AC313" s="74"/>
      <c r="AD313" s="80" t="s">
        <v>6895</v>
      </c>
      <c r="AE313" s="85" t="s">
        <v>8136</v>
      </c>
      <c r="AF313" s="80">
        <v>20</v>
      </c>
      <c r="AG313" s="80">
        <v>8</v>
      </c>
      <c r="AH313" s="80">
        <v>806</v>
      </c>
      <c r="AI313" s="80">
        <v>583</v>
      </c>
      <c r="AJ313" s="80"/>
      <c r="AK313" s="80"/>
      <c r="AL313" s="80" t="s">
        <v>10182</v>
      </c>
      <c r="AM313" s="80"/>
      <c r="AN313" s="80"/>
      <c r="AO313" s="82">
        <v>44324.110243055555</v>
      </c>
      <c r="AP313" s="80"/>
      <c r="AQ313" s="80" t="b">
        <v>1</v>
      </c>
      <c r="AR313" s="80" t="b">
        <v>0</v>
      </c>
      <c r="AS313" s="80" t="b">
        <v>1</v>
      </c>
      <c r="AT313" s="80"/>
      <c r="AU313" s="80">
        <v>0</v>
      </c>
      <c r="AV313" s="80"/>
      <c r="AW313" s="80" t="b">
        <v>0</v>
      </c>
      <c r="AX313" s="80" t="s">
        <v>10746</v>
      </c>
      <c r="AY313" s="87" t="str">
        <f>HYPERLINK("https://twitter.com/cheesychoc")</f>
        <v>https://twitter.com/cheesychoc</v>
      </c>
      <c r="AZ313" s="80" t="s">
        <v>66</v>
      </c>
      <c r="BA313" s="2"/>
      <c r="BB313" s="3"/>
      <c r="BC313" s="3"/>
      <c r="BD313" s="3"/>
      <c r="BE313" s="3"/>
    </row>
    <row r="314" spans="1:57" x14ac:dyDescent="0.35">
      <c r="A314" s="66" t="s">
        <v>476</v>
      </c>
      <c r="B314" s="67"/>
      <c r="C314" s="67"/>
      <c r="D314" s="68"/>
      <c r="E314" s="70"/>
      <c r="F314" s="109" t="str">
        <f>HYPERLINK("https://pbs.twimg.com/profile_images/1152387842267471872/ZD4BHcke_normal.jpg")</f>
        <v>https://pbs.twimg.com/profile_images/1152387842267471872/ZD4BHcke_normal.jpg</v>
      </c>
      <c r="G314" s="67"/>
      <c r="H314" s="71"/>
      <c r="I314" s="72"/>
      <c r="J314" s="72"/>
      <c r="K314" s="71" t="s">
        <v>11057</v>
      </c>
      <c r="L314" s="75"/>
      <c r="M314" s="76"/>
      <c r="N314" s="76"/>
      <c r="O314" s="77"/>
      <c r="P314" s="78"/>
      <c r="Q314" s="78"/>
      <c r="R314" s="92"/>
      <c r="S314" s="92"/>
      <c r="T314" s="92"/>
      <c r="U314" s="92"/>
      <c r="V314" s="52"/>
      <c r="W314" s="52"/>
      <c r="X314" s="52"/>
      <c r="Y314" s="52"/>
      <c r="Z314" s="51"/>
      <c r="AA314" s="73"/>
      <c r="AB314" s="73"/>
      <c r="AC314" s="74"/>
      <c r="AD314" s="80" t="s">
        <v>6896</v>
      </c>
      <c r="AE314" s="85" t="s">
        <v>8137</v>
      </c>
      <c r="AF314" s="80">
        <v>1756</v>
      </c>
      <c r="AG314" s="80">
        <v>46629</v>
      </c>
      <c r="AH314" s="80">
        <v>37331</v>
      </c>
      <c r="AI314" s="80">
        <v>2624</v>
      </c>
      <c r="AJ314" s="80"/>
      <c r="AK314" s="80" t="s">
        <v>9240</v>
      </c>
      <c r="AL314" s="80" t="s">
        <v>10134</v>
      </c>
      <c r="AM314" s="87" t="str">
        <f>HYPERLINK("https://t.co/DykodlBeVi")</f>
        <v>https://t.co/DykodlBeVi</v>
      </c>
      <c r="AN314" s="80"/>
      <c r="AO314" s="82">
        <v>40459.635023148148</v>
      </c>
      <c r="AP314" s="87" t="str">
        <f>HYPERLINK("https://pbs.twimg.com/profile_banners/200144577/1572568204")</f>
        <v>https://pbs.twimg.com/profile_banners/200144577/1572568204</v>
      </c>
      <c r="AQ314" s="80" t="b">
        <v>0</v>
      </c>
      <c r="AR314" s="80" t="b">
        <v>0</v>
      </c>
      <c r="AS314" s="80" t="b">
        <v>1</v>
      </c>
      <c r="AT314" s="80"/>
      <c r="AU314" s="80">
        <v>99</v>
      </c>
      <c r="AV314" s="87" t="str">
        <f>HYPERLINK("https://abs.twimg.com/images/themes/theme1/bg.png")</f>
        <v>https://abs.twimg.com/images/themes/theme1/bg.png</v>
      </c>
      <c r="AW314" s="80" t="b">
        <v>0</v>
      </c>
      <c r="AX314" s="80" t="s">
        <v>10746</v>
      </c>
      <c r="AY314" s="87" t="str">
        <f>HYPERLINK("https://twitter.com/ko2w")</f>
        <v>https://twitter.com/ko2w</v>
      </c>
      <c r="AZ314" s="80" t="s">
        <v>66</v>
      </c>
      <c r="BA314" s="2"/>
      <c r="BB314" s="3"/>
      <c r="BC314" s="3"/>
      <c r="BD314" s="3"/>
      <c r="BE314" s="3"/>
    </row>
    <row r="315" spans="1:57" x14ac:dyDescent="0.35">
      <c r="A315" s="66" t="s">
        <v>477</v>
      </c>
      <c r="B315" s="67"/>
      <c r="C315" s="67"/>
      <c r="D315" s="68"/>
      <c r="E315" s="70"/>
      <c r="F315" s="109" t="str">
        <f>HYPERLINK("https://pbs.twimg.com/profile_images/1430486611599392770/Jb6KWmpW_normal.jpg")</f>
        <v>https://pbs.twimg.com/profile_images/1430486611599392770/Jb6KWmpW_normal.jpg</v>
      </c>
      <c r="G315" s="67"/>
      <c r="H315" s="71"/>
      <c r="I315" s="72"/>
      <c r="J315" s="72"/>
      <c r="K315" s="71" t="s">
        <v>11058</v>
      </c>
      <c r="L315" s="75"/>
      <c r="M315" s="76"/>
      <c r="N315" s="76"/>
      <c r="O315" s="77"/>
      <c r="P315" s="78"/>
      <c r="Q315" s="78"/>
      <c r="R315" s="92"/>
      <c r="S315" s="92"/>
      <c r="T315" s="92"/>
      <c r="U315" s="92"/>
      <c r="V315" s="52"/>
      <c r="W315" s="52"/>
      <c r="X315" s="52"/>
      <c r="Y315" s="52"/>
      <c r="Z315" s="51"/>
      <c r="AA315" s="73"/>
      <c r="AB315" s="73"/>
      <c r="AC315" s="74"/>
      <c r="AD315" s="80" t="s">
        <v>6897</v>
      </c>
      <c r="AE315" s="85" t="s">
        <v>8138</v>
      </c>
      <c r="AF315" s="80">
        <v>16</v>
      </c>
      <c r="AG315" s="80">
        <v>2149</v>
      </c>
      <c r="AH315" s="80">
        <v>24373</v>
      </c>
      <c r="AI315" s="80">
        <v>42</v>
      </c>
      <c r="AJ315" s="80"/>
      <c r="AK315" s="80" t="s">
        <v>9241</v>
      </c>
      <c r="AL315" s="80" t="s">
        <v>10275</v>
      </c>
      <c r="AM315" s="87" t="str">
        <f>HYPERLINK("https://t.co/GLm6pSWUpU")</f>
        <v>https://t.co/GLm6pSWUpU</v>
      </c>
      <c r="AN315" s="80"/>
      <c r="AO315" s="82">
        <v>40183.328738425924</v>
      </c>
      <c r="AP315" s="87" t="str">
        <f>HYPERLINK("https://pbs.twimg.com/profile_banners/101995429/1555039835")</f>
        <v>https://pbs.twimg.com/profile_banners/101995429/1555039835</v>
      </c>
      <c r="AQ315" s="80" t="b">
        <v>0</v>
      </c>
      <c r="AR315" s="80" t="b">
        <v>0</v>
      </c>
      <c r="AS315" s="80" t="b">
        <v>1</v>
      </c>
      <c r="AT315" s="80"/>
      <c r="AU315" s="80">
        <v>17</v>
      </c>
      <c r="AV315" s="87" t="str">
        <f>HYPERLINK("https://abs.twimg.com/images/themes/theme9/bg.gif")</f>
        <v>https://abs.twimg.com/images/themes/theme9/bg.gif</v>
      </c>
      <c r="AW315" s="80" t="b">
        <v>0</v>
      </c>
      <c r="AX315" s="80" t="s">
        <v>10746</v>
      </c>
      <c r="AY315" s="87" t="str">
        <f>HYPERLINK("https://twitter.com/eljohnfmpku")</f>
        <v>https://twitter.com/eljohnfmpku</v>
      </c>
      <c r="AZ315" s="80" t="s">
        <v>66</v>
      </c>
      <c r="BA315" s="2"/>
      <c r="BB315" s="3"/>
      <c r="BC315" s="3"/>
      <c r="BD315" s="3"/>
      <c r="BE315" s="3"/>
    </row>
    <row r="316" spans="1:57" x14ac:dyDescent="0.35">
      <c r="A316" s="66" t="s">
        <v>478</v>
      </c>
      <c r="B316" s="67"/>
      <c r="C316" s="67"/>
      <c r="D316" s="68"/>
      <c r="E316" s="70"/>
      <c r="F316" s="109" t="str">
        <f>HYPERLINK("https://pbs.twimg.com/profile_images/1442709714844860419/BKrZk35-_normal.jpg")</f>
        <v>https://pbs.twimg.com/profile_images/1442709714844860419/BKrZk35-_normal.jpg</v>
      </c>
      <c r="G316" s="67"/>
      <c r="H316" s="71"/>
      <c r="I316" s="72"/>
      <c r="J316" s="72"/>
      <c r="K316" s="71" t="s">
        <v>11059</v>
      </c>
      <c r="L316" s="75"/>
      <c r="M316" s="76"/>
      <c r="N316" s="76"/>
      <c r="O316" s="77"/>
      <c r="P316" s="78"/>
      <c r="Q316" s="78"/>
      <c r="R316" s="92"/>
      <c r="S316" s="92"/>
      <c r="T316" s="92"/>
      <c r="U316" s="92"/>
      <c r="V316" s="52"/>
      <c r="W316" s="52"/>
      <c r="X316" s="52"/>
      <c r="Y316" s="52"/>
      <c r="Z316" s="51"/>
      <c r="AA316" s="73"/>
      <c r="AB316" s="73"/>
      <c r="AC316" s="74"/>
      <c r="AD316" s="80" t="s">
        <v>6898</v>
      </c>
      <c r="AE316" s="85" t="s">
        <v>8139</v>
      </c>
      <c r="AF316" s="80">
        <v>348</v>
      </c>
      <c r="AG316" s="80">
        <v>327</v>
      </c>
      <c r="AH316" s="80">
        <v>9292</v>
      </c>
      <c r="AI316" s="80">
        <v>5205</v>
      </c>
      <c r="AJ316" s="80"/>
      <c r="AK316" s="80"/>
      <c r="AL316" s="80" t="s">
        <v>10276</v>
      </c>
      <c r="AM316" s="87" t="str">
        <f>HYPERLINK("https://t.co/R5BsX2w6mS")</f>
        <v>https://t.co/R5BsX2w6mS</v>
      </c>
      <c r="AN316" s="80"/>
      <c r="AO316" s="82">
        <v>44010.110231481478</v>
      </c>
      <c r="AP316" s="87" t="str">
        <f>HYPERLINK("https://pbs.twimg.com/profile_banners/1277068835032449024/1629882279")</f>
        <v>https://pbs.twimg.com/profile_banners/1277068835032449024/1629882279</v>
      </c>
      <c r="AQ316" s="80" t="b">
        <v>1</v>
      </c>
      <c r="AR316" s="80" t="b">
        <v>0</v>
      </c>
      <c r="AS316" s="80" t="b">
        <v>0</v>
      </c>
      <c r="AT316" s="80"/>
      <c r="AU316" s="80">
        <v>7</v>
      </c>
      <c r="AV316" s="80"/>
      <c r="AW316" s="80" t="b">
        <v>0</v>
      </c>
      <c r="AX316" s="80" t="s">
        <v>10746</v>
      </c>
      <c r="AY316" s="87" t="str">
        <f>HYPERLINK("https://twitter.com/mcrkluv")</f>
        <v>https://twitter.com/mcrkluv</v>
      </c>
      <c r="AZ316" s="80" t="s">
        <v>66</v>
      </c>
      <c r="BA316" s="2"/>
      <c r="BB316" s="3"/>
      <c r="BC316" s="3"/>
      <c r="BD316" s="3"/>
      <c r="BE316" s="3"/>
    </row>
    <row r="317" spans="1:57" x14ac:dyDescent="0.35">
      <c r="A317" s="66" t="s">
        <v>479</v>
      </c>
      <c r="B317" s="67"/>
      <c r="C317" s="67"/>
      <c r="D317" s="68"/>
      <c r="E317" s="70"/>
      <c r="F317" s="109" t="str">
        <f>HYPERLINK("https://pbs.twimg.com/profile_images/1437053919201398784/WYwXVqCA_normal.png")</f>
        <v>https://pbs.twimg.com/profile_images/1437053919201398784/WYwXVqCA_normal.png</v>
      </c>
      <c r="G317" s="67"/>
      <c r="H317" s="71"/>
      <c r="I317" s="72"/>
      <c r="J317" s="72"/>
      <c r="K317" s="71" t="s">
        <v>11060</v>
      </c>
      <c r="L317" s="75"/>
      <c r="M317" s="76"/>
      <c r="N317" s="76"/>
      <c r="O317" s="77"/>
      <c r="P317" s="78"/>
      <c r="Q317" s="78"/>
      <c r="R317" s="92"/>
      <c r="S317" s="92"/>
      <c r="T317" s="92"/>
      <c r="U317" s="92"/>
      <c r="V317" s="52"/>
      <c r="W317" s="52"/>
      <c r="X317" s="52"/>
      <c r="Y317" s="52"/>
      <c r="Z317" s="51"/>
      <c r="AA317" s="73"/>
      <c r="AB317" s="73"/>
      <c r="AC317" s="74"/>
      <c r="AD317" s="80" t="s">
        <v>6899</v>
      </c>
      <c r="AE317" s="85" t="s">
        <v>8140</v>
      </c>
      <c r="AF317" s="80">
        <v>150</v>
      </c>
      <c r="AG317" s="80">
        <v>141</v>
      </c>
      <c r="AH317" s="80">
        <v>29839</v>
      </c>
      <c r="AI317" s="80">
        <v>121468</v>
      </c>
      <c r="AJ317" s="80"/>
      <c r="AK317" s="80" t="s">
        <v>9242</v>
      </c>
      <c r="AL317" s="80" t="s">
        <v>10277</v>
      </c>
      <c r="AM317" s="87" t="str">
        <f>HYPERLINK("https://t.co/Tizr1DrPnn")</f>
        <v>https://t.co/Tizr1DrPnn</v>
      </c>
      <c r="AN317" s="80"/>
      <c r="AO317" s="82">
        <v>44083.559583333335</v>
      </c>
      <c r="AP317" s="87" t="str">
        <f>HYPERLINK("https://pbs.twimg.com/profile_banners/1303685954406772737/1631455180")</f>
        <v>https://pbs.twimg.com/profile_banners/1303685954406772737/1631455180</v>
      </c>
      <c r="AQ317" s="80" t="b">
        <v>1</v>
      </c>
      <c r="AR317" s="80" t="b">
        <v>0</v>
      </c>
      <c r="AS317" s="80" t="b">
        <v>1</v>
      </c>
      <c r="AT317" s="80"/>
      <c r="AU317" s="80">
        <v>7</v>
      </c>
      <c r="AV317" s="80"/>
      <c r="AW317" s="80" t="b">
        <v>0</v>
      </c>
      <c r="AX317" s="80" t="s">
        <v>10746</v>
      </c>
      <c r="AY317" s="87" t="str">
        <f>HYPERLINK("https://twitter.com/hazirahbodo")</f>
        <v>https://twitter.com/hazirahbodo</v>
      </c>
      <c r="AZ317" s="80" t="s">
        <v>66</v>
      </c>
      <c r="BA317" s="2"/>
      <c r="BB317" s="3"/>
      <c r="BC317" s="3"/>
      <c r="BD317" s="3"/>
      <c r="BE317" s="3"/>
    </row>
    <row r="318" spans="1:57" x14ac:dyDescent="0.35">
      <c r="A318" s="66" t="s">
        <v>480</v>
      </c>
      <c r="B318" s="67"/>
      <c r="C318" s="67"/>
      <c r="D318" s="68"/>
      <c r="E318" s="70"/>
      <c r="F318" s="109" t="str">
        <f>HYPERLINK("https://pbs.twimg.com/profile_images/1440969946138177536/rC0CLkUF_normal.jpg")</f>
        <v>https://pbs.twimg.com/profile_images/1440969946138177536/rC0CLkUF_normal.jpg</v>
      </c>
      <c r="G318" s="67"/>
      <c r="H318" s="71"/>
      <c r="I318" s="72"/>
      <c r="J318" s="72"/>
      <c r="K318" s="71" t="s">
        <v>11061</v>
      </c>
      <c r="L318" s="75"/>
      <c r="M318" s="76"/>
      <c r="N318" s="76"/>
      <c r="O318" s="77"/>
      <c r="P318" s="78"/>
      <c r="Q318" s="78"/>
      <c r="R318" s="92"/>
      <c r="S318" s="92"/>
      <c r="T318" s="92"/>
      <c r="U318" s="92"/>
      <c r="V318" s="52"/>
      <c r="W318" s="52"/>
      <c r="X318" s="52"/>
      <c r="Y318" s="52"/>
      <c r="Z318" s="51"/>
      <c r="AA318" s="73"/>
      <c r="AB318" s="73"/>
      <c r="AC318" s="74"/>
      <c r="AD318" s="80" t="s">
        <v>6900</v>
      </c>
      <c r="AE318" s="85" t="s">
        <v>6284</v>
      </c>
      <c r="AF318" s="80">
        <v>196</v>
      </c>
      <c r="AG318" s="80">
        <v>327</v>
      </c>
      <c r="AH318" s="80">
        <v>21782</v>
      </c>
      <c r="AI318" s="80">
        <v>24383</v>
      </c>
      <c r="AJ318" s="80"/>
      <c r="AK318" s="80" t="s">
        <v>9243</v>
      </c>
      <c r="AL318" s="80" t="s">
        <v>10278</v>
      </c>
      <c r="AM318" s="80"/>
      <c r="AN318" s="80"/>
      <c r="AO318" s="82">
        <v>44163.063634259262</v>
      </c>
      <c r="AP318" s="87" t="str">
        <f>HYPERLINK("https://pbs.twimg.com/profile_banners/1332497293551960066/1631462829")</f>
        <v>https://pbs.twimg.com/profile_banners/1332497293551960066/1631462829</v>
      </c>
      <c r="AQ318" s="80" t="b">
        <v>1</v>
      </c>
      <c r="AR318" s="80" t="b">
        <v>0</v>
      </c>
      <c r="AS318" s="80" t="b">
        <v>0</v>
      </c>
      <c r="AT318" s="80"/>
      <c r="AU318" s="80">
        <v>0</v>
      </c>
      <c r="AV318" s="80"/>
      <c r="AW318" s="80" t="b">
        <v>0</v>
      </c>
      <c r="AX318" s="80" t="s">
        <v>10746</v>
      </c>
      <c r="AY318" s="87" t="str">
        <f>HYPERLINK("https://twitter.com/fiyybby_")</f>
        <v>https://twitter.com/fiyybby_</v>
      </c>
      <c r="AZ318" s="80" t="s">
        <v>66</v>
      </c>
      <c r="BA318" s="2"/>
      <c r="BB318" s="3"/>
      <c r="BC318" s="3"/>
      <c r="BD318" s="3"/>
      <c r="BE318" s="3"/>
    </row>
    <row r="319" spans="1:57" x14ac:dyDescent="0.35">
      <c r="A319" s="66" t="s">
        <v>481</v>
      </c>
      <c r="B319" s="67"/>
      <c r="C319" s="67"/>
      <c r="D319" s="68"/>
      <c r="E319" s="70"/>
      <c r="F319" s="109" t="str">
        <f>HYPERLINK("https://pbs.twimg.com/profile_images/1439254596103249922/AK3p_8hH_normal.jpg")</f>
        <v>https://pbs.twimg.com/profile_images/1439254596103249922/AK3p_8hH_normal.jpg</v>
      </c>
      <c r="G319" s="67"/>
      <c r="H319" s="71"/>
      <c r="I319" s="72"/>
      <c r="J319" s="72"/>
      <c r="K319" s="71" t="s">
        <v>11062</v>
      </c>
      <c r="L319" s="75"/>
      <c r="M319" s="76"/>
      <c r="N319" s="76"/>
      <c r="O319" s="77"/>
      <c r="P319" s="78"/>
      <c r="Q319" s="78"/>
      <c r="R319" s="92"/>
      <c r="S319" s="92"/>
      <c r="T319" s="92"/>
      <c r="U319" s="92"/>
      <c r="V319" s="52"/>
      <c r="W319" s="52"/>
      <c r="X319" s="52"/>
      <c r="Y319" s="52"/>
      <c r="Z319" s="51"/>
      <c r="AA319" s="73"/>
      <c r="AB319" s="73"/>
      <c r="AC319" s="74"/>
      <c r="AD319" s="80" t="s">
        <v>6901</v>
      </c>
      <c r="AE319" s="85" t="s">
        <v>8141</v>
      </c>
      <c r="AF319" s="80">
        <v>236</v>
      </c>
      <c r="AG319" s="80">
        <v>122</v>
      </c>
      <c r="AH319" s="80">
        <v>1034</v>
      </c>
      <c r="AI319" s="80">
        <v>1253</v>
      </c>
      <c r="AJ319" s="80"/>
      <c r="AK319" s="85" t="s">
        <v>9244</v>
      </c>
      <c r="AL319" s="80"/>
      <c r="AM319" s="80"/>
      <c r="AN319" s="80"/>
      <c r="AO319" s="82">
        <v>44285.728310185186</v>
      </c>
      <c r="AP319" s="87" t="str">
        <f>HYPERLINK("https://pbs.twimg.com/profile_banners/1376949489374662657/1632065289")</f>
        <v>https://pbs.twimg.com/profile_banners/1376949489374662657/1632065289</v>
      </c>
      <c r="AQ319" s="80" t="b">
        <v>1</v>
      </c>
      <c r="AR319" s="80" t="b">
        <v>0</v>
      </c>
      <c r="AS319" s="80" t="b">
        <v>0</v>
      </c>
      <c r="AT319" s="80"/>
      <c r="AU319" s="80">
        <v>0</v>
      </c>
      <c r="AV319" s="80"/>
      <c r="AW319" s="80" t="b">
        <v>0</v>
      </c>
      <c r="AX319" s="80" t="s">
        <v>10746</v>
      </c>
      <c r="AY319" s="87" t="str">
        <f>HYPERLINK("https://twitter.com/gorugodore")</f>
        <v>https://twitter.com/gorugodore</v>
      </c>
      <c r="AZ319" s="80" t="s">
        <v>66</v>
      </c>
      <c r="BA319" s="2"/>
      <c r="BB319" s="3"/>
      <c r="BC319" s="3"/>
      <c r="BD319" s="3"/>
      <c r="BE319" s="3"/>
    </row>
    <row r="320" spans="1:57" x14ac:dyDescent="0.35">
      <c r="A320" s="66" t="s">
        <v>482</v>
      </c>
      <c r="B320" s="67"/>
      <c r="C320" s="67"/>
      <c r="D320" s="68"/>
      <c r="E320" s="70"/>
      <c r="F320" s="109" t="str">
        <f>HYPERLINK("https://pbs.twimg.com/profile_images/1376528013844615174/p-Fzz3gm_normal.jpg")</f>
        <v>https://pbs.twimg.com/profile_images/1376528013844615174/p-Fzz3gm_normal.jpg</v>
      </c>
      <c r="G320" s="67"/>
      <c r="H320" s="71"/>
      <c r="I320" s="72"/>
      <c r="J320" s="72"/>
      <c r="K320" s="71" t="s">
        <v>11063</v>
      </c>
      <c r="L320" s="75"/>
      <c r="M320" s="76"/>
      <c r="N320" s="76"/>
      <c r="O320" s="77"/>
      <c r="P320" s="78"/>
      <c r="Q320" s="78"/>
      <c r="R320" s="92"/>
      <c r="S320" s="92"/>
      <c r="T320" s="92"/>
      <c r="U320" s="92"/>
      <c r="V320" s="52"/>
      <c r="W320" s="52"/>
      <c r="X320" s="52"/>
      <c r="Y320" s="52"/>
      <c r="Z320" s="51"/>
      <c r="AA320" s="73"/>
      <c r="AB320" s="73"/>
      <c r="AC320" s="74"/>
      <c r="AD320" s="80" t="s">
        <v>6902</v>
      </c>
      <c r="AE320" s="85" t="s">
        <v>8142</v>
      </c>
      <c r="AF320" s="80">
        <v>97</v>
      </c>
      <c r="AG320" s="80">
        <v>339</v>
      </c>
      <c r="AH320" s="80">
        <v>54083</v>
      </c>
      <c r="AI320" s="80">
        <v>241</v>
      </c>
      <c r="AJ320" s="80"/>
      <c r="AK320" s="80"/>
      <c r="AL320" s="80" t="s">
        <v>10139</v>
      </c>
      <c r="AM320" s="80"/>
      <c r="AN320" s="80"/>
      <c r="AO320" s="82">
        <v>41109.370613425926</v>
      </c>
      <c r="AP320" s="87" t="str">
        <f>HYPERLINK("https://pbs.twimg.com/profile_banners/704681166/1607052323")</f>
        <v>https://pbs.twimg.com/profile_banners/704681166/1607052323</v>
      </c>
      <c r="AQ320" s="80" t="b">
        <v>0</v>
      </c>
      <c r="AR320" s="80" t="b">
        <v>0</v>
      </c>
      <c r="AS320" s="80" t="b">
        <v>1</v>
      </c>
      <c r="AT320" s="80"/>
      <c r="AU320" s="80">
        <v>0</v>
      </c>
      <c r="AV320" s="87" t="str">
        <f>HYPERLINK("https://abs.twimg.com/images/themes/theme1/bg.png")</f>
        <v>https://abs.twimg.com/images/themes/theme1/bg.png</v>
      </c>
      <c r="AW320" s="80" t="b">
        <v>0</v>
      </c>
      <c r="AX320" s="80" t="s">
        <v>10746</v>
      </c>
      <c r="AY320" s="87" t="str">
        <f>HYPERLINK("https://twitter.com/yuniyunayy")</f>
        <v>https://twitter.com/yuniyunayy</v>
      </c>
      <c r="AZ320" s="80" t="s">
        <v>66</v>
      </c>
      <c r="BA320" s="2"/>
      <c r="BB320" s="3"/>
      <c r="BC320" s="3"/>
      <c r="BD320" s="3"/>
      <c r="BE320" s="3"/>
    </row>
    <row r="321" spans="1:57" x14ac:dyDescent="0.35">
      <c r="A321" s="66" t="s">
        <v>1268</v>
      </c>
      <c r="B321" s="67"/>
      <c r="C321" s="67"/>
      <c r="D321" s="68"/>
      <c r="E321" s="70"/>
      <c r="F321" s="109" t="str">
        <f>HYPERLINK("https://pbs.twimg.com/profile_images/1432961033979645952/ZdLIUvML_normal.jpg")</f>
        <v>https://pbs.twimg.com/profile_images/1432961033979645952/ZdLIUvML_normal.jpg</v>
      </c>
      <c r="G321" s="67"/>
      <c r="H321" s="71"/>
      <c r="I321" s="72"/>
      <c r="J321" s="72"/>
      <c r="K321" s="71" t="s">
        <v>11064</v>
      </c>
      <c r="L321" s="75"/>
      <c r="M321" s="76"/>
      <c r="N321" s="76"/>
      <c r="O321" s="77"/>
      <c r="P321" s="78"/>
      <c r="Q321" s="78"/>
      <c r="R321" s="92"/>
      <c r="S321" s="92"/>
      <c r="T321" s="92"/>
      <c r="U321" s="92"/>
      <c r="V321" s="52"/>
      <c r="W321" s="52"/>
      <c r="X321" s="52"/>
      <c r="Y321" s="52"/>
      <c r="Z321" s="51"/>
      <c r="AA321" s="73"/>
      <c r="AB321" s="73"/>
      <c r="AC321" s="74"/>
      <c r="AD321" s="80" t="s">
        <v>6903</v>
      </c>
      <c r="AE321" s="85" t="s">
        <v>6285</v>
      </c>
      <c r="AF321" s="80">
        <v>35</v>
      </c>
      <c r="AG321" s="80">
        <v>29332</v>
      </c>
      <c r="AH321" s="80">
        <v>89217</v>
      </c>
      <c r="AI321" s="80">
        <v>262</v>
      </c>
      <c r="AJ321" s="80"/>
      <c r="AK321" s="80" t="s">
        <v>9245</v>
      </c>
      <c r="AL321" s="80" t="s">
        <v>6543</v>
      </c>
      <c r="AM321" s="87" t="str">
        <f>HYPERLINK("https://t.co/ckH89eGev6")</f>
        <v>https://t.co/ckH89eGev6</v>
      </c>
      <c r="AN321" s="80"/>
      <c r="AO321" s="82">
        <v>42339.259120370371</v>
      </c>
      <c r="AP321" s="87" t="str">
        <f>HYPERLINK("https://pbs.twimg.com/profile_banners/4417582514/1628645715")</f>
        <v>https://pbs.twimg.com/profile_banners/4417582514/1628645715</v>
      </c>
      <c r="AQ321" s="80" t="b">
        <v>0</v>
      </c>
      <c r="AR321" s="80" t="b">
        <v>0</v>
      </c>
      <c r="AS321" s="80" t="b">
        <v>0</v>
      </c>
      <c r="AT321" s="80"/>
      <c r="AU321" s="80">
        <v>9</v>
      </c>
      <c r="AV321" s="87" t="str">
        <f>HYPERLINK("https://abs.twimg.com/images/themes/theme1/bg.png")</f>
        <v>https://abs.twimg.com/images/themes/theme1/bg.png</v>
      </c>
      <c r="AW321" s="80" t="b">
        <v>0</v>
      </c>
      <c r="AX321" s="80" t="s">
        <v>10746</v>
      </c>
      <c r="AY321" s="87" t="str">
        <f>HYPERLINK("https://twitter.com/sicepat_ekspres")</f>
        <v>https://twitter.com/sicepat_ekspres</v>
      </c>
      <c r="AZ321" s="80" t="s">
        <v>66</v>
      </c>
      <c r="BA321" s="2"/>
      <c r="BB321" s="3"/>
      <c r="BC321" s="3"/>
      <c r="BD321" s="3"/>
      <c r="BE321" s="3"/>
    </row>
    <row r="322" spans="1:57" x14ac:dyDescent="0.35">
      <c r="A322" s="66" t="s">
        <v>483</v>
      </c>
      <c r="B322" s="67"/>
      <c r="C322" s="67"/>
      <c r="D322" s="68"/>
      <c r="E322" s="70"/>
      <c r="F322" s="109" t="str">
        <f>HYPERLINK("https://pbs.twimg.com/profile_images/1441310242529107970/jEwteGi9_normal.jpg")</f>
        <v>https://pbs.twimg.com/profile_images/1441310242529107970/jEwteGi9_normal.jpg</v>
      </c>
      <c r="G322" s="67"/>
      <c r="H322" s="71"/>
      <c r="I322" s="72"/>
      <c r="J322" s="72"/>
      <c r="K322" s="71" t="s">
        <v>11065</v>
      </c>
      <c r="L322" s="75"/>
      <c r="M322" s="76"/>
      <c r="N322" s="76"/>
      <c r="O322" s="77"/>
      <c r="P322" s="78"/>
      <c r="Q322" s="78"/>
      <c r="R322" s="92"/>
      <c r="S322" s="92"/>
      <c r="T322" s="92"/>
      <c r="U322" s="92"/>
      <c r="V322" s="52"/>
      <c r="W322" s="52"/>
      <c r="X322" s="52"/>
      <c r="Y322" s="52"/>
      <c r="Z322" s="51"/>
      <c r="AA322" s="73"/>
      <c r="AB322" s="73"/>
      <c r="AC322" s="74"/>
      <c r="AD322" s="80" t="s">
        <v>6904</v>
      </c>
      <c r="AE322" s="85" t="s">
        <v>8143</v>
      </c>
      <c r="AF322" s="80">
        <v>552</v>
      </c>
      <c r="AG322" s="80">
        <v>277</v>
      </c>
      <c r="AH322" s="80">
        <v>29167</v>
      </c>
      <c r="AI322" s="80">
        <v>18626</v>
      </c>
      <c r="AJ322" s="80"/>
      <c r="AK322" s="80" t="s">
        <v>9246</v>
      </c>
      <c r="AL322" s="80" t="s">
        <v>10279</v>
      </c>
      <c r="AM322" s="87" t="str">
        <f>HYPERLINK("https://t.co/FF57StbhEr")</f>
        <v>https://t.co/FF57StbhEr</v>
      </c>
      <c r="AN322" s="80"/>
      <c r="AO322" s="82">
        <v>42745.349652777775</v>
      </c>
      <c r="AP322" s="87" t="str">
        <f>HYPERLINK("https://pbs.twimg.com/profile_banners/818735000765874177/1630637514")</f>
        <v>https://pbs.twimg.com/profile_banners/818735000765874177/1630637514</v>
      </c>
      <c r="AQ322" s="80" t="b">
        <v>1</v>
      </c>
      <c r="AR322" s="80" t="b">
        <v>0</v>
      </c>
      <c r="AS322" s="80" t="b">
        <v>0</v>
      </c>
      <c r="AT322" s="80"/>
      <c r="AU322" s="80">
        <v>2</v>
      </c>
      <c r="AV322" s="80"/>
      <c r="AW322" s="80" t="b">
        <v>0</v>
      </c>
      <c r="AX322" s="80" t="s">
        <v>10746</v>
      </c>
      <c r="AY322" s="87" t="str">
        <f>HYPERLINK("https://twitter.com/_daisybea17")</f>
        <v>https://twitter.com/_daisybea17</v>
      </c>
      <c r="AZ322" s="80" t="s">
        <v>66</v>
      </c>
      <c r="BA322" s="2"/>
      <c r="BB322" s="3"/>
      <c r="BC322" s="3"/>
      <c r="BD322" s="3"/>
      <c r="BE322" s="3"/>
    </row>
    <row r="323" spans="1:57" x14ac:dyDescent="0.35">
      <c r="A323" s="66" t="s">
        <v>484</v>
      </c>
      <c r="B323" s="67"/>
      <c r="C323" s="67"/>
      <c r="D323" s="68"/>
      <c r="E323" s="70"/>
      <c r="F323" s="109" t="str">
        <f>HYPERLINK("https://pbs.twimg.com/profile_images/1439251090147479552/lAFTJ9nl_normal.jpg")</f>
        <v>https://pbs.twimg.com/profile_images/1439251090147479552/lAFTJ9nl_normal.jpg</v>
      </c>
      <c r="G323" s="67"/>
      <c r="H323" s="71"/>
      <c r="I323" s="72"/>
      <c r="J323" s="72"/>
      <c r="K323" s="71" t="s">
        <v>11066</v>
      </c>
      <c r="L323" s="75"/>
      <c r="M323" s="76"/>
      <c r="N323" s="76"/>
      <c r="O323" s="77"/>
      <c r="P323" s="78"/>
      <c r="Q323" s="78"/>
      <c r="R323" s="92"/>
      <c r="S323" s="92"/>
      <c r="T323" s="92"/>
      <c r="U323" s="92"/>
      <c r="V323" s="52"/>
      <c r="W323" s="52"/>
      <c r="X323" s="52"/>
      <c r="Y323" s="52"/>
      <c r="Z323" s="51"/>
      <c r="AA323" s="73"/>
      <c r="AB323" s="73"/>
      <c r="AC323" s="74"/>
      <c r="AD323" s="80" t="s">
        <v>6905</v>
      </c>
      <c r="AE323" s="85" t="s">
        <v>8144</v>
      </c>
      <c r="AF323" s="80">
        <v>55</v>
      </c>
      <c r="AG323" s="80">
        <v>61</v>
      </c>
      <c r="AH323" s="80">
        <v>350</v>
      </c>
      <c r="AI323" s="80">
        <v>203</v>
      </c>
      <c r="AJ323" s="80"/>
      <c r="AK323" s="80" t="s">
        <v>9247</v>
      </c>
      <c r="AL323" s="80"/>
      <c r="AM323" s="80"/>
      <c r="AN323" s="80"/>
      <c r="AO323" s="82">
        <v>44457.646689814814</v>
      </c>
      <c r="AP323" s="80"/>
      <c r="AQ323" s="80" t="b">
        <v>1</v>
      </c>
      <c r="AR323" s="80" t="b">
        <v>0</v>
      </c>
      <c r="AS323" s="80" t="b">
        <v>0</v>
      </c>
      <c r="AT323" s="80"/>
      <c r="AU323" s="80">
        <v>0</v>
      </c>
      <c r="AV323" s="80"/>
      <c r="AW323" s="80" t="b">
        <v>0</v>
      </c>
      <c r="AX323" s="80" t="s">
        <v>10746</v>
      </c>
      <c r="AY323" s="87" t="str">
        <f>HYPERLINK("https://twitter.com/ainulyakin1003")</f>
        <v>https://twitter.com/ainulyakin1003</v>
      </c>
      <c r="AZ323" s="80" t="s">
        <v>66</v>
      </c>
      <c r="BA323" s="2"/>
      <c r="BB323" s="3"/>
      <c r="BC323" s="3"/>
      <c r="BD323" s="3"/>
      <c r="BE323" s="3"/>
    </row>
    <row r="324" spans="1:57" x14ac:dyDescent="0.35">
      <c r="A324" s="66" t="s">
        <v>1316</v>
      </c>
      <c r="B324" s="67"/>
      <c r="C324" s="67"/>
      <c r="D324" s="68"/>
      <c r="E324" s="70"/>
      <c r="F324" s="109" t="str">
        <f>HYPERLINK("https://pbs.twimg.com/profile_images/500686195194474496/e1kL4LzP_normal.jpeg")</f>
        <v>https://pbs.twimg.com/profile_images/500686195194474496/e1kL4LzP_normal.jpeg</v>
      </c>
      <c r="G324" s="67"/>
      <c r="H324" s="71"/>
      <c r="I324" s="72"/>
      <c r="J324" s="72"/>
      <c r="K324" s="71" t="s">
        <v>11067</v>
      </c>
      <c r="L324" s="75"/>
      <c r="M324" s="76"/>
      <c r="N324" s="76"/>
      <c r="O324" s="77"/>
      <c r="P324" s="78"/>
      <c r="Q324" s="78"/>
      <c r="R324" s="92"/>
      <c r="S324" s="92"/>
      <c r="T324" s="92"/>
      <c r="U324" s="92"/>
      <c r="V324" s="52"/>
      <c r="W324" s="52"/>
      <c r="X324" s="52"/>
      <c r="Y324" s="52"/>
      <c r="Z324" s="51"/>
      <c r="AA324" s="73"/>
      <c r="AB324" s="73"/>
      <c r="AC324" s="74"/>
      <c r="AD324" s="80" t="s">
        <v>6906</v>
      </c>
      <c r="AE324" s="85" t="s">
        <v>8145</v>
      </c>
      <c r="AF324" s="80">
        <v>674</v>
      </c>
      <c r="AG324" s="80">
        <v>2440724</v>
      </c>
      <c r="AH324" s="80">
        <v>14698</v>
      </c>
      <c r="AI324" s="80">
        <v>2896</v>
      </c>
      <c r="AJ324" s="80"/>
      <c r="AK324" s="80" t="s">
        <v>9248</v>
      </c>
      <c r="AL324" s="80" t="s">
        <v>10280</v>
      </c>
      <c r="AM324" s="80"/>
      <c r="AN324" s="80"/>
      <c r="AO324" s="82">
        <v>40484.367638888885</v>
      </c>
      <c r="AP324" s="87" t="str">
        <f>HYPERLINK("https://pbs.twimg.com/profile_banners/211091475/1357971428")</f>
        <v>https://pbs.twimg.com/profile_banners/211091475/1357971428</v>
      </c>
      <c r="AQ324" s="80" t="b">
        <v>0</v>
      </c>
      <c r="AR324" s="80" t="b">
        <v>0</v>
      </c>
      <c r="AS324" s="80" t="b">
        <v>1</v>
      </c>
      <c r="AT324" s="80"/>
      <c r="AU324" s="80">
        <v>1272</v>
      </c>
      <c r="AV324" s="87" t="str">
        <f>HYPERLINK("https://abs.twimg.com/images/themes/theme12/bg.gif")</f>
        <v>https://abs.twimg.com/images/themes/theme12/bg.gif</v>
      </c>
      <c r="AW324" s="80" t="b">
        <v>1</v>
      </c>
      <c r="AX324" s="80" t="s">
        <v>10746</v>
      </c>
      <c r="AY324" s="87" t="str">
        <f>HYPERLINK("https://twitter.com/gusmusgusmu")</f>
        <v>https://twitter.com/gusmusgusmu</v>
      </c>
      <c r="AZ324" s="80" t="s">
        <v>65</v>
      </c>
      <c r="BA324" s="2"/>
      <c r="BB324" s="3"/>
      <c r="BC324" s="3"/>
      <c r="BD324" s="3"/>
      <c r="BE324" s="3"/>
    </row>
    <row r="325" spans="1:57" x14ac:dyDescent="0.35">
      <c r="A325" s="66" t="s">
        <v>1317</v>
      </c>
      <c r="B325" s="67"/>
      <c r="C325" s="67"/>
      <c r="D325" s="68"/>
      <c r="E325" s="70"/>
      <c r="F325" s="109" t="str">
        <f>HYPERLINK("https://pbs.twimg.com/profile_images/1430809174292647938/99yJMGeI_normal.jpg")</f>
        <v>https://pbs.twimg.com/profile_images/1430809174292647938/99yJMGeI_normal.jpg</v>
      </c>
      <c r="G325" s="67"/>
      <c r="H325" s="71"/>
      <c r="I325" s="72"/>
      <c r="J325" s="72"/>
      <c r="K325" s="71" t="s">
        <v>11068</v>
      </c>
      <c r="L325" s="75"/>
      <c r="M325" s="76"/>
      <c r="N325" s="76"/>
      <c r="O325" s="77"/>
      <c r="P325" s="78"/>
      <c r="Q325" s="78"/>
      <c r="R325" s="92"/>
      <c r="S325" s="92"/>
      <c r="T325" s="92"/>
      <c r="U325" s="92"/>
      <c r="V325" s="52"/>
      <c r="W325" s="52"/>
      <c r="X325" s="52"/>
      <c r="Y325" s="52"/>
      <c r="Z325" s="51"/>
      <c r="AA325" s="73"/>
      <c r="AB325" s="73"/>
      <c r="AC325" s="74"/>
      <c r="AD325" s="80" t="s">
        <v>6907</v>
      </c>
      <c r="AE325" s="85" t="s">
        <v>8146</v>
      </c>
      <c r="AF325" s="80">
        <v>7</v>
      </c>
      <c r="AG325" s="80">
        <v>59339</v>
      </c>
      <c r="AH325" s="80">
        <v>491</v>
      </c>
      <c r="AI325" s="80">
        <v>0</v>
      </c>
      <c r="AJ325" s="80"/>
      <c r="AK325" s="80" t="s">
        <v>9249</v>
      </c>
      <c r="AL325" s="80" t="s">
        <v>10281</v>
      </c>
      <c r="AM325" s="87" t="str">
        <f>HYPERLINK("https://t.co/xDM9nhhiZn")</f>
        <v>https://t.co/xDM9nhhiZn</v>
      </c>
      <c r="AN325" s="80"/>
      <c r="AO325" s="82">
        <v>44189.088865740741</v>
      </c>
      <c r="AP325" s="87" t="str">
        <f>HYPERLINK("https://pbs.twimg.com/profile_banners/1341928495253868545/1609150369")</f>
        <v>https://pbs.twimg.com/profile_banners/1341928495253868545/1609150369</v>
      </c>
      <c r="AQ325" s="80" t="b">
        <v>1</v>
      </c>
      <c r="AR325" s="80" t="b">
        <v>0</v>
      </c>
      <c r="AS325" s="80" t="b">
        <v>0</v>
      </c>
      <c r="AT325" s="80"/>
      <c r="AU325" s="80">
        <v>12</v>
      </c>
      <c r="AV325" s="80"/>
      <c r="AW325" s="80" t="b">
        <v>1</v>
      </c>
      <c r="AX325" s="80" t="s">
        <v>10746</v>
      </c>
      <c r="AY325" s="87" t="str">
        <f>HYPERLINK("https://twitter.com/yaqutcqoumas")</f>
        <v>https://twitter.com/yaqutcqoumas</v>
      </c>
      <c r="AZ325" s="80" t="s">
        <v>65</v>
      </c>
      <c r="BA325" s="2"/>
      <c r="BB325" s="3"/>
      <c r="BC325" s="3"/>
      <c r="BD325" s="3"/>
      <c r="BE325" s="3"/>
    </row>
    <row r="326" spans="1:57" x14ac:dyDescent="0.35">
      <c r="A326" s="66" t="s">
        <v>1318</v>
      </c>
      <c r="B326" s="67"/>
      <c r="C326" s="67"/>
      <c r="D326" s="68"/>
      <c r="E326" s="70"/>
      <c r="F326" s="109" t="str">
        <f>HYPERLINK("https://pbs.twimg.com/profile_images/573401080169541632/Qx3XxB6u_normal.jpeg")</f>
        <v>https://pbs.twimg.com/profile_images/573401080169541632/Qx3XxB6u_normal.jpeg</v>
      </c>
      <c r="G326" s="67"/>
      <c r="H326" s="71"/>
      <c r="I326" s="72"/>
      <c r="J326" s="72"/>
      <c r="K326" s="71" t="s">
        <v>11069</v>
      </c>
      <c r="L326" s="75"/>
      <c r="M326" s="76"/>
      <c r="N326" s="76"/>
      <c r="O326" s="77"/>
      <c r="P326" s="78"/>
      <c r="Q326" s="78"/>
      <c r="R326" s="92"/>
      <c r="S326" s="92"/>
      <c r="T326" s="92"/>
      <c r="U326" s="92"/>
      <c r="V326" s="52"/>
      <c r="W326" s="52"/>
      <c r="X326" s="52"/>
      <c r="Y326" s="52"/>
      <c r="Z326" s="51"/>
      <c r="AA326" s="73"/>
      <c r="AB326" s="73"/>
      <c r="AC326" s="74"/>
      <c r="AD326" s="80" t="s">
        <v>6908</v>
      </c>
      <c r="AE326" s="85" t="s">
        <v>8147</v>
      </c>
      <c r="AF326" s="80">
        <v>109</v>
      </c>
      <c r="AG326" s="80">
        <v>34</v>
      </c>
      <c r="AH326" s="80">
        <v>61</v>
      </c>
      <c r="AI326" s="80">
        <v>61</v>
      </c>
      <c r="AJ326" s="80"/>
      <c r="AK326" s="80" t="s">
        <v>9250</v>
      </c>
      <c r="AL326" s="80" t="s">
        <v>10282</v>
      </c>
      <c r="AM326" s="80"/>
      <c r="AN326" s="80"/>
      <c r="AO326" s="82">
        <v>40670.197256944448</v>
      </c>
      <c r="AP326" s="87" t="str">
        <f>HYPERLINK("https://pbs.twimg.com/profile_banners/294439808/1389346420")</f>
        <v>https://pbs.twimg.com/profile_banners/294439808/1389346420</v>
      </c>
      <c r="AQ326" s="80" t="b">
        <v>0</v>
      </c>
      <c r="AR326" s="80" t="b">
        <v>0</v>
      </c>
      <c r="AS326" s="80" t="b">
        <v>0</v>
      </c>
      <c r="AT326" s="80"/>
      <c r="AU326" s="80">
        <v>0</v>
      </c>
      <c r="AV326" s="87" t="str">
        <f>HYPERLINK("https://abs.twimg.com/images/themes/theme9/bg.gif")</f>
        <v>https://abs.twimg.com/images/themes/theme9/bg.gif</v>
      </c>
      <c r="AW326" s="80" t="b">
        <v>0</v>
      </c>
      <c r="AX326" s="80" t="s">
        <v>10746</v>
      </c>
      <c r="AY326" s="87" t="str">
        <f>HYPERLINK("https://twitter.com/ephanc_cc")</f>
        <v>https://twitter.com/ephanc_cc</v>
      </c>
      <c r="AZ326" s="80" t="s">
        <v>65</v>
      </c>
      <c r="BA326" s="2"/>
      <c r="BB326" s="3"/>
      <c r="BC326" s="3"/>
      <c r="BD326" s="3"/>
      <c r="BE326" s="3"/>
    </row>
    <row r="327" spans="1:57" x14ac:dyDescent="0.35">
      <c r="A327" s="66" t="s">
        <v>1319</v>
      </c>
      <c r="B327" s="67"/>
      <c r="C327" s="67"/>
      <c r="D327" s="68"/>
      <c r="E327" s="70"/>
      <c r="F327" s="109" t="str">
        <f>HYPERLINK("https://pbs.twimg.com/profile_images/1414913098134147076/Wx6ifIIX_normal.jpg")</f>
        <v>https://pbs.twimg.com/profile_images/1414913098134147076/Wx6ifIIX_normal.jpg</v>
      </c>
      <c r="G327" s="67"/>
      <c r="H327" s="71"/>
      <c r="I327" s="72"/>
      <c r="J327" s="72"/>
      <c r="K327" s="71" t="s">
        <v>11070</v>
      </c>
      <c r="L327" s="75"/>
      <c r="M327" s="76"/>
      <c r="N327" s="76"/>
      <c r="O327" s="77"/>
      <c r="P327" s="78"/>
      <c r="Q327" s="78"/>
      <c r="R327" s="92"/>
      <c r="S327" s="92"/>
      <c r="T327" s="92"/>
      <c r="U327" s="92"/>
      <c r="V327" s="52"/>
      <c r="W327" s="52"/>
      <c r="X327" s="52"/>
      <c r="Y327" s="52"/>
      <c r="Z327" s="51"/>
      <c r="AA327" s="73"/>
      <c r="AB327" s="73"/>
      <c r="AC327" s="74"/>
      <c r="AD327" s="80" t="s">
        <v>6909</v>
      </c>
      <c r="AE327" s="85" t="s">
        <v>8148</v>
      </c>
      <c r="AF327" s="80">
        <v>1222</v>
      </c>
      <c r="AG327" s="80">
        <v>2819</v>
      </c>
      <c r="AH327" s="80">
        <v>25625</v>
      </c>
      <c r="AI327" s="80">
        <v>24416</v>
      </c>
      <c r="AJ327" s="80"/>
      <c r="AK327" s="80" t="s">
        <v>9251</v>
      </c>
      <c r="AL327" s="80" t="s">
        <v>10283</v>
      </c>
      <c r="AM327" s="87" t="str">
        <f>HYPERLINK("https://t.co/kDJ5XZ7zQV")</f>
        <v>https://t.co/kDJ5XZ7zQV</v>
      </c>
      <c r="AN327" s="80"/>
      <c r="AO327" s="82">
        <v>44129.226284722223</v>
      </c>
      <c r="AP327" s="87" t="str">
        <f>HYPERLINK("https://pbs.twimg.com/profile_banners/1320235025158209538/1632753314")</f>
        <v>https://pbs.twimg.com/profile_banners/1320235025158209538/1632753314</v>
      </c>
      <c r="AQ327" s="80" t="b">
        <v>1</v>
      </c>
      <c r="AR327" s="80" t="b">
        <v>0</v>
      </c>
      <c r="AS327" s="80" t="b">
        <v>1</v>
      </c>
      <c r="AT327" s="80"/>
      <c r="AU327" s="80">
        <v>1</v>
      </c>
      <c r="AV327" s="80"/>
      <c r="AW327" s="80" t="b">
        <v>0</v>
      </c>
      <c r="AX327" s="80" t="s">
        <v>10746</v>
      </c>
      <c r="AY327" s="87" t="str">
        <f>HYPERLINK("https://twitter.com/amrudinnejad__")</f>
        <v>https://twitter.com/amrudinnejad__</v>
      </c>
      <c r="AZ327" s="80" t="s">
        <v>65</v>
      </c>
      <c r="BA327" s="2"/>
      <c r="BB327" s="3"/>
      <c r="BC327" s="3"/>
      <c r="BD327" s="3"/>
      <c r="BE327" s="3"/>
    </row>
    <row r="328" spans="1:57" x14ac:dyDescent="0.35">
      <c r="A328" s="66" t="s">
        <v>1320</v>
      </c>
      <c r="B328" s="67"/>
      <c r="C328" s="67"/>
      <c r="D328" s="68"/>
      <c r="E328" s="70"/>
      <c r="F328" s="109" t="str">
        <f>HYPERLINK("https://pbs.twimg.com/profile_images/1431886323284000770/8Pzd1ocX_normal.jpg")</f>
        <v>https://pbs.twimg.com/profile_images/1431886323284000770/8Pzd1ocX_normal.jpg</v>
      </c>
      <c r="G328" s="67"/>
      <c r="H328" s="71"/>
      <c r="I328" s="72"/>
      <c r="J328" s="72"/>
      <c r="K328" s="71" t="s">
        <v>11071</v>
      </c>
      <c r="L328" s="75"/>
      <c r="M328" s="76"/>
      <c r="N328" s="76"/>
      <c r="O328" s="77"/>
      <c r="P328" s="78"/>
      <c r="Q328" s="78"/>
      <c r="R328" s="92"/>
      <c r="S328" s="92"/>
      <c r="T328" s="92"/>
      <c r="U328" s="92"/>
      <c r="V328" s="52"/>
      <c r="W328" s="52"/>
      <c r="X328" s="52"/>
      <c r="Y328" s="52"/>
      <c r="Z328" s="51"/>
      <c r="AA328" s="73"/>
      <c r="AB328" s="73"/>
      <c r="AC328" s="74"/>
      <c r="AD328" s="80" t="s">
        <v>6910</v>
      </c>
      <c r="AE328" s="85" t="s">
        <v>8149</v>
      </c>
      <c r="AF328" s="80">
        <v>199</v>
      </c>
      <c r="AG328" s="80">
        <v>475</v>
      </c>
      <c r="AH328" s="80">
        <v>719</v>
      </c>
      <c r="AI328" s="80">
        <v>390</v>
      </c>
      <c r="AJ328" s="80"/>
      <c r="AK328" s="80" t="s">
        <v>9252</v>
      </c>
      <c r="AL328" s="80"/>
      <c r="AM328" s="80"/>
      <c r="AN328" s="80"/>
      <c r="AO328" s="82">
        <v>40644.223946759259</v>
      </c>
      <c r="AP328" s="87" t="str">
        <f>HYPERLINK("https://pbs.twimg.com/profile_banners/280357050/1576436956")</f>
        <v>https://pbs.twimg.com/profile_banners/280357050/1576436956</v>
      </c>
      <c r="AQ328" s="80" t="b">
        <v>0</v>
      </c>
      <c r="AR328" s="80" t="b">
        <v>0</v>
      </c>
      <c r="AS328" s="80" t="b">
        <v>0</v>
      </c>
      <c r="AT328" s="80"/>
      <c r="AU328" s="80">
        <v>0</v>
      </c>
      <c r="AV328" s="87" t="str">
        <f>HYPERLINK("https://abs.twimg.com/images/themes/theme5/bg.gif")</f>
        <v>https://abs.twimg.com/images/themes/theme5/bg.gif</v>
      </c>
      <c r="AW328" s="80" t="b">
        <v>0</v>
      </c>
      <c r="AX328" s="80" t="s">
        <v>10746</v>
      </c>
      <c r="AY328" s="87" t="str">
        <f>HYPERLINK("https://twitter.com/mahdikherid")</f>
        <v>https://twitter.com/mahdikherid</v>
      </c>
      <c r="AZ328" s="80" t="s">
        <v>65</v>
      </c>
      <c r="BA328" s="2"/>
      <c r="BB328" s="3"/>
      <c r="BC328" s="3"/>
      <c r="BD328" s="3"/>
      <c r="BE328" s="3"/>
    </row>
    <row r="329" spans="1:57" x14ac:dyDescent="0.35">
      <c r="A329" s="66" t="s">
        <v>504</v>
      </c>
      <c r="B329" s="67"/>
      <c r="C329" s="67"/>
      <c r="D329" s="68"/>
      <c r="E329" s="70"/>
      <c r="F329" s="109" t="str">
        <f>HYPERLINK("https://pbs.twimg.com/profile_images/1439549469964472320/6Y2xJn89_normal.jpg")</f>
        <v>https://pbs.twimg.com/profile_images/1439549469964472320/6Y2xJn89_normal.jpg</v>
      </c>
      <c r="G329" s="67"/>
      <c r="H329" s="71"/>
      <c r="I329" s="72"/>
      <c r="J329" s="72"/>
      <c r="K329" s="71" t="s">
        <v>11072</v>
      </c>
      <c r="L329" s="75"/>
      <c r="M329" s="76"/>
      <c r="N329" s="76"/>
      <c r="O329" s="77"/>
      <c r="P329" s="78"/>
      <c r="Q329" s="78"/>
      <c r="R329" s="92"/>
      <c r="S329" s="92"/>
      <c r="T329" s="92"/>
      <c r="U329" s="92"/>
      <c r="V329" s="52"/>
      <c r="W329" s="52"/>
      <c r="X329" s="52"/>
      <c r="Y329" s="52"/>
      <c r="Z329" s="51"/>
      <c r="AA329" s="73"/>
      <c r="AB329" s="73"/>
      <c r="AC329" s="74"/>
      <c r="AD329" s="80" t="s">
        <v>6911</v>
      </c>
      <c r="AE329" s="85" t="s">
        <v>8150</v>
      </c>
      <c r="AF329" s="80">
        <v>616</v>
      </c>
      <c r="AG329" s="80">
        <v>168</v>
      </c>
      <c r="AH329" s="80">
        <v>245</v>
      </c>
      <c r="AI329" s="80">
        <v>305</v>
      </c>
      <c r="AJ329" s="80"/>
      <c r="AK329" s="80" t="s">
        <v>9253</v>
      </c>
      <c r="AL329" s="80"/>
      <c r="AM329" s="80"/>
      <c r="AN329" s="80"/>
      <c r="AO329" s="82">
        <v>44456.59170138889</v>
      </c>
      <c r="AP329" s="87" t="str">
        <f>HYPERLINK("https://pbs.twimg.com/profile_banners/1438867477232902152/1632125037")</f>
        <v>https://pbs.twimg.com/profile_banners/1438867477232902152/1632125037</v>
      </c>
      <c r="AQ329" s="80" t="b">
        <v>1</v>
      </c>
      <c r="AR329" s="80" t="b">
        <v>0</v>
      </c>
      <c r="AS329" s="80" t="b">
        <v>0</v>
      </c>
      <c r="AT329" s="80"/>
      <c r="AU329" s="80">
        <v>0</v>
      </c>
      <c r="AV329" s="80"/>
      <c r="AW329" s="80" t="b">
        <v>0</v>
      </c>
      <c r="AX329" s="80" t="s">
        <v>10746</v>
      </c>
      <c r="AY329" s="87" t="str">
        <f>HYPERLINK("https://twitter.com/eonsirtus")</f>
        <v>https://twitter.com/eonsirtus</v>
      </c>
      <c r="AZ329" s="80" t="s">
        <v>66</v>
      </c>
      <c r="BA329" s="2"/>
      <c r="BB329" s="3"/>
      <c r="BC329" s="3"/>
      <c r="BD329" s="3"/>
      <c r="BE329" s="3"/>
    </row>
    <row r="330" spans="1:57" x14ac:dyDescent="0.35">
      <c r="A330" s="66" t="s">
        <v>485</v>
      </c>
      <c r="B330" s="67"/>
      <c r="C330" s="67"/>
      <c r="D330" s="68"/>
      <c r="E330" s="70"/>
      <c r="F330" s="109" t="str">
        <f>HYPERLINK("https://pbs.twimg.com/profile_images/1439812352459763713/4Zx78_Uq_normal.jpg")</f>
        <v>https://pbs.twimg.com/profile_images/1439812352459763713/4Zx78_Uq_normal.jpg</v>
      </c>
      <c r="G330" s="67"/>
      <c r="H330" s="71"/>
      <c r="I330" s="72"/>
      <c r="J330" s="72"/>
      <c r="K330" s="71" t="s">
        <v>11073</v>
      </c>
      <c r="L330" s="75"/>
      <c r="M330" s="76"/>
      <c r="N330" s="76"/>
      <c r="O330" s="77"/>
      <c r="P330" s="78"/>
      <c r="Q330" s="78"/>
      <c r="R330" s="92"/>
      <c r="S330" s="92"/>
      <c r="T330" s="92"/>
      <c r="U330" s="92"/>
      <c r="V330" s="52"/>
      <c r="W330" s="52"/>
      <c r="X330" s="52"/>
      <c r="Y330" s="52"/>
      <c r="Z330" s="51"/>
      <c r="AA330" s="73"/>
      <c r="AB330" s="73"/>
      <c r="AC330" s="74"/>
      <c r="AD330" s="80" t="s">
        <v>6912</v>
      </c>
      <c r="AE330" s="85" t="s">
        <v>8151</v>
      </c>
      <c r="AF330" s="80">
        <v>60</v>
      </c>
      <c r="AG330" s="80">
        <v>45</v>
      </c>
      <c r="AH330" s="80">
        <v>228</v>
      </c>
      <c r="AI330" s="80">
        <v>193</v>
      </c>
      <c r="AJ330" s="80"/>
      <c r="AK330" s="80"/>
      <c r="AL330" s="80" t="s">
        <v>10284</v>
      </c>
      <c r="AM330" s="87" t="str">
        <f>HYPERLINK("https://t.co/F1USQP68h0")</f>
        <v>https://t.co/F1USQP68h0</v>
      </c>
      <c r="AN330" s="80"/>
      <c r="AO330" s="82">
        <v>44459.196631944447</v>
      </c>
      <c r="AP330" s="80"/>
      <c r="AQ330" s="80" t="b">
        <v>1</v>
      </c>
      <c r="AR330" s="80" t="b">
        <v>0</v>
      </c>
      <c r="AS330" s="80" t="b">
        <v>0</v>
      </c>
      <c r="AT330" s="80"/>
      <c r="AU330" s="80">
        <v>0</v>
      </c>
      <c r="AV330" s="80"/>
      <c r="AW330" s="80" t="b">
        <v>0</v>
      </c>
      <c r="AX330" s="80" t="s">
        <v>10746</v>
      </c>
      <c r="AY330" s="87" t="str">
        <f>HYPERLINK("https://twitter.com/banserblitar")</f>
        <v>https://twitter.com/banserblitar</v>
      </c>
      <c r="AZ330" s="80" t="s">
        <v>66</v>
      </c>
      <c r="BA330" s="2"/>
      <c r="BB330" s="3"/>
      <c r="BC330" s="3"/>
      <c r="BD330" s="3"/>
      <c r="BE330" s="3"/>
    </row>
    <row r="331" spans="1:57" x14ac:dyDescent="0.35">
      <c r="A331" s="66" t="s">
        <v>486</v>
      </c>
      <c r="B331" s="67"/>
      <c r="C331" s="67"/>
      <c r="D331" s="68"/>
      <c r="E331" s="70"/>
      <c r="F331" s="109" t="str">
        <f>HYPERLINK("https://pbs.twimg.com/profile_images/1439250624579735558/TCbzbcu4_normal.jpg")</f>
        <v>https://pbs.twimg.com/profile_images/1439250624579735558/TCbzbcu4_normal.jpg</v>
      </c>
      <c r="G331" s="67"/>
      <c r="H331" s="71"/>
      <c r="I331" s="72"/>
      <c r="J331" s="72"/>
      <c r="K331" s="71" t="s">
        <v>11074</v>
      </c>
      <c r="L331" s="75"/>
      <c r="M331" s="76"/>
      <c r="N331" s="76"/>
      <c r="O331" s="77"/>
      <c r="P331" s="78"/>
      <c r="Q331" s="78"/>
      <c r="R331" s="92"/>
      <c r="S331" s="92"/>
      <c r="T331" s="92"/>
      <c r="U331" s="92"/>
      <c r="V331" s="52"/>
      <c r="W331" s="52"/>
      <c r="X331" s="52"/>
      <c r="Y331" s="52"/>
      <c r="Z331" s="51"/>
      <c r="AA331" s="73"/>
      <c r="AB331" s="73"/>
      <c r="AC331" s="74"/>
      <c r="AD331" s="80" t="s">
        <v>6913</v>
      </c>
      <c r="AE331" s="85" t="s">
        <v>8152</v>
      </c>
      <c r="AF331" s="80">
        <v>87</v>
      </c>
      <c r="AG331" s="80">
        <v>46</v>
      </c>
      <c r="AH331" s="80">
        <v>254</v>
      </c>
      <c r="AI331" s="80">
        <v>238</v>
      </c>
      <c r="AJ331" s="80"/>
      <c r="AK331" s="80" t="s">
        <v>9254</v>
      </c>
      <c r="AL331" s="80"/>
      <c r="AM331" s="80"/>
      <c r="AN331" s="80"/>
      <c r="AO331" s="82">
        <v>44457.645312499997</v>
      </c>
      <c r="AP331" s="87" t="str">
        <f>HYPERLINK("https://pbs.twimg.com/profile_banners/1439250123318382597/1631979091")</f>
        <v>https://pbs.twimg.com/profile_banners/1439250123318382597/1631979091</v>
      </c>
      <c r="AQ331" s="80" t="b">
        <v>1</v>
      </c>
      <c r="AR331" s="80" t="b">
        <v>0</v>
      </c>
      <c r="AS331" s="80" t="b">
        <v>0</v>
      </c>
      <c r="AT331" s="80"/>
      <c r="AU331" s="80">
        <v>0</v>
      </c>
      <c r="AV331" s="80"/>
      <c r="AW331" s="80" t="b">
        <v>0</v>
      </c>
      <c r="AX331" s="80" t="s">
        <v>10746</v>
      </c>
      <c r="AY331" s="87" t="str">
        <f>HYPERLINK("https://twitter.com/harir16191604")</f>
        <v>https://twitter.com/harir16191604</v>
      </c>
      <c r="AZ331" s="80" t="s">
        <v>66</v>
      </c>
      <c r="BA331" s="2"/>
      <c r="BB331" s="3"/>
      <c r="BC331" s="3"/>
      <c r="BD331" s="3"/>
      <c r="BE331" s="3"/>
    </row>
    <row r="332" spans="1:57" x14ac:dyDescent="0.35">
      <c r="A332" s="66" t="s">
        <v>487</v>
      </c>
      <c r="B332" s="67"/>
      <c r="C332" s="67"/>
      <c r="D332" s="68"/>
      <c r="E332" s="70"/>
      <c r="F332" s="109" t="str">
        <f>HYPERLINK("https://pbs.twimg.com/profile_images/1439439151854604295/vozj6wax_normal.jpg")</f>
        <v>https://pbs.twimg.com/profile_images/1439439151854604295/vozj6wax_normal.jpg</v>
      </c>
      <c r="G332" s="67"/>
      <c r="H332" s="71"/>
      <c r="I332" s="72"/>
      <c r="J332" s="72"/>
      <c r="K332" s="71" t="s">
        <v>11075</v>
      </c>
      <c r="L332" s="75"/>
      <c r="M332" s="76"/>
      <c r="N332" s="76"/>
      <c r="O332" s="77"/>
      <c r="P332" s="78"/>
      <c r="Q332" s="78"/>
      <c r="R332" s="92"/>
      <c r="S332" s="92"/>
      <c r="T332" s="92"/>
      <c r="U332" s="92"/>
      <c r="V332" s="52"/>
      <c r="W332" s="52"/>
      <c r="X332" s="52"/>
      <c r="Y332" s="52"/>
      <c r="Z332" s="51"/>
      <c r="AA332" s="73"/>
      <c r="AB332" s="73"/>
      <c r="AC332" s="74"/>
      <c r="AD332" s="80" t="s">
        <v>6914</v>
      </c>
      <c r="AE332" s="85" t="s">
        <v>8153</v>
      </c>
      <c r="AF332" s="80">
        <v>29</v>
      </c>
      <c r="AG332" s="80">
        <v>12</v>
      </c>
      <c r="AH332" s="80">
        <v>160</v>
      </c>
      <c r="AI332" s="80">
        <v>172</v>
      </c>
      <c r="AJ332" s="80"/>
      <c r="AK332" s="80"/>
      <c r="AL332" s="80"/>
      <c r="AM332" s="80"/>
      <c r="AN332" s="80"/>
      <c r="AO332" s="82">
        <v>44458.16679398148</v>
      </c>
      <c r="AP332" s="80"/>
      <c r="AQ332" s="80" t="b">
        <v>1</v>
      </c>
      <c r="AR332" s="80" t="b">
        <v>0</v>
      </c>
      <c r="AS332" s="80" t="b">
        <v>0</v>
      </c>
      <c r="AT332" s="80"/>
      <c r="AU332" s="80">
        <v>0</v>
      </c>
      <c r="AV332" s="80"/>
      <c r="AW332" s="80" t="b">
        <v>0</v>
      </c>
      <c r="AX332" s="80" t="s">
        <v>10746</v>
      </c>
      <c r="AY332" s="87" t="str">
        <f>HYPERLINK("https://twitter.com/kariadi_tv")</f>
        <v>https://twitter.com/kariadi_tv</v>
      </c>
      <c r="AZ332" s="80" t="s">
        <v>66</v>
      </c>
      <c r="BA332" s="2"/>
      <c r="BB332" s="3"/>
      <c r="BC332" s="3"/>
      <c r="BD332" s="3"/>
      <c r="BE332" s="3"/>
    </row>
    <row r="333" spans="1:57" x14ac:dyDescent="0.35">
      <c r="A333" s="66" t="s">
        <v>488</v>
      </c>
      <c r="B333" s="67"/>
      <c r="C333" s="67"/>
      <c r="D333" s="68"/>
      <c r="E333" s="70"/>
      <c r="F333" s="109" t="str">
        <f>HYPERLINK("https://pbs.twimg.com/profile_images/1439264123712274433/6W3Vdat__normal.jpg")</f>
        <v>https://pbs.twimg.com/profile_images/1439264123712274433/6W3Vdat__normal.jpg</v>
      </c>
      <c r="G333" s="67"/>
      <c r="H333" s="71"/>
      <c r="I333" s="72"/>
      <c r="J333" s="72"/>
      <c r="K333" s="71" t="s">
        <v>11076</v>
      </c>
      <c r="L333" s="75"/>
      <c r="M333" s="76"/>
      <c r="N333" s="76"/>
      <c r="O333" s="77"/>
      <c r="P333" s="78"/>
      <c r="Q333" s="78"/>
      <c r="R333" s="92"/>
      <c r="S333" s="92"/>
      <c r="T333" s="92"/>
      <c r="U333" s="92"/>
      <c r="V333" s="52"/>
      <c r="W333" s="52"/>
      <c r="X333" s="52"/>
      <c r="Y333" s="52"/>
      <c r="Z333" s="51"/>
      <c r="AA333" s="73"/>
      <c r="AB333" s="73"/>
      <c r="AC333" s="74"/>
      <c r="AD333" s="80" t="s">
        <v>6915</v>
      </c>
      <c r="AE333" s="85" t="s">
        <v>8154</v>
      </c>
      <c r="AF333" s="80">
        <v>52</v>
      </c>
      <c r="AG333" s="80">
        <v>23</v>
      </c>
      <c r="AH333" s="80">
        <v>43</v>
      </c>
      <c r="AI333" s="80">
        <v>54</v>
      </c>
      <c r="AJ333" s="80"/>
      <c r="AK333" s="80" t="s">
        <v>9255</v>
      </c>
      <c r="AL333" s="80"/>
      <c r="AM333" s="80"/>
      <c r="AN333" s="80"/>
      <c r="AO333" s="82">
        <v>44457.548842592594</v>
      </c>
      <c r="AP333" s="87" t="str">
        <f>HYPERLINK("https://pbs.twimg.com/profile_banners/1439215125878112262/1631982282")</f>
        <v>https://pbs.twimg.com/profile_banners/1439215125878112262/1631982282</v>
      </c>
      <c r="AQ333" s="80" t="b">
        <v>1</v>
      </c>
      <c r="AR333" s="80" t="b">
        <v>0</v>
      </c>
      <c r="AS333" s="80" t="b">
        <v>0</v>
      </c>
      <c r="AT333" s="80"/>
      <c r="AU333" s="80">
        <v>0</v>
      </c>
      <c r="AV333" s="80"/>
      <c r="AW333" s="80" t="b">
        <v>0</v>
      </c>
      <c r="AX333" s="80" t="s">
        <v>10746</v>
      </c>
      <c r="AY333" s="87" t="str">
        <f>HYPERLINK("https://twitter.com/novisherliana")</f>
        <v>https://twitter.com/novisherliana</v>
      </c>
      <c r="AZ333" s="80" t="s">
        <v>66</v>
      </c>
      <c r="BA333" s="2"/>
      <c r="BB333" s="3"/>
      <c r="BC333" s="3"/>
      <c r="BD333" s="3"/>
      <c r="BE333" s="3"/>
    </row>
    <row r="334" spans="1:57" x14ac:dyDescent="0.35">
      <c r="A334" s="66" t="s">
        <v>489</v>
      </c>
      <c r="B334" s="67"/>
      <c r="C334" s="67"/>
      <c r="D334" s="68"/>
      <c r="E334" s="70"/>
      <c r="F334" s="109" t="str">
        <f>HYPERLINK("https://pbs.twimg.com/profile_images/1439228394823061507/cvgS2mVg_normal.jpg")</f>
        <v>https://pbs.twimg.com/profile_images/1439228394823061507/cvgS2mVg_normal.jpg</v>
      </c>
      <c r="G334" s="67"/>
      <c r="H334" s="71"/>
      <c r="I334" s="72"/>
      <c r="J334" s="72"/>
      <c r="K334" s="71" t="s">
        <v>11077</v>
      </c>
      <c r="L334" s="75"/>
      <c r="M334" s="76"/>
      <c r="N334" s="76"/>
      <c r="O334" s="77"/>
      <c r="P334" s="78"/>
      <c r="Q334" s="78"/>
      <c r="R334" s="92"/>
      <c r="S334" s="92"/>
      <c r="T334" s="92"/>
      <c r="U334" s="92"/>
      <c r="V334" s="52"/>
      <c r="W334" s="52"/>
      <c r="X334" s="52"/>
      <c r="Y334" s="52"/>
      <c r="Z334" s="51"/>
      <c r="AA334" s="73"/>
      <c r="AB334" s="73"/>
      <c r="AC334" s="74"/>
      <c r="AD334" s="80" t="s">
        <v>6916</v>
      </c>
      <c r="AE334" s="85" t="s">
        <v>8155</v>
      </c>
      <c r="AF334" s="80">
        <v>102</v>
      </c>
      <c r="AG334" s="80">
        <v>64</v>
      </c>
      <c r="AH334" s="80">
        <v>22</v>
      </c>
      <c r="AI334" s="80">
        <v>54</v>
      </c>
      <c r="AJ334" s="80"/>
      <c r="AK334" s="80"/>
      <c r="AL334" s="80"/>
      <c r="AM334" s="80"/>
      <c r="AN334" s="80"/>
      <c r="AO334" s="82">
        <v>44457.584189814814</v>
      </c>
      <c r="AP334" s="80"/>
      <c r="AQ334" s="80" t="b">
        <v>1</v>
      </c>
      <c r="AR334" s="80" t="b">
        <v>0</v>
      </c>
      <c r="AS334" s="80" t="b">
        <v>0</v>
      </c>
      <c r="AT334" s="80"/>
      <c r="AU334" s="80">
        <v>0</v>
      </c>
      <c r="AV334" s="80"/>
      <c r="AW334" s="80" t="b">
        <v>0</v>
      </c>
      <c r="AX334" s="80" t="s">
        <v>10746</v>
      </c>
      <c r="AY334" s="87" t="str">
        <f>HYPERLINK("https://twitter.com/arifrah90154134")</f>
        <v>https://twitter.com/arifrah90154134</v>
      </c>
      <c r="AZ334" s="80" t="s">
        <v>66</v>
      </c>
      <c r="BA334" s="2"/>
      <c r="BB334" s="3"/>
      <c r="BC334" s="3"/>
      <c r="BD334" s="3"/>
      <c r="BE334" s="3"/>
    </row>
    <row r="335" spans="1:57" x14ac:dyDescent="0.35">
      <c r="A335" s="66" t="s">
        <v>490</v>
      </c>
      <c r="B335" s="67"/>
      <c r="C335" s="67"/>
      <c r="D335" s="68"/>
      <c r="E335" s="70"/>
      <c r="F335" s="109" t="str">
        <f>HYPERLINK("https://pbs.twimg.com/profile_images/1439931815758684163/BlJTEOLZ_normal.jpg")</f>
        <v>https://pbs.twimg.com/profile_images/1439931815758684163/BlJTEOLZ_normal.jpg</v>
      </c>
      <c r="G335" s="67"/>
      <c r="H335" s="71"/>
      <c r="I335" s="72"/>
      <c r="J335" s="72"/>
      <c r="K335" s="71" t="s">
        <v>11078</v>
      </c>
      <c r="L335" s="75"/>
      <c r="M335" s="76"/>
      <c r="N335" s="76"/>
      <c r="O335" s="77"/>
      <c r="P335" s="78"/>
      <c r="Q335" s="78"/>
      <c r="R335" s="92"/>
      <c r="S335" s="92"/>
      <c r="T335" s="92"/>
      <c r="U335" s="92"/>
      <c r="V335" s="52"/>
      <c r="W335" s="52"/>
      <c r="X335" s="52"/>
      <c r="Y335" s="52"/>
      <c r="Z335" s="51"/>
      <c r="AA335" s="73"/>
      <c r="AB335" s="73"/>
      <c r="AC335" s="74"/>
      <c r="AD335" s="80" t="s">
        <v>6917</v>
      </c>
      <c r="AE335" s="85" t="s">
        <v>8156</v>
      </c>
      <c r="AF335" s="80">
        <v>248</v>
      </c>
      <c r="AG335" s="80">
        <v>110</v>
      </c>
      <c r="AH335" s="80">
        <v>900</v>
      </c>
      <c r="AI335" s="80">
        <v>901</v>
      </c>
      <c r="AJ335" s="80"/>
      <c r="AK335" s="80" t="s">
        <v>9256</v>
      </c>
      <c r="AL335" s="80"/>
      <c r="AM335" s="80"/>
      <c r="AN335" s="80"/>
      <c r="AO335" s="82">
        <v>44446.316331018519</v>
      </c>
      <c r="AP335" s="80"/>
      <c r="AQ335" s="80" t="b">
        <v>1</v>
      </c>
      <c r="AR335" s="80" t="b">
        <v>0</v>
      </c>
      <c r="AS335" s="80" t="b">
        <v>0</v>
      </c>
      <c r="AT335" s="80"/>
      <c r="AU335" s="80">
        <v>0</v>
      </c>
      <c r="AV335" s="80"/>
      <c r="AW335" s="80" t="b">
        <v>0</v>
      </c>
      <c r="AX335" s="80" t="s">
        <v>10746</v>
      </c>
      <c r="AY335" s="87" t="str">
        <f>HYPERLINK("https://twitter.com/ansoermansoer")</f>
        <v>https://twitter.com/ansoermansoer</v>
      </c>
      <c r="AZ335" s="80" t="s">
        <v>66</v>
      </c>
      <c r="BA335" s="2"/>
      <c r="BB335" s="3"/>
      <c r="BC335" s="3"/>
      <c r="BD335" s="3"/>
      <c r="BE335" s="3"/>
    </row>
    <row r="336" spans="1:57" x14ac:dyDescent="0.35">
      <c r="A336" s="66" t="s">
        <v>491</v>
      </c>
      <c r="B336" s="67"/>
      <c r="C336" s="67"/>
      <c r="D336" s="68"/>
      <c r="E336" s="70"/>
      <c r="F336" s="109" t="str">
        <f>HYPERLINK("https://pbs.twimg.com/profile_images/903977762225926144/8SSAsvZS_normal.jpg")</f>
        <v>https://pbs.twimg.com/profile_images/903977762225926144/8SSAsvZS_normal.jpg</v>
      </c>
      <c r="G336" s="67"/>
      <c r="H336" s="71"/>
      <c r="I336" s="72"/>
      <c r="J336" s="72"/>
      <c r="K336" s="71" t="s">
        <v>11079</v>
      </c>
      <c r="L336" s="75"/>
      <c r="M336" s="76"/>
      <c r="N336" s="76"/>
      <c r="O336" s="77"/>
      <c r="P336" s="78"/>
      <c r="Q336" s="78"/>
      <c r="R336" s="92"/>
      <c r="S336" s="92"/>
      <c r="T336" s="92"/>
      <c r="U336" s="92"/>
      <c r="V336" s="52"/>
      <c r="W336" s="52"/>
      <c r="X336" s="52"/>
      <c r="Y336" s="52"/>
      <c r="Z336" s="51"/>
      <c r="AA336" s="73"/>
      <c r="AB336" s="73"/>
      <c r="AC336" s="74"/>
      <c r="AD336" s="80" t="s">
        <v>6918</v>
      </c>
      <c r="AE336" s="85" t="s">
        <v>8157</v>
      </c>
      <c r="AF336" s="80">
        <v>379</v>
      </c>
      <c r="AG336" s="80">
        <v>828</v>
      </c>
      <c r="AH336" s="80">
        <v>26320</v>
      </c>
      <c r="AI336" s="80">
        <v>3</v>
      </c>
      <c r="AJ336" s="80"/>
      <c r="AK336" s="80" t="s">
        <v>9257</v>
      </c>
      <c r="AL336" s="80" t="s">
        <v>10285</v>
      </c>
      <c r="AM336" s="87" t="str">
        <f>HYPERLINK("https://t.co/LCqM25Rder")</f>
        <v>https://t.co/LCqM25Rder</v>
      </c>
      <c r="AN336" s="80"/>
      <c r="AO336" s="82">
        <v>41155.935601851852</v>
      </c>
      <c r="AP336" s="87" t="str">
        <f>HYPERLINK("https://pbs.twimg.com/profile_banners/801339782/1504360163")</f>
        <v>https://pbs.twimg.com/profile_banners/801339782/1504360163</v>
      </c>
      <c r="AQ336" s="80" t="b">
        <v>0</v>
      </c>
      <c r="AR336" s="80" t="b">
        <v>0</v>
      </c>
      <c r="AS336" s="80" t="b">
        <v>0</v>
      </c>
      <c r="AT336" s="80"/>
      <c r="AU336" s="80">
        <v>1</v>
      </c>
      <c r="AV336" s="87" t="str">
        <f>HYPERLINK("https://abs.twimg.com/images/themes/theme1/bg.png")</f>
        <v>https://abs.twimg.com/images/themes/theme1/bg.png</v>
      </c>
      <c r="AW336" s="80" t="b">
        <v>0</v>
      </c>
      <c r="AX336" s="80" t="s">
        <v>10746</v>
      </c>
      <c r="AY336" s="87" t="str">
        <f>HYPERLINK("https://twitter.com/jnedepok_id")</f>
        <v>https://twitter.com/jnedepok_id</v>
      </c>
      <c r="AZ336" s="80" t="s">
        <v>66</v>
      </c>
      <c r="BA336" s="2"/>
      <c r="BB336" s="3"/>
      <c r="BC336" s="3"/>
      <c r="BD336" s="3"/>
      <c r="BE336" s="3"/>
    </row>
    <row r="337" spans="1:57" x14ac:dyDescent="0.35">
      <c r="A337" s="66" t="s">
        <v>492</v>
      </c>
      <c r="B337" s="67"/>
      <c r="C337" s="67"/>
      <c r="D337" s="68"/>
      <c r="E337" s="70"/>
      <c r="F337" s="109" t="str">
        <f>HYPERLINK("https://pbs.twimg.com/profile_images/1439251070148960259/-SJD_NZr_normal.jpg")</f>
        <v>https://pbs.twimg.com/profile_images/1439251070148960259/-SJD_NZr_normal.jpg</v>
      </c>
      <c r="G337" s="67"/>
      <c r="H337" s="71"/>
      <c r="I337" s="72"/>
      <c r="J337" s="72"/>
      <c r="K337" s="71" t="s">
        <v>11080</v>
      </c>
      <c r="L337" s="75"/>
      <c r="M337" s="76"/>
      <c r="N337" s="76"/>
      <c r="O337" s="77"/>
      <c r="P337" s="78"/>
      <c r="Q337" s="78"/>
      <c r="R337" s="92"/>
      <c r="S337" s="92"/>
      <c r="T337" s="92"/>
      <c r="U337" s="92"/>
      <c r="V337" s="52"/>
      <c r="W337" s="52"/>
      <c r="X337" s="52"/>
      <c r="Y337" s="52"/>
      <c r="Z337" s="51"/>
      <c r="AA337" s="73"/>
      <c r="AB337" s="73"/>
      <c r="AC337" s="74"/>
      <c r="AD337" s="80" t="s">
        <v>6919</v>
      </c>
      <c r="AE337" s="85" t="s">
        <v>8158</v>
      </c>
      <c r="AF337" s="80">
        <v>151</v>
      </c>
      <c r="AG337" s="80">
        <v>96</v>
      </c>
      <c r="AH337" s="80">
        <v>759</v>
      </c>
      <c r="AI337" s="80">
        <v>568</v>
      </c>
      <c r="AJ337" s="80"/>
      <c r="AK337" s="80"/>
      <c r="AL337" s="80" t="s">
        <v>10286</v>
      </c>
      <c r="AM337" s="80"/>
      <c r="AN337" s="80"/>
      <c r="AO337" s="82">
        <v>41632.681481481479</v>
      </c>
      <c r="AP337" s="87" t="str">
        <f>HYPERLINK("https://pbs.twimg.com/profile_banners/2260455018/1632023818")</f>
        <v>https://pbs.twimg.com/profile_banners/2260455018/1632023818</v>
      </c>
      <c r="AQ337" s="80" t="b">
        <v>1</v>
      </c>
      <c r="AR337" s="80" t="b">
        <v>0</v>
      </c>
      <c r="AS337" s="80" t="b">
        <v>0</v>
      </c>
      <c r="AT337" s="80"/>
      <c r="AU337" s="80">
        <v>0</v>
      </c>
      <c r="AV337" s="87" t="str">
        <f>HYPERLINK("https://abs.twimg.com/images/themes/theme1/bg.png")</f>
        <v>https://abs.twimg.com/images/themes/theme1/bg.png</v>
      </c>
      <c r="AW337" s="80" t="b">
        <v>0</v>
      </c>
      <c r="AX337" s="80" t="s">
        <v>10746</v>
      </c>
      <c r="AY337" s="87" t="str">
        <f>HYPERLINK("https://twitter.com/choliqlz")</f>
        <v>https://twitter.com/choliqlz</v>
      </c>
      <c r="AZ337" s="80" t="s">
        <v>66</v>
      </c>
      <c r="BA337" s="2"/>
      <c r="BB337" s="3"/>
      <c r="BC337" s="3"/>
      <c r="BD337" s="3"/>
      <c r="BE337" s="3"/>
    </row>
    <row r="338" spans="1:57" x14ac:dyDescent="0.35">
      <c r="A338" s="66" t="s">
        <v>493</v>
      </c>
      <c r="B338" s="67"/>
      <c r="C338" s="67"/>
      <c r="D338" s="68"/>
      <c r="E338" s="70"/>
      <c r="F338" s="109" t="str">
        <f>HYPERLINK("https://pbs.twimg.com/profile_images/1251830574202961920/EAIr2_LU_normal.jpg")</f>
        <v>https://pbs.twimg.com/profile_images/1251830574202961920/EAIr2_LU_normal.jpg</v>
      </c>
      <c r="G338" s="67"/>
      <c r="H338" s="71"/>
      <c r="I338" s="72"/>
      <c r="J338" s="72"/>
      <c r="K338" s="71" t="s">
        <v>11081</v>
      </c>
      <c r="L338" s="75"/>
      <c r="M338" s="76"/>
      <c r="N338" s="76"/>
      <c r="O338" s="77"/>
      <c r="P338" s="78"/>
      <c r="Q338" s="78"/>
      <c r="R338" s="92"/>
      <c r="S338" s="92"/>
      <c r="T338" s="92"/>
      <c r="U338" s="92"/>
      <c r="V338" s="52"/>
      <c r="W338" s="52"/>
      <c r="X338" s="52"/>
      <c r="Y338" s="52"/>
      <c r="Z338" s="51"/>
      <c r="AA338" s="73"/>
      <c r="AB338" s="73"/>
      <c r="AC338" s="74"/>
      <c r="AD338" s="80" t="s">
        <v>6920</v>
      </c>
      <c r="AE338" s="85" t="s">
        <v>8159</v>
      </c>
      <c r="AF338" s="80">
        <v>409</v>
      </c>
      <c r="AG338" s="80">
        <v>169</v>
      </c>
      <c r="AH338" s="80">
        <v>2206</v>
      </c>
      <c r="AI338" s="80">
        <v>6954</v>
      </c>
      <c r="AJ338" s="80"/>
      <c r="AK338" s="80"/>
      <c r="AL338" s="80" t="s">
        <v>10287</v>
      </c>
      <c r="AM338" s="80"/>
      <c r="AN338" s="80"/>
      <c r="AO338" s="82">
        <v>41056.349456018521</v>
      </c>
      <c r="AP338" s="87" t="str">
        <f>HYPERLINK("https://pbs.twimg.com/profile_banners/591634868/1618076590")</f>
        <v>https://pbs.twimg.com/profile_banners/591634868/1618076590</v>
      </c>
      <c r="AQ338" s="80" t="b">
        <v>0</v>
      </c>
      <c r="AR338" s="80" t="b">
        <v>0</v>
      </c>
      <c r="AS338" s="80" t="b">
        <v>1</v>
      </c>
      <c r="AT338" s="80"/>
      <c r="AU338" s="80">
        <v>0</v>
      </c>
      <c r="AV338" s="87" t="str">
        <f>HYPERLINK("https://abs.twimg.com/images/themes/theme1/bg.png")</f>
        <v>https://abs.twimg.com/images/themes/theme1/bg.png</v>
      </c>
      <c r="AW338" s="80" t="b">
        <v>0</v>
      </c>
      <c r="AX338" s="80" t="s">
        <v>10746</v>
      </c>
      <c r="AY338" s="87" t="str">
        <f>HYPERLINK("https://twitter.com/aimalfaruq_zaim")</f>
        <v>https://twitter.com/aimalfaruq_zaim</v>
      </c>
      <c r="AZ338" s="80" t="s">
        <v>66</v>
      </c>
      <c r="BA338" s="2"/>
      <c r="BB338" s="3"/>
      <c r="BC338" s="3"/>
      <c r="BD338" s="3"/>
      <c r="BE338" s="3"/>
    </row>
    <row r="339" spans="1:57" x14ac:dyDescent="0.35">
      <c r="A339" s="66" t="s">
        <v>494</v>
      </c>
      <c r="B339" s="67"/>
      <c r="C339" s="67"/>
      <c r="D339" s="68"/>
      <c r="E339" s="70"/>
      <c r="F339" s="109" t="str">
        <f>HYPERLINK("https://pbs.twimg.com/profile_images/1439362695011057666/n15lp8Qw_normal.jpg")</f>
        <v>https://pbs.twimg.com/profile_images/1439362695011057666/n15lp8Qw_normal.jpg</v>
      </c>
      <c r="G339" s="67"/>
      <c r="H339" s="71"/>
      <c r="I339" s="72"/>
      <c r="J339" s="72"/>
      <c r="K339" s="71" t="s">
        <v>11082</v>
      </c>
      <c r="L339" s="75"/>
      <c r="M339" s="76"/>
      <c r="N339" s="76"/>
      <c r="O339" s="77"/>
      <c r="P339" s="78"/>
      <c r="Q339" s="78"/>
      <c r="R339" s="92"/>
      <c r="S339" s="92"/>
      <c r="T339" s="92"/>
      <c r="U339" s="92"/>
      <c r="V339" s="52"/>
      <c r="W339" s="52"/>
      <c r="X339" s="52"/>
      <c r="Y339" s="52"/>
      <c r="Z339" s="51"/>
      <c r="AA339" s="73"/>
      <c r="AB339" s="73"/>
      <c r="AC339" s="74"/>
      <c r="AD339" s="80" t="s">
        <v>6921</v>
      </c>
      <c r="AE339" s="85" t="s">
        <v>8160</v>
      </c>
      <c r="AF339" s="80">
        <v>148</v>
      </c>
      <c r="AG339" s="80">
        <v>29</v>
      </c>
      <c r="AH339" s="80">
        <v>73</v>
      </c>
      <c r="AI339" s="80">
        <v>91</v>
      </c>
      <c r="AJ339" s="80"/>
      <c r="AK339" s="80" t="s">
        <v>9258</v>
      </c>
      <c r="AL339" s="80"/>
      <c r="AM339" s="80"/>
      <c r="AN339" s="80"/>
      <c r="AO339" s="82">
        <v>44457.950104166666</v>
      </c>
      <c r="AP339" s="80"/>
      <c r="AQ339" s="80" t="b">
        <v>1</v>
      </c>
      <c r="AR339" s="80" t="b">
        <v>0</v>
      </c>
      <c r="AS339" s="80" t="b">
        <v>0</v>
      </c>
      <c r="AT339" s="80"/>
      <c r="AU339" s="80">
        <v>0</v>
      </c>
      <c r="AV339" s="80"/>
      <c r="AW339" s="80" t="b">
        <v>0</v>
      </c>
      <c r="AX339" s="80" t="s">
        <v>10746</v>
      </c>
      <c r="AY339" s="87" t="str">
        <f>HYPERLINK("https://twitter.com/farobiz")</f>
        <v>https://twitter.com/farobiz</v>
      </c>
      <c r="AZ339" s="80" t="s">
        <v>66</v>
      </c>
      <c r="BA339" s="2"/>
      <c r="BB339" s="3"/>
      <c r="BC339" s="3"/>
      <c r="BD339" s="3"/>
      <c r="BE339" s="3"/>
    </row>
    <row r="340" spans="1:57" x14ac:dyDescent="0.35">
      <c r="A340" s="66" t="s">
        <v>495</v>
      </c>
      <c r="B340" s="67"/>
      <c r="C340" s="67"/>
      <c r="D340" s="68"/>
      <c r="E340" s="70"/>
      <c r="F340" s="109" t="str">
        <f>HYPERLINK("https://pbs.twimg.com/profile_images/1439277259991355398/mdO5tkqL_normal.jpg")</f>
        <v>https://pbs.twimg.com/profile_images/1439277259991355398/mdO5tkqL_normal.jpg</v>
      </c>
      <c r="G340" s="67"/>
      <c r="H340" s="71"/>
      <c r="I340" s="72"/>
      <c r="J340" s="72"/>
      <c r="K340" s="71" t="s">
        <v>11083</v>
      </c>
      <c r="L340" s="75"/>
      <c r="M340" s="76"/>
      <c r="N340" s="76"/>
      <c r="O340" s="77"/>
      <c r="P340" s="78"/>
      <c r="Q340" s="78"/>
      <c r="R340" s="92"/>
      <c r="S340" s="92"/>
      <c r="T340" s="92"/>
      <c r="U340" s="92"/>
      <c r="V340" s="52"/>
      <c r="W340" s="52"/>
      <c r="X340" s="52"/>
      <c r="Y340" s="52"/>
      <c r="Z340" s="51"/>
      <c r="AA340" s="73"/>
      <c r="AB340" s="73"/>
      <c r="AC340" s="74"/>
      <c r="AD340" s="80" t="s">
        <v>6922</v>
      </c>
      <c r="AE340" s="85" t="s">
        <v>8161</v>
      </c>
      <c r="AF340" s="80">
        <v>51</v>
      </c>
      <c r="AG340" s="80">
        <v>26</v>
      </c>
      <c r="AH340" s="80">
        <v>178</v>
      </c>
      <c r="AI340" s="80">
        <v>3</v>
      </c>
      <c r="AJ340" s="80"/>
      <c r="AK340" s="80"/>
      <c r="AL340" s="80"/>
      <c r="AM340" s="80"/>
      <c r="AN340" s="80"/>
      <c r="AO340" s="82">
        <v>44457.531909722224</v>
      </c>
      <c r="AP340" s="80"/>
      <c r="AQ340" s="80" t="b">
        <v>1</v>
      </c>
      <c r="AR340" s="80" t="b">
        <v>0</v>
      </c>
      <c r="AS340" s="80" t="b">
        <v>0</v>
      </c>
      <c r="AT340" s="80"/>
      <c r="AU340" s="80">
        <v>0</v>
      </c>
      <c r="AV340" s="80"/>
      <c r="AW340" s="80" t="b">
        <v>0</v>
      </c>
      <c r="AX340" s="80" t="s">
        <v>10746</v>
      </c>
      <c r="AY340" s="87" t="str">
        <f>HYPERLINK("https://twitter.com/ansorkotakediri")</f>
        <v>https://twitter.com/ansorkotakediri</v>
      </c>
      <c r="AZ340" s="80" t="s">
        <v>66</v>
      </c>
      <c r="BA340" s="2"/>
      <c r="BB340" s="3"/>
      <c r="BC340" s="3"/>
      <c r="BD340" s="3"/>
      <c r="BE340" s="3"/>
    </row>
    <row r="341" spans="1:57" x14ac:dyDescent="0.35">
      <c r="A341" s="66" t="s">
        <v>496</v>
      </c>
      <c r="B341" s="67"/>
      <c r="C341" s="67"/>
      <c r="D341" s="68"/>
      <c r="E341" s="70"/>
      <c r="F341" s="109" t="str">
        <f>HYPERLINK("https://abs.twimg.com/sticky/default_profile_images/default_profile_normal.png")</f>
        <v>https://abs.twimg.com/sticky/default_profile_images/default_profile_normal.png</v>
      </c>
      <c r="G341" s="67"/>
      <c r="H341" s="71"/>
      <c r="I341" s="72"/>
      <c r="J341" s="72"/>
      <c r="K341" s="71" t="s">
        <v>11084</v>
      </c>
      <c r="L341" s="75"/>
      <c r="M341" s="76"/>
      <c r="N341" s="76"/>
      <c r="O341" s="77"/>
      <c r="P341" s="78"/>
      <c r="Q341" s="78"/>
      <c r="R341" s="92"/>
      <c r="S341" s="92"/>
      <c r="T341" s="92"/>
      <c r="U341" s="92"/>
      <c r="V341" s="52"/>
      <c r="W341" s="52"/>
      <c r="X341" s="52"/>
      <c r="Y341" s="52"/>
      <c r="Z341" s="51"/>
      <c r="AA341" s="73"/>
      <c r="AB341" s="73"/>
      <c r="AC341" s="74"/>
      <c r="AD341" s="80" t="s">
        <v>6923</v>
      </c>
      <c r="AE341" s="85" t="s">
        <v>8162</v>
      </c>
      <c r="AF341" s="80">
        <v>20</v>
      </c>
      <c r="AG341" s="80">
        <v>5</v>
      </c>
      <c r="AH341" s="80">
        <v>29</v>
      </c>
      <c r="AI341" s="80">
        <v>1673</v>
      </c>
      <c r="AJ341" s="80"/>
      <c r="AK341" s="80"/>
      <c r="AL341" s="80"/>
      <c r="AM341" s="80"/>
      <c r="AN341" s="80"/>
      <c r="AO341" s="82">
        <v>42814.586377314816</v>
      </c>
      <c r="AP341" s="80"/>
      <c r="AQ341" s="80" t="b">
        <v>1</v>
      </c>
      <c r="AR341" s="80" t="b">
        <v>1</v>
      </c>
      <c r="AS341" s="80" t="b">
        <v>0</v>
      </c>
      <c r="AT341" s="80"/>
      <c r="AU341" s="80">
        <v>0</v>
      </c>
      <c r="AV341" s="80"/>
      <c r="AW341" s="80" t="b">
        <v>0</v>
      </c>
      <c r="AX341" s="80" t="s">
        <v>10746</v>
      </c>
      <c r="AY341" s="87" t="str">
        <f>HYPERLINK("https://twitter.com/a88ytjhan88")</f>
        <v>https://twitter.com/a88ytjhan88</v>
      </c>
      <c r="AZ341" s="80" t="s">
        <v>66</v>
      </c>
      <c r="BA341" s="2"/>
      <c r="BB341" s="3"/>
      <c r="BC341" s="3"/>
      <c r="BD341" s="3"/>
      <c r="BE341" s="3"/>
    </row>
    <row r="342" spans="1:57" x14ac:dyDescent="0.35">
      <c r="A342" s="66" t="s">
        <v>1321</v>
      </c>
      <c r="B342" s="67"/>
      <c r="C342" s="67"/>
      <c r="D342" s="68"/>
      <c r="E342" s="70"/>
      <c r="F342" s="109" t="str">
        <f>HYPERLINK("https://pbs.twimg.com/profile_images/961801012527775744/f_tyNgb7_normal.jpg")</f>
        <v>https://pbs.twimg.com/profile_images/961801012527775744/f_tyNgb7_normal.jpg</v>
      </c>
      <c r="G342" s="67"/>
      <c r="H342" s="71"/>
      <c r="I342" s="72"/>
      <c r="J342" s="72"/>
      <c r="K342" s="71" t="s">
        <v>11085</v>
      </c>
      <c r="L342" s="75"/>
      <c r="M342" s="76"/>
      <c r="N342" s="76"/>
      <c r="O342" s="77"/>
      <c r="P342" s="78"/>
      <c r="Q342" s="78"/>
      <c r="R342" s="92"/>
      <c r="S342" s="92"/>
      <c r="T342" s="92"/>
      <c r="U342" s="92"/>
      <c r="V342" s="52"/>
      <c r="W342" s="52"/>
      <c r="X342" s="52"/>
      <c r="Y342" s="52"/>
      <c r="Z342" s="51"/>
      <c r="AA342" s="73"/>
      <c r="AB342" s="73"/>
      <c r="AC342" s="74"/>
      <c r="AD342" s="80" t="s">
        <v>6924</v>
      </c>
      <c r="AE342" s="85" t="s">
        <v>6286</v>
      </c>
      <c r="AF342" s="80">
        <v>41</v>
      </c>
      <c r="AG342" s="80">
        <v>140</v>
      </c>
      <c r="AH342" s="80">
        <v>44</v>
      </c>
      <c r="AI342" s="80">
        <v>5</v>
      </c>
      <c r="AJ342" s="80"/>
      <c r="AK342" s="80" t="s">
        <v>9259</v>
      </c>
      <c r="AL342" s="80" t="s">
        <v>10288</v>
      </c>
      <c r="AM342" s="87" t="str">
        <f>HYPERLINK("https://t.co/FNaFPjBIMd")</f>
        <v>https://t.co/FNaFPjBIMd</v>
      </c>
      <c r="AN342" s="80"/>
      <c r="AO342" s="82">
        <v>42610.625613425924</v>
      </c>
      <c r="AP342" s="87" t="str">
        <f>HYPERLINK("https://pbs.twimg.com/profile_banners/769912644610297856/1518146133")</f>
        <v>https://pbs.twimg.com/profile_banners/769912644610297856/1518146133</v>
      </c>
      <c r="AQ342" s="80" t="b">
        <v>0</v>
      </c>
      <c r="AR342" s="80" t="b">
        <v>0</v>
      </c>
      <c r="AS342" s="80" t="b">
        <v>0</v>
      </c>
      <c r="AT342" s="80"/>
      <c r="AU342" s="80">
        <v>0</v>
      </c>
      <c r="AV342" s="87" t="str">
        <f>HYPERLINK("https://abs.twimg.com/images/themes/theme1/bg.png")</f>
        <v>https://abs.twimg.com/images/themes/theme1/bg.png</v>
      </c>
      <c r="AW342" s="80" t="b">
        <v>0</v>
      </c>
      <c r="AX342" s="80" t="s">
        <v>10746</v>
      </c>
      <c r="AY342" s="87" t="str">
        <f>HYPERLINK("https://twitter.com/kantorposjkb")</f>
        <v>https://twitter.com/kantorposjkb</v>
      </c>
      <c r="AZ342" s="80" t="s">
        <v>65</v>
      </c>
      <c r="BA342" s="2"/>
      <c r="BB342" s="3"/>
      <c r="BC342" s="3"/>
      <c r="BD342" s="3"/>
      <c r="BE342" s="3"/>
    </row>
    <row r="343" spans="1:57" x14ac:dyDescent="0.35">
      <c r="A343" s="66" t="s">
        <v>497</v>
      </c>
      <c r="B343" s="67"/>
      <c r="C343" s="67"/>
      <c r="D343" s="68"/>
      <c r="E343" s="70"/>
      <c r="F343" s="109" t="str">
        <f>HYPERLINK("https://pbs.twimg.com/profile_images/965662788583436288/rBrJHA-E_normal.jpg")</f>
        <v>https://pbs.twimg.com/profile_images/965662788583436288/rBrJHA-E_normal.jpg</v>
      </c>
      <c r="G343" s="67"/>
      <c r="H343" s="71"/>
      <c r="I343" s="72"/>
      <c r="J343" s="72"/>
      <c r="K343" s="71" t="s">
        <v>11086</v>
      </c>
      <c r="L343" s="75"/>
      <c r="M343" s="76"/>
      <c r="N343" s="76"/>
      <c r="O343" s="77"/>
      <c r="P343" s="78"/>
      <c r="Q343" s="78"/>
      <c r="R343" s="92"/>
      <c r="S343" s="92"/>
      <c r="T343" s="92"/>
      <c r="U343" s="92"/>
      <c r="V343" s="52"/>
      <c r="W343" s="52"/>
      <c r="X343" s="52"/>
      <c r="Y343" s="52"/>
      <c r="Z343" s="51"/>
      <c r="AA343" s="73"/>
      <c r="AB343" s="73"/>
      <c r="AC343" s="74"/>
      <c r="AD343" s="80" t="s">
        <v>6925</v>
      </c>
      <c r="AE343" s="85" t="s">
        <v>8163</v>
      </c>
      <c r="AF343" s="80">
        <v>94</v>
      </c>
      <c r="AG343" s="80">
        <v>788</v>
      </c>
      <c r="AH343" s="80">
        <v>3676</v>
      </c>
      <c r="AI343" s="80">
        <v>0</v>
      </c>
      <c r="AJ343" s="80"/>
      <c r="AK343" s="80" t="s">
        <v>9260</v>
      </c>
      <c r="AL343" s="80" t="s">
        <v>10289</v>
      </c>
      <c r="AM343" s="87" t="str">
        <f>HYPERLINK("https://t.co/5oUlcyBcAv")</f>
        <v>https://t.co/5oUlcyBcAv</v>
      </c>
      <c r="AN343" s="80"/>
      <c r="AO343" s="82">
        <v>43036.670312499999</v>
      </c>
      <c r="AP343" s="87" t="str">
        <f>HYPERLINK("https://pbs.twimg.com/profile_banners/924306074185777152/1509210812")</f>
        <v>https://pbs.twimg.com/profile_banners/924306074185777152/1509210812</v>
      </c>
      <c r="AQ343" s="80" t="b">
        <v>1</v>
      </c>
      <c r="AR343" s="80" t="b">
        <v>0</v>
      </c>
      <c r="AS343" s="80" t="b">
        <v>0</v>
      </c>
      <c r="AT343" s="80"/>
      <c r="AU343" s="80">
        <v>0</v>
      </c>
      <c r="AV343" s="80"/>
      <c r="AW343" s="80" t="b">
        <v>0</v>
      </c>
      <c r="AX343" s="80" t="s">
        <v>10746</v>
      </c>
      <c r="AY343" s="87" t="str">
        <f>HYPERLINK("https://twitter.com/padangjobs_id")</f>
        <v>https://twitter.com/padangjobs_id</v>
      </c>
      <c r="AZ343" s="80" t="s">
        <v>66</v>
      </c>
      <c r="BA343" s="2"/>
      <c r="BB343" s="3"/>
      <c r="BC343" s="3"/>
      <c r="BD343" s="3"/>
      <c r="BE343" s="3"/>
    </row>
    <row r="344" spans="1:57" x14ac:dyDescent="0.35">
      <c r="A344" s="66" t="s">
        <v>498</v>
      </c>
      <c r="B344" s="67"/>
      <c r="C344" s="67"/>
      <c r="D344" s="68"/>
      <c r="E344" s="70"/>
      <c r="F344" s="109" t="str">
        <f>HYPERLINK("https://pbs.twimg.com/profile_images/740366271091376128/L9575BWK_normal.jpg")</f>
        <v>https://pbs.twimg.com/profile_images/740366271091376128/L9575BWK_normal.jpg</v>
      </c>
      <c r="G344" s="67"/>
      <c r="H344" s="71"/>
      <c r="I344" s="72"/>
      <c r="J344" s="72"/>
      <c r="K344" s="71" t="s">
        <v>11087</v>
      </c>
      <c r="L344" s="75"/>
      <c r="M344" s="76"/>
      <c r="N344" s="76"/>
      <c r="O344" s="77"/>
      <c r="P344" s="78"/>
      <c r="Q344" s="78"/>
      <c r="R344" s="92"/>
      <c r="S344" s="92"/>
      <c r="T344" s="92"/>
      <c r="U344" s="92"/>
      <c r="V344" s="52"/>
      <c r="W344" s="52"/>
      <c r="X344" s="52"/>
      <c r="Y344" s="52"/>
      <c r="Z344" s="51"/>
      <c r="AA344" s="73"/>
      <c r="AB344" s="73"/>
      <c r="AC344" s="74"/>
      <c r="AD344" s="80" t="s">
        <v>6926</v>
      </c>
      <c r="AE344" s="85" t="s">
        <v>8164</v>
      </c>
      <c r="AF344" s="80">
        <v>121</v>
      </c>
      <c r="AG344" s="80">
        <v>19</v>
      </c>
      <c r="AH344" s="80">
        <v>83</v>
      </c>
      <c r="AI344" s="80">
        <v>49</v>
      </c>
      <c r="AJ344" s="80"/>
      <c r="AK344" s="80"/>
      <c r="AL344" s="80"/>
      <c r="AM344" s="80"/>
      <c r="AN344" s="80"/>
      <c r="AO344" s="82">
        <v>42529.09</v>
      </c>
      <c r="AP344" s="80"/>
      <c r="AQ344" s="80" t="b">
        <v>1</v>
      </c>
      <c r="AR344" s="80" t="b">
        <v>0</v>
      </c>
      <c r="AS344" s="80" t="b">
        <v>0</v>
      </c>
      <c r="AT344" s="80"/>
      <c r="AU344" s="80">
        <v>0</v>
      </c>
      <c r="AV344" s="80"/>
      <c r="AW344" s="80" t="b">
        <v>0</v>
      </c>
      <c r="AX344" s="80" t="s">
        <v>10746</v>
      </c>
      <c r="AY344" s="87" t="str">
        <f>HYPERLINK("https://twitter.com/471_eb")</f>
        <v>https://twitter.com/471_eb</v>
      </c>
      <c r="AZ344" s="80" t="s">
        <v>66</v>
      </c>
      <c r="BA344" s="2"/>
      <c r="BB344" s="3"/>
      <c r="BC344" s="3"/>
      <c r="BD344" s="3"/>
      <c r="BE344" s="3"/>
    </row>
    <row r="345" spans="1:57" x14ac:dyDescent="0.35">
      <c r="A345" s="66" t="s">
        <v>499</v>
      </c>
      <c r="B345" s="67"/>
      <c r="C345" s="67"/>
      <c r="D345" s="68"/>
      <c r="E345" s="70"/>
      <c r="F345" s="109" t="str">
        <f>HYPERLINK("https://pbs.twimg.com/profile_images/1217111739772239872/B_JjsamQ_normal.jpg")</f>
        <v>https://pbs.twimg.com/profile_images/1217111739772239872/B_JjsamQ_normal.jpg</v>
      </c>
      <c r="G345" s="67"/>
      <c r="H345" s="71"/>
      <c r="I345" s="72"/>
      <c r="J345" s="72"/>
      <c r="K345" s="71" t="s">
        <v>11088</v>
      </c>
      <c r="L345" s="75"/>
      <c r="M345" s="76"/>
      <c r="N345" s="76"/>
      <c r="O345" s="77"/>
      <c r="P345" s="78"/>
      <c r="Q345" s="78"/>
      <c r="R345" s="92"/>
      <c r="S345" s="92"/>
      <c r="T345" s="92"/>
      <c r="U345" s="92"/>
      <c r="V345" s="52"/>
      <c r="W345" s="52"/>
      <c r="X345" s="52"/>
      <c r="Y345" s="52"/>
      <c r="Z345" s="51"/>
      <c r="AA345" s="73"/>
      <c r="AB345" s="73"/>
      <c r="AC345" s="74"/>
      <c r="AD345" s="80" t="s">
        <v>6927</v>
      </c>
      <c r="AE345" s="85" t="s">
        <v>8165</v>
      </c>
      <c r="AF345" s="80">
        <v>1528</v>
      </c>
      <c r="AG345" s="80">
        <v>1034</v>
      </c>
      <c r="AH345" s="80">
        <v>64133</v>
      </c>
      <c r="AI345" s="80">
        <v>6833</v>
      </c>
      <c r="AJ345" s="80"/>
      <c r="AK345" s="80" t="s">
        <v>9261</v>
      </c>
      <c r="AL345" s="80"/>
      <c r="AM345" s="87" t="str">
        <f>HYPERLINK("https://t.co/daVRVEpax7")</f>
        <v>https://t.co/daVRVEpax7</v>
      </c>
      <c r="AN345" s="80"/>
      <c r="AO345" s="82">
        <v>41018.393495370372</v>
      </c>
      <c r="AP345" s="87" t="str">
        <f>HYPERLINK("https://pbs.twimg.com/profile_banners/557564732/1576413493")</f>
        <v>https://pbs.twimg.com/profile_banners/557564732/1576413493</v>
      </c>
      <c r="AQ345" s="80" t="b">
        <v>0</v>
      </c>
      <c r="AR345" s="80" t="b">
        <v>0</v>
      </c>
      <c r="AS345" s="80" t="b">
        <v>1</v>
      </c>
      <c r="AT345" s="80"/>
      <c r="AU345" s="80">
        <v>3</v>
      </c>
      <c r="AV345" s="87" t="str">
        <f>HYPERLINK("https://abs.twimg.com/images/themes/theme1/bg.png")</f>
        <v>https://abs.twimg.com/images/themes/theme1/bg.png</v>
      </c>
      <c r="AW345" s="80" t="b">
        <v>0</v>
      </c>
      <c r="AX345" s="80" t="s">
        <v>10746</v>
      </c>
      <c r="AY345" s="87" t="str">
        <f>HYPERLINK("https://twitter.com/atikahlahhh")</f>
        <v>https://twitter.com/atikahlahhh</v>
      </c>
      <c r="AZ345" s="80" t="s">
        <v>66</v>
      </c>
      <c r="BA345" s="2"/>
      <c r="BB345" s="3"/>
      <c r="BC345" s="3"/>
      <c r="BD345" s="3"/>
      <c r="BE345" s="3"/>
    </row>
    <row r="346" spans="1:57" x14ac:dyDescent="0.35">
      <c r="A346" s="66" t="s">
        <v>500</v>
      </c>
      <c r="B346" s="67"/>
      <c r="C346" s="67"/>
      <c r="D346" s="68"/>
      <c r="E346" s="70"/>
      <c r="F346" s="109" t="str">
        <f>HYPERLINK("https://pbs.twimg.com/profile_images/1440151089009999888/td2f0e5B_normal.jpg")</f>
        <v>https://pbs.twimg.com/profile_images/1440151089009999888/td2f0e5B_normal.jpg</v>
      </c>
      <c r="G346" s="67"/>
      <c r="H346" s="71"/>
      <c r="I346" s="72"/>
      <c r="J346" s="72"/>
      <c r="K346" s="71" t="s">
        <v>11089</v>
      </c>
      <c r="L346" s="75"/>
      <c r="M346" s="76"/>
      <c r="N346" s="76"/>
      <c r="O346" s="77"/>
      <c r="P346" s="78"/>
      <c r="Q346" s="78"/>
      <c r="R346" s="92"/>
      <c r="S346" s="92"/>
      <c r="T346" s="92"/>
      <c r="U346" s="92"/>
      <c r="V346" s="52"/>
      <c r="W346" s="52"/>
      <c r="X346" s="52"/>
      <c r="Y346" s="52"/>
      <c r="Z346" s="51"/>
      <c r="AA346" s="73"/>
      <c r="AB346" s="73"/>
      <c r="AC346" s="74"/>
      <c r="AD346" s="80" t="s">
        <v>6928</v>
      </c>
      <c r="AE346" s="85" t="s">
        <v>8166</v>
      </c>
      <c r="AF346" s="80">
        <v>25</v>
      </c>
      <c r="AG346" s="80">
        <v>4</v>
      </c>
      <c r="AH346" s="80">
        <v>117</v>
      </c>
      <c r="AI346" s="80">
        <v>114</v>
      </c>
      <c r="AJ346" s="80"/>
      <c r="AK346" s="80"/>
      <c r="AL346" s="80"/>
      <c r="AM346" s="80"/>
      <c r="AN346" s="80"/>
      <c r="AO346" s="82">
        <v>44459.914375</v>
      </c>
      <c r="AP346" s="80"/>
      <c r="AQ346" s="80" t="b">
        <v>1</v>
      </c>
      <c r="AR346" s="80" t="b">
        <v>0</v>
      </c>
      <c r="AS346" s="80" t="b">
        <v>0</v>
      </c>
      <c r="AT346" s="80"/>
      <c r="AU346" s="80">
        <v>0</v>
      </c>
      <c r="AV346" s="80"/>
      <c r="AW346" s="80" t="b">
        <v>0</v>
      </c>
      <c r="AX346" s="80" t="s">
        <v>10746</v>
      </c>
      <c r="AY346" s="87" t="str">
        <f>HYPERLINK("https://twitter.com/jaimahmembara_")</f>
        <v>https://twitter.com/jaimahmembara_</v>
      </c>
      <c r="AZ346" s="80" t="s">
        <v>66</v>
      </c>
      <c r="BA346" s="2"/>
      <c r="BB346" s="3"/>
      <c r="BC346" s="3"/>
      <c r="BD346" s="3"/>
      <c r="BE346" s="3"/>
    </row>
    <row r="347" spans="1:57" x14ac:dyDescent="0.35">
      <c r="A347" s="66" t="s">
        <v>501</v>
      </c>
      <c r="B347" s="67"/>
      <c r="C347" s="67"/>
      <c r="D347" s="68"/>
      <c r="E347" s="70"/>
      <c r="F347" s="109" t="str">
        <f>HYPERLINK("https://pbs.twimg.com/profile_images/1121684138497458177/7LP5sagl_normal.png")</f>
        <v>https://pbs.twimg.com/profile_images/1121684138497458177/7LP5sagl_normal.png</v>
      </c>
      <c r="G347" s="67"/>
      <c r="H347" s="71"/>
      <c r="I347" s="72"/>
      <c r="J347" s="72"/>
      <c r="K347" s="71" t="s">
        <v>11090</v>
      </c>
      <c r="L347" s="75"/>
      <c r="M347" s="76"/>
      <c r="N347" s="76"/>
      <c r="O347" s="77"/>
      <c r="P347" s="78"/>
      <c r="Q347" s="78"/>
      <c r="R347" s="92"/>
      <c r="S347" s="92"/>
      <c r="T347" s="92"/>
      <c r="U347" s="92"/>
      <c r="V347" s="52"/>
      <c r="W347" s="52"/>
      <c r="X347" s="52"/>
      <c r="Y347" s="52"/>
      <c r="Z347" s="51"/>
      <c r="AA347" s="73"/>
      <c r="AB347" s="73"/>
      <c r="AC347" s="74"/>
      <c r="AD347" s="80" t="s">
        <v>6929</v>
      </c>
      <c r="AE347" s="85" t="s">
        <v>8167</v>
      </c>
      <c r="AF347" s="80">
        <v>19</v>
      </c>
      <c r="AG347" s="80">
        <v>101</v>
      </c>
      <c r="AH347" s="80">
        <v>1692</v>
      </c>
      <c r="AI347" s="80">
        <v>64</v>
      </c>
      <c r="AJ347" s="80"/>
      <c r="AK347" s="80" t="s">
        <v>9262</v>
      </c>
      <c r="AL347" s="80" t="s">
        <v>6543</v>
      </c>
      <c r="AM347" s="80"/>
      <c r="AN347" s="80"/>
      <c r="AO347" s="82">
        <v>43581.304120370369</v>
      </c>
      <c r="AP347" s="87" t="str">
        <f>HYPERLINK("https://pbs.twimg.com/profile_banners/1121674755868729344/1556263964")</f>
        <v>https://pbs.twimg.com/profile_banners/1121674755868729344/1556263964</v>
      </c>
      <c r="AQ347" s="80" t="b">
        <v>1</v>
      </c>
      <c r="AR347" s="80" t="b">
        <v>0</v>
      </c>
      <c r="AS347" s="80" t="b">
        <v>0</v>
      </c>
      <c r="AT347" s="80"/>
      <c r="AU347" s="80">
        <v>1</v>
      </c>
      <c r="AV347" s="80"/>
      <c r="AW347" s="80" t="b">
        <v>0</v>
      </c>
      <c r="AX347" s="80" t="s">
        <v>10746</v>
      </c>
      <c r="AY347" s="87" t="str">
        <f>HYPERLINK("https://twitter.com/kompaskerja")</f>
        <v>https://twitter.com/kompaskerja</v>
      </c>
      <c r="AZ347" s="80" t="s">
        <v>66</v>
      </c>
      <c r="BA347" s="2"/>
      <c r="BB347" s="3"/>
      <c r="BC347" s="3"/>
      <c r="BD347" s="3"/>
      <c r="BE347" s="3"/>
    </row>
    <row r="348" spans="1:57" x14ac:dyDescent="0.35">
      <c r="A348" s="66" t="s">
        <v>502</v>
      </c>
      <c r="B348" s="67"/>
      <c r="C348" s="67"/>
      <c r="D348" s="68"/>
      <c r="E348" s="70"/>
      <c r="F348" s="109" t="str">
        <f>HYPERLINK("https://pbs.twimg.com/profile_images/1442331295699259396/PiwzQdpq_normal.jpg")</f>
        <v>https://pbs.twimg.com/profile_images/1442331295699259396/PiwzQdpq_normal.jpg</v>
      </c>
      <c r="G348" s="67"/>
      <c r="H348" s="71"/>
      <c r="I348" s="72"/>
      <c r="J348" s="72"/>
      <c r="K348" s="71" t="s">
        <v>11091</v>
      </c>
      <c r="L348" s="75"/>
      <c r="M348" s="76"/>
      <c r="N348" s="76"/>
      <c r="O348" s="77"/>
      <c r="P348" s="78"/>
      <c r="Q348" s="78"/>
      <c r="R348" s="92"/>
      <c r="S348" s="92"/>
      <c r="T348" s="92"/>
      <c r="U348" s="92"/>
      <c r="V348" s="52"/>
      <c r="W348" s="52"/>
      <c r="X348" s="52"/>
      <c r="Y348" s="52"/>
      <c r="Z348" s="51"/>
      <c r="AA348" s="73"/>
      <c r="AB348" s="73"/>
      <c r="AC348" s="74"/>
      <c r="AD348" s="80" t="s">
        <v>6930</v>
      </c>
      <c r="AE348" s="85" t="s">
        <v>6287</v>
      </c>
      <c r="AF348" s="80">
        <v>98</v>
      </c>
      <c r="AG348" s="80">
        <v>97</v>
      </c>
      <c r="AH348" s="80">
        <v>12155</v>
      </c>
      <c r="AI348" s="80">
        <v>1753</v>
      </c>
      <c r="AJ348" s="80"/>
      <c r="AK348" s="80" t="s">
        <v>9263</v>
      </c>
      <c r="AL348" s="80" t="s">
        <v>10290</v>
      </c>
      <c r="AM348" s="87" t="str">
        <f>HYPERLINK("https://t.co/3lCiAocurd")</f>
        <v>https://t.co/3lCiAocurd</v>
      </c>
      <c r="AN348" s="80"/>
      <c r="AO348" s="82">
        <v>43969.716226851851</v>
      </c>
      <c r="AP348" s="87" t="str">
        <f>HYPERLINK("https://pbs.twimg.com/profile_banners/1262430436501753860/1630853210")</f>
        <v>https://pbs.twimg.com/profile_banners/1262430436501753860/1630853210</v>
      </c>
      <c r="AQ348" s="80" t="b">
        <v>1</v>
      </c>
      <c r="AR348" s="80" t="b">
        <v>0</v>
      </c>
      <c r="AS348" s="80" t="b">
        <v>0</v>
      </c>
      <c r="AT348" s="80"/>
      <c r="AU348" s="80">
        <v>0</v>
      </c>
      <c r="AV348" s="80"/>
      <c r="AW348" s="80" t="b">
        <v>0</v>
      </c>
      <c r="AX348" s="80" t="s">
        <v>10746</v>
      </c>
      <c r="AY348" s="87" t="str">
        <f>HYPERLINK("https://twitter.com/astronphile")</f>
        <v>https://twitter.com/astronphile</v>
      </c>
      <c r="AZ348" s="80" t="s">
        <v>66</v>
      </c>
      <c r="BA348" s="2"/>
      <c r="BB348" s="3"/>
      <c r="BC348" s="3"/>
      <c r="BD348" s="3"/>
      <c r="BE348" s="3"/>
    </row>
    <row r="349" spans="1:57" x14ac:dyDescent="0.35">
      <c r="A349" s="66" t="s">
        <v>1322</v>
      </c>
      <c r="B349" s="67"/>
      <c r="C349" s="67"/>
      <c r="D349" s="68"/>
      <c r="E349" s="70"/>
      <c r="F349" s="109" t="str">
        <f>HYPERLINK("https://pbs.twimg.com/profile_images/1393049972296220675/-FTnVHBi_normal.jpg")</f>
        <v>https://pbs.twimg.com/profile_images/1393049972296220675/-FTnVHBi_normal.jpg</v>
      </c>
      <c r="G349" s="67"/>
      <c r="H349" s="71"/>
      <c r="I349" s="72"/>
      <c r="J349" s="72"/>
      <c r="K349" s="71" t="s">
        <v>11092</v>
      </c>
      <c r="L349" s="75"/>
      <c r="M349" s="76"/>
      <c r="N349" s="76"/>
      <c r="O349" s="77"/>
      <c r="P349" s="78"/>
      <c r="Q349" s="78"/>
      <c r="R349" s="92"/>
      <c r="S349" s="92"/>
      <c r="T349" s="92"/>
      <c r="U349" s="92"/>
      <c r="V349" s="52"/>
      <c r="W349" s="52"/>
      <c r="X349" s="52"/>
      <c r="Y349" s="52"/>
      <c r="Z349" s="51"/>
      <c r="AA349" s="73"/>
      <c r="AB349" s="73"/>
      <c r="AC349" s="74"/>
      <c r="AD349" s="80" t="s">
        <v>6931</v>
      </c>
      <c r="AE349" s="85" t="s">
        <v>8168</v>
      </c>
      <c r="AF349" s="80">
        <v>2158</v>
      </c>
      <c r="AG349" s="80">
        <v>17253</v>
      </c>
      <c r="AH349" s="80">
        <v>232324</v>
      </c>
      <c r="AI349" s="80">
        <v>11</v>
      </c>
      <c r="AJ349" s="80"/>
      <c r="AK349" s="80" t="s">
        <v>9264</v>
      </c>
      <c r="AL349" s="80"/>
      <c r="AM349" s="87" t="str">
        <f>HYPERLINK("https://t.co/An6XrRdD7L")</f>
        <v>https://t.co/An6XrRdD7L</v>
      </c>
      <c r="AN349" s="80"/>
      <c r="AO349" s="82">
        <v>44167.50571759259</v>
      </c>
      <c r="AP349" s="87" t="str">
        <f>HYPERLINK("https://pbs.twimg.com/profile_banners/1334107047898451971/1606911805")</f>
        <v>https://pbs.twimg.com/profile_banners/1334107047898451971/1606911805</v>
      </c>
      <c r="AQ349" s="80" t="b">
        <v>1</v>
      </c>
      <c r="AR349" s="80" t="b">
        <v>0</v>
      </c>
      <c r="AS349" s="80" t="b">
        <v>0</v>
      </c>
      <c r="AT349" s="80"/>
      <c r="AU349" s="80">
        <v>254</v>
      </c>
      <c r="AV349" s="80"/>
      <c r="AW349" s="80" t="b">
        <v>0</v>
      </c>
      <c r="AX349" s="80" t="s">
        <v>10746</v>
      </c>
      <c r="AY349" s="87" t="str">
        <f>HYPERLINK("https://twitter.com/ggsell_fess")</f>
        <v>https://twitter.com/ggsell_fess</v>
      </c>
      <c r="AZ349" s="80" t="s">
        <v>65</v>
      </c>
      <c r="BA349" s="2"/>
      <c r="BB349" s="3"/>
      <c r="BC349" s="3"/>
      <c r="BD349" s="3"/>
      <c r="BE349" s="3"/>
    </row>
    <row r="350" spans="1:57" x14ac:dyDescent="0.35">
      <c r="A350" s="66" t="s">
        <v>503</v>
      </c>
      <c r="B350" s="67"/>
      <c r="C350" s="67"/>
      <c r="D350" s="68"/>
      <c r="E350" s="70"/>
      <c r="F350" s="109" t="str">
        <f>HYPERLINK("https://pbs.twimg.com/profile_images/1432960701048315908/Umg7Tb9s_normal.jpg")</f>
        <v>https://pbs.twimg.com/profile_images/1432960701048315908/Umg7Tb9s_normal.jpg</v>
      </c>
      <c r="G350" s="67"/>
      <c r="H350" s="71"/>
      <c r="I350" s="72"/>
      <c r="J350" s="72"/>
      <c r="K350" s="71" t="s">
        <v>11093</v>
      </c>
      <c r="L350" s="75"/>
      <c r="M350" s="76"/>
      <c r="N350" s="76"/>
      <c r="O350" s="77"/>
      <c r="P350" s="78"/>
      <c r="Q350" s="78"/>
      <c r="R350" s="92"/>
      <c r="S350" s="92"/>
      <c r="T350" s="92"/>
      <c r="U350" s="92"/>
      <c r="V350" s="52"/>
      <c r="W350" s="52"/>
      <c r="X350" s="52"/>
      <c r="Y350" s="52"/>
      <c r="Z350" s="51"/>
      <c r="AA350" s="73"/>
      <c r="AB350" s="73"/>
      <c r="AC350" s="74"/>
      <c r="AD350" s="80" t="s">
        <v>6932</v>
      </c>
      <c r="AE350" s="85" t="s">
        <v>6288</v>
      </c>
      <c r="AF350" s="80">
        <v>375</v>
      </c>
      <c r="AG350" s="80">
        <v>287</v>
      </c>
      <c r="AH350" s="80">
        <v>4321</v>
      </c>
      <c r="AI350" s="80">
        <v>2343</v>
      </c>
      <c r="AJ350" s="80"/>
      <c r="AK350" s="80" t="s">
        <v>9265</v>
      </c>
      <c r="AL350" s="80" t="s">
        <v>6547</v>
      </c>
      <c r="AM350" s="80"/>
      <c r="AN350" s="80"/>
      <c r="AO350" s="82">
        <v>44190.462916666664</v>
      </c>
      <c r="AP350" s="87" t="str">
        <f>HYPERLINK("https://pbs.twimg.com/profile_banners/1342426467704168455/1619710798")</f>
        <v>https://pbs.twimg.com/profile_banners/1342426467704168455/1619710798</v>
      </c>
      <c r="AQ350" s="80" t="b">
        <v>1</v>
      </c>
      <c r="AR350" s="80" t="b">
        <v>0</v>
      </c>
      <c r="AS350" s="80" t="b">
        <v>0</v>
      </c>
      <c r="AT350" s="80"/>
      <c r="AU350" s="80">
        <v>2</v>
      </c>
      <c r="AV350" s="80"/>
      <c r="AW350" s="80" t="b">
        <v>0</v>
      </c>
      <c r="AX350" s="80" t="s">
        <v>10746</v>
      </c>
      <c r="AY350" s="87" t="str">
        <f>HYPERLINK("https://twitter.com/ydwsgf")</f>
        <v>https://twitter.com/ydwsgf</v>
      </c>
      <c r="AZ350" s="80" t="s">
        <v>66</v>
      </c>
      <c r="BA350" s="2"/>
      <c r="BB350" s="3"/>
      <c r="BC350" s="3"/>
      <c r="BD350" s="3"/>
      <c r="BE350" s="3"/>
    </row>
    <row r="351" spans="1:57" x14ac:dyDescent="0.35">
      <c r="A351" s="66" t="s">
        <v>505</v>
      </c>
      <c r="B351" s="67"/>
      <c r="C351" s="67"/>
      <c r="D351" s="68"/>
      <c r="E351" s="70"/>
      <c r="F351" s="109" t="str">
        <f>HYPERLINK("https://pbs.twimg.com/profile_images/1439214170990206979/UqHfy_Mb_normal.jpg")</f>
        <v>https://pbs.twimg.com/profile_images/1439214170990206979/UqHfy_Mb_normal.jpg</v>
      </c>
      <c r="G351" s="67"/>
      <c r="H351" s="71"/>
      <c r="I351" s="72"/>
      <c r="J351" s="72"/>
      <c r="K351" s="71" t="s">
        <v>11094</v>
      </c>
      <c r="L351" s="75"/>
      <c r="M351" s="76"/>
      <c r="N351" s="76"/>
      <c r="O351" s="77"/>
      <c r="P351" s="78"/>
      <c r="Q351" s="78"/>
      <c r="R351" s="92"/>
      <c r="S351" s="92"/>
      <c r="T351" s="92"/>
      <c r="U351" s="92"/>
      <c r="V351" s="52"/>
      <c r="W351" s="52"/>
      <c r="X351" s="52"/>
      <c r="Y351" s="52"/>
      <c r="Z351" s="51"/>
      <c r="AA351" s="73"/>
      <c r="AB351" s="73"/>
      <c r="AC351" s="74"/>
      <c r="AD351" s="80" t="s">
        <v>6933</v>
      </c>
      <c r="AE351" s="85" t="s">
        <v>8169</v>
      </c>
      <c r="AF351" s="80">
        <v>30</v>
      </c>
      <c r="AG351" s="80">
        <v>9</v>
      </c>
      <c r="AH351" s="80">
        <v>169</v>
      </c>
      <c r="AI351" s="80">
        <v>6</v>
      </c>
      <c r="AJ351" s="80"/>
      <c r="AK351" s="80"/>
      <c r="AL351" s="80"/>
      <c r="AM351" s="80"/>
      <c r="AN351" s="80"/>
      <c r="AO351" s="82">
        <v>44457.544988425929</v>
      </c>
      <c r="AP351" s="80"/>
      <c r="AQ351" s="80" t="b">
        <v>1</v>
      </c>
      <c r="AR351" s="80" t="b">
        <v>0</v>
      </c>
      <c r="AS351" s="80" t="b">
        <v>0</v>
      </c>
      <c r="AT351" s="80"/>
      <c r="AU351" s="80">
        <v>0</v>
      </c>
      <c r="AV351" s="80"/>
      <c r="AW351" s="80" t="b">
        <v>0</v>
      </c>
      <c r="AX351" s="80" t="s">
        <v>10746</v>
      </c>
      <c r="AY351" s="87" t="str">
        <f>HYPERLINK("https://twitter.com/gondron13473091")</f>
        <v>https://twitter.com/gondron13473091</v>
      </c>
      <c r="AZ351" s="80" t="s">
        <v>66</v>
      </c>
      <c r="BA351" s="2"/>
      <c r="BB351" s="3"/>
      <c r="BC351" s="3"/>
      <c r="BD351" s="3"/>
      <c r="BE351" s="3"/>
    </row>
    <row r="352" spans="1:57" x14ac:dyDescent="0.35">
      <c r="A352" s="66" t="s">
        <v>506</v>
      </c>
      <c r="B352" s="67"/>
      <c r="C352" s="67"/>
      <c r="D352" s="68"/>
      <c r="E352" s="70"/>
      <c r="F352" s="109" t="str">
        <f>HYPERLINK("https://pbs.twimg.com/profile_images/1440652918932180996/gpRLWy3Y_normal.jpg")</f>
        <v>https://pbs.twimg.com/profile_images/1440652918932180996/gpRLWy3Y_normal.jpg</v>
      </c>
      <c r="G352" s="67"/>
      <c r="H352" s="71"/>
      <c r="I352" s="72"/>
      <c r="J352" s="72"/>
      <c r="K352" s="71" t="s">
        <v>11095</v>
      </c>
      <c r="L352" s="75"/>
      <c r="M352" s="76"/>
      <c r="N352" s="76"/>
      <c r="O352" s="77"/>
      <c r="P352" s="78"/>
      <c r="Q352" s="78"/>
      <c r="R352" s="92"/>
      <c r="S352" s="92"/>
      <c r="T352" s="92"/>
      <c r="U352" s="92"/>
      <c r="V352" s="52"/>
      <c r="W352" s="52"/>
      <c r="X352" s="52"/>
      <c r="Y352" s="52"/>
      <c r="Z352" s="51"/>
      <c r="AA352" s="73"/>
      <c r="AB352" s="73"/>
      <c r="AC352" s="74"/>
      <c r="AD352" s="80" t="s">
        <v>6934</v>
      </c>
      <c r="AE352" s="85" t="s">
        <v>8170</v>
      </c>
      <c r="AF352" s="80">
        <v>1571</v>
      </c>
      <c r="AG352" s="80">
        <v>756</v>
      </c>
      <c r="AH352" s="80">
        <v>12561</v>
      </c>
      <c r="AI352" s="80">
        <v>666</v>
      </c>
      <c r="AJ352" s="80"/>
      <c r="AK352" s="80" t="s">
        <v>9266</v>
      </c>
      <c r="AL352" s="80" t="s">
        <v>10291</v>
      </c>
      <c r="AM352" s="87" t="str">
        <f>HYPERLINK("https://t.co/jW9q5bUsOz")</f>
        <v>https://t.co/jW9q5bUsOz</v>
      </c>
      <c r="AN352" s="80"/>
      <c r="AO352" s="82">
        <v>44414.391643518517</v>
      </c>
      <c r="AP352" s="87" t="str">
        <f>HYPERLINK("https://pbs.twimg.com/profile_banners/1423575517907742722/1629717605")</f>
        <v>https://pbs.twimg.com/profile_banners/1423575517907742722/1629717605</v>
      </c>
      <c r="AQ352" s="80" t="b">
        <v>1</v>
      </c>
      <c r="AR352" s="80" t="b">
        <v>0</v>
      </c>
      <c r="AS352" s="80" t="b">
        <v>0</v>
      </c>
      <c r="AT352" s="80"/>
      <c r="AU352" s="80">
        <v>0</v>
      </c>
      <c r="AV352" s="80"/>
      <c r="AW352" s="80" t="b">
        <v>0</v>
      </c>
      <c r="AX352" s="80" t="s">
        <v>10746</v>
      </c>
      <c r="AY352" s="87" t="str">
        <f>HYPERLINK("https://twitter.com/woozisparks")</f>
        <v>https://twitter.com/woozisparks</v>
      </c>
      <c r="AZ352" s="80" t="s">
        <v>66</v>
      </c>
      <c r="BA352" s="2"/>
      <c r="BB352" s="3"/>
      <c r="BC352" s="3"/>
      <c r="BD352" s="3"/>
      <c r="BE352" s="3"/>
    </row>
    <row r="353" spans="1:57" x14ac:dyDescent="0.35">
      <c r="A353" s="66" t="s">
        <v>507</v>
      </c>
      <c r="B353" s="67"/>
      <c r="C353" s="67"/>
      <c r="D353" s="68"/>
      <c r="E353" s="70"/>
      <c r="F353" s="109" t="str">
        <f>HYPERLINK("https://pbs.twimg.com/profile_images/378800000098274452/1a2bbc7d6de2fdad3c6a5a95d5f41302_normal.jpeg")</f>
        <v>https://pbs.twimg.com/profile_images/378800000098274452/1a2bbc7d6de2fdad3c6a5a95d5f41302_normal.jpeg</v>
      </c>
      <c r="G353" s="67"/>
      <c r="H353" s="71"/>
      <c r="I353" s="72"/>
      <c r="J353" s="72"/>
      <c r="K353" s="71" t="s">
        <v>11096</v>
      </c>
      <c r="L353" s="75"/>
      <c r="M353" s="76"/>
      <c r="N353" s="76"/>
      <c r="O353" s="77"/>
      <c r="P353" s="78"/>
      <c r="Q353" s="78"/>
      <c r="R353" s="92"/>
      <c r="S353" s="92"/>
      <c r="T353" s="92"/>
      <c r="U353" s="92"/>
      <c r="V353" s="52"/>
      <c r="W353" s="52"/>
      <c r="X353" s="52"/>
      <c r="Y353" s="52"/>
      <c r="Z353" s="51"/>
      <c r="AA353" s="73"/>
      <c r="AB353" s="73"/>
      <c r="AC353" s="74"/>
      <c r="AD353" s="80" t="s">
        <v>6935</v>
      </c>
      <c r="AE353" s="85" t="s">
        <v>8171</v>
      </c>
      <c r="AF353" s="80">
        <v>284</v>
      </c>
      <c r="AG353" s="80">
        <v>227</v>
      </c>
      <c r="AH353" s="80">
        <v>1821</v>
      </c>
      <c r="AI353" s="80">
        <v>95</v>
      </c>
      <c r="AJ353" s="80"/>
      <c r="AK353" s="80"/>
      <c r="AL353" s="80" t="s">
        <v>10174</v>
      </c>
      <c r="AM353" s="80"/>
      <c r="AN353" s="80"/>
      <c r="AO353" s="82">
        <v>40170.040578703702</v>
      </c>
      <c r="AP353" s="80"/>
      <c r="AQ353" s="80" t="b">
        <v>1</v>
      </c>
      <c r="AR353" s="80" t="b">
        <v>0</v>
      </c>
      <c r="AS353" s="80" t="b">
        <v>1</v>
      </c>
      <c r="AT353" s="80"/>
      <c r="AU353" s="80">
        <v>1</v>
      </c>
      <c r="AV353" s="87" t="str">
        <f>HYPERLINK("https://abs.twimg.com/images/themes/theme1/bg.png")</f>
        <v>https://abs.twimg.com/images/themes/theme1/bg.png</v>
      </c>
      <c r="AW353" s="80" t="b">
        <v>0</v>
      </c>
      <c r="AX353" s="80" t="s">
        <v>10746</v>
      </c>
      <c r="AY353" s="87" t="str">
        <f>HYPERLINK("https://twitter.com/baratropot")</f>
        <v>https://twitter.com/baratropot</v>
      </c>
      <c r="AZ353" s="80" t="s">
        <v>66</v>
      </c>
      <c r="BA353" s="2"/>
      <c r="BB353" s="3"/>
      <c r="BC353" s="3"/>
      <c r="BD353" s="3"/>
      <c r="BE353" s="3"/>
    </row>
    <row r="354" spans="1:57" x14ac:dyDescent="0.35">
      <c r="A354" s="66" t="s">
        <v>508</v>
      </c>
      <c r="B354" s="67"/>
      <c r="C354" s="67"/>
      <c r="D354" s="68"/>
      <c r="E354" s="70"/>
      <c r="F354" s="109" t="str">
        <f>HYPERLINK("https://pbs.twimg.com/profile_images/1430426826736693249/fmej1IWo_normal.jpg")</f>
        <v>https://pbs.twimg.com/profile_images/1430426826736693249/fmej1IWo_normal.jpg</v>
      </c>
      <c r="G354" s="67"/>
      <c r="H354" s="71"/>
      <c r="I354" s="72"/>
      <c r="J354" s="72"/>
      <c r="K354" s="71" t="s">
        <v>11097</v>
      </c>
      <c r="L354" s="75"/>
      <c r="M354" s="76"/>
      <c r="N354" s="76"/>
      <c r="O354" s="77"/>
      <c r="P354" s="78"/>
      <c r="Q354" s="78"/>
      <c r="R354" s="92"/>
      <c r="S354" s="92"/>
      <c r="T354" s="92"/>
      <c r="U354" s="92"/>
      <c r="V354" s="52"/>
      <c r="W354" s="52"/>
      <c r="X354" s="52"/>
      <c r="Y354" s="52"/>
      <c r="Z354" s="51"/>
      <c r="AA354" s="73"/>
      <c r="AB354" s="73"/>
      <c r="AC354" s="74"/>
      <c r="AD354" s="80" t="s">
        <v>6936</v>
      </c>
      <c r="AE354" s="85" t="s">
        <v>6289</v>
      </c>
      <c r="AF354" s="80">
        <v>221</v>
      </c>
      <c r="AG354" s="80">
        <v>58</v>
      </c>
      <c r="AH354" s="80">
        <v>9170</v>
      </c>
      <c r="AI354" s="80">
        <v>16712</v>
      </c>
      <c r="AJ354" s="80"/>
      <c r="AK354" s="80" t="s">
        <v>9267</v>
      </c>
      <c r="AL354" s="80"/>
      <c r="AM354" s="80"/>
      <c r="AN354" s="80"/>
      <c r="AO354" s="82">
        <v>43630.581493055557</v>
      </c>
      <c r="AP354" s="87" t="str">
        <f>HYPERLINK("https://pbs.twimg.com/profile_banners/1139532279766609921/1618233494")</f>
        <v>https://pbs.twimg.com/profile_banners/1139532279766609921/1618233494</v>
      </c>
      <c r="AQ354" s="80" t="b">
        <v>1</v>
      </c>
      <c r="AR354" s="80" t="b">
        <v>0</v>
      </c>
      <c r="AS354" s="80" t="b">
        <v>0</v>
      </c>
      <c r="AT354" s="80"/>
      <c r="AU354" s="80">
        <v>0</v>
      </c>
      <c r="AV354" s="80"/>
      <c r="AW354" s="80" t="b">
        <v>0</v>
      </c>
      <c r="AX354" s="80" t="s">
        <v>10746</v>
      </c>
      <c r="AY354" s="87" t="str">
        <f>HYPERLINK("https://twitter.com/butterflyyyyy02")</f>
        <v>https://twitter.com/butterflyyyyy02</v>
      </c>
      <c r="AZ354" s="80" t="s">
        <v>66</v>
      </c>
      <c r="BA354" s="2"/>
      <c r="BB354" s="3"/>
      <c r="BC354" s="3"/>
      <c r="BD354" s="3"/>
      <c r="BE354" s="3"/>
    </row>
    <row r="355" spans="1:57" x14ac:dyDescent="0.35">
      <c r="A355" s="66" t="s">
        <v>509</v>
      </c>
      <c r="B355" s="67"/>
      <c r="C355" s="67"/>
      <c r="D355" s="68"/>
      <c r="E355" s="70"/>
      <c r="F355" s="109" t="str">
        <f>HYPERLINK("https://pbs.twimg.com/profile_images/1311564667324526592/Wel-qpe2_normal.jpg")</f>
        <v>https://pbs.twimg.com/profile_images/1311564667324526592/Wel-qpe2_normal.jpg</v>
      </c>
      <c r="G355" s="67"/>
      <c r="H355" s="71"/>
      <c r="I355" s="72"/>
      <c r="J355" s="72"/>
      <c r="K355" s="71" t="s">
        <v>11098</v>
      </c>
      <c r="L355" s="75"/>
      <c r="M355" s="76"/>
      <c r="N355" s="76"/>
      <c r="O355" s="77"/>
      <c r="P355" s="78"/>
      <c r="Q355" s="78"/>
      <c r="R355" s="92"/>
      <c r="S355" s="92"/>
      <c r="T355" s="92"/>
      <c r="U355" s="92"/>
      <c r="V355" s="52"/>
      <c r="W355" s="52"/>
      <c r="X355" s="52"/>
      <c r="Y355" s="52"/>
      <c r="Z355" s="51"/>
      <c r="AA355" s="73"/>
      <c r="AB355" s="73"/>
      <c r="AC355" s="74"/>
      <c r="AD355" s="80" t="s">
        <v>6937</v>
      </c>
      <c r="AE355" s="85" t="s">
        <v>8172</v>
      </c>
      <c r="AF355" s="80">
        <v>86</v>
      </c>
      <c r="AG355" s="80">
        <v>27</v>
      </c>
      <c r="AH355" s="80">
        <v>13292</v>
      </c>
      <c r="AI355" s="80">
        <v>7516</v>
      </c>
      <c r="AJ355" s="80"/>
      <c r="AK355" s="80" t="s">
        <v>9268</v>
      </c>
      <c r="AL355" s="80"/>
      <c r="AM355" s="80"/>
      <c r="AN355" s="80"/>
      <c r="AO355" s="82">
        <v>40669.828287037039</v>
      </c>
      <c r="AP355" s="87" t="str">
        <f>HYPERLINK("https://pbs.twimg.com/profile_banners/294243859/1516799580")</f>
        <v>https://pbs.twimg.com/profile_banners/294243859/1516799580</v>
      </c>
      <c r="AQ355" s="80" t="b">
        <v>1</v>
      </c>
      <c r="AR355" s="80" t="b">
        <v>0</v>
      </c>
      <c r="AS355" s="80" t="b">
        <v>1</v>
      </c>
      <c r="AT355" s="80"/>
      <c r="AU355" s="80">
        <v>0</v>
      </c>
      <c r="AV355" s="87" t="str">
        <f>HYPERLINK("https://abs.twimg.com/images/themes/theme1/bg.png")</f>
        <v>https://abs.twimg.com/images/themes/theme1/bg.png</v>
      </c>
      <c r="AW355" s="80" t="b">
        <v>0</v>
      </c>
      <c r="AX355" s="80" t="s">
        <v>10746</v>
      </c>
      <c r="AY355" s="87" t="str">
        <f>HYPERLINK("https://twitter.com/dasterhejo")</f>
        <v>https://twitter.com/dasterhejo</v>
      </c>
      <c r="AZ355" s="80" t="s">
        <v>66</v>
      </c>
      <c r="BA355" s="2"/>
      <c r="BB355" s="3"/>
      <c r="BC355" s="3"/>
      <c r="BD355" s="3"/>
      <c r="BE355" s="3"/>
    </row>
    <row r="356" spans="1:57" x14ac:dyDescent="0.35">
      <c r="A356" s="66" t="s">
        <v>1323</v>
      </c>
      <c r="B356" s="67"/>
      <c r="C356" s="67"/>
      <c r="D356" s="68"/>
      <c r="E356" s="70"/>
      <c r="F356" s="109" t="str">
        <f>HYPERLINK("https://pbs.twimg.com/profile_images/651791169685360640/bRluiXQB_normal.jpg")</f>
        <v>https://pbs.twimg.com/profile_images/651791169685360640/bRluiXQB_normal.jpg</v>
      </c>
      <c r="G356" s="67"/>
      <c r="H356" s="71"/>
      <c r="I356" s="72"/>
      <c r="J356" s="72"/>
      <c r="K356" s="71" t="s">
        <v>11099</v>
      </c>
      <c r="L356" s="75"/>
      <c r="M356" s="76"/>
      <c r="N356" s="76"/>
      <c r="O356" s="77"/>
      <c r="P356" s="78"/>
      <c r="Q356" s="78"/>
      <c r="R356" s="92"/>
      <c r="S356" s="92"/>
      <c r="T356" s="92"/>
      <c r="U356" s="92"/>
      <c r="V356" s="52"/>
      <c r="W356" s="52"/>
      <c r="X356" s="52"/>
      <c r="Y356" s="52"/>
      <c r="Z356" s="51"/>
      <c r="AA356" s="73"/>
      <c r="AB356" s="73"/>
      <c r="AC356" s="74"/>
      <c r="AD356" s="80" t="s">
        <v>6938</v>
      </c>
      <c r="AE356" s="85" t="s">
        <v>8173</v>
      </c>
      <c r="AF356" s="80">
        <v>1</v>
      </c>
      <c r="AG356" s="80">
        <v>101</v>
      </c>
      <c r="AH356" s="80">
        <v>0</v>
      </c>
      <c r="AI356" s="80">
        <v>0</v>
      </c>
      <c r="AJ356" s="80"/>
      <c r="AK356" s="80" t="s">
        <v>9269</v>
      </c>
      <c r="AL356" s="80"/>
      <c r="AM356" s="87" t="str">
        <f>HYPERLINK("http://t.co/j8VkVibdgh")</f>
        <v>http://t.co/j8VkVibdgh</v>
      </c>
      <c r="AN356" s="80"/>
      <c r="AO356" s="82">
        <v>40611.168807870374</v>
      </c>
      <c r="AP356" s="87" t="str">
        <f>HYPERLINK("https://pbs.twimg.com/profile_banners/262982580/1444234142")</f>
        <v>https://pbs.twimg.com/profile_banners/262982580/1444234142</v>
      </c>
      <c r="AQ356" s="80" t="b">
        <v>1</v>
      </c>
      <c r="AR356" s="80" t="b">
        <v>0</v>
      </c>
      <c r="AS356" s="80" t="b">
        <v>0</v>
      </c>
      <c r="AT356" s="80"/>
      <c r="AU356" s="80">
        <v>1</v>
      </c>
      <c r="AV356" s="87" t="str">
        <f>HYPERLINK("https://abs.twimg.com/images/themes/theme1/bg.png")</f>
        <v>https://abs.twimg.com/images/themes/theme1/bg.png</v>
      </c>
      <c r="AW356" s="80" t="b">
        <v>0</v>
      </c>
      <c r="AX356" s="80" t="s">
        <v>10746</v>
      </c>
      <c r="AY356" s="87" t="str">
        <f>HYPERLINK("https://twitter.com/posindonesia279")</f>
        <v>https://twitter.com/posindonesia279</v>
      </c>
      <c r="AZ356" s="80" t="s">
        <v>65</v>
      </c>
      <c r="BA356" s="2"/>
      <c r="BB356" s="3"/>
      <c r="BC356" s="3"/>
      <c r="BD356" s="3"/>
      <c r="BE356" s="3"/>
    </row>
    <row r="357" spans="1:57" x14ac:dyDescent="0.35">
      <c r="A357" s="66" t="s">
        <v>1324</v>
      </c>
      <c r="B357" s="67"/>
      <c r="C357" s="67"/>
      <c r="D357" s="68"/>
      <c r="E357" s="70"/>
      <c r="F357" s="109" t="str">
        <f>HYPERLINK("https://pbs.twimg.com/profile_images/554303773/icon_normal.jpg")</f>
        <v>https://pbs.twimg.com/profile_images/554303773/icon_normal.jpg</v>
      </c>
      <c r="G357" s="67"/>
      <c r="H357" s="71"/>
      <c r="I357" s="72"/>
      <c r="J357" s="72"/>
      <c r="K357" s="71" t="s">
        <v>11100</v>
      </c>
      <c r="L357" s="75"/>
      <c r="M357" s="76"/>
      <c r="N357" s="76"/>
      <c r="O357" s="77"/>
      <c r="P357" s="78"/>
      <c r="Q357" s="78"/>
      <c r="R357" s="92"/>
      <c r="S357" s="92"/>
      <c r="T357" s="92"/>
      <c r="U357" s="92"/>
      <c r="V357" s="52"/>
      <c r="W357" s="52"/>
      <c r="X357" s="52"/>
      <c r="Y357" s="52"/>
      <c r="Z357" s="51"/>
      <c r="AA357" s="73"/>
      <c r="AB357" s="73"/>
      <c r="AC357" s="74"/>
      <c r="AD357" s="80" t="s">
        <v>6939</v>
      </c>
      <c r="AE357" s="85" t="s">
        <v>8174</v>
      </c>
      <c r="AF357" s="80">
        <v>0</v>
      </c>
      <c r="AG357" s="80">
        <v>1403</v>
      </c>
      <c r="AH357" s="80">
        <v>5</v>
      </c>
      <c r="AI357" s="80">
        <v>0</v>
      </c>
      <c r="AJ357" s="80"/>
      <c r="AK357" s="80"/>
      <c r="AL357" s="80" t="s">
        <v>10292</v>
      </c>
      <c r="AM357" s="87" t="str">
        <f>HYPERLINK("http://t.co/1eRNQlFked")</f>
        <v>http://t.co/1eRNQlFked</v>
      </c>
      <c r="AN357" s="80"/>
      <c r="AO357" s="82">
        <v>40149.114247685182</v>
      </c>
      <c r="AP357" s="80"/>
      <c r="AQ357" s="80" t="b">
        <v>0</v>
      </c>
      <c r="AR357" s="80" t="b">
        <v>0</v>
      </c>
      <c r="AS357" s="80" t="b">
        <v>1</v>
      </c>
      <c r="AT357" s="80"/>
      <c r="AU357" s="80">
        <v>3</v>
      </c>
      <c r="AV357" s="87" t="str">
        <f>HYPERLINK("https://abs.twimg.com/images/themes/theme1/bg.png")</f>
        <v>https://abs.twimg.com/images/themes/theme1/bg.png</v>
      </c>
      <c r="AW357" s="80" t="b">
        <v>0</v>
      </c>
      <c r="AX357" s="80" t="s">
        <v>10746</v>
      </c>
      <c r="AY357" s="87" t="str">
        <f>HYPERLINK("https://twitter.com/posindo")</f>
        <v>https://twitter.com/posindo</v>
      </c>
      <c r="AZ357" s="80" t="s">
        <v>65</v>
      </c>
      <c r="BA357" s="2"/>
      <c r="BB357" s="3"/>
      <c r="BC357" s="3"/>
      <c r="BD357" s="3"/>
      <c r="BE357" s="3"/>
    </row>
    <row r="358" spans="1:57" x14ac:dyDescent="0.35">
      <c r="A358" s="66" t="s">
        <v>1269</v>
      </c>
      <c r="B358" s="67"/>
      <c r="C358" s="67"/>
      <c r="D358" s="68"/>
      <c r="E358" s="70"/>
      <c r="F358" s="109" t="str">
        <f>HYPERLINK("https://pbs.twimg.com/profile_images/378800000705328795/304bfd91ee90011498fd092cc79a423e_normal.jpeg")</f>
        <v>https://pbs.twimg.com/profile_images/378800000705328795/304bfd91ee90011498fd092cc79a423e_normal.jpeg</v>
      </c>
      <c r="G358" s="67"/>
      <c r="H358" s="71"/>
      <c r="I358" s="72"/>
      <c r="J358" s="72"/>
      <c r="K358" s="71" t="s">
        <v>11101</v>
      </c>
      <c r="L358" s="75"/>
      <c r="M358" s="76"/>
      <c r="N358" s="76"/>
      <c r="O358" s="77"/>
      <c r="P358" s="78"/>
      <c r="Q358" s="78"/>
      <c r="R358" s="92"/>
      <c r="S358" s="92"/>
      <c r="T358" s="92"/>
      <c r="U358" s="92"/>
      <c r="V358" s="52"/>
      <c r="W358" s="52"/>
      <c r="X358" s="52"/>
      <c r="Y358" s="52"/>
      <c r="Z358" s="51"/>
      <c r="AA358" s="73"/>
      <c r="AB358" s="73"/>
      <c r="AC358" s="74"/>
      <c r="AD358" s="80" t="s">
        <v>6940</v>
      </c>
      <c r="AE358" s="85" t="s">
        <v>6290</v>
      </c>
      <c r="AF358" s="80">
        <v>2379</v>
      </c>
      <c r="AG358" s="80">
        <v>1823</v>
      </c>
      <c r="AH358" s="80">
        <v>148370</v>
      </c>
      <c r="AI358" s="80">
        <v>0</v>
      </c>
      <c r="AJ358" s="80"/>
      <c r="AK358" s="80" t="s">
        <v>9270</v>
      </c>
      <c r="AL358" s="80" t="s">
        <v>6543</v>
      </c>
      <c r="AM358" s="87" t="str">
        <f>HYPERLINK("http://t.co/cTOvA1yTaZ")</f>
        <v>http://t.co/cTOvA1yTaZ</v>
      </c>
      <c r="AN358" s="80"/>
      <c r="AO358" s="82">
        <v>41034.124120370368</v>
      </c>
      <c r="AP358" s="87" t="str">
        <f>HYPERLINK("https://pbs.twimg.com/profile_banners/571462311/1383793341")</f>
        <v>https://pbs.twimg.com/profile_banners/571462311/1383793341</v>
      </c>
      <c r="AQ358" s="80" t="b">
        <v>0</v>
      </c>
      <c r="AR358" s="80" t="b">
        <v>0</v>
      </c>
      <c r="AS358" s="80" t="b">
        <v>0</v>
      </c>
      <c r="AT358" s="80"/>
      <c r="AU358" s="80">
        <v>8</v>
      </c>
      <c r="AV358" s="87" t="str">
        <f>HYPERLINK("https://abs.twimg.com/images/themes/theme14/bg.gif")</f>
        <v>https://abs.twimg.com/images/themes/theme14/bg.gif</v>
      </c>
      <c r="AW358" s="80" t="b">
        <v>0</v>
      </c>
      <c r="AX358" s="80" t="s">
        <v>10746</v>
      </c>
      <c r="AY358" s="87" t="str">
        <f>HYPERLINK("https://twitter.com/pos_indonesia")</f>
        <v>https://twitter.com/pos_indonesia</v>
      </c>
      <c r="AZ358" s="80" t="s">
        <v>66</v>
      </c>
      <c r="BA358" s="2"/>
      <c r="BB358" s="3"/>
      <c r="BC358" s="3"/>
      <c r="BD358" s="3"/>
      <c r="BE358" s="3"/>
    </row>
    <row r="359" spans="1:57" x14ac:dyDescent="0.35">
      <c r="A359" s="66" t="s">
        <v>510</v>
      </c>
      <c r="B359" s="67"/>
      <c r="C359" s="67"/>
      <c r="D359" s="68"/>
      <c r="E359" s="70"/>
      <c r="F359" s="109" t="str">
        <f>HYPERLINK("https://pbs.twimg.com/profile_images/1391753484362338311/7WSILOAx_normal.jpg")</f>
        <v>https://pbs.twimg.com/profile_images/1391753484362338311/7WSILOAx_normal.jpg</v>
      </c>
      <c r="G359" s="67"/>
      <c r="H359" s="71"/>
      <c r="I359" s="72"/>
      <c r="J359" s="72"/>
      <c r="K359" s="71" t="s">
        <v>11102</v>
      </c>
      <c r="L359" s="75"/>
      <c r="M359" s="76"/>
      <c r="N359" s="76"/>
      <c r="O359" s="77"/>
      <c r="P359" s="78"/>
      <c r="Q359" s="78"/>
      <c r="R359" s="92"/>
      <c r="S359" s="92"/>
      <c r="T359" s="92"/>
      <c r="U359" s="92"/>
      <c r="V359" s="52"/>
      <c r="W359" s="52"/>
      <c r="X359" s="52"/>
      <c r="Y359" s="52"/>
      <c r="Z359" s="51"/>
      <c r="AA359" s="73"/>
      <c r="AB359" s="73"/>
      <c r="AC359" s="74"/>
      <c r="AD359" s="80" t="s">
        <v>6941</v>
      </c>
      <c r="AE359" s="85" t="s">
        <v>8175</v>
      </c>
      <c r="AF359" s="80">
        <v>98</v>
      </c>
      <c r="AG359" s="80">
        <v>334</v>
      </c>
      <c r="AH359" s="80">
        <v>11737</v>
      </c>
      <c r="AI359" s="80">
        <v>3430</v>
      </c>
      <c r="AJ359" s="80"/>
      <c r="AK359" s="80" t="s">
        <v>9271</v>
      </c>
      <c r="AL359" s="80" t="s">
        <v>10293</v>
      </c>
      <c r="AM359" s="80"/>
      <c r="AN359" s="80"/>
      <c r="AO359" s="82">
        <v>39927.197685185187</v>
      </c>
      <c r="AP359" s="87" t="str">
        <f>HYPERLINK("https://pbs.twimg.com/profile_banners/34850298/1632556602")</f>
        <v>https://pbs.twimg.com/profile_banners/34850298/1632556602</v>
      </c>
      <c r="AQ359" s="80" t="b">
        <v>0</v>
      </c>
      <c r="AR359" s="80" t="b">
        <v>0</v>
      </c>
      <c r="AS359" s="80" t="b">
        <v>1</v>
      </c>
      <c r="AT359" s="80"/>
      <c r="AU359" s="80">
        <v>4</v>
      </c>
      <c r="AV359" s="87" t="str">
        <f>HYPERLINK("https://abs.twimg.com/images/themes/theme13/bg.gif")</f>
        <v>https://abs.twimg.com/images/themes/theme13/bg.gif</v>
      </c>
      <c r="AW359" s="80" t="b">
        <v>0</v>
      </c>
      <c r="AX359" s="80" t="s">
        <v>10746</v>
      </c>
      <c r="AY359" s="87" t="str">
        <f>HYPERLINK("https://twitter.com/biowan3254")</f>
        <v>https://twitter.com/biowan3254</v>
      </c>
      <c r="AZ359" s="80" t="s">
        <v>66</v>
      </c>
      <c r="BA359" s="2"/>
      <c r="BB359" s="3"/>
      <c r="BC359" s="3"/>
      <c r="BD359" s="3"/>
      <c r="BE359" s="3"/>
    </row>
    <row r="360" spans="1:57" x14ac:dyDescent="0.35">
      <c r="A360" s="66" t="s">
        <v>511</v>
      </c>
      <c r="B360" s="67"/>
      <c r="C360" s="67"/>
      <c r="D360" s="68"/>
      <c r="E360" s="70"/>
      <c r="F360" s="109" t="str">
        <f>HYPERLINK("https://pbs.twimg.com/profile_images/1442378409095483393/HrY1zMf__normal.jpg")</f>
        <v>https://pbs.twimg.com/profile_images/1442378409095483393/HrY1zMf__normal.jpg</v>
      </c>
      <c r="G360" s="67"/>
      <c r="H360" s="71"/>
      <c r="I360" s="72"/>
      <c r="J360" s="72"/>
      <c r="K360" s="71" t="s">
        <v>11103</v>
      </c>
      <c r="L360" s="75"/>
      <c r="M360" s="76"/>
      <c r="N360" s="76"/>
      <c r="O360" s="77"/>
      <c r="P360" s="78"/>
      <c r="Q360" s="78"/>
      <c r="R360" s="92"/>
      <c r="S360" s="92"/>
      <c r="T360" s="92"/>
      <c r="U360" s="92"/>
      <c r="V360" s="52"/>
      <c r="W360" s="52"/>
      <c r="X360" s="52"/>
      <c r="Y360" s="52"/>
      <c r="Z360" s="51"/>
      <c r="AA360" s="73"/>
      <c r="AB360" s="73"/>
      <c r="AC360" s="74"/>
      <c r="AD360" s="80" t="s">
        <v>6942</v>
      </c>
      <c r="AE360" s="85" t="s">
        <v>8176</v>
      </c>
      <c r="AF360" s="80">
        <v>37</v>
      </c>
      <c r="AG360" s="80">
        <v>35</v>
      </c>
      <c r="AH360" s="80">
        <v>691</v>
      </c>
      <c r="AI360" s="80">
        <v>147</v>
      </c>
      <c r="AJ360" s="80"/>
      <c r="AK360" s="80" t="s">
        <v>9272</v>
      </c>
      <c r="AL360" s="80"/>
      <c r="AM360" s="80"/>
      <c r="AN360" s="80"/>
      <c r="AO360" s="82">
        <v>43936.493460648147</v>
      </c>
      <c r="AP360" s="87" t="str">
        <f>HYPERLINK("https://pbs.twimg.com/profile_banners/1250390992890413056/1616254169")</f>
        <v>https://pbs.twimg.com/profile_banners/1250390992890413056/1616254169</v>
      </c>
      <c r="AQ360" s="80" t="b">
        <v>1</v>
      </c>
      <c r="AR360" s="80" t="b">
        <v>0</v>
      </c>
      <c r="AS360" s="80" t="b">
        <v>0</v>
      </c>
      <c r="AT360" s="80"/>
      <c r="AU360" s="80">
        <v>0</v>
      </c>
      <c r="AV360" s="80"/>
      <c r="AW360" s="80" t="b">
        <v>0</v>
      </c>
      <c r="AX360" s="80" t="s">
        <v>10746</v>
      </c>
      <c r="AY360" s="87" t="str">
        <f>HYPERLINK("https://twitter.com/anisofeaaaaaa")</f>
        <v>https://twitter.com/anisofeaaaaaa</v>
      </c>
      <c r="AZ360" s="80" t="s">
        <v>66</v>
      </c>
      <c r="BA360" s="2"/>
      <c r="BB360" s="3"/>
      <c r="BC360" s="3"/>
      <c r="BD360" s="3"/>
      <c r="BE360" s="3"/>
    </row>
    <row r="361" spans="1:57" x14ac:dyDescent="0.35">
      <c r="A361" s="66" t="s">
        <v>512</v>
      </c>
      <c r="B361" s="67"/>
      <c r="C361" s="67"/>
      <c r="D361" s="68"/>
      <c r="E361" s="70"/>
      <c r="F361" s="109" t="str">
        <f>HYPERLINK("https://pbs.twimg.com/profile_images/1326222239142993920/w3BwHPqI_normal.jpg")</f>
        <v>https://pbs.twimg.com/profile_images/1326222239142993920/w3BwHPqI_normal.jpg</v>
      </c>
      <c r="G361" s="67"/>
      <c r="H361" s="71"/>
      <c r="I361" s="72"/>
      <c r="J361" s="72"/>
      <c r="K361" s="71" t="s">
        <v>11104</v>
      </c>
      <c r="L361" s="75"/>
      <c r="M361" s="76"/>
      <c r="N361" s="76"/>
      <c r="O361" s="77"/>
      <c r="P361" s="78"/>
      <c r="Q361" s="78"/>
      <c r="R361" s="92"/>
      <c r="S361" s="92"/>
      <c r="T361" s="92"/>
      <c r="U361" s="92"/>
      <c r="V361" s="52"/>
      <c r="W361" s="52"/>
      <c r="X361" s="52"/>
      <c r="Y361" s="52"/>
      <c r="Z361" s="51"/>
      <c r="AA361" s="73"/>
      <c r="AB361" s="73"/>
      <c r="AC361" s="74"/>
      <c r="AD361" s="80" t="s">
        <v>6943</v>
      </c>
      <c r="AE361" s="85" t="s">
        <v>8177</v>
      </c>
      <c r="AF361" s="80">
        <v>345</v>
      </c>
      <c r="AG361" s="80">
        <v>255</v>
      </c>
      <c r="AH361" s="80">
        <v>7219</v>
      </c>
      <c r="AI361" s="80">
        <v>6019</v>
      </c>
      <c r="AJ361" s="80"/>
      <c r="AK361" s="80" t="s">
        <v>9273</v>
      </c>
      <c r="AL361" s="80"/>
      <c r="AM361" s="80"/>
      <c r="AN361" s="80"/>
      <c r="AO361" s="82">
        <v>43070.455000000002</v>
      </c>
      <c r="AP361" s="87" t="str">
        <f>HYPERLINK("https://pbs.twimg.com/profile_banners/936549235184492544/1516451610")</f>
        <v>https://pbs.twimg.com/profile_banners/936549235184492544/1516451610</v>
      </c>
      <c r="AQ361" s="80" t="b">
        <v>1</v>
      </c>
      <c r="AR361" s="80" t="b">
        <v>0</v>
      </c>
      <c r="AS361" s="80" t="b">
        <v>0</v>
      </c>
      <c r="AT361" s="80"/>
      <c r="AU361" s="80">
        <v>0</v>
      </c>
      <c r="AV361" s="80"/>
      <c r="AW361" s="80" t="b">
        <v>0</v>
      </c>
      <c r="AX361" s="80" t="s">
        <v>10746</v>
      </c>
      <c r="AY361" s="87" t="str">
        <f>HYPERLINK("https://twitter.com/cixbaely")</f>
        <v>https://twitter.com/cixbaely</v>
      </c>
      <c r="AZ361" s="80" t="s">
        <v>66</v>
      </c>
      <c r="BA361" s="2"/>
      <c r="BB361" s="3"/>
      <c r="BC361" s="3"/>
      <c r="BD361" s="3"/>
      <c r="BE361" s="3"/>
    </row>
    <row r="362" spans="1:57" x14ac:dyDescent="0.35">
      <c r="A362" s="66" t="s">
        <v>513</v>
      </c>
      <c r="B362" s="67"/>
      <c r="C362" s="67"/>
      <c r="D362" s="68"/>
      <c r="E362" s="70"/>
      <c r="F362" s="109" t="str">
        <f>HYPERLINK("https://pbs.twimg.com/profile_images/935094379638689792/Y2yHR5kF_normal.jpg")</f>
        <v>https://pbs.twimg.com/profile_images/935094379638689792/Y2yHR5kF_normal.jpg</v>
      </c>
      <c r="G362" s="67"/>
      <c r="H362" s="71"/>
      <c r="I362" s="72"/>
      <c r="J362" s="72"/>
      <c r="K362" s="71" t="s">
        <v>11105</v>
      </c>
      <c r="L362" s="75"/>
      <c r="M362" s="76"/>
      <c r="N362" s="76"/>
      <c r="O362" s="77"/>
      <c r="P362" s="78"/>
      <c r="Q362" s="78"/>
      <c r="R362" s="92"/>
      <c r="S362" s="92"/>
      <c r="T362" s="92"/>
      <c r="U362" s="92"/>
      <c r="V362" s="52"/>
      <c r="W362" s="52"/>
      <c r="X362" s="52"/>
      <c r="Y362" s="52"/>
      <c r="Z362" s="51"/>
      <c r="AA362" s="73"/>
      <c r="AB362" s="73"/>
      <c r="AC362" s="74"/>
      <c r="AD362" s="80" t="s">
        <v>6944</v>
      </c>
      <c r="AE362" s="85" t="s">
        <v>8178</v>
      </c>
      <c r="AF362" s="80">
        <v>208</v>
      </c>
      <c r="AG362" s="80">
        <v>191602</v>
      </c>
      <c r="AH362" s="80">
        <v>38357</v>
      </c>
      <c r="AI362" s="80">
        <v>639</v>
      </c>
      <c r="AJ362" s="80"/>
      <c r="AK362" s="80"/>
      <c r="AL362" s="80" t="s">
        <v>10139</v>
      </c>
      <c r="AM362" s="87" t="str">
        <f>HYPERLINK("https://t.co/diWqFZNdw0")</f>
        <v>https://t.co/diWqFZNdw0</v>
      </c>
      <c r="AN362" s="80"/>
      <c r="AO362" s="82">
        <v>41048.560486111113</v>
      </c>
      <c r="AP362" s="87" t="str">
        <f>HYPERLINK("https://pbs.twimg.com/profile_banners/584835300/1515412676")</f>
        <v>https://pbs.twimg.com/profile_banners/584835300/1515412676</v>
      </c>
      <c r="AQ362" s="80" t="b">
        <v>0</v>
      </c>
      <c r="AR362" s="80" t="b">
        <v>0</v>
      </c>
      <c r="AS362" s="80" t="b">
        <v>0</v>
      </c>
      <c r="AT362" s="80"/>
      <c r="AU362" s="80">
        <v>112</v>
      </c>
      <c r="AV362" s="87" t="str">
        <f>HYPERLINK("https://abs.twimg.com/images/themes/theme1/bg.png")</f>
        <v>https://abs.twimg.com/images/themes/theme1/bg.png</v>
      </c>
      <c r="AW362" s="80" t="b">
        <v>0</v>
      </c>
      <c r="AX362" s="80" t="s">
        <v>10746</v>
      </c>
      <c r="AY362" s="87" t="str">
        <f>HYPERLINK("https://twitter.com/gesuriid")</f>
        <v>https://twitter.com/gesuriid</v>
      </c>
      <c r="AZ362" s="80" t="s">
        <v>66</v>
      </c>
      <c r="BA362" s="2"/>
      <c r="BB362" s="3"/>
      <c r="BC362" s="3"/>
      <c r="BD362" s="3"/>
      <c r="BE362" s="3"/>
    </row>
    <row r="363" spans="1:57" x14ac:dyDescent="0.35">
      <c r="A363" s="66" t="s">
        <v>514</v>
      </c>
      <c r="B363" s="67"/>
      <c r="C363" s="67"/>
      <c r="D363" s="68"/>
      <c r="E363" s="70"/>
      <c r="F363" s="109" t="str">
        <f>HYPERLINK("https://pbs.twimg.com/profile_images/1091700350472474624/CsuQ65QF_normal.jpg")</f>
        <v>https://pbs.twimg.com/profile_images/1091700350472474624/CsuQ65QF_normal.jpg</v>
      </c>
      <c r="G363" s="67"/>
      <c r="H363" s="71"/>
      <c r="I363" s="72"/>
      <c r="J363" s="72"/>
      <c r="K363" s="71" t="s">
        <v>11106</v>
      </c>
      <c r="L363" s="75"/>
      <c r="M363" s="76"/>
      <c r="N363" s="76"/>
      <c r="O363" s="77"/>
      <c r="P363" s="78"/>
      <c r="Q363" s="78"/>
      <c r="R363" s="92"/>
      <c r="S363" s="92"/>
      <c r="T363" s="92"/>
      <c r="U363" s="92"/>
      <c r="V363" s="52"/>
      <c r="W363" s="52"/>
      <c r="X363" s="52"/>
      <c r="Y363" s="52"/>
      <c r="Z363" s="51"/>
      <c r="AA363" s="73"/>
      <c r="AB363" s="73"/>
      <c r="AC363" s="74"/>
      <c r="AD363" s="80" t="s">
        <v>6945</v>
      </c>
      <c r="AE363" s="85" t="s">
        <v>8179</v>
      </c>
      <c r="AF363" s="80">
        <v>310</v>
      </c>
      <c r="AG363" s="80">
        <v>398</v>
      </c>
      <c r="AH363" s="80">
        <v>7029</v>
      </c>
      <c r="AI363" s="80">
        <v>232</v>
      </c>
      <c r="AJ363" s="80"/>
      <c r="AK363" s="80" t="s">
        <v>9274</v>
      </c>
      <c r="AL363" s="80" t="s">
        <v>10294</v>
      </c>
      <c r="AM363" s="80"/>
      <c r="AN363" s="80"/>
      <c r="AO363" s="82">
        <v>40050.285925925928</v>
      </c>
      <c r="AP363" s="87" t="str">
        <f>HYPERLINK("https://pbs.twimg.com/profile_banners/68630385/1514624800")</f>
        <v>https://pbs.twimg.com/profile_banners/68630385/1514624800</v>
      </c>
      <c r="AQ363" s="80" t="b">
        <v>0</v>
      </c>
      <c r="AR363" s="80" t="b">
        <v>0</v>
      </c>
      <c r="AS363" s="80" t="b">
        <v>0</v>
      </c>
      <c r="AT363" s="80"/>
      <c r="AU363" s="80">
        <v>0</v>
      </c>
      <c r="AV363" s="87" t="str">
        <f>HYPERLINK("https://abs.twimg.com/images/themes/theme4/bg.gif")</f>
        <v>https://abs.twimg.com/images/themes/theme4/bg.gif</v>
      </c>
      <c r="AW363" s="80" t="b">
        <v>0</v>
      </c>
      <c r="AX363" s="80" t="s">
        <v>10746</v>
      </c>
      <c r="AY363" s="87" t="str">
        <f>HYPERLINK("https://twitter.com/festifiki")</f>
        <v>https://twitter.com/festifiki</v>
      </c>
      <c r="AZ363" s="80" t="s">
        <v>66</v>
      </c>
      <c r="BA363" s="2"/>
      <c r="BB363" s="3"/>
      <c r="BC363" s="3"/>
      <c r="BD363" s="3"/>
      <c r="BE363" s="3"/>
    </row>
    <row r="364" spans="1:57" x14ac:dyDescent="0.35">
      <c r="A364" s="66" t="s">
        <v>1325</v>
      </c>
      <c r="B364" s="67"/>
      <c r="C364" s="67"/>
      <c r="D364" s="68"/>
      <c r="E364" s="70"/>
      <c r="F364" s="109" t="str">
        <f>HYPERLINK("https://pbs.twimg.com/profile_images/1094898680253960192/F4hVJ_v__normal.jpg")</f>
        <v>https://pbs.twimg.com/profile_images/1094898680253960192/F4hVJ_v__normal.jpg</v>
      </c>
      <c r="G364" s="67"/>
      <c r="H364" s="71"/>
      <c r="I364" s="72"/>
      <c r="J364" s="72"/>
      <c r="K364" s="71" t="s">
        <v>11107</v>
      </c>
      <c r="L364" s="75"/>
      <c r="M364" s="76"/>
      <c r="N364" s="76"/>
      <c r="O364" s="77"/>
      <c r="P364" s="78"/>
      <c r="Q364" s="78"/>
      <c r="R364" s="92"/>
      <c r="S364" s="92"/>
      <c r="T364" s="92"/>
      <c r="U364" s="92"/>
      <c r="V364" s="52"/>
      <c r="W364" s="52"/>
      <c r="X364" s="52"/>
      <c r="Y364" s="52"/>
      <c r="Z364" s="51"/>
      <c r="AA364" s="73"/>
      <c r="AB364" s="73"/>
      <c r="AC364" s="74"/>
      <c r="AD364" s="80" t="s">
        <v>6946</v>
      </c>
      <c r="AE364" s="85" t="s">
        <v>8180</v>
      </c>
      <c r="AF364" s="80">
        <v>0</v>
      </c>
      <c r="AG364" s="80">
        <v>12911</v>
      </c>
      <c r="AH364" s="80">
        <v>73602</v>
      </c>
      <c r="AI364" s="80">
        <v>9</v>
      </c>
      <c r="AJ364" s="80"/>
      <c r="AK364" s="80" t="s">
        <v>9275</v>
      </c>
      <c r="AL364" s="80" t="s">
        <v>10295</v>
      </c>
      <c r="AM364" s="80"/>
      <c r="AN364" s="80"/>
      <c r="AO364" s="82">
        <v>43385.526238425926</v>
      </c>
      <c r="AP364" s="87" t="str">
        <f>HYPERLINK("https://pbs.twimg.com/profile_banners/1050727225866125312/1622434240")</f>
        <v>https://pbs.twimg.com/profile_banners/1050727225866125312/1622434240</v>
      </c>
      <c r="AQ364" s="80" t="b">
        <v>0</v>
      </c>
      <c r="AR364" s="80" t="b">
        <v>0</v>
      </c>
      <c r="AS364" s="80" t="b">
        <v>0</v>
      </c>
      <c r="AT364" s="80"/>
      <c r="AU364" s="80">
        <v>5</v>
      </c>
      <c r="AV364" s="87" t="str">
        <f>HYPERLINK("https://abs.twimg.com/images/themes/theme1/bg.png")</f>
        <v>https://abs.twimg.com/images/themes/theme1/bg.png</v>
      </c>
      <c r="AW364" s="80" t="b">
        <v>0</v>
      </c>
      <c r="AX364" s="80" t="s">
        <v>10746</v>
      </c>
      <c r="AY364" s="87" t="str">
        <f>HYPERLINK("https://twitter.com/anteraja_id")</f>
        <v>https://twitter.com/anteraja_id</v>
      </c>
      <c r="AZ364" s="80" t="s">
        <v>65</v>
      </c>
      <c r="BA364" s="2"/>
      <c r="BB364" s="3"/>
      <c r="BC364" s="3"/>
      <c r="BD364" s="3"/>
      <c r="BE364" s="3"/>
    </row>
    <row r="365" spans="1:57" x14ac:dyDescent="0.35">
      <c r="A365" s="66" t="s">
        <v>515</v>
      </c>
      <c r="B365" s="67"/>
      <c r="C365" s="67"/>
      <c r="D365" s="68"/>
      <c r="E365" s="70"/>
      <c r="F365" s="109" t="str">
        <f>HYPERLINK("https://pbs.twimg.com/profile_images/1441766559429496832/1feOUpmQ_normal.jpg")</f>
        <v>https://pbs.twimg.com/profile_images/1441766559429496832/1feOUpmQ_normal.jpg</v>
      </c>
      <c r="G365" s="67"/>
      <c r="H365" s="71"/>
      <c r="I365" s="72"/>
      <c r="J365" s="72"/>
      <c r="K365" s="71" t="s">
        <v>11108</v>
      </c>
      <c r="L365" s="75"/>
      <c r="M365" s="76"/>
      <c r="N365" s="76"/>
      <c r="O365" s="77"/>
      <c r="P365" s="78"/>
      <c r="Q365" s="78"/>
      <c r="R365" s="92"/>
      <c r="S365" s="92"/>
      <c r="T365" s="92"/>
      <c r="U365" s="92"/>
      <c r="V365" s="52"/>
      <c r="W365" s="52"/>
      <c r="X365" s="52"/>
      <c r="Y365" s="52"/>
      <c r="Z365" s="51"/>
      <c r="AA365" s="73"/>
      <c r="AB365" s="73"/>
      <c r="AC365" s="74"/>
      <c r="AD365" s="80" t="s">
        <v>6947</v>
      </c>
      <c r="AE365" s="85" t="s">
        <v>8181</v>
      </c>
      <c r="AF365" s="80">
        <v>599</v>
      </c>
      <c r="AG365" s="80">
        <v>441</v>
      </c>
      <c r="AH365" s="80">
        <v>2793</v>
      </c>
      <c r="AI365" s="80">
        <v>1347</v>
      </c>
      <c r="AJ365" s="80"/>
      <c r="AK365" s="80" t="s">
        <v>9276</v>
      </c>
      <c r="AL365" s="80"/>
      <c r="AM365" s="87" t="str">
        <f>HYPERLINK("https://t.co/BHglaS7Qs6")</f>
        <v>https://t.co/BHglaS7Qs6</v>
      </c>
      <c r="AN365" s="80"/>
      <c r="AO365" s="82">
        <v>44353.150995370372</v>
      </c>
      <c r="AP365" s="87" t="str">
        <f>HYPERLINK("https://pbs.twimg.com/profile_banners/1401382646089805827/1627822201")</f>
        <v>https://pbs.twimg.com/profile_banners/1401382646089805827/1627822201</v>
      </c>
      <c r="AQ365" s="80" t="b">
        <v>1</v>
      </c>
      <c r="AR365" s="80" t="b">
        <v>0</v>
      </c>
      <c r="AS365" s="80" t="b">
        <v>0</v>
      </c>
      <c r="AT365" s="80"/>
      <c r="AU365" s="80">
        <v>0</v>
      </c>
      <c r="AV365" s="80"/>
      <c r="AW365" s="80" t="b">
        <v>0</v>
      </c>
      <c r="AX365" s="80" t="s">
        <v>10746</v>
      </c>
      <c r="AY365" s="87" t="str">
        <f>HYPERLINK("https://twitter.com/eunoiahoon")</f>
        <v>https://twitter.com/eunoiahoon</v>
      </c>
      <c r="AZ365" s="80" t="s">
        <v>66</v>
      </c>
      <c r="BA365" s="2"/>
      <c r="BB365" s="3"/>
      <c r="BC365" s="3"/>
      <c r="BD365" s="3"/>
      <c r="BE365" s="3"/>
    </row>
    <row r="366" spans="1:57" x14ac:dyDescent="0.35">
      <c r="A366" s="66" t="s">
        <v>1326</v>
      </c>
      <c r="B366" s="67"/>
      <c r="C366" s="67"/>
      <c r="D366" s="68"/>
      <c r="E366" s="70"/>
      <c r="F366" s="109" t="str">
        <f>HYPERLINK("https://pbs.twimg.com/profile_images/1442521470987501569/2UebF-3I_normal.jpg")</f>
        <v>https://pbs.twimg.com/profile_images/1442521470987501569/2UebF-3I_normal.jpg</v>
      </c>
      <c r="G366" s="67"/>
      <c r="H366" s="71"/>
      <c r="I366" s="72"/>
      <c r="J366" s="72"/>
      <c r="K366" s="71" t="s">
        <v>11109</v>
      </c>
      <c r="L366" s="75"/>
      <c r="M366" s="76"/>
      <c r="N366" s="76"/>
      <c r="O366" s="77"/>
      <c r="P366" s="78"/>
      <c r="Q366" s="78"/>
      <c r="R366" s="92"/>
      <c r="S366" s="92"/>
      <c r="T366" s="92"/>
      <c r="U366" s="92"/>
      <c r="V366" s="52"/>
      <c r="W366" s="52"/>
      <c r="X366" s="52"/>
      <c r="Y366" s="52"/>
      <c r="Z366" s="51"/>
      <c r="AA366" s="73"/>
      <c r="AB366" s="73"/>
      <c r="AC366" s="74"/>
      <c r="AD366" s="80" t="s">
        <v>6948</v>
      </c>
      <c r="AE366" s="85" t="s">
        <v>6291</v>
      </c>
      <c r="AF366" s="80">
        <v>351</v>
      </c>
      <c r="AG366" s="80">
        <v>389</v>
      </c>
      <c r="AH366" s="80">
        <v>3792</v>
      </c>
      <c r="AI366" s="80">
        <v>880</v>
      </c>
      <c r="AJ366" s="80"/>
      <c r="AK366" s="80" t="s">
        <v>9277</v>
      </c>
      <c r="AL366" s="80" t="s">
        <v>10296</v>
      </c>
      <c r="AM366" s="80"/>
      <c r="AN366" s="80"/>
      <c r="AO366" s="82">
        <v>44273.503738425927</v>
      </c>
      <c r="AP366" s="87" t="str">
        <f>HYPERLINK("https://pbs.twimg.com/profile_banners/1372519440043053058/1632758281")</f>
        <v>https://pbs.twimg.com/profile_banners/1372519440043053058/1632758281</v>
      </c>
      <c r="AQ366" s="80" t="b">
        <v>1</v>
      </c>
      <c r="AR366" s="80" t="b">
        <v>0</v>
      </c>
      <c r="AS366" s="80" t="b">
        <v>0</v>
      </c>
      <c r="AT366" s="80"/>
      <c r="AU366" s="80">
        <v>0</v>
      </c>
      <c r="AV366" s="80"/>
      <c r="AW366" s="80" t="b">
        <v>0</v>
      </c>
      <c r="AX366" s="80" t="s">
        <v>10746</v>
      </c>
      <c r="AY366" s="87" t="str">
        <f>HYPERLINK("https://twitter.com/forjayyeon")</f>
        <v>https://twitter.com/forjayyeon</v>
      </c>
      <c r="AZ366" s="80" t="s">
        <v>65</v>
      </c>
      <c r="BA366" s="2"/>
      <c r="BB366" s="3"/>
      <c r="BC366" s="3"/>
      <c r="BD366" s="3"/>
      <c r="BE366" s="3"/>
    </row>
    <row r="367" spans="1:57" x14ac:dyDescent="0.35">
      <c r="A367" s="66" t="s">
        <v>516</v>
      </c>
      <c r="B367" s="67"/>
      <c r="C367" s="67"/>
      <c r="D367" s="68"/>
      <c r="E367" s="70"/>
      <c r="F367" s="109" t="str">
        <f>HYPERLINK("https://pbs.twimg.com/profile_images/982941989480972289/AUeZfCZa_normal.jpg")</f>
        <v>https://pbs.twimg.com/profile_images/982941989480972289/AUeZfCZa_normal.jpg</v>
      </c>
      <c r="G367" s="67"/>
      <c r="H367" s="71"/>
      <c r="I367" s="72"/>
      <c r="J367" s="72"/>
      <c r="K367" s="71" t="s">
        <v>11110</v>
      </c>
      <c r="L367" s="75"/>
      <c r="M367" s="76"/>
      <c r="N367" s="76"/>
      <c r="O367" s="77"/>
      <c r="P367" s="78"/>
      <c r="Q367" s="78"/>
      <c r="R367" s="92"/>
      <c r="S367" s="92"/>
      <c r="T367" s="92"/>
      <c r="U367" s="92"/>
      <c r="V367" s="52"/>
      <c r="W367" s="52"/>
      <c r="X367" s="52"/>
      <c r="Y367" s="52"/>
      <c r="Z367" s="51"/>
      <c r="AA367" s="73"/>
      <c r="AB367" s="73"/>
      <c r="AC367" s="74"/>
      <c r="AD367" s="80" t="s">
        <v>6949</v>
      </c>
      <c r="AE367" s="85" t="s">
        <v>6292</v>
      </c>
      <c r="AF367" s="80">
        <v>287</v>
      </c>
      <c r="AG367" s="80">
        <v>208649</v>
      </c>
      <c r="AH367" s="80">
        <v>32054</v>
      </c>
      <c r="AI367" s="80">
        <v>608</v>
      </c>
      <c r="AJ367" s="80"/>
      <c r="AK367" s="80" t="s">
        <v>9278</v>
      </c>
      <c r="AL367" s="80" t="s">
        <v>10134</v>
      </c>
      <c r="AM367" s="87" t="str">
        <f>HYPERLINK("https://t.co/LIRpeXh1SU")</f>
        <v>https://t.co/LIRpeXh1SU</v>
      </c>
      <c r="AN367" s="80"/>
      <c r="AO367" s="82">
        <v>40358.377870370372</v>
      </c>
      <c r="AP367" s="87" t="str">
        <f>HYPERLINK("https://pbs.twimg.com/profile_banners/160858057/1612331404")</f>
        <v>https://pbs.twimg.com/profile_banners/160858057/1612331404</v>
      </c>
      <c r="AQ367" s="80" t="b">
        <v>0</v>
      </c>
      <c r="AR367" s="80" t="b">
        <v>0</v>
      </c>
      <c r="AS367" s="80" t="b">
        <v>1</v>
      </c>
      <c r="AT367" s="80"/>
      <c r="AU367" s="80">
        <v>602</v>
      </c>
      <c r="AV367" s="87" t="str">
        <f>HYPERLINK("https://abs.twimg.com/images/themes/theme1/bg.png")</f>
        <v>https://abs.twimg.com/images/themes/theme1/bg.png</v>
      </c>
      <c r="AW367" s="80" t="b">
        <v>1</v>
      </c>
      <c r="AX367" s="80" t="s">
        <v>10746</v>
      </c>
      <c r="AY367" s="87" t="str">
        <f>HYPERLINK("https://twitter.com/kemlu_ri")</f>
        <v>https://twitter.com/kemlu_ri</v>
      </c>
      <c r="AZ367" s="80" t="s">
        <v>66</v>
      </c>
      <c r="BA367" s="2"/>
      <c r="BB367" s="3"/>
      <c r="BC367" s="3"/>
      <c r="BD367" s="3"/>
      <c r="BE367" s="3"/>
    </row>
    <row r="368" spans="1:57" x14ac:dyDescent="0.35">
      <c r="A368" s="66" t="s">
        <v>517</v>
      </c>
      <c r="B368" s="67"/>
      <c r="C368" s="67"/>
      <c r="D368" s="68"/>
      <c r="E368" s="70"/>
      <c r="F368" s="109" t="str">
        <f>HYPERLINK("https://pbs.twimg.com/profile_images/1278248932317921281/zEbgIxwT_normal.jpg")</f>
        <v>https://pbs.twimg.com/profile_images/1278248932317921281/zEbgIxwT_normal.jpg</v>
      </c>
      <c r="G368" s="67"/>
      <c r="H368" s="71"/>
      <c r="I368" s="72"/>
      <c r="J368" s="72"/>
      <c r="K368" s="71" t="s">
        <v>11111</v>
      </c>
      <c r="L368" s="75"/>
      <c r="M368" s="76"/>
      <c r="N368" s="76"/>
      <c r="O368" s="77"/>
      <c r="P368" s="78"/>
      <c r="Q368" s="78"/>
      <c r="R368" s="92"/>
      <c r="S368" s="92"/>
      <c r="T368" s="92"/>
      <c r="U368" s="92"/>
      <c r="V368" s="52"/>
      <c r="W368" s="52"/>
      <c r="X368" s="52"/>
      <c r="Y368" s="52"/>
      <c r="Z368" s="51"/>
      <c r="AA368" s="73"/>
      <c r="AB368" s="73"/>
      <c r="AC368" s="74"/>
      <c r="AD368" s="80" t="s">
        <v>6950</v>
      </c>
      <c r="AE368" s="85" t="s">
        <v>8182</v>
      </c>
      <c r="AF368" s="80">
        <v>83</v>
      </c>
      <c r="AG368" s="80">
        <v>77</v>
      </c>
      <c r="AH368" s="80">
        <v>19971</v>
      </c>
      <c r="AI368" s="80">
        <v>19732</v>
      </c>
      <c r="AJ368" s="80"/>
      <c r="AK368" s="80" t="s">
        <v>9279</v>
      </c>
      <c r="AL368" s="80"/>
      <c r="AM368" s="80"/>
      <c r="AN368" s="80"/>
      <c r="AO368" s="82">
        <v>44013.363692129627</v>
      </c>
      <c r="AP368" s="87" t="str">
        <f>HYPERLINK("https://pbs.twimg.com/profile_banners/1278247827995410432/1597810229")</f>
        <v>https://pbs.twimg.com/profile_banners/1278247827995410432/1597810229</v>
      </c>
      <c r="AQ368" s="80" t="b">
        <v>1</v>
      </c>
      <c r="AR368" s="80" t="b">
        <v>0</v>
      </c>
      <c r="AS368" s="80" t="b">
        <v>1</v>
      </c>
      <c r="AT368" s="80"/>
      <c r="AU368" s="80">
        <v>0</v>
      </c>
      <c r="AV368" s="80"/>
      <c r="AW368" s="80" t="b">
        <v>0</v>
      </c>
      <c r="AX368" s="80" t="s">
        <v>10746</v>
      </c>
      <c r="AY368" s="87" t="str">
        <f>HYPERLINK("https://twitter.com/zakierivaldi")</f>
        <v>https://twitter.com/zakierivaldi</v>
      </c>
      <c r="AZ368" s="80" t="s">
        <v>66</v>
      </c>
      <c r="BA368" s="2"/>
      <c r="BB368" s="3"/>
      <c r="BC368" s="3"/>
      <c r="BD368" s="3"/>
      <c r="BE368" s="3"/>
    </row>
    <row r="369" spans="1:57" x14ac:dyDescent="0.35">
      <c r="A369" s="66" t="s">
        <v>518</v>
      </c>
      <c r="B369" s="67"/>
      <c r="C369" s="67"/>
      <c r="D369" s="68"/>
      <c r="E369" s="70"/>
      <c r="F369" s="109" t="str">
        <f>HYPERLINK("https://pbs.twimg.com/profile_images/1391236302897487873/Moe3gT6t_normal.jpg")</f>
        <v>https://pbs.twimg.com/profile_images/1391236302897487873/Moe3gT6t_normal.jpg</v>
      </c>
      <c r="G369" s="67"/>
      <c r="H369" s="71"/>
      <c r="I369" s="72"/>
      <c r="J369" s="72"/>
      <c r="K369" s="71" t="s">
        <v>11112</v>
      </c>
      <c r="L369" s="75"/>
      <c r="M369" s="76"/>
      <c r="N369" s="76"/>
      <c r="O369" s="77"/>
      <c r="P369" s="78"/>
      <c r="Q369" s="78"/>
      <c r="R369" s="92"/>
      <c r="S369" s="92"/>
      <c r="T369" s="92"/>
      <c r="U369" s="92"/>
      <c r="V369" s="52"/>
      <c r="W369" s="52"/>
      <c r="X369" s="52"/>
      <c r="Y369" s="52"/>
      <c r="Z369" s="51"/>
      <c r="AA369" s="73"/>
      <c r="AB369" s="73"/>
      <c r="AC369" s="74"/>
      <c r="AD369" s="80" t="s">
        <v>6951</v>
      </c>
      <c r="AE369" s="85" t="s">
        <v>8183</v>
      </c>
      <c r="AF369" s="80">
        <v>1842</v>
      </c>
      <c r="AG369" s="80">
        <v>2555</v>
      </c>
      <c r="AH369" s="80">
        <v>191863</v>
      </c>
      <c r="AI369" s="80">
        <v>72232</v>
      </c>
      <c r="AJ369" s="80"/>
      <c r="AK369" s="80" t="s">
        <v>9280</v>
      </c>
      <c r="AL369" s="80" t="s">
        <v>10297</v>
      </c>
      <c r="AM369" s="87" t="str">
        <f>HYPERLINK("https://t.co/MLMB7L3m8a")</f>
        <v>https://t.co/MLMB7L3m8a</v>
      </c>
      <c r="AN369" s="80"/>
      <c r="AO369" s="82">
        <v>41694.128506944442</v>
      </c>
      <c r="AP369" s="87" t="str">
        <f>HYPERLINK("https://pbs.twimg.com/profile_banners/2358855422/1561208375")</f>
        <v>https://pbs.twimg.com/profile_banners/2358855422/1561208375</v>
      </c>
      <c r="AQ369" s="80" t="b">
        <v>1</v>
      </c>
      <c r="AR369" s="80" t="b">
        <v>0</v>
      </c>
      <c r="AS369" s="80" t="b">
        <v>1</v>
      </c>
      <c r="AT369" s="80"/>
      <c r="AU369" s="80">
        <v>7</v>
      </c>
      <c r="AV369" s="87" t="str">
        <f>HYPERLINK("https://abs.twimg.com/images/themes/theme1/bg.png")</f>
        <v>https://abs.twimg.com/images/themes/theme1/bg.png</v>
      </c>
      <c r="AW369" s="80" t="b">
        <v>0</v>
      </c>
      <c r="AX369" s="80" t="s">
        <v>10746</v>
      </c>
      <c r="AY369" s="87" t="str">
        <f>HYPERLINK("https://twitter.com/ljtzys")</f>
        <v>https://twitter.com/ljtzys</v>
      </c>
      <c r="AZ369" s="80" t="s">
        <v>66</v>
      </c>
      <c r="BA369" s="2"/>
      <c r="BB369" s="3"/>
      <c r="BC369" s="3"/>
      <c r="BD369" s="3"/>
      <c r="BE369" s="3"/>
    </row>
    <row r="370" spans="1:57" x14ac:dyDescent="0.35">
      <c r="A370" s="66" t="s">
        <v>519</v>
      </c>
      <c r="B370" s="67"/>
      <c r="C370" s="67"/>
      <c r="D370" s="68"/>
      <c r="E370" s="70"/>
      <c r="F370" s="109" t="str">
        <f>HYPERLINK("https://pbs.twimg.com/profile_images/1344952032554328065/R2BRlDNQ_normal.jpg")</f>
        <v>https://pbs.twimg.com/profile_images/1344952032554328065/R2BRlDNQ_normal.jpg</v>
      </c>
      <c r="G370" s="67"/>
      <c r="H370" s="71"/>
      <c r="I370" s="72"/>
      <c r="J370" s="72"/>
      <c r="K370" s="71" t="s">
        <v>11113</v>
      </c>
      <c r="L370" s="75"/>
      <c r="M370" s="76"/>
      <c r="N370" s="76"/>
      <c r="O370" s="77"/>
      <c r="P370" s="78"/>
      <c r="Q370" s="78"/>
      <c r="R370" s="92"/>
      <c r="S370" s="92"/>
      <c r="T370" s="92"/>
      <c r="U370" s="92"/>
      <c r="V370" s="52"/>
      <c r="W370" s="52"/>
      <c r="X370" s="52"/>
      <c r="Y370" s="52"/>
      <c r="Z370" s="51"/>
      <c r="AA370" s="73"/>
      <c r="AB370" s="73"/>
      <c r="AC370" s="74"/>
      <c r="AD370" s="80" t="s">
        <v>6952</v>
      </c>
      <c r="AE370" s="85" t="s">
        <v>8184</v>
      </c>
      <c r="AF370" s="80">
        <v>310</v>
      </c>
      <c r="AG370" s="80">
        <v>17649</v>
      </c>
      <c r="AH370" s="80">
        <v>26439</v>
      </c>
      <c r="AI370" s="80">
        <v>35418</v>
      </c>
      <c r="AJ370" s="80"/>
      <c r="AK370" s="80" t="s">
        <v>9281</v>
      </c>
      <c r="AL370" s="80"/>
      <c r="AM370" s="87" t="str">
        <f>HYPERLINK("https://t.co/MFSXwtlJ2w")</f>
        <v>https://t.co/MFSXwtlJ2w</v>
      </c>
      <c r="AN370" s="80"/>
      <c r="AO370" s="82">
        <v>43144.631203703706</v>
      </c>
      <c r="AP370" s="87" t="str">
        <f>HYPERLINK("https://pbs.twimg.com/profile_banners/963429790320615424/1630518503")</f>
        <v>https://pbs.twimg.com/profile_banners/963429790320615424/1630518503</v>
      </c>
      <c r="AQ370" s="80" t="b">
        <v>1</v>
      </c>
      <c r="AR370" s="80" t="b">
        <v>0</v>
      </c>
      <c r="AS370" s="80" t="b">
        <v>1</v>
      </c>
      <c r="AT370" s="80"/>
      <c r="AU370" s="80">
        <v>31</v>
      </c>
      <c r="AV370" s="80"/>
      <c r="AW370" s="80" t="b">
        <v>0</v>
      </c>
      <c r="AX370" s="80" t="s">
        <v>10746</v>
      </c>
      <c r="AY370" s="87" t="str">
        <f>HYPERLINK("https://twitter.com/sdnagr")</f>
        <v>https://twitter.com/sdnagr</v>
      </c>
      <c r="AZ370" s="80" t="s">
        <v>66</v>
      </c>
      <c r="BA370" s="2"/>
      <c r="BB370" s="3"/>
      <c r="BC370" s="3"/>
      <c r="BD370" s="3"/>
      <c r="BE370" s="3"/>
    </row>
    <row r="371" spans="1:57" x14ac:dyDescent="0.35">
      <c r="A371" s="66" t="s">
        <v>520</v>
      </c>
      <c r="B371" s="67"/>
      <c r="C371" s="67"/>
      <c r="D371" s="68"/>
      <c r="E371" s="70"/>
      <c r="F371" s="109" t="str">
        <f>HYPERLINK("https://pbs.twimg.com/profile_images/1439937233969041409/mdcThWGA_normal.jpg")</f>
        <v>https://pbs.twimg.com/profile_images/1439937233969041409/mdcThWGA_normal.jpg</v>
      </c>
      <c r="G371" s="67"/>
      <c r="H371" s="71"/>
      <c r="I371" s="72"/>
      <c r="J371" s="72"/>
      <c r="K371" s="71" t="s">
        <v>11114</v>
      </c>
      <c r="L371" s="75"/>
      <c r="M371" s="76"/>
      <c r="N371" s="76"/>
      <c r="O371" s="77"/>
      <c r="P371" s="78"/>
      <c r="Q371" s="78"/>
      <c r="R371" s="92"/>
      <c r="S371" s="92"/>
      <c r="T371" s="92"/>
      <c r="U371" s="92"/>
      <c r="V371" s="52"/>
      <c r="W371" s="52"/>
      <c r="X371" s="52"/>
      <c r="Y371" s="52"/>
      <c r="Z371" s="51"/>
      <c r="AA371" s="73"/>
      <c r="AB371" s="73"/>
      <c r="AC371" s="74"/>
      <c r="AD371" s="80" t="s">
        <v>6953</v>
      </c>
      <c r="AE371" s="85" t="s">
        <v>8185</v>
      </c>
      <c r="AF371" s="80">
        <v>1907</v>
      </c>
      <c r="AG371" s="80">
        <v>1738</v>
      </c>
      <c r="AH371" s="80">
        <v>6826</v>
      </c>
      <c r="AI371" s="80">
        <v>9333</v>
      </c>
      <c r="AJ371" s="80"/>
      <c r="AK371" s="80" t="s">
        <v>9282</v>
      </c>
      <c r="AL371" s="80"/>
      <c r="AM371" s="80"/>
      <c r="AN371" s="80"/>
      <c r="AO371" s="82">
        <v>44374.406030092592</v>
      </c>
      <c r="AP371" s="87" t="str">
        <f>HYPERLINK("https://pbs.twimg.com/profile_banners/1409085167440781312/1625153030")</f>
        <v>https://pbs.twimg.com/profile_banners/1409085167440781312/1625153030</v>
      </c>
      <c r="AQ371" s="80" t="b">
        <v>1</v>
      </c>
      <c r="AR371" s="80" t="b">
        <v>0</v>
      </c>
      <c r="AS371" s="80" t="b">
        <v>0</v>
      </c>
      <c r="AT371" s="80"/>
      <c r="AU371" s="80">
        <v>0</v>
      </c>
      <c r="AV371" s="80"/>
      <c r="AW371" s="80" t="b">
        <v>0</v>
      </c>
      <c r="AX371" s="80" t="s">
        <v>10746</v>
      </c>
      <c r="AY371" s="87" t="str">
        <f>HYPERLINK("https://twitter.com/budiatnogr")</f>
        <v>https://twitter.com/budiatnogr</v>
      </c>
      <c r="AZ371" s="80" t="s">
        <v>66</v>
      </c>
      <c r="BA371" s="2"/>
      <c r="BB371" s="3"/>
      <c r="BC371" s="3"/>
      <c r="BD371" s="3"/>
      <c r="BE371" s="3"/>
    </row>
    <row r="372" spans="1:57" x14ac:dyDescent="0.35">
      <c r="A372" s="66" t="s">
        <v>1327</v>
      </c>
      <c r="B372" s="67"/>
      <c r="C372" s="67"/>
      <c r="D372" s="68"/>
      <c r="E372" s="70"/>
      <c r="F372" s="109" t="str">
        <f>HYPERLINK("https://pbs.twimg.com/profile_images/1427595086771019786/iDaTrqIO_normal.jpg")</f>
        <v>https://pbs.twimg.com/profile_images/1427595086771019786/iDaTrqIO_normal.jpg</v>
      </c>
      <c r="G372" s="67"/>
      <c r="H372" s="71"/>
      <c r="I372" s="72"/>
      <c r="J372" s="72"/>
      <c r="K372" s="71" t="s">
        <v>11115</v>
      </c>
      <c r="L372" s="75"/>
      <c r="M372" s="76"/>
      <c r="N372" s="76"/>
      <c r="O372" s="77"/>
      <c r="P372" s="78"/>
      <c r="Q372" s="78"/>
      <c r="R372" s="92"/>
      <c r="S372" s="92"/>
      <c r="T372" s="92"/>
      <c r="U372" s="92"/>
      <c r="V372" s="52"/>
      <c r="W372" s="52"/>
      <c r="X372" s="52"/>
      <c r="Y372" s="52"/>
      <c r="Z372" s="51"/>
      <c r="AA372" s="73"/>
      <c r="AB372" s="73"/>
      <c r="AC372" s="74"/>
      <c r="AD372" s="80" t="s">
        <v>6954</v>
      </c>
      <c r="AE372" s="85" t="s">
        <v>6293</v>
      </c>
      <c r="AF372" s="80">
        <v>2450</v>
      </c>
      <c r="AG372" s="80">
        <v>99977</v>
      </c>
      <c r="AH372" s="80">
        <v>33125</v>
      </c>
      <c r="AI372" s="80">
        <v>934</v>
      </c>
      <c r="AJ372" s="80"/>
      <c r="AK372" s="80" t="s">
        <v>9283</v>
      </c>
      <c r="AL372" s="80" t="s">
        <v>10298</v>
      </c>
      <c r="AM372" s="80"/>
      <c r="AN372" s="80"/>
      <c r="AO372" s="82">
        <v>43980.017106481479</v>
      </c>
      <c r="AP372" s="87" t="str">
        <f>HYPERLINK("https://pbs.twimg.com/profile_banners/1266163382807224320/1603961173")</f>
        <v>https://pbs.twimg.com/profile_banners/1266163382807224320/1603961173</v>
      </c>
      <c r="AQ372" s="80" t="b">
        <v>1</v>
      </c>
      <c r="AR372" s="80" t="b">
        <v>0</v>
      </c>
      <c r="AS372" s="80" t="b">
        <v>0</v>
      </c>
      <c r="AT372" s="80"/>
      <c r="AU372" s="80">
        <v>63</v>
      </c>
      <c r="AV372" s="80"/>
      <c r="AW372" s="80" t="b">
        <v>0</v>
      </c>
      <c r="AX372" s="80" t="s">
        <v>10746</v>
      </c>
      <c r="AY372" s="87" t="str">
        <f>HYPERLINK("https://twitter.com/ferdinandhaean3")</f>
        <v>https://twitter.com/ferdinandhaean3</v>
      </c>
      <c r="AZ372" s="80" t="s">
        <v>65</v>
      </c>
      <c r="BA372" s="2"/>
      <c r="BB372" s="3"/>
      <c r="BC372" s="3"/>
      <c r="BD372" s="3"/>
      <c r="BE372" s="3"/>
    </row>
    <row r="373" spans="1:57" x14ac:dyDescent="0.35">
      <c r="A373" s="66" t="s">
        <v>521</v>
      </c>
      <c r="B373" s="67"/>
      <c r="C373" s="67"/>
      <c r="D373" s="68"/>
      <c r="E373" s="70"/>
      <c r="F373" s="109" t="str">
        <f>HYPERLINK("https://pbs.twimg.com/profile_images/1433038608185774091/8VwyBhV4_normal.jpg")</f>
        <v>https://pbs.twimg.com/profile_images/1433038608185774091/8VwyBhV4_normal.jpg</v>
      </c>
      <c r="G373" s="67"/>
      <c r="H373" s="71"/>
      <c r="I373" s="72"/>
      <c r="J373" s="72"/>
      <c r="K373" s="71" t="s">
        <v>11116</v>
      </c>
      <c r="L373" s="75"/>
      <c r="M373" s="76"/>
      <c r="N373" s="76"/>
      <c r="O373" s="77"/>
      <c r="P373" s="78"/>
      <c r="Q373" s="78"/>
      <c r="R373" s="92"/>
      <c r="S373" s="92"/>
      <c r="T373" s="92"/>
      <c r="U373" s="92"/>
      <c r="V373" s="52"/>
      <c r="W373" s="52"/>
      <c r="X373" s="52"/>
      <c r="Y373" s="52"/>
      <c r="Z373" s="51"/>
      <c r="AA373" s="73"/>
      <c r="AB373" s="73"/>
      <c r="AC373" s="74"/>
      <c r="AD373" s="80" t="s">
        <v>6955</v>
      </c>
      <c r="AE373" s="85" t="s">
        <v>8186</v>
      </c>
      <c r="AF373" s="80">
        <v>164</v>
      </c>
      <c r="AG373" s="80">
        <v>62</v>
      </c>
      <c r="AH373" s="80">
        <v>5234</v>
      </c>
      <c r="AI373" s="80">
        <v>6046</v>
      </c>
      <c r="AJ373" s="80"/>
      <c r="AK373" s="80" t="s">
        <v>9284</v>
      </c>
      <c r="AL373" s="80"/>
      <c r="AM373" s="80"/>
      <c r="AN373" s="80"/>
      <c r="AO373" s="82">
        <v>43779.648622685185</v>
      </c>
      <c r="AP373" s="87" t="str">
        <f>HYPERLINK("https://pbs.twimg.com/profile_banners/1193552261185597440/1632584669")</f>
        <v>https://pbs.twimg.com/profile_banners/1193552261185597440/1632584669</v>
      </c>
      <c r="AQ373" s="80" t="b">
        <v>1</v>
      </c>
      <c r="AR373" s="80" t="b">
        <v>0</v>
      </c>
      <c r="AS373" s="80" t="b">
        <v>1</v>
      </c>
      <c r="AT373" s="80"/>
      <c r="AU373" s="80">
        <v>0</v>
      </c>
      <c r="AV373" s="80"/>
      <c r="AW373" s="80" t="b">
        <v>0</v>
      </c>
      <c r="AX373" s="80" t="s">
        <v>10746</v>
      </c>
      <c r="AY373" s="87" t="str">
        <f>HYPERLINK("https://twitter.com/wickysky_")</f>
        <v>https://twitter.com/wickysky_</v>
      </c>
      <c r="AZ373" s="80" t="s">
        <v>66</v>
      </c>
      <c r="BA373" s="2"/>
      <c r="BB373" s="3"/>
      <c r="BC373" s="3"/>
      <c r="BD373" s="3"/>
      <c r="BE373" s="3"/>
    </row>
    <row r="374" spans="1:57" x14ac:dyDescent="0.35">
      <c r="A374" s="66" t="s">
        <v>1328</v>
      </c>
      <c r="B374" s="67"/>
      <c r="C374" s="67"/>
      <c r="D374" s="68"/>
      <c r="E374" s="70"/>
      <c r="F374" s="109" t="str">
        <f>HYPERLINK("https://pbs.twimg.com/profile_images/1441323298889945089/GAmtUalW_normal.jpg")</f>
        <v>https://pbs.twimg.com/profile_images/1441323298889945089/GAmtUalW_normal.jpg</v>
      </c>
      <c r="G374" s="67"/>
      <c r="H374" s="71"/>
      <c r="I374" s="72"/>
      <c r="J374" s="72"/>
      <c r="K374" s="71" t="s">
        <v>11117</v>
      </c>
      <c r="L374" s="75"/>
      <c r="M374" s="76"/>
      <c r="N374" s="76"/>
      <c r="O374" s="77"/>
      <c r="P374" s="78"/>
      <c r="Q374" s="78"/>
      <c r="R374" s="92"/>
      <c r="S374" s="92"/>
      <c r="T374" s="92"/>
      <c r="U374" s="92"/>
      <c r="V374" s="52"/>
      <c r="W374" s="52"/>
      <c r="X374" s="52"/>
      <c r="Y374" s="52"/>
      <c r="Z374" s="51"/>
      <c r="AA374" s="73"/>
      <c r="AB374" s="73"/>
      <c r="AC374" s="74"/>
      <c r="AD374" s="80" t="s">
        <v>6956</v>
      </c>
      <c r="AE374" s="85" t="s">
        <v>6294</v>
      </c>
      <c r="AF374" s="80">
        <v>883</v>
      </c>
      <c r="AG374" s="80">
        <v>1076</v>
      </c>
      <c r="AH374" s="80">
        <v>168404</v>
      </c>
      <c r="AI374" s="80">
        <v>75744</v>
      </c>
      <c r="AJ374" s="80"/>
      <c r="AK374" s="80" t="s">
        <v>9285</v>
      </c>
      <c r="AL374" s="80" t="s">
        <v>10299</v>
      </c>
      <c r="AM374" s="80"/>
      <c r="AN374" s="80"/>
      <c r="AO374" s="82">
        <v>41962.747604166667</v>
      </c>
      <c r="AP374" s="87" t="str">
        <f>HYPERLINK("https://pbs.twimg.com/profile_banners/2904688836/1632238714")</f>
        <v>https://pbs.twimg.com/profile_banners/2904688836/1632238714</v>
      </c>
      <c r="AQ374" s="80" t="b">
        <v>0</v>
      </c>
      <c r="AR374" s="80" t="b">
        <v>0</v>
      </c>
      <c r="AS374" s="80" t="b">
        <v>1</v>
      </c>
      <c r="AT374" s="80"/>
      <c r="AU374" s="80">
        <v>0</v>
      </c>
      <c r="AV374" s="87" t="str">
        <f>HYPERLINK("https://abs.twimg.com/images/themes/theme15/bg.png")</f>
        <v>https://abs.twimg.com/images/themes/theme15/bg.png</v>
      </c>
      <c r="AW374" s="80" t="b">
        <v>0</v>
      </c>
      <c r="AX374" s="80" t="s">
        <v>10746</v>
      </c>
      <c r="AY374" s="87" t="str">
        <f>HYPERLINK("https://twitter.com/ndhrahzaidi")</f>
        <v>https://twitter.com/ndhrahzaidi</v>
      </c>
      <c r="AZ374" s="80" t="s">
        <v>65</v>
      </c>
      <c r="BA374" s="2"/>
      <c r="BB374" s="3"/>
      <c r="BC374" s="3"/>
      <c r="BD374" s="3"/>
      <c r="BE374" s="3"/>
    </row>
    <row r="375" spans="1:57" x14ac:dyDescent="0.35">
      <c r="A375" s="66" t="s">
        <v>522</v>
      </c>
      <c r="B375" s="67"/>
      <c r="C375" s="67"/>
      <c r="D375" s="68"/>
      <c r="E375" s="70"/>
      <c r="F375" s="109" t="str">
        <f>HYPERLINK("https://pbs.twimg.com/profile_images/1369775839005446146/2biGpcla_normal.jpg")</f>
        <v>https://pbs.twimg.com/profile_images/1369775839005446146/2biGpcla_normal.jpg</v>
      </c>
      <c r="G375" s="67"/>
      <c r="H375" s="71"/>
      <c r="I375" s="72"/>
      <c r="J375" s="72"/>
      <c r="K375" s="71" t="s">
        <v>11118</v>
      </c>
      <c r="L375" s="75"/>
      <c r="M375" s="76"/>
      <c r="N375" s="76"/>
      <c r="O375" s="77"/>
      <c r="P375" s="78"/>
      <c r="Q375" s="78"/>
      <c r="R375" s="92"/>
      <c r="S375" s="92"/>
      <c r="T375" s="92"/>
      <c r="U375" s="92"/>
      <c r="V375" s="52"/>
      <c r="W375" s="52"/>
      <c r="X375" s="52"/>
      <c r="Y375" s="52"/>
      <c r="Z375" s="51"/>
      <c r="AA375" s="73"/>
      <c r="AB375" s="73"/>
      <c r="AC375" s="74"/>
      <c r="AD375" s="80" t="s">
        <v>6957</v>
      </c>
      <c r="AE375" s="85" t="s">
        <v>8187</v>
      </c>
      <c r="AF375" s="80">
        <v>184</v>
      </c>
      <c r="AG375" s="80">
        <v>203</v>
      </c>
      <c r="AH375" s="80">
        <v>10194</v>
      </c>
      <c r="AI375" s="80">
        <v>1299</v>
      </c>
      <c r="AJ375" s="80"/>
      <c r="AK375" s="80" t="s">
        <v>9286</v>
      </c>
      <c r="AL375" s="80" t="s">
        <v>10300</v>
      </c>
      <c r="AM375" s="80"/>
      <c r="AN375" s="80"/>
      <c r="AO375" s="82">
        <v>41173.530451388891</v>
      </c>
      <c r="AP375" s="87" t="str">
        <f>HYPERLINK("https://pbs.twimg.com/profile_banners/837716431/1615415023")</f>
        <v>https://pbs.twimg.com/profile_banners/837716431/1615415023</v>
      </c>
      <c r="AQ375" s="80" t="b">
        <v>0</v>
      </c>
      <c r="AR375" s="80" t="b">
        <v>0</v>
      </c>
      <c r="AS375" s="80" t="b">
        <v>0</v>
      </c>
      <c r="AT375" s="80"/>
      <c r="AU375" s="80">
        <v>0</v>
      </c>
      <c r="AV375" s="87" t="str">
        <f>HYPERLINK("https://abs.twimg.com/images/themes/theme10/bg.gif")</f>
        <v>https://abs.twimg.com/images/themes/theme10/bg.gif</v>
      </c>
      <c r="AW375" s="80" t="b">
        <v>0</v>
      </c>
      <c r="AX375" s="80" t="s">
        <v>10746</v>
      </c>
      <c r="AY375" s="87" t="str">
        <f>HYPERLINK("https://twitter.com/kucingduakepala")</f>
        <v>https://twitter.com/kucingduakepala</v>
      </c>
      <c r="AZ375" s="80" t="s">
        <v>66</v>
      </c>
      <c r="BA375" s="2"/>
      <c r="BB375" s="3"/>
      <c r="BC375" s="3"/>
      <c r="BD375" s="3"/>
      <c r="BE375" s="3"/>
    </row>
    <row r="376" spans="1:57" x14ac:dyDescent="0.35">
      <c r="A376" s="66" t="s">
        <v>1329</v>
      </c>
      <c r="B376" s="67"/>
      <c r="C376" s="67"/>
      <c r="D376" s="68"/>
      <c r="E376" s="70"/>
      <c r="F376" s="109" t="str">
        <f>HYPERLINK("https://pbs.twimg.com/profile_images/1441815260491513865/AvJ8vBDZ_normal.jpg")</f>
        <v>https://pbs.twimg.com/profile_images/1441815260491513865/AvJ8vBDZ_normal.jpg</v>
      </c>
      <c r="G376" s="67"/>
      <c r="H376" s="71"/>
      <c r="I376" s="72"/>
      <c r="J376" s="72"/>
      <c r="K376" s="71" t="s">
        <v>11119</v>
      </c>
      <c r="L376" s="75"/>
      <c r="M376" s="76"/>
      <c r="N376" s="76"/>
      <c r="O376" s="77"/>
      <c r="P376" s="78"/>
      <c r="Q376" s="78"/>
      <c r="R376" s="92"/>
      <c r="S376" s="92"/>
      <c r="T376" s="92"/>
      <c r="U376" s="92"/>
      <c r="V376" s="52"/>
      <c r="W376" s="52"/>
      <c r="X376" s="52"/>
      <c r="Y376" s="52"/>
      <c r="Z376" s="51"/>
      <c r="AA376" s="73"/>
      <c r="AB376" s="73"/>
      <c r="AC376" s="74"/>
      <c r="AD376" s="80" t="s">
        <v>6958</v>
      </c>
      <c r="AE376" s="85" t="s">
        <v>6295</v>
      </c>
      <c r="AF376" s="80">
        <v>43</v>
      </c>
      <c r="AG376" s="80">
        <v>21</v>
      </c>
      <c r="AH376" s="80">
        <v>5252</v>
      </c>
      <c r="AI376" s="80">
        <v>1472</v>
      </c>
      <c r="AJ376" s="80"/>
      <c r="AK376" s="80" t="s">
        <v>9287</v>
      </c>
      <c r="AL376" s="80"/>
      <c r="AM376" s="87" t="str">
        <f>HYPERLINK("https://t.co/LRi6T0idLV")</f>
        <v>https://t.co/LRi6T0idLV</v>
      </c>
      <c r="AN376" s="80"/>
      <c r="AO376" s="82">
        <v>42015.581724537034</v>
      </c>
      <c r="AP376" s="87" t="str">
        <f>HYPERLINK("https://pbs.twimg.com/profile_banners/2974910850/1632589648")</f>
        <v>https://pbs.twimg.com/profile_banners/2974910850/1632589648</v>
      </c>
      <c r="AQ376" s="80" t="b">
        <v>1</v>
      </c>
      <c r="AR376" s="80" t="b">
        <v>0</v>
      </c>
      <c r="AS376" s="80" t="b">
        <v>1</v>
      </c>
      <c r="AT376" s="80"/>
      <c r="AU376" s="80">
        <v>0</v>
      </c>
      <c r="AV376" s="87" t="str">
        <f>HYPERLINK("https://abs.twimg.com/images/themes/theme1/bg.png")</f>
        <v>https://abs.twimg.com/images/themes/theme1/bg.png</v>
      </c>
      <c r="AW376" s="80" t="b">
        <v>0</v>
      </c>
      <c r="AX376" s="80" t="s">
        <v>10746</v>
      </c>
      <c r="AY376" s="87" t="str">
        <f>HYPERLINK("https://twitter.com/zainulazrii")</f>
        <v>https://twitter.com/zainulazrii</v>
      </c>
      <c r="AZ376" s="80" t="s">
        <v>65</v>
      </c>
      <c r="BA376" s="2"/>
      <c r="BB376" s="3"/>
      <c r="BC376" s="3"/>
      <c r="BD376" s="3"/>
      <c r="BE376" s="3"/>
    </row>
    <row r="377" spans="1:57" x14ac:dyDescent="0.35">
      <c r="A377" s="66" t="s">
        <v>523</v>
      </c>
      <c r="B377" s="67"/>
      <c r="C377" s="67"/>
      <c r="D377" s="68"/>
      <c r="E377" s="70"/>
      <c r="F377" s="109" t="str">
        <f>HYPERLINK("https://pbs.twimg.com/profile_images/1074955938895781888/M5aLXePY_normal.jpg")</f>
        <v>https://pbs.twimg.com/profile_images/1074955938895781888/M5aLXePY_normal.jpg</v>
      </c>
      <c r="G377" s="67"/>
      <c r="H377" s="71"/>
      <c r="I377" s="72"/>
      <c r="J377" s="72"/>
      <c r="K377" s="71" t="s">
        <v>11120</v>
      </c>
      <c r="L377" s="75"/>
      <c r="M377" s="76"/>
      <c r="N377" s="76"/>
      <c r="O377" s="77"/>
      <c r="P377" s="78"/>
      <c r="Q377" s="78"/>
      <c r="R377" s="92"/>
      <c r="S377" s="92"/>
      <c r="T377" s="92"/>
      <c r="U377" s="92"/>
      <c r="V377" s="52"/>
      <c r="W377" s="52"/>
      <c r="X377" s="52"/>
      <c r="Y377" s="52"/>
      <c r="Z377" s="51"/>
      <c r="AA377" s="73"/>
      <c r="AB377" s="73"/>
      <c r="AC377" s="74"/>
      <c r="AD377" s="80" t="s">
        <v>6959</v>
      </c>
      <c r="AE377" s="85" t="s">
        <v>8188</v>
      </c>
      <c r="AF377" s="80">
        <v>110</v>
      </c>
      <c r="AG377" s="80">
        <v>3052</v>
      </c>
      <c r="AH377" s="80">
        <v>7797</v>
      </c>
      <c r="AI377" s="80">
        <v>289</v>
      </c>
      <c r="AJ377" s="80"/>
      <c r="AK377" s="80" t="s">
        <v>9288</v>
      </c>
      <c r="AL377" s="80" t="s">
        <v>10301</v>
      </c>
      <c r="AM377" s="87" t="str">
        <f>HYPERLINK("http://t.co/Y8QEWuBv64")</f>
        <v>http://t.co/Y8QEWuBv64</v>
      </c>
      <c r="AN377" s="80"/>
      <c r="AO377" s="82">
        <v>41673.261435185188</v>
      </c>
      <c r="AP377" s="87" t="str">
        <f>HYPERLINK("https://pbs.twimg.com/profile_banners/2324943812/1579228965")</f>
        <v>https://pbs.twimg.com/profile_banners/2324943812/1579228965</v>
      </c>
      <c r="AQ377" s="80" t="b">
        <v>0</v>
      </c>
      <c r="AR377" s="80" t="b">
        <v>0</v>
      </c>
      <c r="AS377" s="80" t="b">
        <v>0</v>
      </c>
      <c r="AT377" s="80"/>
      <c r="AU377" s="80">
        <v>3</v>
      </c>
      <c r="AV377" s="87" t="str">
        <f>HYPERLINK("https://abs.twimg.com/images/themes/theme6/bg.gif")</f>
        <v>https://abs.twimg.com/images/themes/theme6/bg.gif</v>
      </c>
      <c r="AW377" s="80" t="b">
        <v>0</v>
      </c>
      <c r="AX377" s="80" t="s">
        <v>10746</v>
      </c>
      <c r="AY377" s="87" t="str">
        <f>HYPERLINK("https://twitter.com/bcpasarbaru")</f>
        <v>https://twitter.com/bcpasarbaru</v>
      </c>
      <c r="AZ377" s="80" t="s">
        <v>66</v>
      </c>
      <c r="BA377" s="2"/>
      <c r="BB377" s="3"/>
      <c r="BC377" s="3"/>
      <c r="BD377" s="3"/>
      <c r="BE377" s="3"/>
    </row>
    <row r="378" spans="1:57" x14ac:dyDescent="0.35">
      <c r="A378" s="66" t="s">
        <v>1330</v>
      </c>
      <c r="B378" s="67"/>
      <c r="C378" s="67"/>
      <c r="D378" s="68"/>
      <c r="E378" s="70"/>
      <c r="F378" s="109" t="str">
        <f>HYPERLINK("https://pbs.twimg.com/profile_images/976780125214658560/YK0kCK8q_normal.jpg")</f>
        <v>https://pbs.twimg.com/profile_images/976780125214658560/YK0kCK8q_normal.jpg</v>
      </c>
      <c r="G378" s="67"/>
      <c r="H378" s="71"/>
      <c r="I378" s="72"/>
      <c r="J378" s="72"/>
      <c r="K378" s="71" t="s">
        <v>11121</v>
      </c>
      <c r="L378" s="75"/>
      <c r="M378" s="76"/>
      <c r="N378" s="76"/>
      <c r="O378" s="77"/>
      <c r="P378" s="78"/>
      <c r="Q378" s="78"/>
      <c r="R378" s="92"/>
      <c r="S378" s="92"/>
      <c r="T378" s="92"/>
      <c r="U378" s="92"/>
      <c r="V378" s="52"/>
      <c r="W378" s="52"/>
      <c r="X378" s="52"/>
      <c r="Y378" s="52"/>
      <c r="Z378" s="51"/>
      <c r="AA378" s="73"/>
      <c r="AB378" s="73"/>
      <c r="AC378" s="74"/>
      <c r="AD378" s="80" t="s">
        <v>6960</v>
      </c>
      <c r="AE378" s="85" t="s">
        <v>6296</v>
      </c>
      <c r="AF378" s="80">
        <v>736</v>
      </c>
      <c r="AG378" s="80">
        <v>230</v>
      </c>
      <c r="AH378" s="80">
        <v>11677</v>
      </c>
      <c r="AI378" s="80">
        <v>311</v>
      </c>
      <c r="AJ378" s="80"/>
      <c r="AK378" s="80" t="s">
        <v>9289</v>
      </c>
      <c r="AL378" s="80" t="s">
        <v>10139</v>
      </c>
      <c r="AM378" s="80"/>
      <c r="AN378" s="80"/>
      <c r="AO378" s="82">
        <v>40601.675254629627</v>
      </c>
      <c r="AP378" s="87" t="str">
        <f>HYPERLINK("https://pbs.twimg.com/profile_banners/258384272/1489068676")</f>
        <v>https://pbs.twimg.com/profile_banners/258384272/1489068676</v>
      </c>
      <c r="AQ378" s="80" t="b">
        <v>0</v>
      </c>
      <c r="AR378" s="80" t="b">
        <v>0</v>
      </c>
      <c r="AS378" s="80" t="b">
        <v>1</v>
      </c>
      <c r="AT378" s="80"/>
      <c r="AU378" s="80">
        <v>0</v>
      </c>
      <c r="AV378" s="87" t="str">
        <f>HYPERLINK("https://abs.twimg.com/images/themes/theme16/bg.gif")</f>
        <v>https://abs.twimg.com/images/themes/theme16/bg.gif</v>
      </c>
      <c r="AW378" s="80" t="b">
        <v>0</v>
      </c>
      <c r="AX378" s="80" t="s">
        <v>10746</v>
      </c>
      <c r="AY378" s="87" t="str">
        <f>HYPERLINK("https://twitter.com/setianiary_")</f>
        <v>https://twitter.com/setianiary_</v>
      </c>
      <c r="AZ378" s="80" t="s">
        <v>65</v>
      </c>
      <c r="BA378" s="2"/>
      <c r="BB378" s="3"/>
      <c r="BC378" s="3"/>
      <c r="BD378" s="3"/>
      <c r="BE378" s="3"/>
    </row>
    <row r="379" spans="1:57" x14ac:dyDescent="0.35">
      <c r="A379" s="66" t="s">
        <v>524</v>
      </c>
      <c r="B379" s="67"/>
      <c r="C379" s="67"/>
      <c r="D379" s="68"/>
      <c r="E379" s="70"/>
      <c r="F379" s="109" t="str">
        <f>HYPERLINK("https://pbs.twimg.com/profile_images/1435051860503584769/qddKHTKq_normal.jpg")</f>
        <v>https://pbs.twimg.com/profile_images/1435051860503584769/qddKHTKq_normal.jpg</v>
      </c>
      <c r="G379" s="67"/>
      <c r="H379" s="71"/>
      <c r="I379" s="72"/>
      <c r="J379" s="72"/>
      <c r="K379" s="71" t="s">
        <v>11122</v>
      </c>
      <c r="L379" s="75"/>
      <c r="M379" s="76"/>
      <c r="N379" s="76"/>
      <c r="O379" s="77"/>
      <c r="P379" s="78"/>
      <c r="Q379" s="78"/>
      <c r="R379" s="92"/>
      <c r="S379" s="92"/>
      <c r="T379" s="92"/>
      <c r="U379" s="92"/>
      <c r="V379" s="52"/>
      <c r="W379" s="52"/>
      <c r="X379" s="52"/>
      <c r="Y379" s="52"/>
      <c r="Z379" s="51"/>
      <c r="AA379" s="73"/>
      <c r="AB379" s="73"/>
      <c r="AC379" s="74"/>
      <c r="AD379" s="80" t="s">
        <v>6961</v>
      </c>
      <c r="AE379" s="85" t="s">
        <v>8189</v>
      </c>
      <c r="AF379" s="80">
        <v>359</v>
      </c>
      <c r="AG379" s="80">
        <v>8</v>
      </c>
      <c r="AH379" s="80">
        <v>275</v>
      </c>
      <c r="AI379" s="80">
        <v>359</v>
      </c>
      <c r="AJ379" s="80"/>
      <c r="AK379" s="80"/>
      <c r="AL379" s="80" t="s">
        <v>10302</v>
      </c>
      <c r="AM379" s="80"/>
      <c r="AN379" s="80"/>
      <c r="AO379" s="82">
        <v>44382.275636574072</v>
      </c>
      <c r="AP379" s="87" t="str">
        <f>HYPERLINK("https://pbs.twimg.com/profile_banners/1411937065760018432/1631004387")</f>
        <v>https://pbs.twimg.com/profile_banners/1411937065760018432/1631004387</v>
      </c>
      <c r="AQ379" s="80" t="b">
        <v>1</v>
      </c>
      <c r="AR379" s="80" t="b">
        <v>0</v>
      </c>
      <c r="AS379" s="80" t="b">
        <v>0</v>
      </c>
      <c r="AT379" s="80"/>
      <c r="AU379" s="80">
        <v>0</v>
      </c>
      <c r="AV379" s="80"/>
      <c r="AW379" s="80" t="b">
        <v>0</v>
      </c>
      <c r="AX379" s="80" t="s">
        <v>10746</v>
      </c>
      <c r="AY379" s="87" t="str">
        <f>HYPERLINK("https://twitter.com/pascallen_")</f>
        <v>https://twitter.com/pascallen_</v>
      </c>
      <c r="AZ379" s="80" t="s">
        <v>66</v>
      </c>
      <c r="BA379" s="2"/>
      <c r="BB379" s="3"/>
      <c r="BC379" s="3"/>
      <c r="BD379" s="3"/>
      <c r="BE379" s="3"/>
    </row>
    <row r="380" spans="1:57" x14ac:dyDescent="0.35">
      <c r="A380" s="66" t="s">
        <v>1331</v>
      </c>
      <c r="B380" s="67"/>
      <c r="C380" s="67"/>
      <c r="D380" s="68"/>
      <c r="E380" s="70"/>
      <c r="F380" s="109" t="str">
        <f>HYPERLINK("https://pbs.twimg.com/profile_images/1311860648477822976/DimnhfFb_normal.jpg")</f>
        <v>https://pbs.twimg.com/profile_images/1311860648477822976/DimnhfFb_normal.jpg</v>
      </c>
      <c r="G380" s="67"/>
      <c r="H380" s="71"/>
      <c r="I380" s="72"/>
      <c r="J380" s="72"/>
      <c r="K380" s="71" t="s">
        <v>11123</v>
      </c>
      <c r="L380" s="75"/>
      <c r="M380" s="76"/>
      <c r="N380" s="76"/>
      <c r="O380" s="77"/>
      <c r="P380" s="78"/>
      <c r="Q380" s="78"/>
      <c r="R380" s="92"/>
      <c r="S380" s="92"/>
      <c r="T380" s="92"/>
      <c r="U380" s="92"/>
      <c r="V380" s="52"/>
      <c r="W380" s="52"/>
      <c r="X380" s="52"/>
      <c r="Y380" s="52"/>
      <c r="Z380" s="51"/>
      <c r="AA380" s="73"/>
      <c r="AB380" s="73"/>
      <c r="AC380" s="74"/>
      <c r="AD380" s="80" t="s">
        <v>6962</v>
      </c>
      <c r="AE380" s="85" t="s">
        <v>8190</v>
      </c>
      <c r="AF380" s="80">
        <v>165</v>
      </c>
      <c r="AG380" s="80">
        <v>920666</v>
      </c>
      <c r="AH380" s="80">
        <v>596553</v>
      </c>
      <c r="AI380" s="80">
        <v>809</v>
      </c>
      <c r="AJ380" s="80"/>
      <c r="AK380" s="80" t="s">
        <v>9290</v>
      </c>
      <c r="AL380" s="80" t="s">
        <v>10303</v>
      </c>
      <c r="AM380" s="87" t="str">
        <f>HYPERLINK("http://t.co/voABXY97pI")</f>
        <v>http://t.co/voABXY97pI</v>
      </c>
      <c r="AN380" s="80"/>
      <c r="AO380" s="82">
        <v>40749.364212962966</v>
      </c>
      <c r="AP380" s="87" t="str">
        <f>HYPERLINK("https://pbs.twimg.com/profile_banners/341987176/1614398669")</f>
        <v>https://pbs.twimg.com/profile_banners/341987176/1614398669</v>
      </c>
      <c r="AQ380" s="80" t="b">
        <v>0</v>
      </c>
      <c r="AR380" s="80" t="b">
        <v>0</v>
      </c>
      <c r="AS380" s="80" t="b">
        <v>1</v>
      </c>
      <c r="AT380" s="80"/>
      <c r="AU380" s="80">
        <v>879</v>
      </c>
      <c r="AV380" s="87" t="str">
        <f>HYPERLINK("https://abs.twimg.com/images/themes/theme1/bg.png")</f>
        <v>https://abs.twimg.com/images/themes/theme1/bg.png</v>
      </c>
      <c r="AW380" s="80" t="b">
        <v>1</v>
      </c>
      <c r="AX380" s="80" t="s">
        <v>10746</v>
      </c>
      <c r="AY380" s="87" t="str">
        <f>HYPERLINK("https://twitter.com/commuterline")</f>
        <v>https://twitter.com/commuterline</v>
      </c>
      <c r="AZ380" s="80" t="s">
        <v>65</v>
      </c>
      <c r="BA380" s="2"/>
      <c r="BB380" s="3"/>
      <c r="BC380" s="3"/>
      <c r="BD380" s="3"/>
      <c r="BE380" s="3"/>
    </row>
    <row r="381" spans="1:57" x14ac:dyDescent="0.35">
      <c r="A381" s="66" t="s">
        <v>1332</v>
      </c>
      <c r="B381" s="67"/>
      <c r="C381" s="67"/>
      <c r="D381" s="68"/>
      <c r="E381" s="70"/>
      <c r="F381" s="109" t="str">
        <f>HYPERLINK("https://pbs.twimg.com/profile_images/1139580216089567232/tb-gzrLq_normal.jpg")</f>
        <v>https://pbs.twimg.com/profile_images/1139580216089567232/tb-gzrLq_normal.jpg</v>
      </c>
      <c r="G381" s="67"/>
      <c r="H381" s="71"/>
      <c r="I381" s="72"/>
      <c r="J381" s="72"/>
      <c r="K381" s="71" t="s">
        <v>11124</v>
      </c>
      <c r="L381" s="75"/>
      <c r="M381" s="76"/>
      <c r="N381" s="76"/>
      <c r="O381" s="77"/>
      <c r="P381" s="78"/>
      <c r="Q381" s="78"/>
      <c r="R381" s="92"/>
      <c r="S381" s="92"/>
      <c r="T381" s="92"/>
      <c r="U381" s="92"/>
      <c r="V381" s="52"/>
      <c r="W381" s="52"/>
      <c r="X381" s="52"/>
      <c r="Y381" s="52"/>
      <c r="Z381" s="51"/>
      <c r="AA381" s="73"/>
      <c r="AB381" s="73"/>
      <c r="AC381" s="74"/>
      <c r="AD381" s="80" t="s">
        <v>6963</v>
      </c>
      <c r="AE381" s="85" t="s">
        <v>6297</v>
      </c>
      <c r="AF381" s="80">
        <v>277</v>
      </c>
      <c r="AG381" s="80">
        <v>310</v>
      </c>
      <c r="AH381" s="80">
        <v>11834</v>
      </c>
      <c r="AI381" s="80">
        <v>836</v>
      </c>
      <c r="AJ381" s="80"/>
      <c r="AK381" s="80" t="s">
        <v>9291</v>
      </c>
      <c r="AL381" s="80"/>
      <c r="AM381" s="80"/>
      <c r="AN381" s="80"/>
      <c r="AO381" s="82">
        <v>40122.343043981484</v>
      </c>
      <c r="AP381" s="87" t="str">
        <f>HYPERLINK("https://pbs.twimg.com/profile_banners/87642738/1349666224")</f>
        <v>https://pbs.twimg.com/profile_banners/87642738/1349666224</v>
      </c>
      <c r="AQ381" s="80" t="b">
        <v>0</v>
      </c>
      <c r="AR381" s="80" t="b">
        <v>0</v>
      </c>
      <c r="AS381" s="80" t="b">
        <v>1</v>
      </c>
      <c r="AT381" s="80"/>
      <c r="AU381" s="80">
        <v>0</v>
      </c>
      <c r="AV381" s="87" t="str">
        <f>HYPERLINK("https://abs.twimg.com/images/themes/theme1/bg.png")</f>
        <v>https://abs.twimg.com/images/themes/theme1/bg.png</v>
      </c>
      <c r="AW381" s="80" t="b">
        <v>0</v>
      </c>
      <c r="AX381" s="80" t="s">
        <v>10746</v>
      </c>
      <c r="AY381" s="87" t="str">
        <f>HYPERLINK("https://twitter.com/scralachtica")</f>
        <v>https://twitter.com/scralachtica</v>
      </c>
      <c r="AZ381" s="80" t="s">
        <v>65</v>
      </c>
      <c r="BA381" s="2"/>
      <c r="BB381" s="3"/>
      <c r="BC381" s="3"/>
      <c r="BD381" s="3"/>
      <c r="BE381" s="3"/>
    </row>
    <row r="382" spans="1:57" x14ac:dyDescent="0.35">
      <c r="A382" s="66" t="s">
        <v>525</v>
      </c>
      <c r="B382" s="67"/>
      <c r="C382" s="67"/>
      <c r="D382" s="68"/>
      <c r="E382" s="70"/>
      <c r="F382" s="109" t="str">
        <f>HYPERLINK("https://pbs.twimg.com/profile_images/1438795647906316290/nkDUnHiV_normal.jpg")</f>
        <v>https://pbs.twimg.com/profile_images/1438795647906316290/nkDUnHiV_normal.jpg</v>
      </c>
      <c r="G382" s="67"/>
      <c r="H382" s="71"/>
      <c r="I382" s="72"/>
      <c r="J382" s="72"/>
      <c r="K382" s="71" t="s">
        <v>11125</v>
      </c>
      <c r="L382" s="75"/>
      <c r="M382" s="76"/>
      <c r="N382" s="76"/>
      <c r="O382" s="77"/>
      <c r="P382" s="78"/>
      <c r="Q382" s="78"/>
      <c r="R382" s="92"/>
      <c r="S382" s="92"/>
      <c r="T382" s="92"/>
      <c r="U382" s="92"/>
      <c r="V382" s="52"/>
      <c r="W382" s="52"/>
      <c r="X382" s="52"/>
      <c r="Y382" s="52"/>
      <c r="Z382" s="51"/>
      <c r="AA382" s="73"/>
      <c r="AB382" s="73"/>
      <c r="AC382" s="74"/>
      <c r="AD382" s="80" t="s">
        <v>6964</v>
      </c>
      <c r="AE382" s="85" t="s">
        <v>8191</v>
      </c>
      <c r="AF382" s="80">
        <v>701</v>
      </c>
      <c r="AG382" s="80">
        <v>1111</v>
      </c>
      <c r="AH382" s="80">
        <v>80255</v>
      </c>
      <c r="AI382" s="80">
        <v>2306</v>
      </c>
      <c r="AJ382" s="80"/>
      <c r="AK382" s="80" t="s">
        <v>9292</v>
      </c>
      <c r="AL382" s="80" t="s">
        <v>10304</v>
      </c>
      <c r="AM382" s="87" t="str">
        <f>HYPERLINK("https://t.co/Oa2t5Vnhd9")</f>
        <v>https://t.co/Oa2t5Vnhd9</v>
      </c>
      <c r="AN382" s="80"/>
      <c r="AO382" s="82">
        <v>40308.244988425926</v>
      </c>
      <c r="AP382" s="87" t="str">
        <f>HYPERLINK("https://pbs.twimg.com/profile_banners/142183390/1564368549")</f>
        <v>https://pbs.twimg.com/profile_banners/142183390/1564368549</v>
      </c>
      <c r="AQ382" s="80" t="b">
        <v>0</v>
      </c>
      <c r="AR382" s="80" t="b">
        <v>0</v>
      </c>
      <c r="AS382" s="80" t="b">
        <v>1</v>
      </c>
      <c r="AT382" s="80"/>
      <c r="AU382" s="80">
        <v>7</v>
      </c>
      <c r="AV382" s="87" t="str">
        <f>HYPERLINK("https://abs.twimg.com/images/themes/theme1/bg.png")</f>
        <v>https://abs.twimg.com/images/themes/theme1/bg.png</v>
      </c>
      <c r="AW382" s="80" t="b">
        <v>0</v>
      </c>
      <c r="AX382" s="80" t="s">
        <v>10746</v>
      </c>
      <c r="AY382" s="87" t="str">
        <f>HYPERLINK("https://twitter.com/rizkamarhani")</f>
        <v>https://twitter.com/rizkamarhani</v>
      </c>
      <c r="AZ382" s="80" t="s">
        <v>66</v>
      </c>
      <c r="BA382" s="2"/>
      <c r="BB382" s="3"/>
      <c r="BC382" s="3"/>
      <c r="BD382" s="3"/>
      <c r="BE382" s="3"/>
    </row>
    <row r="383" spans="1:57" x14ac:dyDescent="0.35">
      <c r="A383" s="66" t="s">
        <v>1232</v>
      </c>
      <c r="B383" s="67"/>
      <c r="C383" s="67"/>
      <c r="D383" s="68"/>
      <c r="E383" s="70"/>
      <c r="F383" s="109" t="str">
        <f>HYPERLINK("https://pbs.twimg.com/profile_images/813703989061558273/pSVNdrgA_normal.jpg")</f>
        <v>https://pbs.twimg.com/profile_images/813703989061558273/pSVNdrgA_normal.jpg</v>
      </c>
      <c r="G383" s="67"/>
      <c r="H383" s="71"/>
      <c r="I383" s="72"/>
      <c r="J383" s="72"/>
      <c r="K383" s="71" t="s">
        <v>11126</v>
      </c>
      <c r="L383" s="75"/>
      <c r="M383" s="76"/>
      <c r="N383" s="76"/>
      <c r="O383" s="77"/>
      <c r="P383" s="78"/>
      <c r="Q383" s="78"/>
      <c r="R383" s="92"/>
      <c r="S383" s="92"/>
      <c r="T383" s="92"/>
      <c r="U383" s="92"/>
      <c r="V383" s="52"/>
      <c r="W383" s="52"/>
      <c r="X383" s="52"/>
      <c r="Y383" s="52"/>
      <c r="Z383" s="51"/>
      <c r="AA383" s="73"/>
      <c r="AB383" s="73"/>
      <c r="AC383" s="74"/>
      <c r="AD383" s="80" t="s">
        <v>6965</v>
      </c>
      <c r="AE383" s="85" t="s">
        <v>6352</v>
      </c>
      <c r="AF383" s="80">
        <v>61</v>
      </c>
      <c r="AG383" s="80">
        <v>19147</v>
      </c>
      <c r="AH383" s="80">
        <v>46693</v>
      </c>
      <c r="AI383" s="80">
        <v>671</v>
      </c>
      <c r="AJ383" s="80"/>
      <c r="AK383" s="80" t="s">
        <v>9293</v>
      </c>
      <c r="AL383" s="80" t="s">
        <v>10159</v>
      </c>
      <c r="AM383" s="87" t="str">
        <f>HYPERLINK("https://t.co/GrrnTkZJP2")</f>
        <v>https://t.co/GrrnTkZJP2</v>
      </c>
      <c r="AN383" s="80"/>
      <c r="AO383" s="82">
        <v>41899.337453703702</v>
      </c>
      <c r="AP383" s="87" t="str">
        <f>HYPERLINK("https://pbs.twimg.com/profile_banners/2814445920/1507606905")</f>
        <v>https://pbs.twimg.com/profile_banners/2814445920/1507606905</v>
      </c>
      <c r="AQ383" s="80" t="b">
        <v>0</v>
      </c>
      <c r="AR383" s="80" t="b">
        <v>0</v>
      </c>
      <c r="AS383" s="80" t="b">
        <v>1</v>
      </c>
      <c r="AT383" s="80"/>
      <c r="AU383" s="80">
        <v>18</v>
      </c>
      <c r="AV383" s="87" t="str">
        <f>HYPERLINK("https://abs.twimg.com/images/themes/theme1/bg.png")</f>
        <v>https://abs.twimg.com/images/themes/theme1/bg.png</v>
      </c>
      <c r="AW383" s="80" t="b">
        <v>1</v>
      </c>
      <c r="AX383" s="80" t="s">
        <v>10746</v>
      </c>
      <c r="AY383" s="87" t="str">
        <f>HYPERLINK("https://twitter.com/bravobeacukai")</f>
        <v>https://twitter.com/bravobeacukai</v>
      </c>
      <c r="AZ383" s="80" t="s">
        <v>66</v>
      </c>
      <c r="BA383" s="2"/>
      <c r="BB383" s="3"/>
      <c r="BC383" s="3"/>
      <c r="BD383" s="3"/>
      <c r="BE383" s="3"/>
    </row>
    <row r="384" spans="1:57" x14ac:dyDescent="0.35">
      <c r="A384" s="66" t="s">
        <v>527</v>
      </c>
      <c r="B384" s="67"/>
      <c r="C384" s="67"/>
      <c r="D384" s="68"/>
      <c r="E384" s="70"/>
      <c r="F384" s="109" t="str">
        <f>HYPERLINK("https://pbs.twimg.com/profile_images/1421721993095884801/vsZiLpXf_normal.jpg")</f>
        <v>https://pbs.twimg.com/profile_images/1421721993095884801/vsZiLpXf_normal.jpg</v>
      </c>
      <c r="G384" s="67"/>
      <c r="H384" s="71"/>
      <c r="I384" s="72"/>
      <c r="J384" s="72"/>
      <c r="K384" s="71" t="s">
        <v>11127</v>
      </c>
      <c r="L384" s="75"/>
      <c r="M384" s="76"/>
      <c r="N384" s="76"/>
      <c r="O384" s="77"/>
      <c r="P384" s="78"/>
      <c r="Q384" s="78"/>
      <c r="R384" s="92"/>
      <c r="S384" s="92"/>
      <c r="T384" s="92"/>
      <c r="U384" s="92"/>
      <c r="V384" s="52"/>
      <c r="W384" s="52"/>
      <c r="X384" s="52"/>
      <c r="Y384" s="52"/>
      <c r="Z384" s="51"/>
      <c r="AA384" s="73"/>
      <c r="AB384" s="73"/>
      <c r="AC384" s="74"/>
      <c r="AD384" s="80" t="s">
        <v>6966</v>
      </c>
      <c r="AE384" s="85" t="s">
        <v>8192</v>
      </c>
      <c r="AF384" s="80">
        <v>151</v>
      </c>
      <c r="AG384" s="80">
        <v>12</v>
      </c>
      <c r="AH384" s="80">
        <v>152</v>
      </c>
      <c r="AI384" s="80">
        <v>144</v>
      </c>
      <c r="AJ384" s="80"/>
      <c r="AK384" s="80" t="s">
        <v>9294</v>
      </c>
      <c r="AL384" s="80"/>
      <c r="AM384" s="80"/>
      <c r="AN384" s="80"/>
      <c r="AO384" s="82">
        <v>44409.276041666664</v>
      </c>
      <c r="AP384" s="80"/>
      <c r="AQ384" s="80" t="b">
        <v>1</v>
      </c>
      <c r="AR384" s="80" t="b">
        <v>0</v>
      </c>
      <c r="AS384" s="80" t="b">
        <v>0</v>
      </c>
      <c r="AT384" s="80"/>
      <c r="AU384" s="80">
        <v>0</v>
      </c>
      <c r="AV384" s="80"/>
      <c r="AW384" s="80" t="b">
        <v>0</v>
      </c>
      <c r="AX384" s="80" t="s">
        <v>10746</v>
      </c>
      <c r="AY384" s="87" t="str">
        <f>HYPERLINK("https://twitter.com/bagheli1plus")</f>
        <v>https://twitter.com/bagheli1plus</v>
      </c>
      <c r="AZ384" s="80" t="s">
        <v>66</v>
      </c>
      <c r="BA384" s="2"/>
      <c r="BB384" s="3"/>
      <c r="BC384" s="3"/>
      <c r="BD384" s="3"/>
      <c r="BE384" s="3"/>
    </row>
    <row r="385" spans="1:57" x14ac:dyDescent="0.35">
      <c r="A385" s="66" t="s">
        <v>528</v>
      </c>
      <c r="B385" s="67"/>
      <c r="C385" s="67"/>
      <c r="D385" s="68"/>
      <c r="E385" s="70"/>
      <c r="F385" s="109" t="str">
        <f>HYPERLINK("https://pbs.twimg.com/profile_images/1191707766848512002/-GjAs2NV_normal.jpg")</f>
        <v>https://pbs.twimg.com/profile_images/1191707766848512002/-GjAs2NV_normal.jpg</v>
      </c>
      <c r="G385" s="67"/>
      <c r="H385" s="71"/>
      <c r="I385" s="72"/>
      <c r="J385" s="72"/>
      <c r="K385" s="71" t="s">
        <v>11128</v>
      </c>
      <c r="L385" s="75"/>
      <c r="M385" s="76"/>
      <c r="N385" s="76"/>
      <c r="O385" s="77"/>
      <c r="P385" s="78"/>
      <c r="Q385" s="78"/>
      <c r="R385" s="92"/>
      <c r="S385" s="92"/>
      <c r="T385" s="92"/>
      <c r="U385" s="92"/>
      <c r="V385" s="52"/>
      <c r="W385" s="52"/>
      <c r="X385" s="52"/>
      <c r="Y385" s="52"/>
      <c r="Z385" s="51"/>
      <c r="AA385" s="73"/>
      <c r="AB385" s="73"/>
      <c r="AC385" s="74"/>
      <c r="AD385" s="80" t="s">
        <v>6967</v>
      </c>
      <c r="AE385" s="85" t="s">
        <v>8193</v>
      </c>
      <c r="AF385" s="80">
        <v>169</v>
      </c>
      <c r="AG385" s="80">
        <v>200</v>
      </c>
      <c r="AH385" s="80">
        <v>51230</v>
      </c>
      <c r="AI385" s="80">
        <v>3959</v>
      </c>
      <c r="AJ385" s="80"/>
      <c r="AK385" s="80" t="s">
        <v>9295</v>
      </c>
      <c r="AL385" s="80"/>
      <c r="AM385" s="80"/>
      <c r="AN385" s="80"/>
      <c r="AO385" s="82">
        <v>40846.555451388886</v>
      </c>
      <c r="AP385" s="87" t="str">
        <f>HYPERLINK("https://pbs.twimg.com/profile_banners/401380641/1573399847")</f>
        <v>https://pbs.twimg.com/profile_banners/401380641/1573399847</v>
      </c>
      <c r="AQ385" s="80" t="b">
        <v>0</v>
      </c>
      <c r="AR385" s="80" t="b">
        <v>0</v>
      </c>
      <c r="AS385" s="80" t="b">
        <v>1</v>
      </c>
      <c r="AT385" s="80"/>
      <c r="AU385" s="80">
        <v>2</v>
      </c>
      <c r="AV385" s="87" t="str">
        <f>HYPERLINK("https://abs.twimg.com/images/themes/theme2/bg.gif")</f>
        <v>https://abs.twimg.com/images/themes/theme2/bg.gif</v>
      </c>
      <c r="AW385" s="80" t="b">
        <v>0</v>
      </c>
      <c r="AX385" s="80" t="s">
        <v>10746</v>
      </c>
      <c r="AY385" s="87" t="str">
        <f>HYPERLINK("https://twitter.com/anaknda_")</f>
        <v>https://twitter.com/anaknda_</v>
      </c>
      <c r="AZ385" s="80" t="s">
        <v>66</v>
      </c>
      <c r="BA385" s="2"/>
      <c r="BB385" s="3"/>
      <c r="BC385" s="3"/>
      <c r="BD385" s="3"/>
      <c r="BE385" s="3"/>
    </row>
    <row r="386" spans="1:57" x14ac:dyDescent="0.35">
      <c r="A386" s="66" t="s">
        <v>1333</v>
      </c>
      <c r="B386" s="67"/>
      <c r="C386" s="67"/>
      <c r="D386" s="68"/>
      <c r="E386" s="70"/>
      <c r="F386" s="109" t="str">
        <f>HYPERLINK("https://pbs.twimg.com/profile_images/685695816242036737/KqYH5Z36_normal.jpg")</f>
        <v>https://pbs.twimg.com/profile_images/685695816242036737/KqYH5Z36_normal.jpg</v>
      </c>
      <c r="G386" s="67"/>
      <c r="H386" s="71"/>
      <c r="I386" s="72"/>
      <c r="J386" s="72"/>
      <c r="K386" s="71" t="s">
        <v>11129</v>
      </c>
      <c r="L386" s="75"/>
      <c r="M386" s="76"/>
      <c r="N386" s="76"/>
      <c r="O386" s="77"/>
      <c r="P386" s="78"/>
      <c r="Q386" s="78"/>
      <c r="R386" s="92"/>
      <c r="S386" s="92"/>
      <c r="T386" s="92"/>
      <c r="U386" s="92"/>
      <c r="V386" s="52"/>
      <c r="W386" s="52"/>
      <c r="X386" s="52"/>
      <c r="Y386" s="52"/>
      <c r="Z386" s="51"/>
      <c r="AA386" s="73"/>
      <c r="AB386" s="73"/>
      <c r="AC386" s="74"/>
      <c r="AD386" s="80" t="s">
        <v>6968</v>
      </c>
      <c r="AE386" s="85" t="s">
        <v>6298</v>
      </c>
      <c r="AF386" s="80">
        <v>517</v>
      </c>
      <c r="AG386" s="80">
        <v>235</v>
      </c>
      <c r="AH386" s="80">
        <v>21323</v>
      </c>
      <c r="AI386" s="80">
        <v>1294</v>
      </c>
      <c r="AJ386" s="80"/>
      <c r="AK386" s="80" t="s">
        <v>9296</v>
      </c>
      <c r="AL386" s="80" t="s">
        <v>10305</v>
      </c>
      <c r="AM386" s="80"/>
      <c r="AN386" s="80"/>
      <c r="AO386" s="82">
        <v>41114.356759259259</v>
      </c>
      <c r="AP386" s="87" t="str">
        <f>HYPERLINK("https://pbs.twimg.com/profile_banners/713944844/1529366192")</f>
        <v>https://pbs.twimg.com/profile_banners/713944844/1529366192</v>
      </c>
      <c r="AQ386" s="80" t="b">
        <v>0</v>
      </c>
      <c r="AR386" s="80" t="b">
        <v>0</v>
      </c>
      <c r="AS386" s="80" t="b">
        <v>1</v>
      </c>
      <c r="AT386" s="80"/>
      <c r="AU386" s="80">
        <v>1</v>
      </c>
      <c r="AV386" s="87" t="str">
        <f>HYPERLINK("https://abs.twimg.com/images/themes/theme1/bg.png")</f>
        <v>https://abs.twimg.com/images/themes/theme1/bg.png</v>
      </c>
      <c r="AW386" s="80" t="b">
        <v>0</v>
      </c>
      <c r="AX386" s="80" t="s">
        <v>10746</v>
      </c>
      <c r="AY386" s="87" t="str">
        <f>HYPERLINK("https://twitter.com/kasihrindu19")</f>
        <v>https://twitter.com/kasihrindu19</v>
      </c>
      <c r="AZ386" s="80" t="s">
        <v>65</v>
      </c>
      <c r="BA386" s="2"/>
      <c r="BB386" s="3"/>
      <c r="BC386" s="3"/>
      <c r="BD386" s="3"/>
      <c r="BE386" s="3"/>
    </row>
    <row r="387" spans="1:57" x14ac:dyDescent="0.35">
      <c r="A387" s="66" t="s">
        <v>529</v>
      </c>
      <c r="B387" s="67"/>
      <c r="C387" s="67"/>
      <c r="D387" s="68"/>
      <c r="E387" s="70"/>
      <c r="F387" s="109" t="str">
        <f>HYPERLINK("https://pbs.twimg.com/profile_images/1440703588666273799/IjXNrpvZ_normal.jpg")</f>
        <v>https://pbs.twimg.com/profile_images/1440703588666273799/IjXNrpvZ_normal.jpg</v>
      </c>
      <c r="G387" s="67"/>
      <c r="H387" s="71"/>
      <c r="I387" s="72"/>
      <c r="J387" s="72"/>
      <c r="K387" s="71" t="s">
        <v>11130</v>
      </c>
      <c r="L387" s="75"/>
      <c r="M387" s="76"/>
      <c r="N387" s="76"/>
      <c r="O387" s="77"/>
      <c r="P387" s="78"/>
      <c r="Q387" s="78"/>
      <c r="R387" s="92"/>
      <c r="S387" s="92"/>
      <c r="T387" s="92"/>
      <c r="U387" s="92"/>
      <c r="V387" s="52"/>
      <c r="W387" s="52"/>
      <c r="X387" s="52"/>
      <c r="Y387" s="52"/>
      <c r="Z387" s="51"/>
      <c r="AA387" s="73"/>
      <c r="AB387" s="73"/>
      <c r="AC387" s="74"/>
      <c r="AD387" s="80" t="s">
        <v>6969</v>
      </c>
      <c r="AE387" s="85" t="s">
        <v>8194</v>
      </c>
      <c r="AF387" s="80">
        <v>214</v>
      </c>
      <c r="AG387" s="80">
        <v>97</v>
      </c>
      <c r="AH387" s="80">
        <v>1452</v>
      </c>
      <c r="AI387" s="80">
        <v>465</v>
      </c>
      <c r="AJ387" s="80"/>
      <c r="AK387" s="80" t="s">
        <v>9297</v>
      </c>
      <c r="AL387" s="80"/>
      <c r="AM387" s="80"/>
      <c r="AN387" s="80"/>
      <c r="AO387" s="82">
        <v>44326.582789351851</v>
      </c>
      <c r="AP387" s="87" t="str">
        <f>HYPERLINK("https://pbs.twimg.com/profile_banners/1391754636814557190/1631006778")</f>
        <v>https://pbs.twimg.com/profile_banners/1391754636814557190/1631006778</v>
      </c>
      <c r="AQ387" s="80" t="b">
        <v>1</v>
      </c>
      <c r="AR387" s="80" t="b">
        <v>0</v>
      </c>
      <c r="AS387" s="80" t="b">
        <v>0</v>
      </c>
      <c r="AT387" s="80"/>
      <c r="AU387" s="80">
        <v>0</v>
      </c>
      <c r="AV387" s="80"/>
      <c r="AW387" s="80" t="b">
        <v>0</v>
      </c>
      <c r="AX387" s="80" t="s">
        <v>10746</v>
      </c>
      <c r="AY387" s="87" t="str">
        <f>HYPERLINK("https://twitter.com/greysavyor")</f>
        <v>https://twitter.com/greysavyor</v>
      </c>
      <c r="AZ387" s="80" t="s">
        <v>66</v>
      </c>
      <c r="BA387" s="2"/>
      <c r="BB387" s="3"/>
      <c r="BC387" s="3"/>
      <c r="BD387" s="3"/>
      <c r="BE387" s="3"/>
    </row>
    <row r="388" spans="1:57" x14ac:dyDescent="0.35">
      <c r="A388" s="66" t="s">
        <v>530</v>
      </c>
      <c r="B388" s="67"/>
      <c r="C388" s="67"/>
      <c r="D388" s="68"/>
      <c r="E388" s="70"/>
      <c r="F388" s="109" t="str">
        <f>HYPERLINK("https://pbs.twimg.com/profile_images/1269732246442831872/AKI4IE96_normal.jpg")</f>
        <v>https://pbs.twimg.com/profile_images/1269732246442831872/AKI4IE96_normal.jpg</v>
      </c>
      <c r="G388" s="67"/>
      <c r="H388" s="71"/>
      <c r="I388" s="72"/>
      <c r="J388" s="72"/>
      <c r="K388" s="71" t="s">
        <v>11131</v>
      </c>
      <c r="L388" s="75"/>
      <c r="M388" s="76"/>
      <c r="N388" s="76"/>
      <c r="O388" s="77"/>
      <c r="P388" s="78"/>
      <c r="Q388" s="78"/>
      <c r="R388" s="92"/>
      <c r="S388" s="92"/>
      <c r="T388" s="92"/>
      <c r="U388" s="92"/>
      <c r="V388" s="52"/>
      <c r="W388" s="52"/>
      <c r="X388" s="52"/>
      <c r="Y388" s="52"/>
      <c r="Z388" s="51"/>
      <c r="AA388" s="73"/>
      <c r="AB388" s="73"/>
      <c r="AC388" s="74"/>
      <c r="AD388" s="80" t="s">
        <v>6970</v>
      </c>
      <c r="AE388" s="85" t="s">
        <v>8195</v>
      </c>
      <c r="AF388" s="80">
        <v>72</v>
      </c>
      <c r="AG388" s="80">
        <v>8</v>
      </c>
      <c r="AH388" s="80">
        <v>421</v>
      </c>
      <c r="AI388" s="80">
        <v>1509</v>
      </c>
      <c r="AJ388" s="80"/>
      <c r="AK388" s="80"/>
      <c r="AL388" s="80" t="s">
        <v>10306</v>
      </c>
      <c r="AM388" s="80"/>
      <c r="AN388" s="80"/>
      <c r="AO388" s="82">
        <v>43662.567430555559</v>
      </c>
      <c r="AP388" s="87" t="str">
        <f>HYPERLINK("https://pbs.twimg.com/profile_banners/1151123595273228288/1591562734")</f>
        <v>https://pbs.twimg.com/profile_banners/1151123595273228288/1591562734</v>
      </c>
      <c r="AQ388" s="80" t="b">
        <v>1</v>
      </c>
      <c r="AR388" s="80" t="b">
        <v>0</v>
      </c>
      <c r="AS388" s="80" t="b">
        <v>0</v>
      </c>
      <c r="AT388" s="80"/>
      <c r="AU388" s="80">
        <v>0</v>
      </c>
      <c r="AV388" s="80"/>
      <c r="AW388" s="80" t="b">
        <v>0</v>
      </c>
      <c r="AX388" s="80" t="s">
        <v>10746</v>
      </c>
      <c r="AY388" s="87" t="str">
        <f>HYPERLINK("https://twitter.com/yuuutzh_")</f>
        <v>https://twitter.com/yuuutzh_</v>
      </c>
      <c r="AZ388" s="80" t="s">
        <v>66</v>
      </c>
      <c r="BA388" s="2"/>
      <c r="BB388" s="3"/>
      <c r="BC388" s="3"/>
      <c r="BD388" s="3"/>
      <c r="BE388" s="3"/>
    </row>
    <row r="389" spans="1:57" x14ac:dyDescent="0.35">
      <c r="A389" s="66" t="s">
        <v>1334</v>
      </c>
      <c r="B389" s="67"/>
      <c r="C389" s="67"/>
      <c r="D389" s="68"/>
      <c r="E389" s="70"/>
      <c r="F389" s="109" t="str">
        <f>HYPERLINK("https://pbs.twimg.com/profile_images/1430156205905760259/sPWKaq4q_normal.jpg")</f>
        <v>https://pbs.twimg.com/profile_images/1430156205905760259/sPWKaq4q_normal.jpg</v>
      </c>
      <c r="G389" s="67"/>
      <c r="H389" s="71"/>
      <c r="I389" s="72"/>
      <c r="J389" s="72"/>
      <c r="K389" s="71" t="s">
        <v>11132</v>
      </c>
      <c r="L389" s="75"/>
      <c r="M389" s="76"/>
      <c r="N389" s="76"/>
      <c r="O389" s="77"/>
      <c r="P389" s="78"/>
      <c r="Q389" s="78"/>
      <c r="R389" s="92"/>
      <c r="S389" s="92"/>
      <c r="T389" s="92"/>
      <c r="U389" s="92"/>
      <c r="V389" s="52"/>
      <c r="W389" s="52"/>
      <c r="X389" s="52"/>
      <c r="Y389" s="52"/>
      <c r="Z389" s="51"/>
      <c r="AA389" s="73"/>
      <c r="AB389" s="73"/>
      <c r="AC389" s="74"/>
      <c r="AD389" s="80" t="s">
        <v>6971</v>
      </c>
      <c r="AE389" s="85" t="s">
        <v>6299</v>
      </c>
      <c r="AF389" s="80">
        <v>4179</v>
      </c>
      <c r="AG389" s="80">
        <v>57019</v>
      </c>
      <c r="AH389" s="80">
        <v>663770</v>
      </c>
      <c r="AI389" s="80">
        <v>327</v>
      </c>
      <c r="AJ389" s="80"/>
      <c r="AK389" s="80" t="s">
        <v>9298</v>
      </c>
      <c r="AL389" s="80" t="s">
        <v>10307</v>
      </c>
      <c r="AM389" s="87" t="str">
        <f>HYPERLINK("https://t.co/IcU38VCL9c")</f>
        <v>https://t.co/IcU38VCL9c</v>
      </c>
      <c r="AN389" s="80"/>
      <c r="AO389" s="82">
        <v>41101.599699074075</v>
      </c>
      <c r="AP389" s="87" t="str">
        <f>HYPERLINK("https://pbs.twimg.com/profile_banners/633016230/1604105464")</f>
        <v>https://pbs.twimg.com/profile_banners/633016230/1604105464</v>
      </c>
      <c r="AQ389" s="80" t="b">
        <v>0</v>
      </c>
      <c r="AR389" s="80" t="b">
        <v>0</v>
      </c>
      <c r="AS389" s="80" t="b">
        <v>0</v>
      </c>
      <c r="AT389" s="80"/>
      <c r="AU389" s="80">
        <v>917</v>
      </c>
      <c r="AV389" s="87" t="str">
        <f>HYPERLINK("https://abs.twimg.com/images/themes/theme1/bg.png")</f>
        <v>https://abs.twimg.com/images/themes/theme1/bg.png</v>
      </c>
      <c r="AW389" s="80" t="b">
        <v>0</v>
      </c>
      <c r="AX389" s="80" t="s">
        <v>10746</v>
      </c>
      <c r="AY389" s="87" t="str">
        <f>HYPERLINK("https://twitter.com/sellkpopfess")</f>
        <v>https://twitter.com/sellkpopfess</v>
      </c>
      <c r="AZ389" s="80" t="s">
        <v>65</v>
      </c>
      <c r="BA389" s="2"/>
      <c r="BB389" s="3"/>
      <c r="BC389" s="3"/>
      <c r="BD389" s="3"/>
      <c r="BE389" s="3"/>
    </row>
    <row r="390" spans="1:57" x14ac:dyDescent="0.35">
      <c r="A390" s="66" t="s">
        <v>531</v>
      </c>
      <c r="B390" s="67"/>
      <c r="C390" s="67"/>
      <c r="D390" s="68"/>
      <c r="E390" s="70"/>
      <c r="F390" s="109" t="str">
        <f>HYPERLINK("https://pbs.twimg.com/profile_images/1431887189818834948/9es9lwcr_normal.jpg")</f>
        <v>https://pbs.twimg.com/profile_images/1431887189818834948/9es9lwcr_normal.jpg</v>
      </c>
      <c r="G390" s="67"/>
      <c r="H390" s="71"/>
      <c r="I390" s="72"/>
      <c r="J390" s="72"/>
      <c r="K390" s="71" t="s">
        <v>11133</v>
      </c>
      <c r="L390" s="75"/>
      <c r="M390" s="76"/>
      <c r="N390" s="76"/>
      <c r="O390" s="77"/>
      <c r="P390" s="78"/>
      <c r="Q390" s="78"/>
      <c r="R390" s="92"/>
      <c r="S390" s="92"/>
      <c r="T390" s="92"/>
      <c r="U390" s="92"/>
      <c r="V390" s="52"/>
      <c r="W390" s="52"/>
      <c r="X390" s="52"/>
      <c r="Y390" s="52"/>
      <c r="Z390" s="51"/>
      <c r="AA390" s="73"/>
      <c r="AB390" s="73"/>
      <c r="AC390" s="74"/>
      <c r="AD390" s="80" t="s">
        <v>6972</v>
      </c>
      <c r="AE390" s="85" t="s">
        <v>8196</v>
      </c>
      <c r="AF390" s="80">
        <v>401</v>
      </c>
      <c r="AG390" s="80">
        <v>5980</v>
      </c>
      <c r="AH390" s="80">
        <v>18836</v>
      </c>
      <c r="AI390" s="80">
        <v>11331</v>
      </c>
      <c r="AJ390" s="80"/>
      <c r="AK390" s="80" t="s">
        <v>9299</v>
      </c>
      <c r="AL390" s="80" t="s">
        <v>10308</v>
      </c>
      <c r="AM390" s="80"/>
      <c r="AN390" s="80"/>
      <c r="AO390" s="82">
        <v>43897.686018518521</v>
      </c>
      <c r="AP390" s="87" t="str">
        <f>HYPERLINK("https://pbs.twimg.com/profile_banners/1236327683513974786/1630606300")</f>
        <v>https://pbs.twimg.com/profile_banners/1236327683513974786/1630606300</v>
      </c>
      <c r="AQ390" s="80" t="b">
        <v>1</v>
      </c>
      <c r="AR390" s="80" t="b">
        <v>0</v>
      </c>
      <c r="AS390" s="80" t="b">
        <v>1</v>
      </c>
      <c r="AT390" s="80"/>
      <c r="AU390" s="80">
        <v>1</v>
      </c>
      <c r="AV390" s="80"/>
      <c r="AW390" s="80" t="b">
        <v>0</v>
      </c>
      <c r="AX390" s="80" t="s">
        <v>10746</v>
      </c>
      <c r="AY390" s="87" t="str">
        <f>HYPERLINK("https://twitter.com/blvckalter")</f>
        <v>https://twitter.com/blvckalter</v>
      </c>
      <c r="AZ390" s="80" t="s">
        <v>66</v>
      </c>
      <c r="BA390" s="2"/>
      <c r="BB390" s="3"/>
      <c r="BC390" s="3"/>
      <c r="BD390" s="3"/>
      <c r="BE390" s="3"/>
    </row>
    <row r="391" spans="1:57" x14ac:dyDescent="0.35">
      <c r="A391" s="66" t="s">
        <v>1335</v>
      </c>
      <c r="B391" s="67"/>
      <c r="C391" s="67"/>
      <c r="D391" s="68"/>
      <c r="E391" s="70"/>
      <c r="F391" s="109" t="str">
        <f>HYPERLINK("https://pbs.twimg.com/profile_images/1201027799684792321/ttD7qwNb_normal.jpg")</f>
        <v>https://pbs.twimg.com/profile_images/1201027799684792321/ttD7qwNb_normal.jpg</v>
      </c>
      <c r="G391" s="67"/>
      <c r="H391" s="71"/>
      <c r="I391" s="72"/>
      <c r="J391" s="72"/>
      <c r="K391" s="71" t="s">
        <v>11134</v>
      </c>
      <c r="L391" s="75"/>
      <c r="M391" s="76"/>
      <c r="N391" s="76"/>
      <c r="O391" s="77"/>
      <c r="P391" s="78"/>
      <c r="Q391" s="78"/>
      <c r="R391" s="92"/>
      <c r="S391" s="92"/>
      <c r="T391" s="92"/>
      <c r="U391" s="92"/>
      <c r="V391" s="52"/>
      <c r="W391" s="52"/>
      <c r="X391" s="52"/>
      <c r="Y391" s="52"/>
      <c r="Z391" s="51"/>
      <c r="AA391" s="73"/>
      <c r="AB391" s="73"/>
      <c r="AC391" s="74"/>
      <c r="AD391" s="80" t="s">
        <v>6973</v>
      </c>
      <c r="AE391" s="85" t="s">
        <v>6300</v>
      </c>
      <c r="AF391" s="80">
        <v>1784</v>
      </c>
      <c r="AG391" s="80">
        <v>11173</v>
      </c>
      <c r="AH391" s="80">
        <v>27309</v>
      </c>
      <c r="AI391" s="80">
        <v>9679</v>
      </c>
      <c r="AJ391" s="80"/>
      <c r="AK391" s="80" t="s">
        <v>9300</v>
      </c>
      <c r="AL391" s="80" t="s">
        <v>10309</v>
      </c>
      <c r="AM391" s="80"/>
      <c r="AN391" s="80"/>
      <c r="AO391" s="82">
        <v>43669.449918981481</v>
      </c>
      <c r="AP391" s="87" t="str">
        <f>HYPERLINK("https://pbs.twimg.com/profile_banners/1153617726625075201/1565708127")</f>
        <v>https://pbs.twimg.com/profile_banners/1153617726625075201/1565708127</v>
      </c>
      <c r="AQ391" s="80" t="b">
        <v>1</v>
      </c>
      <c r="AR391" s="80" t="b">
        <v>0</v>
      </c>
      <c r="AS391" s="80" t="b">
        <v>1</v>
      </c>
      <c r="AT391" s="80"/>
      <c r="AU391" s="80">
        <v>7</v>
      </c>
      <c r="AV391" s="80"/>
      <c r="AW391" s="80" t="b">
        <v>0</v>
      </c>
      <c r="AX391" s="80" t="s">
        <v>10746</v>
      </c>
      <c r="AY391" s="87" t="str">
        <f>HYPERLINK("https://twitter.com/tahukukus_")</f>
        <v>https://twitter.com/tahukukus_</v>
      </c>
      <c r="AZ391" s="80" t="s">
        <v>65</v>
      </c>
      <c r="BA391" s="2"/>
      <c r="BB391" s="3"/>
      <c r="BC391" s="3"/>
      <c r="BD391" s="3"/>
      <c r="BE391" s="3"/>
    </row>
    <row r="392" spans="1:57" x14ac:dyDescent="0.35">
      <c r="A392" s="66" t="s">
        <v>532</v>
      </c>
      <c r="B392" s="67"/>
      <c r="C392" s="67"/>
      <c r="D392" s="68"/>
      <c r="E392" s="70"/>
      <c r="F392" s="109" t="str">
        <f>HYPERLINK("https://pbs.twimg.com/profile_images/1429447726459064326/QH7NMLxS_normal.jpg")</f>
        <v>https://pbs.twimg.com/profile_images/1429447726459064326/QH7NMLxS_normal.jpg</v>
      </c>
      <c r="G392" s="67"/>
      <c r="H392" s="71"/>
      <c r="I392" s="72"/>
      <c r="J392" s="72"/>
      <c r="K392" s="71" t="s">
        <v>11135</v>
      </c>
      <c r="L392" s="75"/>
      <c r="M392" s="76"/>
      <c r="N392" s="76"/>
      <c r="O392" s="77"/>
      <c r="P392" s="78"/>
      <c r="Q392" s="78"/>
      <c r="R392" s="92"/>
      <c r="S392" s="92"/>
      <c r="T392" s="92"/>
      <c r="U392" s="92"/>
      <c r="V392" s="52"/>
      <c r="W392" s="52"/>
      <c r="X392" s="52"/>
      <c r="Y392" s="52"/>
      <c r="Z392" s="51"/>
      <c r="AA392" s="73"/>
      <c r="AB392" s="73"/>
      <c r="AC392" s="74"/>
      <c r="AD392" s="80" t="s">
        <v>6974</v>
      </c>
      <c r="AE392" s="85" t="s">
        <v>6301</v>
      </c>
      <c r="AF392" s="80">
        <v>202</v>
      </c>
      <c r="AG392" s="80">
        <v>42</v>
      </c>
      <c r="AH392" s="80">
        <v>6490</v>
      </c>
      <c r="AI392" s="80">
        <v>48110</v>
      </c>
      <c r="AJ392" s="80"/>
      <c r="AK392" s="80" t="s">
        <v>9301</v>
      </c>
      <c r="AL392" s="80" t="s">
        <v>10154</v>
      </c>
      <c r="AM392" s="87" t="str">
        <f>HYPERLINK("https://t.co/8poQZ9fKRf")</f>
        <v>https://t.co/8poQZ9fKRf</v>
      </c>
      <c r="AN392" s="80"/>
      <c r="AO392" s="82">
        <v>44166.336817129632</v>
      </c>
      <c r="AP392" s="87" t="str">
        <f>HYPERLINK("https://pbs.twimg.com/profile_banners/1333683367708041216/1627882062")</f>
        <v>https://pbs.twimg.com/profile_banners/1333683367708041216/1627882062</v>
      </c>
      <c r="AQ392" s="80" t="b">
        <v>1</v>
      </c>
      <c r="AR392" s="80" t="b">
        <v>0</v>
      </c>
      <c r="AS392" s="80" t="b">
        <v>1</v>
      </c>
      <c r="AT392" s="80"/>
      <c r="AU392" s="80">
        <v>0</v>
      </c>
      <c r="AV392" s="80"/>
      <c r="AW392" s="80" t="b">
        <v>0</v>
      </c>
      <c r="AX392" s="80" t="s">
        <v>10746</v>
      </c>
      <c r="AY392" s="87" t="str">
        <f>HYPERLINK("https://twitter.com/teeuhaa")</f>
        <v>https://twitter.com/teeuhaa</v>
      </c>
      <c r="AZ392" s="80" t="s">
        <v>66</v>
      </c>
      <c r="BA392" s="2"/>
      <c r="BB392" s="3"/>
      <c r="BC392" s="3"/>
      <c r="BD392" s="3"/>
      <c r="BE392" s="3"/>
    </row>
    <row r="393" spans="1:57" x14ac:dyDescent="0.35">
      <c r="A393" s="66" t="s">
        <v>1336</v>
      </c>
      <c r="B393" s="67"/>
      <c r="C393" s="67"/>
      <c r="D393" s="68"/>
      <c r="E393" s="70"/>
      <c r="F393" s="109" t="str">
        <f>HYPERLINK("https://pbs.twimg.com/profile_images/1341713113536598018/_x0YRYYM_normal.jpg")</f>
        <v>https://pbs.twimg.com/profile_images/1341713113536598018/_x0YRYYM_normal.jpg</v>
      </c>
      <c r="G393" s="67"/>
      <c r="H393" s="71"/>
      <c r="I393" s="72"/>
      <c r="J393" s="72"/>
      <c r="K393" s="71" t="s">
        <v>11136</v>
      </c>
      <c r="L393" s="75"/>
      <c r="M393" s="76"/>
      <c r="N393" s="76"/>
      <c r="O393" s="77"/>
      <c r="P393" s="78"/>
      <c r="Q393" s="78"/>
      <c r="R393" s="92"/>
      <c r="S393" s="92"/>
      <c r="T393" s="92"/>
      <c r="U393" s="92"/>
      <c r="V393" s="52"/>
      <c r="W393" s="52"/>
      <c r="X393" s="52"/>
      <c r="Y393" s="52"/>
      <c r="Z393" s="51"/>
      <c r="AA393" s="73"/>
      <c r="AB393" s="73"/>
      <c r="AC393" s="74"/>
      <c r="AD393" s="80" t="s">
        <v>6975</v>
      </c>
      <c r="AE393" s="85" t="s">
        <v>8197</v>
      </c>
      <c r="AF393" s="80">
        <v>11</v>
      </c>
      <c r="AG393" s="80">
        <v>693</v>
      </c>
      <c r="AH393" s="80">
        <v>4141</v>
      </c>
      <c r="AI393" s="80">
        <v>44</v>
      </c>
      <c r="AJ393" s="80"/>
      <c r="AK393" s="80" t="s">
        <v>9302</v>
      </c>
      <c r="AL393" s="80" t="s">
        <v>10310</v>
      </c>
      <c r="AM393" s="87" t="str">
        <f>HYPERLINK("https://t.co/nGYQsNBjP0")</f>
        <v>https://t.co/nGYQsNBjP0</v>
      </c>
      <c r="AN393" s="80"/>
      <c r="AO393" s="82">
        <v>44188.470856481479</v>
      </c>
      <c r="AP393" s="87" t="str">
        <f>HYPERLINK("https://pbs.twimg.com/profile_banners/1341704514768801792/1608722364")</f>
        <v>https://pbs.twimg.com/profile_banners/1341704514768801792/1608722364</v>
      </c>
      <c r="AQ393" s="80" t="b">
        <v>1</v>
      </c>
      <c r="AR393" s="80" t="b">
        <v>0</v>
      </c>
      <c r="AS393" s="80" t="b">
        <v>0</v>
      </c>
      <c r="AT393" s="80"/>
      <c r="AU393" s="80">
        <v>3</v>
      </c>
      <c r="AV393" s="80"/>
      <c r="AW393" s="80" t="b">
        <v>0</v>
      </c>
      <c r="AX393" s="80" t="s">
        <v>10746</v>
      </c>
      <c r="AY393" s="87" t="str">
        <f>HYPERLINK("https://twitter.com/svttradingmy")</f>
        <v>https://twitter.com/svttradingmy</v>
      </c>
      <c r="AZ393" s="80" t="s">
        <v>65</v>
      </c>
      <c r="BA393" s="2"/>
      <c r="BB393" s="3"/>
      <c r="BC393" s="3"/>
      <c r="BD393" s="3"/>
      <c r="BE393" s="3"/>
    </row>
    <row r="394" spans="1:57" x14ac:dyDescent="0.35">
      <c r="A394" s="66" t="s">
        <v>1337</v>
      </c>
      <c r="B394" s="67"/>
      <c r="C394" s="67"/>
      <c r="D394" s="68"/>
      <c r="E394" s="70"/>
      <c r="F394" s="109" t="str">
        <f>HYPERLINK("https://pbs.twimg.com/profile_images/1098895362352267267/k3Dlqh0f_normal.jpg")</f>
        <v>https://pbs.twimg.com/profile_images/1098895362352267267/k3Dlqh0f_normal.jpg</v>
      </c>
      <c r="G394" s="67"/>
      <c r="H394" s="71"/>
      <c r="I394" s="72"/>
      <c r="J394" s="72"/>
      <c r="K394" s="71" t="s">
        <v>11137</v>
      </c>
      <c r="L394" s="75"/>
      <c r="M394" s="76"/>
      <c r="N394" s="76"/>
      <c r="O394" s="77"/>
      <c r="P394" s="78"/>
      <c r="Q394" s="78"/>
      <c r="R394" s="92"/>
      <c r="S394" s="92"/>
      <c r="T394" s="92"/>
      <c r="U394" s="92"/>
      <c r="V394" s="52"/>
      <c r="W394" s="52"/>
      <c r="X394" s="52"/>
      <c r="Y394" s="52"/>
      <c r="Z394" s="51"/>
      <c r="AA394" s="73"/>
      <c r="AB394" s="73"/>
      <c r="AC394" s="74"/>
      <c r="AD394" s="80" t="s">
        <v>6976</v>
      </c>
      <c r="AE394" s="85" t="s">
        <v>8198</v>
      </c>
      <c r="AF394" s="80">
        <v>1</v>
      </c>
      <c r="AG394" s="80">
        <v>1440</v>
      </c>
      <c r="AH394" s="80">
        <v>5740</v>
      </c>
      <c r="AI394" s="80">
        <v>2097</v>
      </c>
      <c r="AJ394" s="80"/>
      <c r="AK394" s="80" t="s">
        <v>9303</v>
      </c>
      <c r="AL394" s="80" t="s">
        <v>10311</v>
      </c>
      <c r="AM394" s="80"/>
      <c r="AN394" s="80"/>
      <c r="AO394" s="82">
        <v>43518.400740740741</v>
      </c>
      <c r="AP394" s="87" t="str">
        <f>HYPERLINK("https://pbs.twimg.com/profile_banners/1098879334767423493/1550832047")</f>
        <v>https://pbs.twimg.com/profile_banners/1098879334767423493/1550832047</v>
      </c>
      <c r="AQ394" s="80" t="b">
        <v>1</v>
      </c>
      <c r="AR394" s="80" t="b">
        <v>0</v>
      </c>
      <c r="AS394" s="80" t="b">
        <v>0</v>
      </c>
      <c r="AT394" s="80"/>
      <c r="AU394" s="80">
        <v>7</v>
      </c>
      <c r="AV394" s="80"/>
      <c r="AW394" s="80" t="b">
        <v>0</v>
      </c>
      <c r="AX394" s="80" t="s">
        <v>10746</v>
      </c>
      <c r="AY394" s="87" t="str">
        <f>HYPERLINK("https://twitter.com/svtrademy")</f>
        <v>https://twitter.com/svtrademy</v>
      </c>
      <c r="AZ394" s="80" t="s">
        <v>65</v>
      </c>
      <c r="BA394" s="2"/>
      <c r="BB394" s="3"/>
      <c r="BC394" s="3"/>
      <c r="BD394" s="3"/>
      <c r="BE394" s="3"/>
    </row>
    <row r="395" spans="1:57" x14ac:dyDescent="0.35">
      <c r="A395" s="66" t="s">
        <v>1338</v>
      </c>
      <c r="B395" s="67"/>
      <c r="C395" s="67"/>
      <c r="D395" s="68"/>
      <c r="E395" s="70"/>
      <c r="F395" s="109" t="str">
        <f>HYPERLINK("https://pbs.twimg.com/profile_images/1349991839307165698/9qGSx0Rj_normal.jpg")</f>
        <v>https://pbs.twimg.com/profile_images/1349991839307165698/9qGSx0Rj_normal.jpg</v>
      </c>
      <c r="G395" s="67"/>
      <c r="H395" s="71"/>
      <c r="I395" s="72"/>
      <c r="J395" s="72"/>
      <c r="K395" s="71" t="s">
        <v>11138</v>
      </c>
      <c r="L395" s="75"/>
      <c r="M395" s="76"/>
      <c r="N395" s="76"/>
      <c r="O395" s="77"/>
      <c r="P395" s="78"/>
      <c r="Q395" s="78"/>
      <c r="R395" s="92"/>
      <c r="S395" s="92"/>
      <c r="T395" s="92"/>
      <c r="U395" s="92"/>
      <c r="V395" s="52"/>
      <c r="W395" s="52"/>
      <c r="X395" s="52"/>
      <c r="Y395" s="52"/>
      <c r="Z395" s="51"/>
      <c r="AA395" s="73"/>
      <c r="AB395" s="73"/>
      <c r="AC395" s="74"/>
      <c r="AD395" s="80" t="s">
        <v>6977</v>
      </c>
      <c r="AE395" s="85" t="s">
        <v>8199</v>
      </c>
      <c r="AF395" s="80">
        <v>2</v>
      </c>
      <c r="AG395" s="80">
        <v>419</v>
      </c>
      <c r="AH395" s="80">
        <v>89</v>
      </c>
      <c r="AI395" s="80">
        <v>0</v>
      </c>
      <c r="AJ395" s="80"/>
      <c r="AK395" s="80" t="s">
        <v>9304</v>
      </c>
      <c r="AL395" s="80"/>
      <c r="AM395" s="80"/>
      <c r="AN395" s="80"/>
      <c r="AO395" s="82">
        <v>43914.631099537037</v>
      </c>
      <c r="AP395" s="87" t="str">
        <f>HYPERLINK("https://pbs.twimg.com/profile_banners/1242468375646752768/1610698111")</f>
        <v>https://pbs.twimg.com/profile_banners/1242468375646752768/1610698111</v>
      </c>
      <c r="AQ395" s="80" t="b">
        <v>1</v>
      </c>
      <c r="AR395" s="80" t="b">
        <v>0</v>
      </c>
      <c r="AS395" s="80" t="b">
        <v>0</v>
      </c>
      <c r="AT395" s="80"/>
      <c r="AU395" s="80">
        <v>4</v>
      </c>
      <c r="AV395" s="80"/>
      <c r="AW395" s="80" t="b">
        <v>0</v>
      </c>
      <c r="AX395" s="80" t="s">
        <v>10746</v>
      </c>
      <c r="AY395" s="87" t="str">
        <f>HYPERLINK("https://twitter.com/svtradingmy")</f>
        <v>https://twitter.com/svtradingmy</v>
      </c>
      <c r="AZ395" s="80" t="s">
        <v>65</v>
      </c>
      <c r="BA395" s="2"/>
      <c r="BB395" s="3"/>
      <c r="BC395" s="3"/>
      <c r="BD395" s="3"/>
      <c r="BE395" s="3"/>
    </row>
    <row r="396" spans="1:57" x14ac:dyDescent="0.35">
      <c r="A396" s="66" t="s">
        <v>1339</v>
      </c>
      <c r="B396" s="67"/>
      <c r="C396" s="67"/>
      <c r="D396" s="68"/>
      <c r="E396" s="70"/>
      <c r="F396" s="109" t="str">
        <f>HYPERLINK("https://pbs.twimg.com/profile_images/1327854490767167490/l1XiEP2E_normal.jpg")</f>
        <v>https://pbs.twimg.com/profile_images/1327854490767167490/l1XiEP2E_normal.jpg</v>
      </c>
      <c r="G396" s="67"/>
      <c r="H396" s="71"/>
      <c r="I396" s="72"/>
      <c r="J396" s="72"/>
      <c r="K396" s="71" t="s">
        <v>11139</v>
      </c>
      <c r="L396" s="75"/>
      <c r="M396" s="76"/>
      <c r="N396" s="76"/>
      <c r="O396" s="77"/>
      <c r="P396" s="78"/>
      <c r="Q396" s="78"/>
      <c r="R396" s="92"/>
      <c r="S396" s="92"/>
      <c r="T396" s="92"/>
      <c r="U396" s="92"/>
      <c r="V396" s="52"/>
      <c r="W396" s="52"/>
      <c r="X396" s="52"/>
      <c r="Y396" s="52"/>
      <c r="Z396" s="51"/>
      <c r="AA396" s="73"/>
      <c r="AB396" s="73"/>
      <c r="AC396" s="74"/>
      <c r="AD396" s="80" t="s">
        <v>6978</v>
      </c>
      <c r="AE396" s="85" t="s">
        <v>8200</v>
      </c>
      <c r="AF396" s="80">
        <v>727</v>
      </c>
      <c r="AG396" s="80">
        <v>1483</v>
      </c>
      <c r="AH396" s="80">
        <v>5615</v>
      </c>
      <c r="AI396" s="80">
        <v>28</v>
      </c>
      <c r="AJ396" s="80"/>
      <c r="AK396" s="80" t="s">
        <v>9305</v>
      </c>
      <c r="AL396" s="80"/>
      <c r="AM396" s="80"/>
      <c r="AN396" s="80"/>
      <c r="AO396" s="82">
        <v>43732.163622685184</v>
      </c>
      <c r="AP396" s="80"/>
      <c r="AQ396" s="80" t="b">
        <v>1</v>
      </c>
      <c r="AR396" s="80" t="b">
        <v>0</v>
      </c>
      <c r="AS396" s="80" t="b">
        <v>0</v>
      </c>
      <c r="AT396" s="80"/>
      <c r="AU396" s="80">
        <v>5</v>
      </c>
      <c r="AV396" s="80"/>
      <c r="AW396" s="80" t="b">
        <v>0</v>
      </c>
      <c r="AX396" s="80" t="s">
        <v>10746</v>
      </c>
      <c r="AY396" s="87" t="str">
        <f>HYPERLINK("https://twitter.com/svtmarketmy")</f>
        <v>https://twitter.com/svtmarketmy</v>
      </c>
      <c r="AZ396" s="80" t="s">
        <v>65</v>
      </c>
      <c r="BA396" s="2"/>
      <c r="BB396" s="3"/>
      <c r="BC396" s="3"/>
      <c r="BD396" s="3"/>
      <c r="BE396" s="3"/>
    </row>
    <row r="397" spans="1:57" x14ac:dyDescent="0.35">
      <c r="A397" s="66" t="s">
        <v>1340</v>
      </c>
      <c r="B397" s="67"/>
      <c r="C397" s="67"/>
      <c r="D397" s="68"/>
      <c r="E397" s="70"/>
      <c r="F397" s="109" t="str">
        <f>HYPERLINK("https://pbs.twimg.com/profile_images/1429702410532888578/fOHrzX0w_normal.jpg")</f>
        <v>https://pbs.twimg.com/profile_images/1429702410532888578/fOHrzX0w_normal.jpg</v>
      </c>
      <c r="G397" s="67"/>
      <c r="H397" s="71"/>
      <c r="I397" s="72"/>
      <c r="J397" s="72"/>
      <c r="K397" s="71" t="s">
        <v>11140</v>
      </c>
      <c r="L397" s="75"/>
      <c r="M397" s="76"/>
      <c r="N397" s="76"/>
      <c r="O397" s="77"/>
      <c r="P397" s="78"/>
      <c r="Q397" s="78"/>
      <c r="R397" s="92"/>
      <c r="S397" s="92"/>
      <c r="T397" s="92"/>
      <c r="U397" s="92"/>
      <c r="V397" s="52"/>
      <c r="W397" s="52"/>
      <c r="X397" s="52"/>
      <c r="Y397" s="52"/>
      <c r="Z397" s="51"/>
      <c r="AA397" s="73"/>
      <c r="AB397" s="73"/>
      <c r="AC397" s="74"/>
      <c r="AD397" s="80" t="s">
        <v>6979</v>
      </c>
      <c r="AE397" s="85" t="s">
        <v>8201</v>
      </c>
      <c r="AF397" s="80">
        <v>49</v>
      </c>
      <c r="AG397" s="80">
        <v>784</v>
      </c>
      <c r="AH397" s="80">
        <v>5350</v>
      </c>
      <c r="AI397" s="80">
        <v>76</v>
      </c>
      <c r="AJ397" s="80"/>
      <c r="AK397" s="80" t="s">
        <v>9306</v>
      </c>
      <c r="AL397" s="80" t="s">
        <v>10312</v>
      </c>
      <c r="AM397" s="80"/>
      <c r="AN397" s="80"/>
      <c r="AO397" s="82">
        <v>44226.190694444442</v>
      </c>
      <c r="AP397" s="87" t="str">
        <f>HYPERLINK("https://pbs.twimg.com/profile_banners/1355373767787118593/1615291998")</f>
        <v>https://pbs.twimg.com/profile_banners/1355373767787118593/1615291998</v>
      </c>
      <c r="AQ397" s="80" t="b">
        <v>1</v>
      </c>
      <c r="AR397" s="80" t="b">
        <v>0</v>
      </c>
      <c r="AS397" s="80" t="b">
        <v>0</v>
      </c>
      <c r="AT397" s="80"/>
      <c r="AU397" s="80">
        <v>4</v>
      </c>
      <c r="AV397" s="80"/>
      <c r="AW397" s="80" t="b">
        <v>0</v>
      </c>
      <c r="AX397" s="80" t="s">
        <v>10746</v>
      </c>
      <c r="AY397" s="87" t="str">
        <f>HYPERLINK("https://twitter.com/geroboksvt_my")</f>
        <v>https://twitter.com/geroboksvt_my</v>
      </c>
      <c r="AZ397" s="80" t="s">
        <v>65</v>
      </c>
      <c r="BA397" s="2"/>
      <c r="BB397" s="3"/>
      <c r="BC397" s="3"/>
      <c r="BD397" s="3"/>
      <c r="BE397" s="3"/>
    </row>
    <row r="398" spans="1:57" x14ac:dyDescent="0.35">
      <c r="A398" s="66" t="s">
        <v>533</v>
      </c>
      <c r="B398" s="67"/>
      <c r="C398" s="67"/>
      <c r="D398" s="68"/>
      <c r="E398" s="70"/>
      <c r="F398" s="109" t="str">
        <f>HYPERLINK("https://pbs.twimg.com/profile_images/1338844021456703489/Jcp2n9Wb_normal.jpg")</f>
        <v>https://pbs.twimg.com/profile_images/1338844021456703489/Jcp2n9Wb_normal.jpg</v>
      </c>
      <c r="G398" s="67"/>
      <c r="H398" s="71"/>
      <c r="I398" s="72"/>
      <c r="J398" s="72"/>
      <c r="K398" s="71" t="s">
        <v>11141</v>
      </c>
      <c r="L398" s="75"/>
      <c r="M398" s="76"/>
      <c r="N398" s="76"/>
      <c r="O398" s="77"/>
      <c r="P398" s="78"/>
      <c r="Q398" s="78"/>
      <c r="R398" s="92"/>
      <c r="S398" s="92"/>
      <c r="T398" s="92"/>
      <c r="U398" s="92"/>
      <c r="V398" s="52"/>
      <c r="W398" s="52"/>
      <c r="X398" s="52"/>
      <c r="Y398" s="52"/>
      <c r="Z398" s="51"/>
      <c r="AA398" s="73"/>
      <c r="AB398" s="73"/>
      <c r="AC398" s="74"/>
      <c r="AD398" s="80" t="s">
        <v>6980</v>
      </c>
      <c r="AE398" s="85" t="s">
        <v>8202</v>
      </c>
      <c r="AF398" s="80">
        <v>221</v>
      </c>
      <c r="AG398" s="80">
        <v>224</v>
      </c>
      <c r="AH398" s="80">
        <v>8510</v>
      </c>
      <c r="AI398" s="80">
        <v>15712</v>
      </c>
      <c r="AJ398" s="80"/>
      <c r="AK398" s="80" t="s">
        <v>9307</v>
      </c>
      <c r="AL398" s="80"/>
      <c r="AM398" s="80"/>
      <c r="AN398" s="80"/>
      <c r="AO398" s="82">
        <v>44179.389247685183</v>
      </c>
      <c r="AP398" s="87" t="str">
        <f>HYPERLINK("https://pbs.twimg.com/profile_banners/1338413501841195008/1607958040")</f>
        <v>https://pbs.twimg.com/profile_banners/1338413501841195008/1607958040</v>
      </c>
      <c r="AQ398" s="80" t="b">
        <v>1</v>
      </c>
      <c r="AR398" s="80" t="b">
        <v>0</v>
      </c>
      <c r="AS398" s="80" t="b">
        <v>0</v>
      </c>
      <c r="AT398" s="80"/>
      <c r="AU398" s="80">
        <v>0</v>
      </c>
      <c r="AV398" s="80"/>
      <c r="AW398" s="80" t="b">
        <v>0</v>
      </c>
      <c r="AX398" s="80" t="s">
        <v>10746</v>
      </c>
      <c r="AY398" s="87" t="str">
        <f>HYPERLINK("https://twitter.com/masyarakatradio")</f>
        <v>https://twitter.com/masyarakatradio</v>
      </c>
      <c r="AZ398" s="80" t="s">
        <v>66</v>
      </c>
      <c r="BA398" s="2"/>
      <c r="BB398" s="3"/>
      <c r="BC398" s="3"/>
      <c r="BD398" s="3"/>
      <c r="BE398" s="3"/>
    </row>
    <row r="399" spans="1:57" x14ac:dyDescent="0.35">
      <c r="A399" s="66" t="s">
        <v>534</v>
      </c>
      <c r="B399" s="67"/>
      <c r="C399" s="67"/>
      <c r="D399" s="68"/>
      <c r="E399" s="70"/>
      <c r="F399" s="109" t="str">
        <f>HYPERLINK("https://pbs.twimg.com/profile_images/1428888419950743555/FV7XGf5o_normal.jpg")</f>
        <v>https://pbs.twimg.com/profile_images/1428888419950743555/FV7XGf5o_normal.jpg</v>
      </c>
      <c r="G399" s="67"/>
      <c r="H399" s="71"/>
      <c r="I399" s="72"/>
      <c r="J399" s="72"/>
      <c r="K399" s="71" t="s">
        <v>11142</v>
      </c>
      <c r="L399" s="75"/>
      <c r="M399" s="76"/>
      <c r="N399" s="76"/>
      <c r="O399" s="77"/>
      <c r="P399" s="78"/>
      <c r="Q399" s="78"/>
      <c r="R399" s="92"/>
      <c r="S399" s="92"/>
      <c r="T399" s="92"/>
      <c r="U399" s="92"/>
      <c r="V399" s="52"/>
      <c r="W399" s="52"/>
      <c r="X399" s="52"/>
      <c r="Y399" s="52"/>
      <c r="Z399" s="51"/>
      <c r="AA399" s="73"/>
      <c r="AB399" s="73"/>
      <c r="AC399" s="74"/>
      <c r="AD399" s="80" t="s">
        <v>6981</v>
      </c>
      <c r="AE399" s="85" t="s">
        <v>6302</v>
      </c>
      <c r="AF399" s="80">
        <v>2192</v>
      </c>
      <c r="AG399" s="80">
        <v>2222</v>
      </c>
      <c r="AH399" s="80">
        <v>5469</v>
      </c>
      <c r="AI399" s="80">
        <v>4571</v>
      </c>
      <c r="AJ399" s="80"/>
      <c r="AK399" s="80" t="s">
        <v>9308</v>
      </c>
      <c r="AL399" s="80" t="s">
        <v>10313</v>
      </c>
      <c r="AM399" s="87" t="str">
        <f>HYPERLINK("https://t.co/nMTNCAPm14")</f>
        <v>https://t.co/nMTNCAPm14</v>
      </c>
      <c r="AN399" s="80"/>
      <c r="AO399" s="82">
        <v>41409.048298611109</v>
      </c>
      <c r="AP399" s="87" t="str">
        <f>HYPERLINK("https://pbs.twimg.com/profile_banners/1429237147/1629983365")</f>
        <v>https://pbs.twimg.com/profile_banners/1429237147/1629983365</v>
      </c>
      <c r="AQ399" s="80" t="b">
        <v>1</v>
      </c>
      <c r="AR399" s="80" t="b">
        <v>0</v>
      </c>
      <c r="AS399" s="80" t="b">
        <v>1</v>
      </c>
      <c r="AT399" s="80"/>
      <c r="AU399" s="80">
        <v>1</v>
      </c>
      <c r="AV399" s="87" t="str">
        <f>HYPERLINK("https://abs.twimg.com/images/themes/theme1/bg.png")</f>
        <v>https://abs.twimg.com/images/themes/theme1/bg.png</v>
      </c>
      <c r="AW399" s="80" t="b">
        <v>0</v>
      </c>
      <c r="AX399" s="80" t="s">
        <v>10746</v>
      </c>
      <c r="AY399" s="87" t="str">
        <f>HYPERLINK("https://twitter.com/ib_ost")</f>
        <v>https://twitter.com/ib_ost</v>
      </c>
      <c r="AZ399" s="80" t="s">
        <v>66</v>
      </c>
      <c r="BA399" s="2"/>
      <c r="BB399" s="3"/>
      <c r="BC399" s="3"/>
      <c r="BD399" s="3"/>
      <c r="BE399" s="3"/>
    </row>
    <row r="400" spans="1:57" x14ac:dyDescent="0.35">
      <c r="A400" s="66" t="s">
        <v>1341</v>
      </c>
      <c r="B400" s="67"/>
      <c r="C400" s="67"/>
      <c r="D400" s="68"/>
      <c r="E400" s="70"/>
      <c r="F400" s="109" t="str">
        <f>HYPERLINK("https://pbs.twimg.com/profile_images/1417416336859295745/8FXomDLs_normal.jpg")</f>
        <v>https://pbs.twimg.com/profile_images/1417416336859295745/8FXomDLs_normal.jpg</v>
      </c>
      <c r="G400" s="67"/>
      <c r="H400" s="71"/>
      <c r="I400" s="72"/>
      <c r="J400" s="72"/>
      <c r="K400" s="71" t="s">
        <v>11143</v>
      </c>
      <c r="L400" s="75"/>
      <c r="M400" s="76"/>
      <c r="N400" s="76"/>
      <c r="O400" s="77"/>
      <c r="P400" s="78"/>
      <c r="Q400" s="78"/>
      <c r="R400" s="92"/>
      <c r="S400" s="92"/>
      <c r="T400" s="92"/>
      <c r="U400" s="92"/>
      <c r="V400" s="52"/>
      <c r="W400" s="52"/>
      <c r="X400" s="52"/>
      <c r="Y400" s="52"/>
      <c r="Z400" s="51"/>
      <c r="AA400" s="73"/>
      <c r="AB400" s="73"/>
      <c r="AC400" s="74"/>
      <c r="AD400" s="80" t="s">
        <v>6982</v>
      </c>
      <c r="AE400" s="85" t="s">
        <v>8203</v>
      </c>
      <c r="AF400" s="80">
        <v>2573</v>
      </c>
      <c r="AG400" s="80">
        <v>2279</v>
      </c>
      <c r="AH400" s="80">
        <v>18871</v>
      </c>
      <c r="AI400" s="80">
        <v>7094</v>
      </c>
      <c r="AJ400" s="80"/>
      <c r="AK400" s="80"/>
      <c r="AL400" s="80" t="s">
        <v>10295</v>
      </c>
      <c r="AM400" s="80"/>
      <c r="AN400" s="80"/>
      <c r="AO400" s="82">
        <v>43696.459733796299</v>
      </c>
      <c r="AP400" s="87" t="str">
        <f>HYPERLINK("https://pbs.twimg.com/profile_banners/1163405270405353475/1606916125")</f>
        <v>https://pbs.twimg.com/profile_banners/1163405270405353475/1606916125</v>
      </c>
      <c r="AQ400" s="80" t="b">
        <v>1</v>
      </c>
      <c r="AR400" s="80" t="b">
        <v>0</v>
      </c>
      <c r="AS400" s="80" t="b">
        <v>0</v>
      </c>
      <c r="AT400" s="80"/>
      <c r="AU400" s="80">
        <v>0</v>
      </c>
      <c r="AV400" s="80"/>
      <c r="AW400" s="80" t="b">
        <v>0</v>
      </c>
      <c r="AX400" s="80" t="s">
        <v>10746</v>
      </c>
      <c r="AY400" s="87" t="str">
        <f>HYPERLINK("https://twitter.com/budipra87870630")</f>
        <v>https://twitter.com/budipra87870630</v>
      </c>
      <c r="AZ400" s="80" t="s">
        <v>65</v>
      </c>
      <c r="BA400" s="2"/>
      <c r="BB400" s="3"/>
      <c r="BC400" s="3"/>
      <c r="BD400" s="3"/>
      <c r="BE400" s="3"/>
    </row>
    <row r="401" spans="1:57" x14ac:dyDescent="0.35">
      <c r="A401" s="66" t="s">
        <v>535</v>
      </c>
      <c r="B401" s="67"/>
      <c r="C401" s="67"/>
      <c r="D401" s="68"/>
      <c r="E401" s="70"/>
      <c r="F401" s="109" t="str">
        <f>HYPERLINK("https://pbs.twimg.com/profile_images/1442695903052132355/OKqGGBMM_normal.jpg")</f>
        <v>https://pbs.twimg.com/profile_images/1442695903052132355/OKqGGBMM_normal.jpg</v>
      </c>
      <c r="G401" s="67"/>
      <c r="H401" s="71"/>
      <c r="I401" s="72"/>
      <c r="J401" s="72"/>
      <c r="K401" s="71" t="s">
        <v>11144</v>
      </c>
      <c r="L401" s="75"/>
      <c r="M401" s="76"/>
      <c r="N401" s="76"/>
      <c r="O401" s="77"/>
      <c r="P401" s="78"/>
      <c r="Q401" s="78"/>
      <c r="R401" s="92"/>
      <c r="S401" s="92"/>
      <c r="T401" s="92"/>
      <c r="U401" s="92"/>
      <c r="V401" s="52"/>
      <c r="W401" s="52"/>
      <c r="X401" s="52"/>
      <c r="Y401" s="52"/>
      <c r="Z401" s="51"/>
      <c r="AA401" s="73"/>
      <c r="AB401" s="73"/>
      <c r="AC401" s="74"/>
      <c r="AD401" s="80" t="s">
        <v>6983</v>
      </c>
      <c r="AE401" s="85" t="s">
        <v>8204</v>
      </c>
      <c r="AF401" s="80">
        <v>1061</v>
      </c>
      <c r="AG401" s="80">
        <v>1655</v>
      </c>
      <c r="AH401" s="80">
        <v>12485</v>
      </c>
      <c r="AI401" s="80">
        <v>5135</v>
      </c>
      <c r="AJ401" s="80"/>
      <c r="AK401" s="80" t="s">
        <v>9309</v>
      </c>
      <c r="AL401" s="80" t="s">
        <v>10314</v>
      </c>
      <c r="AM401" s="80"/>
      <c r="AN401" s="80"/>
      <c r="AO401" s="82">
        <v>43539.194745370369</v>
      </c>
      <c r="AP401" s="87" t="str">
        <f>HYPERLINK("https://pbs.twimg.com/profile_banners/1106414831714758657/1629903679")</f>
        <v>https://pbs.twimg.com/profile_banners/1106414831714758657/1629903679</v>
      </c>
      <c r="AQ401" s="80" t="b">
        <v>1</v>
      </c>
      <c r="AR401" s="80" t="b">
        <v>0</v>
      </c>
      <c r="AS401" s="80" t="b">
        <v>1</v>
      </c>
      <c r="AT401" s="80"/>
      <c r="AU401" s="80">
        <v>0</v>
      </c>
      <c r="AV401" s="80"/>
      <c r="AW401" s="80" t="b">
        <v>0</v>
      </c>
      <c r="AX401" s="80" t="s">
        <v>10746</v>
      </c>
      <c r="AY401" s="87" t="str">
        <f>HYPERLINK("https://twitter.com/kalonginsomnia")</f>
        <v>https://twitter.com/kalonginsomnia</v>
      </c>
      <c r="AZ401" s="80" t="s">
        <v>66</v>
      </c>
      <c r="BA401" s="2"/>
      <c r="BB401" s="3"/>
      <c r="BC401" s="3"/>
      <c r="BD401" s="3"/>
      <c r="BE401" s="3"/>
    </row>
    <row r="402" spans="1:57" x14ac:dyDescent="0.35">
      <c r="A402" s="66" t="s">
        <v>536</v>
      </c>
      <c r="B402" s="67"/>
      <c r="C402" s="67"/>
      <c r="D402" s="68"/>
      <c r="E402" s="70"/>
      <c r="F402" s="109" t="str">
        <f>HYPERLINK("https://pbs.twimg.com/profile_images/1440992270879133696/PPisZTVC_normal.jpg")</f>
        <v>https://pbs.twimg.com/profile_images/1440992270879133696/PPisZTVC_normal.jpg</v>
      </c>
      <c r="G402" s="67"/>
      <c r="H402" s="71"/>
      <c r="I402" s="72"/>
      <c r="J402" s="72"/>
      <c r="K402" s="71" t="s">
        <v>11145</v>
      </c>
      <c r="L402" s="75"/>
      <c r="M402" s="76"/>
      <c r="N402" s="76"/>
      <c r="O402" s="77"/>
      <c r="P402" s="78"/>
      <c r="Q402" s="78"/>
      <c r="R402" s="92"/>
      <c r="S402" s="92"/>
      <c r="T402" s="92"/>
      <c r="U402" s="92"/>
      <c r="V402" s="52"/>
      <c r="W402" s="52"/>
      <c r="X402" s="52"/>
      <c r="Y402" s="52"/>
      <c r="Z402" s="51"/>
      <c r="AA402" s="73"/>
      <c r="AB402" s="73"/>
      <c r="AC402" s="74"/>
      <c r="AD402" s="80" t="s">
        <v>6984</v>
      </c>
      <c r="AE402" s="85" t="s">
        <v>8205</v>
      </c>
      <c r="AF402" s="80">
        <v>2443</v>
      </c>
      <c r="AG402" s="80">
        <v>328</v>
      </c>
      <c r="AH402" s="80">
        <v>6365</v>
      </c>
      <c r="AI402" s="80">
        <v>25897</v>
      </c>
      <c r="AJ402" s="80"/>
      <c r="AK402" s="80" t="s">
        <v>9310</v>
      </c>
      <c r="AL402" s="80" t="s">
        <v>10315</v>
      </c>
      <c r="AM402" s="80"/>
      <c r="AN402" s="80"/>
      <c r="AO402" s="82">
        <v>42626.20784722222</v>
      </c>
      <c r="AP402" s="87" t="str">
        <f>HYPERLINK("https://pbs.twimg.com/profile_banners/775559455203168256/1627992130")</f>
        <v>https://pbs.twimg.com/profile_banners/775559455203168256/1627992130</v>
      </c>
      <c r="AQ402" s="80" t="b">
        <v>1</v>
      </c>
      <c r="AR402" s="80" t="b">
        <v>0</v>
      </c>
      <c r="AS402" s="80" t="b">
        <v>0</v>
      </c>
      <c r="AT402" s="80"/>
      <c r="AU402" s="80">
        <v>0</v>
      </c>
      <c r="AV402" s="80"/>
      <c r="AW402" s="80" t="b">
        <v>0</v>
      </c>
      <c r="AX402" s="80" t="s">
        <v>10746</v>
      </c>
      <c r="AY402" s="87" t="str">
        <f>HYPERLINK("https://twitter.com/almahendraf")</f>
        <v>https://twitter.com/almahendraf</v>
      </c>
      <c r="AZ402" s="80" t="s">
        <v>66</v>
      </c>
      <c r="BA402" s="2"/>
      <c r="BB402" s="3"/>
      <c r="BC402" s="3"/>
      <c r="BD402" s="3"/>
      <c r="BE402" s="3"/>
    </row>
    <row r="403" spans="1:57" x14ac:dyDescent="0.35">
      <c r="A403" s="66" t="s">
        <v>537</v>
      </c>
      <c r="B403" s="67"/>
      <c r="C403" s="67"/>
      <c r="D403" s="68"/>
      <c r="E403" s="70"/>
      <c r="F403" s="109" t="str">
        <f>HYPERLINK("https://pbs.twimg.com/profile_images/1307292160031518721/bwC5U3V__normal.jpg")</f>
        <v>https://pbs.twimg.com/profile_images/1307292160031518721/bwC5U3V__normal.jpg</v>
      </c>
      <c r="G403" s="67"/>
      <c r="H403" s="71"/>
      <c r="I403" s="72"/>
      <c r="J403" s="72"/>
      <c r="K403" s="71" t="s">
        <v>11146</v>
      </c>
      <c r="L403" s="75"/>
      <c r="M403" s="76"/>
      <c r="N403" s="76"/>
      <c r="O403" s="77"/>
      <c r="P403" s="78"/>
      <c r="Q403" s="78"/>
      <c r="R403" s="92"/>
      <c r="S403" s="92"/>
      <c r="T403" s="92"/>
      <c r="U403" s="92"/>
      <c r="V403" s="52"/>
      <c r="W403" s="52"/>
      <c r="X403" s="52"/>
      <c r="Y403" s="52"/>
      <c r="Z403" s="51"/>
      <c r="AA403" s="73"/>
      <c r="AB403" s="73"/>
      <c r="AC403" s="74"/>
      <c r="AD403" s="80" t="s">
        <v>6985</v>
      </c>
      <c r="AE403" s="85" t="s">
        <v>8206</v>
      </c>
      <c r="AF403" s="80">
        <v>332</v>
      </c>
      <c r="AG403" s="80">
        <v>350</v>
      </c>
      <c r="AH403" s="80">
        <v>8294</v>
      </c>
      <c r="AI403" s="80">
        <v>1813</v>
      </c>
      <c r="AJ403" s="80"/>
      <c r="AK403" s="80"/>
      <c r="AL403" s="80"/>
      <c r="AM403" s="80"/>
      <c r="AN403" s="80"/>
      <c r="AO403" s="82">
        <v>40107.046655092592</v>
      </c>
      <c r="AP403" s="80"/>
      <c r="AQ403" s="80" t="b">
        <v>0</v>
      </c>
      <c r="AR403" s="80" t="b">
        <v>0</v>
      </c>
      <c r="AS403" s="80" t="b">
        <v>1</v>
      </c>
      <c r="AT403" s="80"/>
      <c r="AU403" s="80">
        <v>0</v>
      </c>
      <c r="AV403" s="87" t="str">
        <f>HYPERLINK("https://abs.twimg.com/images/themes/theme1/bg.png")</f>
        <v>https://abs.twimg.com/images/themes/theme1/bg.png</v>
      </c>
      <c r="AW403" s="80" t="b">
        <v>0</v>
      </c>
      <c r="AX403" s="80" t="s">
        <v>10746</v>
      </c>
      <c r="AY403" s="87" t="str">
        <f>HYPERLINK("https://twitter.com/niizaaar")</f>
        <v>https://twitter.com/niizaaar</v>
      </c>
      <c r="AZ403" s="80" t="s">
        <v>66</v>
      </c>
      <c r="BA403" s="2"/>
      <c r="BB403" s="3"/>
      <c r="BC403" s="3"/>
      <c r="BD403" s="3"/>
      <c r="BE403" s="3"/>
    </row>
    <row r="404" spans="1:57" x14ac:dyDescent="0.35">
      <c r="A404" s="66" t="s">
        <v>538</v>
      </c>
      <c r="B404" s="67"/>
      <c r="C404" s="67"/>
      <c r="D404" s="68"/>
      <c r="E404" s="70"/>
      <c r="F404" s="109" t="str">
        <f>HYPERLINK("https://pbs.twimg.com/profile_images/1435910741110919175/DR1biti__normal.jpg")</f>
        <v>https://pbs.twimg.com/profile_images/1435910741110919175/DR1biti__normal.jpg</v>
      </c>
      <c r="G404" s="67"/>
      <c r="H404" s="71"/>
      <c r="I404" s="72"/>
      <c r="J404" s="72"/>
      <c r="K404" s="71" t="s">
        <v>11147</v>
      </c>
      <c r="L404" s="75"/>
      <c r="M404" s="76"/>
      <c r="N404" s="76"/>
      <c r="O404" s="77"/>
      <c r="P404" s="78"/>
      <c r="Q404" s="78"/>
      <c r="R404" s="92"/>
      <c r="S404" s="92"/>
      <c r="T404" s="92"/>
      <c r="U404" s="92"/>
      <c r="V404" s="52"/>
      <c r="W404" s="52"/>
      <c r="X404" s="52"/>
      <c r="Y404" s="52"/>
      <c r="Z404" s="51"/>
      <c r="AA404" s="73"/>
      <c r="AB404" s="73"/>
      <c r="AC404" s="74"/>
      <c r="AD404" s="80" t="s">
        <v>6986</v>
      </c>
      <c r="AE404" s="85" t="s">
        <v>8207</v>
      </c>
      <c r="AF404" s="80">
        <v>368</v>
      </c>
      <c r="AG404" s="80">
        <v>427</v>
      </c>
      <c r="AH404" s="80">
        <v>1731</v>
      </c>
      <c r="AI404" s="80">
        <v>2929</v>
      </c>
      <c r="AJ404" s="80"/>
      <c r="AK404" s="80" t="s">
        <v>9311</v>
      </c>
      <c r="AL404" s="80" t="s">
        <v>10316</v>
      </c>
      <c r="AM404" s="87" t="str">
        <f>HYPERLINK("https://t.co/CeZriNRaau")</f>
        <v>https://t.co/CeZriNRaau</v>
      </c>
      <c r="AN404" s="80"/>
      <c r="AO404" s="82">
        <v>44435.629895833335</v>
      </c>
      <c r="AP404" s="80"/>
      <c r="AQ404" s="80" t="b">
        <v>1</v>
      </c>
      <c r="AR404" s="80" t="b">
        <v>0</v>
      </c>
      <c r="AS404" s="80" t="b">
        <v>0</v>
      </c>
      <c r="AT404" s="80"/>
      <c r="AU404" s="80">
        <v>0</v>
      </c>
      <c r="AV404" s="80"/>
      <c r="AW404" s="80" t="b">
        <v>0</v>
      </c>
      <c r="AX404" s="80" t="s">
        <v>10746</v>
      </c>
      <c r="AY404" s="87" t="str">
        <f>HYPERLINK("https://twitter.com/milkycocho")</f>
        <v>https://twitter.com/milkycocho</v>
      </c>
      <c r="AZ404" s="80" t="s">
        <v>66</v>
      </c>
      <c r="BA404" s="2"/>
      <c r="BB404" s="3"/>
      <c r="BC404" s="3"/>
      <c r="BD404" s="3"/>
      <c r="BE404" s="3"/>
    </row>
    <row r="405" spans="1:57" x14ac:dyDescent="0.35">
      <c r="A405" s="66" t="s">
        <v>539</v>
      </c>
      <c r="B405" s="67"/>
      <c r="C405" s="67"/>
      <c r="D405" s="68"/>
      <c r="E405" s="70"/>
      <c r="F405" s="109" t="str">
        <f>HYPERLINK("https://pbs.twimg.com/profile_images/1406190476718329856/43EfPMQk_normal.jpg")</f>
        <v>https://pbs.twimg.com/profile_images/1406190476718329856/43EfPMQk_normal.jpg</v>
      </c>
      <c r="G405" s="67"/>
      <c r="H405" s="71"/>
      <c r="I405" s="72"/>
      <c r="J405" s="72"/>
      <c r="K405" s="71" t="s">
        <v>11148</v>
      </c>
      <c r="L405" s="75"/>
      <c r="M405" s="76"/>
      <c r="N405" s="76"/>
      <c r="O405" s="77"/>
      <c r="P405" s="78"/>
      <c r="Q405" s="78"/>
      <c r="R405" s="92"/>
      <c r="S405" s="92"/>
      <c r="T405" s="92"/>
      <c r="U405" s="92"/>
      <c r="V405" s="52"/>
      <c r="W405" s="52"/>
      <c r="X405" s="52"/>
      <c r="Y405" s="52"/>
      <c r="Z405" s="51"/>
      <c r="AA405" s="73"/>
      <c r="AB405" s="73"/>
      <c r="AC405" s="74"/>
      <c r="AD405" s="80" t="s">
        <v>6987</v>
      </c>
      <c r="AE405" s="85" t="s">
        <v>8208</v>
      </c>
      <c r="AF405" s="80">
        <v>172</v>
      </c>
      <c r="AG405" s="80">
        <v>312</v>
      </c>
      <c r="AH405" s="80">
        <v>18699</v>
      </c>
      <c r="AI405" s="80">
        <v>3873</v>
      </c>
      <c r="AJ405" s="80"/>
      <c r="AK405" s="80"/>
      <c r="AL405" s="80" t="s">
        <v>10317</v>
      </c>
      <c r="AM405" s="80"/>
      <c r="AN405" s="80"/>
      <c r="AO405" s="82">
        <v>40908.571192129632</v>
      </c>
      <c r="AP405" s="87" t="str">
        <f>HYPERLINK("https://pbs.twimg.com/profile_banners/451461462/1474914368")</f>
        <v>https://pbs.twimg.com/profile_banners/451461462/1474914368</v>
      </c>
      <c r="AQ405" s="80" t="b">
        <v>0</v>
      </c>
      <c r="AR405" s="80" t="b">
        <v>0</v>
      </c>
      <c r="AS405" s="80" t="b">
        <v>0</v>
      </c>
      <c r="AT405" s="80"/>
      <c r="AU405" s="80">
        <v>1</v>
      </c>
      <c r="AV405" s="87" t="str">
        <f>HYPERLINK("https://abs.twimg.com/images/themes/theme1/bg.png")</f>
        <v>https://abs.twimg.com/images/themes/theme1/bg.png</v>
      </c>
      <c r="AW405" s="80" t="b">
        <v>0</v>
      </c>
      <c r="AX405" s="80" t="s">
        <v>10746</v>
      </c>
      <c r="AY405" s="87" t="str">
        <f>HYPERLINK("https://twitter.com/anwarashburn")</f>
        <v>https://twitter.com/anwarashburn</v>
      </c>
      <c r="AZ405" s="80" t="s">
        <v>66</v>
      </c>
      <c r="BA405" s="2"/>
      <c r="BB405" s="3"/>
      <c r="BC405" s="3"/>
      <c r="BD405" s="3"/>
      <c r="BE405" s="3"/>
    </row>
    <row r="406" spans="1:57" x14ac:dyDescent="0.35">
      <c r="A406" s="66" t="s">
        <v>1342</v>
      </c>
      <c r="B406" s="67"/>
      <c r="C406" s="67"/>
      <c r="D406" s="68"/>
      <c r="E406" s="70"/>
      <c r="F406" s="109" t="str">
        <f>HYPERLINK("https://pbs.twimg.com/profile_images/1441672844883103745/iP7L42G-_normal.jpg")</f>
        <v>https://pbs.twimg.com/profile_images/1441672844883103745/iP7L42G-_normal.jpg</v>
      </c>
      <c r="G406" s="67"/>
      <c r="H406" s="71"/>
      <c r="I406" s="72"/>
      <c r="J406" s="72"/>
      <c r="K406" s="71" t="s">
        <v>11149</v>
      </c>
      <c r="L406" s="75"/>
      <c r="M406" s="76"/>
      <c r="N406" s="76"/>
      <c r="O406" s="77"/>
      <c r="P406" s="78"/>
      <c r="Q406" s="78"/>
      <c r="R406" s="92"/>
      <c r="S406" s="92"/>
      <c r="T406" s="92"/>
      <c r="U406" s="92"/>
      <c r="V406" s="52"/>
      <c r="W406" s="52"/>
      <c r="X406" s="52"/>
      <c r="Y406" s="52"/>
      <c r="Z406" s="51"/>
      <c r="AA406" s="73"/>
      <c r="AB406" s="73"/>
      <c r="AC406" s="74"/>
      <c r="AD406" s="80" t="s">
        <v>6988</v>
      </c>
      <c r="AE406" s="85" t="s">
        <v>8209</v>
      </c>
      <c r="AF406" s="80">
        <v>11</v>
      </c>
      <c r="AG406" s="80">
        <v>55466</v>
      </c>
      <c r="AH406" s="80">
        <v>12904</v>
      </c>
      <c r="AI406" s="80">
        <v>2167</v>
      </c>
      <c r="AJ406" s="80"/>
      <c r="AK406" s="80" t="s">
        <v>9312</v>
      </c>
      <c r="AL406" s="80" t="s">
        <v>10182</v>
      </c>
      <c r="AM406" s="87" t="str">
        <f>HYPERLINK("https://t.co/wfU2xBQ7xz")</f>
        <v>https://t.co/wfU2xBQ7xz</v>
      </c>
      <c r="AN406" s="80"/>
      <c r="AO406" s="82">
        <v>42025.401828703703</v>
      </c>
      <c r="AP406" s="87" t="str">
        <f>HYPERLINK("https://pbs.twimg.com/profile_banners/2989403819/1632585748")</f>
        <v>https://pbs.twimg.com/profile_banners/2989403819/1632585748</v>
      </c>
      <c r="AQ406" s="80" t="b">
        <v>0</v>
      </c>
      <c r="AR406" s="80" t="b">
        <v>0</v>
      </c>
      <c r="AS406" s="80" t="b">
        <v>1</v>
      </c>
      <c r="AT406" s="80"/>
      <c r="AU406" s="80">
        <v>26</v>
      </c>
      <c r="AV406" s="87" t="str">
        <f>HYPERLINK("https://abs.twimg.com/images/themes/theme1/bg.png")</f>
        <v>https://abs.twimg.com/images/themes/theme1/bg.png</v>
      </c>
      <c r="AW406" s="80" t="b">
        <v>1</v>
      </c>
      <c r="AX406" s="80" t="s">
        <v>10746</v>
      </c>
      <c r="AY406" s="87" t="str">
        <f>HYPERLINK("https://twitter.com/shopeemy")</f>
        <v>https://twitter.com/shopeemy</v>
      </c>
      <c r="AZ406" s="80" t="s">
        <v>65</v>
      </c>
      <c r="BA406" s="2"/>
      <c r="BB406" s="3"/>
      <c r="BC406" s="3"/>
      <c r="BD406" s="3"/>
      <c r="BE406" s="3"/>
    </row>
    <row r="407" spans="1:57" x14ac:dyDescent="0.35">
      <c r="A407" s="66" t="s">
        <v>1343</v>
      </c>
      <c r="B407" s="67"/>
      <c r="C407" s="67"/>
      <c r="D407" s="68"/>
      <c r="E407" s="70"/>
      <c r="F407" s="109" t="str">
        <f>HYPERLINK("https://pbs.twimg.com/profile_images/1316209556263895040/lnD0y_Hs_normal.jpg")</f>
        <v>https://pbs.twimg.com/profile_images/1316209556263895040/lnD0y_Hs_normal.jpg</v>
      </c>
      <c r="G407" s="67"/>
      <c r="H407" s="71"/>
      <c r="I407" s="72"/>
      <c r="J407" s="72"/>
      <c r="K407" s="71" t="s">
        <v>11150</v>
      </c>
      <c r="L407" s="75"/>
      <c r="M407" s="76"/>
      <c r="N407" s="76"/>
      <c r="O407" s="77"/>
      <c r="P407" s="78"/>
      <c r="Q407" s="78"/>
      <c r="R407" s="92"/>
      <c r="S407" s="92"/>
      <c r="T407" s="92"/>
      <c r="U407" s="92"/>
      <c r="V407" s="52"/>
      <c r="W407" s="52"/>
      <c r="X407" s="52"/>
      <c r="Y407" s="52"/>
      <c r="Z407" s="51"/>
      <c r="AA407" s="73"/>
      <c r="AB407" s="73"/>
      <c r="AC407" s="74"/>
      <c r="AD407" s="80" t="s">
        <v>6989</v>
      </c>
      <c r="AE407" s="85" t="s">
        <v>6303</v>
      </c>
      <c r="AF407" s="80">
        <v>63</v>
      </c>
      <c r="AG407" s="80">
        <v>79</v>
      </c>
      <c r="AH407" s="80">
        <v>2590</v>
      </c>
      <c r="AI407" s="80">
        <v>1896</v>
      </c>
      <c r="AJ407" s="80"/>
      <c r="AK407" s="80" t="s">
        <v>9313</v>
      </c>
      <c r="AL407" s="80" t="s">
        <v>10318</v>
      </c>
      <c r="AM407" s="80"/>
      <c r="AN407" s="80"/>
      <c r="AO407" s="82">
        <v>42535.719456018516</v>
      </c>
      <c r="AP407" s="80"/>
      <c r="AQ407" s="80" t="b">
        <v>1</v>
      </c>
      <c r="AR407" s="80" t="b">
        <v>0</v>
      </c>
      <c r="AS407" s="80" t="b">
        <v>0</v>
      </c>
      <c r="AT407" s="80"/>
      <c r="AU407" s="80">
        <v>0</v>
      </c>
      <c r="AV407" s="80"/>
      <c r="AW407" s="80" t="b">
        <v>0</v>
      </c>
      <c r="AX407" s="80" t="s">
        <v>10746</v>
      </c>
      <c r="AY407" s="87" t="str">
        <f>HYPERLINK("https://twitter.com/nasibujangg")</f>
        <v>https://twitter.com/nasibujangg</v>
      </c>
      <c r="AZ407" s="80" t="s">
        <v>65</v>
      </c>
      <c r="BA407" s="2"/>
      <c r="BB407" s="3"/>
      <c r="BC407" s="3"/>
      <c r="BD407" s="3"/>
      <c r="BE407" s="3"/>
    </row>
    <row r="408" spans="1:57" x14ac:dyDescent="0.35">
      <c r="A408" s="66" t="s">
        <v>540</v>
      </c>
      <c r="B408" s="67"/>
      <c r="C408" s="67"/>
      <c r="D408" s="68"/>
      <c r="E408" s="70"/>
      <c r="F408" s="109" t="str">
        <f>HYPERLINK("https://pbs.twimg.com/profile_images/1352418016927993856/51hUzTUi_normal.jpg")</f>
        <v>https://pbs.twimg.com/profile_images/1352418016927993856/51hUzTUi_normal.jpg</v>
      </c>
      <c r="G408" s="67"/>
      <c r="H408" s="71"/>
      <c r="I408" s="72"/>
      <c r="J408" s="72"/>
      <c r="K408" s="71" t="s">
        <v>11151</v>
      </c>
      <c r="L408" s="75"/>
      <c r="M408" s="76"/>
      <c r="N408" s="76"/>
      <c r="O408" s="77"/>
      <c r="P408" s="78"/>
      <c r="Q408" s="78"/>
      <c r="R408" s="92"/>
      <c r="S408" s="92"/>
      <c r="T408" s="92"/>
      <c r="U408" s="92"/>
      <c r="V408" s="52"/>
      <c r="W408" s="52"/>
      <c r="X408" s="52"/>
      <c r="Y408" s="52"/>
      <c r="Z408" s="51"/>
      <c r="AA408" s="73"/>
      <c r="AB408" s="73"/>
      <c r="AC408" s="74"/>
      <c r="AD408" s="80" t="s">
        <v>6990</v>
      </c>
      <c r="AE408" s="85" t="s">
        <v>8210</v>
      </c>
      <c r="AF408" s="80">
        <v>67</v>
      </c>
      <c r="AG408" s="80">
        <v>86</v>
      </c>
      <c r="AH408" s="80">
        <v>5173</v>
      </c>
      <c r="AI408" s="80">
        <v>3289</v>
      </c>
      <c r="AJ408" s="80"/>
      <c r="AK408" s="80" t="s">
        <v>9314</v>
      </c>
      <c r="AL408" s="80" t="s">
        <v>10319</v>
      </c>
      <c r="AM408" s="87" t="str">
        <f>HYPERLINK("https://t.co/oUnfPUxljh")</f>
        <v>https://t.co/oUnfPUxljh</v>
      </c>
      <c r="AN408" s="80"/>
      <c r="AO408" s="82">
        <v>43070.912465277775</v>
      </c>
      <c r="AP408" s="87" t="str">
        <f>HYPERLINK("https://pbs.twimg.com/profile_banners/936715015033208832/1603152247")</f>
        <v>https://pbs.twimg.com/profile_banners/936715015033208832/1603152247</v>
      </c>
      <c r="AQ408" s="80" t="b">
        <v>1</v>
      </c>
      <c r="AR408" s="80" t="b">
        <v>0</v>
      </c>
      <c r="AS408" s="80" t="b">
        <v>0</v>
      </c>
      <c r="AT408" s="80"/>
      <c r="AU408" s="80">
        <v>0</v>
      </c>
      <c r="AV408" s="80"/>
      <c r="AW408" s="80" t="b">
        <v>0</v>
      </c>
      <c r="AX408" s="80" t="s">
        <v>10746</v>
      </c>
      <c r="AY408" s="87" t="str">
        <f>HYPERLINK("https://twitter.com/jjkthygie")</f>
        <v>https://twitter.com/jjkthygie</v>
      </c>
      <c r="AZ408" s="80" t="s">
        <v>66</v>
      </c>
      <c r="BA408" s="2"/>
      <c r="BB408" s="3"/>
      <c r="BC408" s="3"/>
      <c r="BD408" s="3"/>
      <c r="BE408" s="3"/>
    </row>
    <row r="409" spans="1:57" x14ac:dyDescent="0.35">
      <c r="A409" s="66" t="s">
        <v>541</v>
      </c>
      <c r="B409" s="67"/>
      <c r="C409" s="67"/>
      <c r="D409" s="68"/>
      <c r="E409" s="70"/>
      <c r="F409" s="109" t="str">
        <f>HYPERLINK("https://pbs.twimg.com/profile_images/1434727278970216450/L00UPvxF_normal.jpg")</f>
        <v>https://pbs.twimg.com/profile_images/1434727278970216450/L00UPvxF_normal.jpg</v>
      </c>
      <c r="G409" s="67"/>
      <c r="H409" s="71"/>
      <c r="I409" s="72"/>
      <c r="J409" s="72"/>
      <c r="K409" s="71" t="s">
        <v>11152</v>
      </c>
      <c r="L409" s="75"/>
      <c r="M409" s="76"/>
      <c r="N409" s="76"/>
      <c r="O409" s="77"/>
      <c r="P409" s="78"/>
      <c r="Q409" s="78"/>
      <c r="R409" s="92"/>
      <c r="S409" s="92"/>
      <c r="T409" s="92"/>
      <c r="U409" s="92"/>
      <c r="V409" s="52"/>
      <c r="W409" s="52"/>
      <c r="X409" s="52"/>
      <c r="Y409" s="52"/>
      <c r="Z409" s="51"/>
      <c r="AA409" s="73"/>
      <c r="AB409" s="73"/>
      <c r="AC409" s="74"/>
      <c r="AD409" s="80" t="s">
        <v>6991</v>
      </c>
      <c r="AE409" s="85" t="s">
        <v>6304</v>
      </c>
      <c r="AF409" s="80">
        <v>17</v>
      </c>
      <c r="AG409" s="80">
        <v>11</v>
      </c>
      <c r="AH409" s="80">
        <v>562</v>
      </c>
      <c r="AI409" s="80">
        <v>158</v>
      </c>
      <c r="AJ409" s="80"/>
      <c r="AK409" s="80" t="s">
        <v>9315</v>
      </c>
      <c r="AL409" s="80"/>
      <c r="AM409" s="80"/>
      <c r="AN409" s="80"/>
      <c r="AO409" s="82">
        <v>44309.379374999997</v>
      </c>
      <c r="AP409" s="87" t="str">
        <f>HYPERLINK("https://pbs.twimg.com/profile_banners/1385520354664206339/1629091147")</f>
        <v>https://pbs.twimg.com/profile_banners/1385520354664206339/1629091147</v>
      </c>
      <c r="AQ409" s="80" t="b">
        <v>1</v>
      </c>
      <c r="AR409" s="80" t="b">
        <v>0</v>
      </c>
      <c r="AS409" s="80" t="b">
        <v>0</v>
      </c>
      <c r="AT409" s="80"/>
      <c r="AU409" s="80">
        <v>0</v>
      </c>
      <c r="AV409" s="80"/>
      <c r="AW409" s="80" t="b">
        <v>0</v>
      </c>
      <c r="AX409" s="80" t="s">
        <v>10746</v>
      </c>
      <c r="AY409" s="87" t="str">
        <f>HYPERLINK("https://twitter.com/jekeyy1201")</f>
        <v>https://twitter.com/jekeyy1201</v>
      </c>
      <c r="AZ409" s="80" t="s">
        <v>66</v>
      </c>
      <c r="BA409" s="2"/>
      <c r="BB409" s="3"/>
      <c r="BC409" s="3"/>
      <c r="BD409" s="3"/>
      <c r="BE409" s="3"/>
    </row>
    <row r="410" spans="1:57" x14ac:dyDescent="0.35">
      <c r="A410" s="66" t="s">
        <v>542</v>
      </c>
      <c r="B410" s="67"/>
      <c r="C410" s="67"/>
      <c r="D410" s="68"/>
      <c r="E410" s="70"/>
      <c r="F410" s="109" t="str">
        <f>HYPERLINK("https://pbs.twimg.com/profile_images/1439066370121998339/4OO-_k32_normal.jpg")</f>
        <v>https://pbs.twimg.com/profile_images/1439066370121998339/4OO-_k32_normal.jpg</v>
      </c>
      <c r="G410" s="67"/>
      <c r="H410" s="71"/>
      <c r="I410" s="72"/>
      <c r="J410" s="72"/>
      <c r="K410" s="71" t="s">
        <v>11153</v>
      </c>
      <c r="L410" s="75"/>
      <c r="M410" s="76"/>
      <c r="N410" s="76"/>
      <c r="O410" s="77"/>
      <c r="P410" s="78"/>
      <c r="Q410" s="78"/>
      <c r="R410" s="92"/>
      <c r="S410" s="92"/>
      <c r="T410" s="92"/>
      <c r="U410" s="92"/>
      <c r="V410" s="52"/>
      <c r="W410" s="52"/>
      <c r="X410" s="52"/>
      <c r="Y410" s="52"/>
      <c r="Z410" s="51"/>
      <c r="AA410" s="73"/>
      <c r="AB410" s="73"/>
      <c r="AC410" s="74"/>
      <c r="AD410" s="80" t="s">
        <v>6992</v>
      </c>
      <c r="AE410" s="85" t="s">
        <v>8211</v>
      </c>
      <c r="AF410" s="80">
        <v>450</v>
      </c>
      <c r="AG410" s="80">
        <v>262</v>
      </c>
      <c r="AH410" s="80">
        <v>15786</v>
      </c>
      <c r="AI410" s="80">
        <v>3991</v>
      </c>
      <c r="AJ410" s="80"/>
      <c r="AK410" s="80" t="s">
        <v>9316</v>
      </c>
      <c r="AL410" s="80" t="s">
        <v>10320</v>
      </c>
      <c r="AM410" s="80"/>
      <c r="AN410" s="80"/>
      <c r="AO410" s="82">
        <v>43224.548020833332</v>
      </c>
      <c r="AP410" s="87" t="str">
        <f>HYPERLINK("https://pbs.twimg.com/profile_banners/992390676326199296/1588920729")</f>
        <v>https://pbs.twimg.com/profile_banners/992390676326199296/1588920729</v>
      </c>
      <c r="AQ410" s="80" t="b">
        <v>1</v>
      </c>
      <c r="AR410" s="80" t="b">
        <v>0</v>
      </c>
      <c r="AS410" s="80" t="b">
        <v>1</v>
      </c>
      <c r="AT410" s="80"/>
      <c r="AU410" s="80">
        <v>0</v>
      </c>
      <c r="AV410" s="80"/>
      <c r="AW410" s="80" t="b">
        <v>0</v>
      </c>
      <c r="AX410" s="80" t="s">
        <v>10746</v>
      </c>
      <c r="AY410" s="87" t="str">
        <f>HYPERLINK("https://twitter.com/dw_sardjono")</f>
        <v>https://twitter.com/dw_sardjono</v>
      </c>
      <c r="AZ410" s="80" t="s">
        <v>66</v>
      </c>
      <c r="BA410" s="2"/>
      <c r="BB410" s="3"/>
      <c r="BC410" s="3"/>
      <c r="BD410" s="3"/>
      <c r="BE410" s="3"/>
    </row>
    <row r="411" spans="1:57" x14ac:dyDescent="0.35">
      <c r="A411" s="66" t="s">
        <v>654</v>
      </c>
      <c r="B411" s="67"/>
      <c r="C411" s="67"/>
      <c r="D411" s="68"/>
      <c r="E411" s="70"/>
      <c r="F411" s="109" t="str">
        <f>HYPERLINK("https://pbs.twimg.com/profile_images/1429581706739150848/tu3hLDpN_normal.jpg")</f>
        <v>https://pbs.twimg.com/profile_images/1429581706739150848/tu3hLDpN_normal.jpg</v>
      </c>
      <c r="G411" s="67"/>
      <c r="H411" s="71"/>
      <c r="I411" s="72"/>
      <c r="J411" s="72"/>
      <c r="K411" s="71" t="s">
        <v>11154</v>
      </c>
      <c r="L411" s="75"/>
      <c r="M411" s="76"/>
      <c r="N411" s="76"/>
      <c r="O411" s="77"/>
      <c r="P411" s="78"/>
      <c r="Q411" s="78"/>
      <c r="R411" s="92"/>
      <c r="S411" s="92"/>
      <c r="T411" s="92"/>
      <c r="U411" s="92"/>
      <c r="V411" s="52"/>
      <c r="W411" s="52"/>
      <c r="X411" s="52"/>
      <c r="Y411" s="52"/>
      <c r="Z411" s="51"/>
      <c r="AA411" s="73"/>
      <c r="AB411" s="73"/>
      <c r="AC411" s="74"/>
      <c r="AD411" s="80" t="s">
        <v>6993</v>
      </c>
      <c r="AE411" s="85" t="s">
        <v>8212</v>
      </c>
      <c r="AF411" s="80">
        <v>1202</v>
      </c>
      <c r="AG411" s="80">
        <v>1776</v>
      </c>
      <c r="AH411" s="80">
        <v>2263</v>
      </c>
      <c r="AI411" s="80">
        <v>3043</v>
      </c>
      <c r="AJ411" s="80"/>
      <c r="AK411" s="80" t="s">
        <v>9317</v>
      </c>
      <c r="AL411" s="80" t="s">
        <v>6543</v>
      </c>
      <c r="AM411" s="80"/>
      <c r="AN411" s="80"/>
      <c r="AO411" s="82">
        <v>43609.927349537036</v>
      </c>
      <c r="AP411" s="87" t="str">
        <f>HYPERLINK("https://pbs.twimg.com/profile_banners/1132047468269572097/1632378579")</f>
        <v>https://pbs.twimg.com/profile_banners/1132047468269572097/1632378579</v>
      </c>
      <c r="AQ411" s="80" t="b">
        <v>1</v>
      </c>
      <c r="AR411" s="80" t="b">
        <v>0</v>
      </c>
      <c r="AS411" s="80" t="b">
        <v>0</v>
      </c>
      <c r="AT411" s="80"/>
      <c r="AU411" s="80">
        <v>5</v>
      </c>
      <c r="AV411" s="80"/>
      <c r="AW411" s="80" t="b">
        <v>0</v>
      </c>
      <c r="AX411" s="80" t="s">
        <v>10746</v>
      </c>
      <c r="AY411" s="87" t="str">
        <f>HYPERLINK("https://twitter.com/andrifigfarm")</f>
        <v>https://twitter.com/andrifigfarm</v>
      </c>
      <c r="AZ411" s="80" t="s">
        <v>66</v>
      </c>
      <c r="BA411" s="2"/>
      <c r="BB411" s="3"/>
      <c r="BC411" s="3"/>
      <c r="BD411" s="3"/>
      <c r="BE411" s="3"/>
    </row>
    <row r="412" spans="1:57" x14ac:dyDescent="0.35">
      <c r="A412" s="66" t="s">
        <v>543</v>
      </c>
      <c r="B412" s="67"/>
      <c r="C412" s="67"/>
      <c r="D412" s="68"/>
      <c r="E412" s="70"/>
      <c r="F412" s="109" t="str">
        <f>HYPERLINK("https://pbs.twimg.com/profile_images/1438305026963771393/hdIVGZhC_normal.jpg")</f>
        <v>https://pbs.twimg.com/profile_images/1438305026963771393/hdIVGZhC_normal.jpg</v>
      </c>
      <c r="G412" s="67"/>
      <c r="H412" s="71"/>
      <c r="I412" s="72"/>
      <c r="J412" s="72"/>
      <c r="K412" s="71" t="s">
        <v>11155</v>
      </c>
      <c r="L412" s="75"/>
      <c r="M412" s="76"/>
      <c r="N412" s="76"/>
      <c r="O412" s="77"/>
      <c r="P412" s="78"/>
      <c r="Q412" s="78"/>
      <c r="R412" s="92"/>
      <c r="S412" s="92"/>
      <c r="T412" s="92"/>
      <c r="U412" s="92"/>
      <c r="V412" s="52"/>
      <c r="W412" s="52"/>
      <c r="X412" s="52"/>
      <c r="Y412" s="52"/>
      <c r="Z412" s="51"/>
      <c r="AA412" s="73"/>
      <c r="AB412" s="73"/>
      <c r="AC412" s="74"/>
      <c r="AD412" s="80">
        <v>911</v>
      </c>
      <c r="AE412" s="85" t="s">
        <v>8213</v>
      </c>
      <c r="AF412" s="80">
        <v>435</v>
      </c>
      <c r="AG412" s="80">
        <v>575</v>
      </c>
      <c r="AH412" s="80">
        <v>4573</v>
      </c>
      <c r="AI412" s="80">
        <v>889</v>
      </c>
      <c r="AJ412" s="80"/>
      <c r="AK412" s="80" t="s">
        <v>9318</v>
      </c>
      <c r="AL412" s="80" t="s">
        <v>10321</v>
      </c>
      <c r="AM412" s="87" t="str">
        <f>HYPERLINK("https://t.co/ma3jjaYe6t")</f>
        <v>https://t.co/ma3jjaYe6t</v>
      </c>
      <c r="AN412" s="80"/>
      <c r="AO412" s="82">
        <v>44161.423611111109</v>
      </c>
      <c r="AP412" s="87" t="str">
        <f>HYPERLINK("https://pbs.twimg.com/profile_banners/1331902964655550465/1608780892")</f>
        <v>https://pbs.twimg.com/profile_banners/1331902964655550465/1608780892</v>
      </c>
      <c r="AQ412" s="80" t="b">
        <v>1</v>
      </c>
      <c r="AR412" s="80" t="b">
        <v>0</v>
      </c>
      <c r="AS412" s="80" t="b">
        <v>1</v>
      </c>
      <c r="AT412" s="80"/>
      <c r="AU412" s="80">
        <v>1</v>
      </c>
      <c r="AV412" s="80"/>
      <c r="AW412" s="80" t="b">
        <v>0</v>
      </c>
      <c r="AX412" s="80" t="s">
        <v>10746</v>
      </c>
      <c r="AY412" s="87" t="str">
        <f>HYPERLINK("https://twitter.com/widddigidaw")</f>
        <v>https://twitter.com/widddigidaw</v>
      </c>
      <c r="AZ412" s="80" t="s">
        <v>66</v>
      </c>
      <c r="BA412" s="2"/>
      <c r="BB412" s="3"/>
      <c r="BC412" s="3"/>
      <c r="BD412" s="3"/>
      <c r="BE412" s="3"/>
    </row>
    <row r="413" spans="1:57" x14ac:dyDescent="0.35">
      <c r="A413" s="66" t="s">
        <v>1344</v>
      </c>
      <c r="B413" s="67"/>
      <c r="C413" s="67"/>
      <c r="D413" s="68"/>
      <c r="E413" s="70"/>
      <c r="F413" s="109" t="str">
        <f>HYPERLINK("https://pbs.twimg.com/profile_images/1428758499467554820/IkedgkZE_normal.jpg")</f>
        <v>https://pbs.twimg.com/profile_images/1428758499467554820/IkedgkZE_normal.jpg</v>
      </c>
      <c r="G413" s="67"/>
      <c r="H413" s="71"/>
      <c r="I413" s="72"/>
      <c r="J413" s="72"/>
      <c r="K413" s="71" t="s">
        <v>11156</v>
      </c>
      <c r="L413" s="75"/>
      <c r="M413" s="76"/>
      <c r="N413" s="76"/>
      <c r="O413" s="77"/>
      <c r="P413" s="78"/>
      <c r="Q413" s="78"/>
      <c r="R413" s="92"/>
      <c r="S413" s="92"/>
      <c r="T413" s="92"/>
      <c r="U413" s="92"/>
      <c r="V413" s="52"/>
      <c r="W413" s="52"/>
      <c r="X413" s="52"/>
      <c r="Y413" s="52"/>
      <c r="Z413" s="51"/>
      <c r="AA413" s="73"/>
      <c r="AB413" s="73"/>
      <c r="AC413" s="74"/>
      <c r="AD413" s="80" t="s">
        <v>6994</v>
      </c>
      <c r="AE413" s="85" t="s">
        <v>6305</v>
      </c>
      <c r="AF413" s="80">
        <v>3743</v>
      </c>
      <c r="AG413" s="80">
        <v>81418</v>
      </c>
      <c r="AH413" s="80">
        <v>569852</v>
      </c>
      <c r="AI413" s="80">
        <v>10</v>
      </c>
      <c r="AJ413" s="80"/>
      <c r="AK413" s="80" t="s">
        <v>9319</v>
      </c>
      <c r="AL413" s="80" t="s">
        <v>10322</v>
      </c>
      <c r="AM413" s="87" t="str">
        <f>HYPERLINK("https://t.co/Pbo3Tjon0O")</f>
        <v>https://t.co/Pbo3Tjon0O</v>
      </c>
      <c r="AN413" s="80"/>
      <c r="AO413" s="82">
        <v>43919.655289351853</v>
      </c>
      <c r="AP413" s="87" t="str">
        <f>HYPERLINK("https://pbs.twimg.com/profile_banners/1244288919010607104/1585888982")</f>
        <v>https://pbs.twimg.com/profile_banners/1244288919010607104/1585888982</v>
      </c>
      <c r="AQ413" s="80" t="b">
        <v>1</v>
      </c>
      <c r="AR413" s="80" t="b">
        <v>0</v>
      </c>
      <c r="AS413" s="80" t="b">
        <v>0</v>
      </c>
      <c r="AT413" s="80"/>
      <c r="AU413" s="80">
        <v>966</v>
      </c>
      <c r="AV413" s="80"/>
      <c r="AW413" s="80" t="b">
        <v>0</v>
      </c>
      <c r="AX413" s="80" t="s">
        <v>10746</v>
      </c>
      <c r="AY413" s="87" t="str">
        <f>HYPERLINK("https://twitter.com/menfesssyg")</f>
        <v>https://twitter.com/menfesssyg</v>
      </c>
      <c r="AZ413" s="80" t="s">
        <v>65</v>
      </c>
      <c r="BA413" s="2"/>
      <c r="BB413" s="3"/>
      <c r="BC413" s="3"/>
      <c r="BD413" s="3"/>
      <c r="BE413" s="3"/>
    </row>
    <row r="414" spans="1:57" x14ac:dyDescent="0.35">
      <c r="A414" s="66" t="s">
        <v>544</v>
      </c>
      <c r="B414" s="67"/>
      <c r="C414" s="67"/>
      <c r="D414" s="68"/>
      <c r="E414" s="70"/>
      <c r="F414" s="109" t="str">
        <f>HYPERLINK("https://pbs.twimg.com/profile_images/1441039385663664135/GeiUM7B6_normal.png")</f>
        <v>https://pbs.twimg.com/profile_images/1441039385663664135/GeiUM7B6_normal.png</v>
      </c>
      <c r="G414" s="67"/>
      <c r="H414" s="71"/>
      <c r="I414" s="72"/>
      <c r="J414" s="72"/>
      <c r="K414" s="71" t="s">
        <v>11157</v>
      </c>
      <c r="L414" s="75"/>
      <c r="M414" s="76"/>
      <c r="N414" s="76"/>
      <c r="O414" s="77"/>
      <c r="P414" s="78"/>
      <c r="Q414" s="78"/>
      <c r="R414" s="92"/>
      <c r="S414" s="92"/>
      <c r="T414" s="92"/>
      <c r="U414" s="92"/>
      <c r="V414" s="52"/>
      <c r="W414" s="52"/>
      <c r="X414" s="52"/>
      <c r="Y414" s="52"/>
      <c r="Z414" s="51"/>
      <c r="AA414" s="73"/>
      <c r="AB414" s="73"/>
      <c r="AC414" s="74"/>
      <c r="AD414" s="80" t="s">
        <v>6995</v>
      </c>
      <c r="AE414" s="85" t="s">
        <v>8214</v>
      </c>
      <c r="AF414" s="80">
        <v>203</v>
      </c>
      <c r="AG414" s="80">
        <v>161</v>
      </c>
      <c r="AH414" s="80">
        <v>2727</v>
      </c>
      <c r="AI414" s="80">
        <v>2657</v>
      </c>
      <c r="AJ414" s="80"/>
      <c r="AK414" s="80" t="s">
        <v>9320</v>
      </c>
      <c r="AL414" s="80" t="s">
        <v>10323</v>
      </c>
      <c r="AM414" s="80"/>
      <c r="AN414" s="80"/>
      <c r="AO414" s="82">
        <v>44298.790231481478</v>
      </c>
      <c r="AP414" s="87" t="str">
        <f>HYPERLINK("https://pbs.twimg.com/profile_banners/1381682934558547969/1629354023")</f>
        <v>https://pbs.twimg.com/profile_banners/1381682934558547969/1629354023</v>
      </c>
      <c r="AQ414" s="80" t="b">
        <v>1</v>
      </c>
      <c r="AR414" s="80" t="b">
        <v>0</v>
      </c>
      <c r="AS414" s="80" t="b">
        <v>0</v>
      </c>
      <c r="AT414" s="80"/>
      <c r="AU414" s="80">
        <v>0</v>
      </c>
      <c r="AV414" s="80"/>
      <c r="AW414" s="80" t="b">
        <v>0</v>
      </c>
      <c r="AX414" s="80" t="s">
        <v>10746</v>
      </c>
      <c r="AY414" s="87" t="str">
        <f>HYPERLINK("https://twitter.com/95tdoongz")</f>
        <v>https://twitter.com/95tdoongz</v>
      </c>
      <c r="AZ414" s="80" t="s">
        <v>66</v>
      </c>
      <c r="BA414" s="2"/>
      <c r="BB414" s="3"/>
      <c r="BC414" s="3"/>
      <c r="BD414" s="3"/>
      <c r="BE414" s="3"/>
    </row>
    <row r="415" spans="1:57" x14ac:dyDescent="0.35">
      <c r="A415" s="66" t="s">
        <v>1345</v>
      </c>
      <c r="B415" s="67"/>
      <c r="C415" s="67"/>
      <c r="D415" s="68"/>
      <c r="E415" s="70"/>
      <c r="F415" s="109" t="str">
        <f>HYPERLINK("https://pbs.twimg.com/profile_images/1440295670519189504/g7L82MaI_normal.jpg")</f>
        <v>https://pbs.twimg.com/profile_images/1440295670519189504/g7L82MaI_normal.jpg</v>
      </c>
      <c r="G415" s="67"/>
      <c r="H415" s="71"/>
      <c r="I415" s="72"/>
      <c r="J415" s="72"/>
      <c r="K415" s="71" t="s">
        <v>11158</v>
      </c>
      <c r="L415" s="75"/>
      <c r="M415" s="76"/>
      <c r="N415" s="76"/>
      <c r="O415" s="77"/>
      <c r="P415" s="78"/>
      <c r="Q415" s="78"/>
      <c r="R415" s="92"/>
      <c r="S415" s="92"/>
      <c r="T415" s="92"/>
      <c r="U415" s="92"/>
      <c r="V415" s="52"/>
      <c r="W415" s="52"/>
      <c r="X415" s="52"/>
      <c r="Y415" s="52"/>
      <c r="Z415" s="51"/>
      <c r="AA415" s="73"/>
      <c r="AB415" s="73"/>
      <c r="AC415" s="74"/>
      <c r="AD415" s="80" t="s">
        <v>6996</v>
      </c>
      <c r="AE415" s="85" t="s">
        <v>6306</v>
      </c>
      <c r="AF415" s="80">
        <v>295</v>
      </c>
      <c r="AG415" s="80">
        <v>269</v>
      </c>
      <c r="AH415" s="80">
        <v>7427</v>
      </c>
      <c r="AI415" s="80">
        <v>720</v>
      </c>
      <c r="AJ415" s="80"/>
      <c r="AK415" s="80" t="s">
        <v>9321</v>
      </c>
      <c r="AL415" s="80" t="s">
        <v>10324</v>
      </c>
      <c r="AM415" s="87" t="str">
        <f>HYPERLINK("https://t.co/GBNomk6lsw")</f>
        <v>https://t.co/GBNomk6lsw</v>
      </c>
      <c r="AN415" s="80"/>
      <c r="AO415" s="82">
        <v>44356.311354166668</v>
      </c>
      <c r="AP415" s="87" t="str">
        <f>HYPERLINK("https://pbs.twimg.com/profile_banners/1402527912029417480/1632228272")</f>
        <v>https://pbs.twimg.com/profile_banners/1402527912029417480/1632228272</v>
      </c>
      <c r="AQ415" s="80" t="b">
        <v>1</v>
      </c>
      <c r="AR415" s="80" t="b">
        <v>0</v>
      </c>
      <c r="AS415" s="80" t="b">
        <v>0</v>
      </c>
      <c r="AT415" s="80"/>
      <c r="AU415" s="80">
        <v>0</v>
      </c>
      <c r="AV415" s="80"/>
      <c r="AW415" s="80" t="b">
        <v>0</v>
      </c>
      <c r="AX415" s="80" t="s">
        <v>10746</v>
      </c>
      <c r="AY415" s="87" t="str">
        <f>HYPERLINK("https://twitter.com/restbuy")</f>
        <v>https://twitter.com/restbuy</v>
      </c>
      <c r="AZ415" s="80" t="s">
        <v>65</v>
      </c>
      <c r="BA415" s="2"/>
      <c r="BB415" s="3"/>
      <c r="BC415" s="3"/>
      <c r="BD415" s="3"/>
      <c r="BE415" s="3"/>
    </row>
    <row r="416" spans="1:57" x14ac:dyDescent="0.35">
      <c r="A416" s="66" t="s">
        <v>545</v>
      </c>
      <c r="B416" s="67"/>
      <c r="C416" s="67"/>
      <c r="D416" s="68"/>
      <c r="E416" s="70"/>
      <c r="F416" s="109" t="str">
        <f>HYPERLINK("https://pbs.twimg.com/profile_images/1435112067288109061/uelB1zjO_normal.jpg")</f>
        <v>https://pbs.twimg.com/profile_images/1435112067288109061/uelB1zjO_normal.jpg</v>
      </c>
      <c r="G416" s="67"/>
      <c r="H416" s="71"/>
      <c r="I416" s="72"/>
      <c r="J416" s="72"/>
      <c r="K416" s="71" t="s">
        <v>11159</v>
      </c>
      <c r="L416" s="75"/>
      <c r="M416" s="76"/>
      <c r="N416" s="76"/>
      <c r="O416" s="77"/>
      <c r="P416" s="78"/>
      <c r="Q416" s="78"/>
      <c r="R416" s="92"/>
      <c r="S416" s="92"/>
      <c r="T416" s="92"/>
      <c r="U416" s="92"/>
      <c r="V416" s="52"/>
      <c r="W416" s="52"/>
      <c r="X416" s="52"/>
      <c r="Y416" s="52"/>
      <c r="Z416" s="51"/>
      <c r="AA416" s="73"/>
      <c r="AB416" s="73"/>
      <c r="AC416" s="74"/>
      <c r="AD416" s="80" t="s">
        <v>6997</v>
      </c>
      <c r="AE416" s="85" t="s">
        <v>8215</v>
      </c>
      <c r="AF416" s="80">
        <v>8105</v>
      </c>
      <c r="AG416" s="80">
        <v>8879</v>
      </c>
      <c r="AH416" s="80">
        <v>70770</v>
      </c>
      <c r="AI416" s="80">
        <v>845</v>
      </c>
      <c r="AJ416" s="80"/>
      <c r="AK416" s="80" t="s">
        <v>9322</v>
      </c>
      <c r="AL416" s="80"/>
      <c r="AM416" s="80"/>
      <c r="AN416" s="80"/>
      <c r="AO416" s="82">
        <v>43682.293738425928</v>
      </c>
      <c r="AP416" s="87" t="str">
        <f>HYPERLINK("https://pbs.twimg.com/profile_banners/1158272167353581569/1631080751")</f>
        <v>https://pbs.twimg.com/profile_banners/1158272167353581569/1631080751</v>
      </c>
      <c r="AQ416" s="80" t="b">
        <v>1</v>
      </c>
      <c r="AR416" s="80" t="b">
        <v>0</v>
      </c>
      <c r="AS416" s="80" t="b">
        <v>0</v>
      </c>
      <c r="AT416" s="80"/>
      <c r="AU416" s="80">
        <v>17</v>
      </c>
      <c r="AV416" s="80"/>
      <c r="AW416" s="80" t="b">
        <v>0</v>
      </c>
      <c r="AX416" s="80" t="s">
        <v>10746</v>
      </c>
      <c r="AY416" s="87" t="str">
        <f>HYPERLINK("https://twitter.com/putr4sj")</f>
        <v>https://twitter.com/putr4sj</v>
      </c>
      <c r="AZ416" s="80" t="s">
        <v>66</v>
      </c>
      <c r="BA416" s="2"/>
      <c r="BB416" s="3"/>
      <c r="BC416" s="3"/>
      <c r="BD416" s="3"/>
      <c r="BE416" s="3"/>
    </row>
    <row r="417" spans="1:57" x14ac:dyDescent="0.35">
      <c r="A417" s="66" t="s">
        <v>1346</v>
      </c>
      <c r="B417" s="67"/>
      <c r="C417" s="67"/>
      <c r="D417" s="68"/>
      <c r="E417" s="70"/>
      <c r="F417" s="109" t="str">
        <f>HYPERLINK("https://pbs.twimg.com/profile_images/900198549270523904/qKHLmk9k_normal.jpg")</f>
        <v>https://pbs.twimg.com/profile_images/900198549270523904/qKHLmk9k_normal.jpg</v>
      </c>
      <c r="G417" s="67"/>
      <c r="H417" s="71"/>
      <c r="I417" s="72"/>
      <c r="J417" s="72"/>
      <c r="K417" s="71" t="s">
        <v>11160</v>
      </c>
      <c r="L417" s="75"/>
      <c r="M417" s="76"/>
      <c r="N417" s="76"/>
      <c r="O417" s="77"/>
      <c r="P417" s="78"/>
      <c r="Q417" s="78"/>
      <c r="R417" s="92"/>
      <c r="S417" s="92"/>
      <c r="T417" s="92"/>
      <c r="U417" s="92"/>
      <c r="V417" s="52"/>
      <c r="W417" s="52"/>
      <c r="X417" s="52"/>
      <c r="Y417" s="52"/>
      <c r="Z417" s="51"/>
      <c r="AA417" s="73"/>
      <c r="AB417" s="73"/>
      <c r="AC417" s="74"/>
      <c r="AD417" s="80" t="s">
        <v>6998</v>
      </c>
      <c r="AE417" s="85" t="s">
        <v>8216</v>
      </c>
      <c r="AF417" s="80">
        <v>161</v>
      </c>
      <c r="AG417" s="80">
        <v>309446</v>
      </c>
      <c r="AH417" s="80">
        <v>16020</v>
      </c>
      <c r="AI417" s="80">
        <v>2567</v>
      </c>
      <c r="AJ417" s="80"/>
      <c r="AK417" s="80" t="s">
        <v>9323</v>
      </c>
      <c r="AL417" s="80" t="s">
        <v>10325</v>
      </c>
      <c r="AM417" s="87" t="str">
        <f>HYPERLINK("https://t.co/ZyQEFWW574")</f>
        <v>https://t.co/ZyQEFWW574</v>
      </c>
      <c r="AN417" s="80"/>
      <c r="AO417" s="82">
        <v>41947.369363425925</v>
      </c>
      <c r="AP417" s="87" t="str">
        <f>HYPERLINK("https://pbs.twimg.com/profile_banners/2889531644/1629352401")</f>
        <v>https://pbs.twimg.com/profile_banners/2889531644/1629352401</v>
      </c>
      <c r="AQ417" s="80" t="b">
        <v>0</v>
      </c>
      <c r="AR417" s="80" t="b">
        <v>0</v>
      </c>
      <c r="AS417" s="80" t="b">
        <v>1</v>
      </c>
      <c r="AT417" s="80"/>
      <c r="AU417" s="80">
        <v>226</v>
      </c>
      <c r="AV417" s="87" t="str">
        <f>HYPERLINK("https://abs.twimg.com/images/themes/theme1/bg.png")</f>
        <v>https://abs.twimg.com/images/themes/theme1/bg.png</v>
      </c>
      <c r="AW417" s="80" t="b">
        <v>1</v>
      </c>
      <c r="AX417" s="80" t="s">
        <v>10746</v>
      </c>
      <c r="AY417" s="87" t="str">
        <f>HYPERLINK("https://twitter.com/kemensosri")</f>
        <v>https://twitter.com/kemensosri</v>
      </c>
      <c r="AZ417" s="80" t="s">
        <v>65</v>
      </c>
      <c r="BA417" s="2"/>
      <c r="BB417" s="3"/>
      <c r="BC417" s="3"/>
      <c r="BD417" s="3"/>
      <c r="BE417" s="3"/>
    </row>
    <row r="418" spans="1:57" x14ac:dyDescent="0.35">
      <c r="A418" s="66" t="s">
        <v>546</v>
      </c>
      <c r="B418" s="67"/>
      <c r="C418" s="67"/>
      <c r="D418" s="68"/>
      <c r="E418" s="70"/>
      <c r="F418" s="109" t="str">
        <f>HYPERLINK("https://pbs.twimg.com/profile_images/1347368915744157696/YM11au-1_normal.jpg")</f>
        <v>https://pbs.twimg.com/profile_images/1347368915744157696/YM11au-1_normal.jpg</v>
      </c>
      <c r="G418" s="67"/>
      <c r="H418" s="71"/>
      <c r="I418" s="72"/>
      <c r="J418" s="72"/>
      <c r="K418" s="71" t="s">
        <v>11161</v>
      </c>
      <c r="L418" s="75"/>
      <c r="M418" s="76"/>
      <c r="N418" s="76"/>
      <c r="O418" s="77"/>
      <c r="P418" s="78"/>
      <c r="Q418" s="78"/>
      <c r="R418" s="92"/>
      <c r="S418" s="92"/>
      <c r="T418" s="92"/>
      <c r="U418" s="92"/>
      <c r="V418" s="52"/>
      <c r="W418" s="52"/>
      <c r="X418" s="52"/>
      <c r="Y418" s="52"/>
      <c r="Z418" s="51"/>
      <c r="AA418" s="73"/>
      <c r="AB418" s="73"/>
      <c r="AC418" s="74"/>
      <c r="AD418" s="80" t="s">
        <v>6999</v>
      </c>
      <c r="AE418" s="85" t="s">
        <v>8217</v>
      </c>
      <c r="AF418" s="80">
        <v>123</v>
      </c>
      <c r="AG418" s="80">
        <v>98</v>
      </c>
      <c r="AH418" s="80">
        <v>872</v>
      </c>
      <c r="AI418" s="80">
        <v>255</v>
      </c>
      <c r="AJ418" s="80"/>
      <c r="AK418" s="80" t="s">
        <v>9324</v>
      </c>
      <c r="AL418" s="80"/>
      <c r="AM418" s="80"/>
      <c r="AN418" s="80"/>
      <c r="AO418" s="82">
        <v>44204.100486111114</v>
      </c>
      <c r="AP418" s="80"/>
      <c r="AQ418" s="80" t="b">
        <v>1</v>
      </c>
      <c r="AR418" s="80" t="b">
        <v>0</v>
      </c>
      <c r="AS418" s="80" t="b">
        <v>0</v>
      </c>
      <c r="AT418" s="80"/>
      <c r="AU418" s="80">
        <v>3</v>
      </c>
      <c r="AV418" s="80"/>
      <c r="AW418" s="80" t="b">
        <v>0</v>
      </c>
      <c r="AX418" s="80" t="s">
        <v>10746</v>
      </c>
      <c r="AY418" s="87" t="str">
        <f>HYPERLINK("https://twitter.com/mktbhbooks")</f>
        <v>https://twitter.com/mktbhbooks</v>
      </c>
      <c r="AZ418" s="80" t="s">
        <v>66</v>
      </c>
      <c r="BA418" s="2"/>
      <c r="BB418" s="3"/>
      <c r="BC418" s="3"/>
      <c r="BD418" s="3"/>
      <c r="BE418" s="3"/>
    </row>
    <row r="419" spans="1:57" x14ac:dyDescent="0.35">
      <c r="A419" s="66" t="s">
        <v>547</v>
      </c>
      <c r="B419" s="67"/>
      <c r="C419" s="67"/>
      <c r="D419" s="68"/>
      <c r="E419" s="70"/>
      <c r="F419" s="109" t="str">
        <f>HYPERLINK("https://pbs.twimg.com/profile_images/1437989387069919238/liajAcnY_normal.jpg")</f>
        <v>https://pbs.twimg.com/profile_images/1437989387069919238/liajAcnY_normal.jpg</v>
      </c>
      <c r="G419" s="67"/>
      <c r="H419" s="71"/>
      <c r="I419" s="72"/>
      <c r="J419" s="72"/>
      <c r="K419" s="71" t="s">
        <v>11162</v>
      </c>
      <c r="L419" s="75"/>
      <c r="M419" s="76"/>
      <c r="N419" s="76"/>
      <c r="O419" s="77"/>
      <c r="P419" s="78"/>
      <c r="Q419" s="78"/>
      <c r="R419" s="92"/>
      <c r="S419" s="92"/>
      <c r="T419" s="92"/>
      <c r="U419" s="92"/>
      <c r="V419" s="52"/>
      <c r="W419" s="52"/>
      <c r="X419" s="52"/>
      <c r="Y419" s="52"/>
      <c r="Z419" s="51"/>
      <c r="AA419" s="73"/>
      <c r="AB419" s="73"/>
      <c r="AC419" s="74"/>
      <c r="AD419" s="80" t="s">
        <v>7000</v>
      </c>
      <c r="AE419" s="85" t="s">
        <v>8218</v>
      </c>
      <c r="AF419" s="80">
        <v>398</v>
      </c>
      <c r="AG419" s="80">
        <v>495</v>
      </c>
      <c r="AH419" s="80">
        <v>19611</v>
      </c>
      <c r="AI419" s="80">
        <v>3930</v>
      </c>
      <c r="AJ419" s="80"/>
      <c r="AK419" s="80" t="s">
        <v>9325</v>
      </c>
      <c r="AL419" s="80" t="s">
        <v>10326</v>
      </c>
      <c r="AM419" s="80"/>
      <c r="AN419" s="80"/>
      <c r="AO419" s="82">
        <v>40298.434236111112</v>
      </c>
      <c r="AP419" s="87" t="str">
        <f>HYPERLINK("https://pbs.twimg.com/profile_banners/138709003/1367502355")</f>
        <v>https://pbs.twimg.com/profile_banners/138709003/1367502355</v>
      </c>
      <c r="AQ419" s="80" t="b">
        <v>0</v>
      </c>
      <c r="AR419" s="80" t="b">
        <v>0</v>
      </c>
      <c r="AS419" s="80" t="b">
        <v>1</v>
      </c>
      <c r="AT419" s="80"/>
      <c r="AU419" s="80">
        <v>0</v>
      </c>
      <c r="AV419" s="87" t="str">
        <f>HYPERLINK("https://abs.twimg.com/images/themes/theme2/bg.gif")</f>
        <v>https://abs.twimg.com/images/themes/theme2/bg.gif</v>
      </c>
      <c r="AW419" s="80" t="b">
        <v>0</v>
      </c>
      <c r="AX419" s="80" t="s">
        <v>10746</v>
      </c>
      <c r="AY419" s="87" t="str">
        <f>HYPERLINK("https://twitter.com/pinknjill")</f>
        <v>https://twitter.com/pinknjill</v>
      </c>
      <c r="AZ419" s="80" t="s">
        <v>66</v>
      </c>
      <c r="BA419" s="2"/>
      <c r="BB419" s="3"/>
      <c r="BC419" s="3"/>
      <c r="BD419" s="3"/>
      <c r="BE419" s="3"/>
    </row>
    <row r="420" spans="1:57" x14ac:dyDescent="0.35">
      <c r="A420" s="66" t="s">
        <v>548</v>
      </c>
      <c r="B420" s="67"/>
      <c r="C420" s="67"/>
      <c r="D420" s="68"/>
      <c r="E420" s="70"/>
      <c r="F420" s="109" t="str">
        <f>HYPERLINK("https://pbs.twimg.com/profile_images/1274552601229451265/Qv60Dt6-_normal.jpg")</f>
        <v>https://pbs.twimg.com/profile_images/1274552601229451265/Qv60Dt6-_normal.jpg</v>
      </c>
      <c r="G420" s="67"/>
      <c r="H420" s="71"/>
      <c r="I420" s="72"/>
      <c r="J420" s="72"/>
      <c r="K420" s="71" t="s">
        <v>11163</v>
      </c>
      <c r="L420" s="75"/>
      <c r="M420" s="76"/>
      <c r="N420" s="76"/>
      <c r="O420" s="77"/>
      <c r="P420" s="78"/>
      <c r="Q420" s="78"/>
      <c r="R420" s="92"/>
      <c r="S420" s="92"/>
      <c r="T420" s="92"/>
      <c r="U420" s="92"/>
      <c r="V420" s="52"/>
      <c r="W420" s="52"/>
      <c r="X420" s="52"/>
      <c r="Y420" s="52"/>
      <c r="Z420" s="51"/>
      <c r="AA420" s="73"/>
      <c r="AB420" s="73"/>
      <c r="AC420" s="74"/>
      <c r="AD420" s="80" t="s">
        <v>7001</v>
      </c>
      <c r="AE420" s="85" t="s">
        <v>8219</v>
      </c>
      <c r="AF420" s="80">
        <v>197</v>
      </c>
      <c r="AG420" s="80">
        <v>258</v>
      </c>
      <c r="AH420" s="80">
        <v>34087</v>
      </c>
      <c r="AI420" s="80">
        <v>623</v>
      </c>
      <c r="AJ420" s="80"/>
      <c r="AK420" s="80" t="s">
        <v>9326</v>
      </c>
      <c r="AL420" s="80" t="s">
        <v>10327</v>
      </c>
      <c r="AM420" s="87" t="str">
        <f>HYPERLINK("https://t.co/edk1rupatI")</f>
        <v>https://t.co/edk1rupatI</v>
      </c>
      <c r="AN420" s="80"/>
      <c r="AO420" s="82">
        <v>40748.399421296293</v>
      </c>
      <c r="AP420" s="87" t="str">
        <f>HYPERLINK("https://pbs.twimg.com/profile_banners/341406707/1579755128")</f>
        <v>https://pbs.twimg.com/profile_banners/341406707/1579755128</v>
      </c>
      <c r="AQ420" s="80" t="b">
        <v>0</v>
      </c>
      <c r="AR420" s="80" t="b">
        <v>0</v>
      </c>
      <c r="AS420" s="80" t="b">
        <v>1</v>
      </c>
      <c r="AT420" s="80"/>
      <c r="AU420" s="80">
        <v>2</v>
      </c>
      <c r="AV420" s="87" t="str">
        <f>HYPERLINK("https://abs.twimg.com/images/themes/theme1/bg.png")</f>
        <v>https://abs.twimg.com/images/themes/theme1/bg.png</v>
      </c>
      <c r="AW420" s="80" t="b">
        <v>0</v>
      </c>
      <c r="AX420" s="80" t="s">
        <v>10746</v>
      </c>
      <c r="AY420" s="87" t="str">
        <f>HYPERLINK("https://twitter.com/_dwinand")</f>
        <v>https://twitter.com/_dwinand</v>
      </c>
      <c r="AZ420" s="80" t="s">
        <v>66</v>
      </c>
      <c r="BA420" s="2"/>
      <c r="BB420" s="3"/>
      <c r="BC420" s="3"/>
      <c r="BD420" s="3"/>
      <c r="BE420" s="3"/>
    </row>
    <row r="421" spans="1:57" x14ac:dyDescent="0.35">
      <c r="A421" s="66" t="s">
        <v>549</v>
      </c>
      <c r="B421" s="67"/>
      <c r="C421" s="67"/>
      <c r="D421" s="68"/>
      <c r="E421" s="70"/>
      <c r="F421" s="109" t="str">
        <f>HYPERLINK("https://pbs.twimg.com/profile_images/1431288888526475267/YKca9AZy_normal.jpg")</f>
        <v>https://pbs.twimg.com/profile_images/1431288888526475267/YKca9AZy_normal.jpg</v>
      </c>
      <c r="G421" s="67"/>
      <c r="H421" s="71"/>
      <c r="I421" s="72"/>
      <c r="J421" s="72"/>
      <c r="K421" s="71" t="s">
        <v>11164</v>
      </c>
      <c r="L421" s="75"/>
      <c r="M421" s="76"/>
      <c r="N421" s="76"/>
      <c r="O421" s="77"/>
      <c r="P421" s="78"/>
      <c r="Q421" s="78"/>
      <c r="R421" s="92"/>
      <c r="S421" s="92"/>
      <c r="T421" s="92"/>
      <c r="U421" s="92"/>
      <c r="V421" s="52"/>
      <c r="W421" s="52"/>
      <c r="X421" s="52"/>
      <c r="Y421" s="52"/>
      <c r="Z421" s="51"/>
      <c r="AA421" s="73"/>
      <c r="AB421" s="73"/>
      <c r="AC421" s="74"/>
      <c r="AD421" s="80" t="s">
        <v>7002</v>
      </c>
      <c r="AE421" s="85" t="s">
        <v>8220</v>
      </c>
      <c r="AF421" s="80">
        <v>137</v>
      </c>
      <c r="AG421" s="80">
        <v>28</v>
      </c>
      <c r="AH421" s="80">
        <v>1200</v>
      </c>
      <c r="AI421" s="80">
        <v>5270</v>
      </c>
      <c r="AJ421" s="80"/>
      <c r="AK421" s="80" t="s">
        <v>9327</v>
      </c>
      <c r="AL421" s="80" t="s">
        <v>10328</v>
      </c>
      <c r="AM421" s="80"/>
      <c r="AN421" s="80"/>
      <c r="AO421" s="82">
        <v>42854.586180555554</v>
      </c>
      <c r="AP421" s="87" t="str">
        <f>HYPERLINK("https://pbs.twimg.com/profile_banners/858320994426945536/1498673503")</f>
        <v>https://pbs.twimg.com/profile_banners/858320994426945536/1498673503</v>
      </c>
      <c r="AQ421" s="80" t="b">
        <v>1</v>
      </c>
      <c r="AR421" s="80" t="b">
        <v>0</v>
      </c>
      <c r="AS421" s="80" t="b">
        <v>0</v>
      </c>
      <c r="AT421" s="80"/>
      <c r="AU421" s="80">
        <v>0</v>
      </c>
      <c r="AV421" s="80"/>
      <c r="AW421" s="80" t="b">
        <v>0</v>
      </c>
      <c r="AX421" s="80" t="s">
        <v>10746</v>
      </c>
      <c r="AY421" s="87" t="str">
        <f>HYPERLINK("https://twitter.com/ahjoss10")</f>
        <v>https://twitter.com/ahjoss10</v>
      </c>
      <c r="AZ421" s="80" t="s">
        <v>66</v>
      </c>
      <c r="BA421" s="2"/>
      <c r="BB421" s="3"/>
      <c r="BC421" s="3"/>
      <c r="BD421" s="3"/>
      <c r="BE421" s="3"/>
    </row>
    <row r="422" spans="1:57" x14ac:dyDescent="0.35">
      <c r="A422" s="66" t="s">
        <v>550</v>
      </c>
      <c r="B422" s="67"/>
      <c r="C422" s="67"/>
      <c r="D422" s="68"/>
      <c r="E422" s="70"/>
      <c r="F422" s="109" t="str">
        <f>HYPERLINK("https://pbs.twimg.com/profile_images/1391943082510217218/yPYW6QbY_normal.jpg")</f>
        <v>https://pbs.twimg.com/profile_images/1391943082510217218/yPYW6QbY_normal.jpg</v>
      </c>
      <c r="G422" s="67"/>
      <c r="H422" s="71"/>
      <c r="I422" s="72"/>
      <c r="J422" s="72"/>
      <c r="K422" s="71" t="s">
        <v>11165</v>
      </c>
      <c r="L422" s="75"/>
      <c r="M422" s="76"/>
      <c r="N422" s="76"/>
      <c r="O422" s="77"/>
      <c r="P422" s="78"/>
      <c r="Q422" s="78"/>
      <c r="R422" s="92"/>
      <c r="S422" s="92"/>
      <c r="T422" s="92"/>
      <c r="U422" s="92"/>
      <c r="V422" s="52"/>
      <c r="W422" s="52"/>
      <c r="X422" s="52"/>
      <c r="Y422" s="52"/>
      <c r="Z422" s="51"/>
      <c r="AA422" s="73"/>
      <c r="AB422" s="73"/>
      <c r="AC422" s="74"/>
      <c r="AD422" s="80" t="s">
        <v>7003</v>
      </c>
      <c r="AE422" s="85" t="s">
        <v>6307</v>
      </c>
      <c r="AF422" s="80">
        <v>38</v>
      </c>
      <c r="AG422" s="80">
        <v>8</v>
      </c>
      <c r="AH422" s="80">
        <v>359</v>
      </c>
      <c r="AI422" s="80">
        <v>2125</v>
      </c>
      <c r="AJ422" s="80"/>
      <c r="AK422" s="80" t="s">
        <v>9328</v>
      </c>
      <c r="AL422" s="80"/>
      <c r="AM422" s="80"/>
      <c r="AN422" s="80"/>
      <c r="AO422" s="82">
        <v>42872.337233796294</v>
      </c>
      <c r="AP422" s="87" t="str">
        <f>HYPERLINK("https://pbs.twimg.com/profile_banners/864753761792671744/1614067780")</f>
        <v>https://pbs.twimg.com/profile_banners/864753761792671744/1614067780</v>
      </c>
      <c r="AQ422" s="80" t="b">
        <v>0</v>
      </c>
      <c r="AR422" s="80" t="b">
        <v>0</v>
      </c>
      <c r="AS422" s="80" t="b">
        <v>0</v>
      </c>
      <c r="AT422" s="80"/>
      <c r="AU422" s="80">
        <v>0</v>
      </c>
      <c r="AV422" s="87" t="str">
        <f>HYPERLINK("https://abs.twimg.com/images/themes/theme1/bg.png")</f>
        <v>https://abs.twimg.com/images/themes/theme1/bg.png</v>
      </c>
      <c r="AW422" s="80" t="b">
        <v>0</v>
      </c>
      <c r="AX422" s="80" t="s">
        <v>10746</v>
      </c>
      <c r="AY422" s="87" t="str">
        <f>HYPERLINK("https://twitter.com/sonbl05")</f>
        <v>https://twitter.com/sonbl05</v>
      </c>
      <c r="AZ422" s="80" t="s">
        <v>66</v>
      </c>
      <c r="BA422" s="2"/>
      <c r="BB422" s="3"/>
      <c r="BC422" s="3"/>
      <c r="BD422" s="3"/>
      <c r="BE422" s="3"/>
    </row>
    <row r="423" spans="1:57" x14ac:dyDescent="0.35">
      <c r="A423" s="66" t="s">
        <v>551</v>
      </c>
      <c r="B423" s="67"/>
      <c r="C423" s="67"/>
      <c r="D423" s="68"/>
      <c r="E423" s="70"/>
      <c r="F423" s="109" t="str">
        <f>HYPERLINK("https://pbs.twimg.com/profile_images/1418577791306457091/Av1cIVBA_normal.jpg")</f>
        <v>https://pbs.twimg.com/profile_images/1418577791306457091/Av1cIVBA_normal.jpg</v>
      </c>
      <c r="G423" s="67"/>
      <c r="H423" s="71"/>
      <c r="I423" s="72"/>
      <c r="J423" s="72"/>
      <c r="K423" s="71" t="s">
        <v>11166</v>
      </c>
      <c r="L423" s="75"/>
      <c r="M423" s="76"/>
      <c r="N423" s="76"/>
      <c r="O423" s="77"/>
      <c r="P423" s="78"/>
      <c r="Q423" s="78"/>
      <c r="R423" s="92"/>
      <c r="S423" s="92"/>
      <c r="T423" s="92"/>
      <c r="U423" s="92"/>
      <c r="V423" s="52"/>
      <c r="W423" s="52"/>
      <c r="X423" s="52"/>
      <c r="Y423" s="52"/>
      <c r="Z423" s="51"/>
      <c r="AA423" s="73"/>
      <c r="AB423" s="73"/>
      <c r="AC423" s="74"/>
      <c r="AD423" s="80" t="s">
        <v>7004</v>
      </c>
      <c r="AE423" s="85" t="s">
        <v>8221</v>
      </c>
      <c r="AF423" s="80">
        <v>264</v>
      </c>
      <c r="AG423" s="80">
        <v>168</v>
      </c>
      <c r="AH423" s="80">
        <v>1865</v>
      </c>
      <c r="AI423" s="80">
        <v>942</v>
      </c>
      <c r="AJ423" s="80"/>
      <c r="AK423" s="80" t="s">
        <v>9329</v>
      </c>
      <c r="AL423" s="80"/>
      <c r="AM423" s="87" t="str">
        <f>HYPERLINK("https://t.co/ojSMvbJVqA")</f>
        <v>https://t.co/ojSMvbJVqA</v>
      </c>
      <c r="AN423" s="80"/>
      <c r="AO423" s="82">
        <v>43507.101840277777</v>
      </c>
      <c r="AP423" s="87" t="str">
        <f>HYPERLINK("https://pbs.twimg.com/profile_banners/1094784749023879168/1614259236")</f>
        <v>https://pbs.twimg.com/profile_banners/1094784749023879168/1614259236</v>
      </c>
      <c r="AQ423" s="80" t="b">
        <v>1</v>
      </c>
      <c r="AR423" s="80" t="b">
        <v>0</v>
      </c>
      <c r="AS423" s="80" t="b">
        <v>0</v>
      </c>
      <c r="AT423" s="80"/>
      <c r="AU423" s="80">
        <v>0</v>
      </c>
      <c r="AV423" s="80"/>
      <c r="AW423" s="80" t="b">
        <v>0</v>
      </c>
      <c r="AX423" s="80" t="s">
        <v>10746</v>
      </c>
      <c r="AY423" s="87" t="str">
        <f>HYPERLINK("https://twitter.com/jeonghaniyoo_m")</f>
        <v>https://twitter.com/jeonghaniyoo_m</v>
      </c>
      <c r="AZ423" s="80" t="s">
        <v>66</v>
      </c>
      <c r="BA423" s="2"/>
      <c r="BB423" s="3"/>
      <c r="BC423" s="3"/>
      <c r="BD423" s="3"/>
      <c r="BE423" s="3"/>
    </row>
    <row r="424" spans="1:57" x14ac:dyDescent="0.35">
      <c r="A424" s="66" t="s">
        <v>1347</v>
      </c>
      <c r="B424" s="67"/>
      <c r="C424" s="67"/>
      <c r="D424" s="68"/>
      <c r="E424" s="70"/>
      <c r="F424" s="109" t="str">
        <f>HYPERLINK("https://pbs.twimg.com/profile_images/1441142259823505414/kClH0t8K_normal.jpg")</f>
        <v>https://pbs.twimg.com/profile_images/1441142259823505414/kClH0t8K_normal.jpg</v>
      </c>
      <c r="G424" s="67"/>
      <c r="H424" s="71"/>
      <c r="I424" s="72"/>
      <c r="J424" s="72"/>
      <c r="K424" s="71" t="s">
        <v>11167</v>
      </c>
      <c r="L424" s="75"/>
      <c r="M424" s="76"/>
      <c r="N424" s="76"/>
      <c r="O424" s="77"/>
      <c r="P424" s="78"/>
      <c r="Q424" s="78"/>
      <c r="R424" s="92"/>
      <c r="S424" s="92"/>
      <c r="T424" s="92"/>
      <c r="U424" s="92"/>
      <c r="V424" s="52"/>
      <c r="W424" s="52"/>
      <c r="X424" s="52"/>
      <c r="Y424" s="52"/>
      <c r="Z424" s="51"/>
      <c r="AA424" s="73"/>
      <c r="AB424" s="73"/>
      <c r="AC424" s="74"/>
      <c r="AD424" s="80" t="s">
        <v>7005</v>
      </c>
      <c r="AE424" s="85" t="s">
        <v>6308</v>
      </c>
      <c r="AF424" s="80">
        <v>1263</v>
      </c>
      <c r="AG424" s="80">
        <v>1919</v>
      </c>
      <c r="AH424" s="80">
        <v>6288</v>
      </c>
      <c r="AI424" s="80">
        <v>547</v>
      </c>
      <c r="AJ424" s="80"/>
      <c r="AK424" s="80" t="s">
        <v>9330</v>
      </c>
      <c r="AL424" s="80" t="s">
        <v>10329</v>
      </c>
      <c r="AM424" s="80"/>
      <c r="AN424" s="80"/>
      <c r="AO424" s="82">
        <v>44194.792337962965</v>
      </c>
      <c r="AP424" s="87" t="str">
        <f>HYPERLINK("https://pbs.twimg.com/profile_banners/1343995409857871872/1630824048")</f>
        <v>https://pbs.twimg.com/profile_banners/1343995409857871872/1630824048</v>
      </c>
      <c r="AQ424" s="80" t="b">
        <v>1</v>
      </c>
      <c r="AR424" s="80" t="b">
        <v>0</v>
      </c>
      <c r="AS424" s="80" t="b">
        <v>0</v>
      </c>
      <c r="AT424" s="80"/>
      <c r="AU424" s="80">
        <v>1</v>
      </c>
      <c r="AV424" s="80"/>
      <c r="AW424" s="80" t="b">
        <v>0</v>
      </c>
      <c r="AX424" s="80" t="s">
        <v>10746</v>
      </c>
      <c r="AY424" s="87" t="str">
        <f>HYPERLINK("https://twitter.com/chanbabygiri")</f>
        <v>https://twitter.com/chanbabygiri</v>
      </c>
      <c r="AZ424" s="80" t="s">
        <v>65</v>
      </c>
      <c r="BA424" s="2"/>
      <c r="BB424" s="3"/>
      <c r="BC424" s="3"/>
      <c r="BD424" s="3"/>
      <c r="BE424" s="3"/>
    </row>
    <row r="425" spans="1:57" x14ac:dyDescent="0.35">
      <c r="A425" s="66" t="s">
        <v>1348</v>
      </c>
      <c r="B425" s="67"/>
      <c r="C425" s="67"/>
      <c r="D425" s="68"/>
      <c r="E425" s="70"/>
      <c r="F425" s="109" t="str">
        <f>HYPERLINK("https://pbs.twimg.com/profile_images/1377593167613071369/HNd7ejns_normal.jpg")</f>
        <v>https://pbs.twimg.com/profile_images/1377593167613071369/HNd7ejns_normal.jpg</v>
      </c>
      <c r="G425" s="67"/>
      <c r="H425" s="71"/>
      <c r="I425" s="72"/>
      <c r="J425" s="72"/>
      <c r="K425" s="71" t="s">
        <v>11168</v>
      </c>
      <c r="L425" s="75"/>
      <c r="M425" s="76"/>
      <c r="N425" s="76"/>
      <c r="O425" s="77"/>
      <c r="P425" s="78"/>
      <c r="Q425" s="78"/>
      <c r="R425" s="92"/>
      <c r="S425" s="92"/>
      <c r="T425" s="92"/>
      <c r="U425" s="92"/>
      <c r="V425" s="52"/>
      <c r="W425" s="52"/>
      <c r="X425" s="52"/>
      <c r="Y425" s="52"/>
      <c r="Z425" s="51"/>
      <c r="AA425" s="73"/>
      <c r="AB425" s="73"/>
      <c r="AC425" s="74"/>
      <c r="AD425" s="80" t="s">
        <v>7006</v>
      </c>
      <c r="AE425" s="85" t="s">
        <v>6310</v>
      </c>
      <c r="AF425" s="80">
        <v>1864</v>
      </c>
      <c r="AG425" s="80">
        <v>17769</v>
      </c>
      <c r="AH425" s="80">
        <v>115507</v>
      </c>
      <c r="AI425" s="80">
        <v>56</v>
      </c>
      <c r="AJ425" s="80"/>
      <c r="AK425" s="80" t="s">
        <v>9331</v>
      </c>
      <c r="AL425" s="80" t="s">
        <v>10330</v>
      </c>
      <c r="AM425" s="80"/>
      <c r="AN425" s="80"/>
      <c r="AO425" s="82">
        <v>44212.595682870371</v>
      </c>
      <c r="AP425" s="87" t="str">
        <f>HYPERLINK("https://pbs.twimg.com/profile_banners/1350447097670107136/1617278779")</f>
        <v>https://pbs.twimg.com/profile_banners/1350447097670107136/1617278779</v>
      </c>
      <c r="AQ425" s="80" t="b">
        <v>1</v>
      </c>
      <c r="AR425" s="80" t="b">
        <v>0</v>
      </c>
      <c r="AS425" s="80" t="b">
        <v>0</v>
      </c>
      <c r="AT425" s="80"/>
      <c r="AU425" s="80">
        <v>478</v>
      </c>
      <c r="AV425" s="80"/>
      <c r="AW425" s="80" t="b">
        <v>0</v>
      </c>
      <c r="AX425" s="80" t="s">
        <v>10746</v>
      </c>
      <c r="AY425" s="87" t="str">
        <f>HYPERLINK("https://twitter.com/jualanengene")</f>
        <v>https://twitter.com/jualanengene</v>
      </c>
      <c r="AZ425" s="80" t="s">
        <v>65</v>
      </c>
      <c r="BA425" s="2"/>
      <c r="BB425" s="3"/>
      <c r="BC425" s="3"/>
      <c r="BD425" s="3"/>
      <c r="BE425" s="3"/>
    </row>
    <row r="426" spans="1:57" x14ac:dyDescent="0.35">
      <c r="A426" s="66" t="s">
        <v>552</v>
      </c>
      <c r="B426" s="67"/>
      <c r="C426" s="67"/>
      <c r="D426" s="68"/>
      <c r="E426" s="70"/>
      <c r="F426" s="109" t="str">
        <f>HYPERLINK("https://pbs.twimg.com/profile_images/1174350558120927232/3PqpMBwT_normal.jpg")</f>
        <v>https://pbs.twimg.com/profile_images/1174350558120927232/3PqpMBwT_normal.jpg</v>
      </c>
      <c r="G426" s="67"/>
      <c r="H426" s="71"/>
      <c r="I426" s="72"/>
      <c r="J426" s="72"/>
      <c r="K426" s="71" t="s">
        <v>11169</v>
      </c>
      <c r="L426" s="75"/>
      <c r="M426" s="76"/>
      <c r="N426" s="76"/>
      <c r="O426" s="77"/>
      <c r="P426" s="78"/>
      <c r="Q426" s="78"/>
      <c r="R426" s="92"/>
      <c r="S426" s="92"/>
      <c r="T426" s="92"/>
      <c r="U426" s="92"/>
      <c r="V426" s="52"/>
      <c r="W426" s="52"/>
      <c r="X426" s="52"/>
      <c r="Y426" s="52"/>
      <c r="Z426" s="51"/>
      <c r="AA426" s="73"/>
      <c r="AB426" s="73"/>
      <c r="AC426" s="74"/>
      <c r="AD426" s="80" t="s">
        <v>7007</v>
      </c>
      <c r="AE426" s="85" t="s">
        <v>6312</v>
      </c>
      <c r="AF426" s="80">
        <v>618</v>
      </c>
      <c r="AG426" s="80">
        <v>986</v>
      </c>
      <c r="AH426" s="80">
        <v>59950</v>
      </c>
      <c r="AI426" s="80">
        <v>7095</v>
      </c>
      <c r="AJ426" s="80"/>
      <c r="AK426" s="80" t="s">
        <v>9332</v>
      </c>
      <c r="AL426" s="80"/>
      <c r="AM426" s="87" t="str">
        <f>HYPERLINK("https://t.co/rkS1sIxDN6")</f>
        <v>https://t.co/rkS1sIxDN6</v>
      </c>
      <c r="AN426" s="80"/>
      <c r="AO426" s="82">
        <v>41212.427523148152</v>
      </c>
      <c r="AP426" s="87" t="str">
        <f>HYPERLINK("https://pbs.twimg.com/profile_banners/914312904/1510272105")</f>
        <v>https://pbs.twimg.com/profile_banners/914312904/1510272105</v>
      </c>
      <c r="AQ426" s="80" t="b">
        <v>0</v>
      </c>
      <c r="AR426" s="80" t="b">
        <v>0</v>
      </c>
      <c r="AS426" s="80" t="b">
        <v>1</v>
      </c>
      <c r="AT426" s="80"/>
      <c r="AU426" s="80">
        <v>3</v>
      </c>
      <c r="AV426" s="87" t="str">
        <f>HYPERLINK("https://abs.twimg.com/images/themes/theme1/bg.png")</f>
        <v>https://abs.twimg.com/images/themes/theme1/bg.png</v>
      </c>
      <c r="AW426" s="80" t="b">
        <v>0</v>
      </c>
      <c r="AX426" s="80" t="s">
        <v>10746</v>
      </c>
      <c r="AY426" s="87" t="str">
        <f>HYPERLINK("https://twitter.com/ateynnnn")</f>
        <v>https://twitter.com/ateynnnn</v>
      </c>
      <c r="AZ426" s="80" t="s">
        <v>66</v>
      </c>
      <c r="BA426" s="2"/>
      <c r="BB426" s="3"/>
      <c r="BC426" s="3"/>
      <c r="BD426" s="3"/>
      <c r="BE426" s="3"/>
    </row>
    <row r="427" spans="1:57" x14ac:dyDescent="0.35">
      <c r="A427" s="66" t="s">
        <v>1349</v>
      </c>
      <c r="B427" s="67"/>
      <c r="C427" s="67"/>
      <c r="D427" s="68"/>
      <c r="E427" s="70"/>
      <c r="F427" s="109" t="str">
        <f>HYPERLINK("https://pbs.twimg.com/profile_images/1428331521065197575/bFTza2hS_normal.jpg")</f>
        <v>https://pbs.twimg.com/profile_images/1428331521065197575/bFTza2hS_normal.jpg</v>
      </c>
      <c r="G427" s="67"/>
      <c r="H427" s="71"/>
      <c r="I427" s="72"/>
      <c r="J427" s="72"/>
      <c r="K427" s="71" t="s">
        <v>11170</v>
      </c>
      <c r="L427" s="75"/>
      <c r="M427" s="76"/>
      <c r="N427" s="76"/>
      <c r="O427" s="77"/>
      <c r="P427" s="78"/>
      <c r="Q427" s="78"/>
      <c r="R427" s="92"/>
      <c r="S427" s="92"/>
      <c r="T427" s="92"/>
      <c r="U427" s="92"/>
      <c r="V427" s="52"/>
      <c r="W427" s="52"/>
      <c r="X427" s="52"/>
      <c r="Y427" s="52"/>
      <c r="Z427" s="51"/>
      <c r="AA427" s="73"/>
      <c r="AB427" s="73"/>
      <c r="AC427" s="74"/>
      <c r="AD427" s="80" t="s">
        <v>7008</v>
      </c>
      <c r="AE427" s="85" t="s">
        <v>6311</v>
      </c>
      <c r="AF427" s="80">
        <v>527</v>
      </c>
      <c r="AG427" s="80">
        <v>462</v>
      </c>
      <c r="AH427" s="80">
        <v>31307</v>
      </c>
      <c r="AI427" s="80">
        <v>4228</v>
      </c>
      <c r="AJ427" s="80"/>
      <c r="AK427" s="80" t="s">
        <v>9333</v>
      </c>
      <c r="AL427" s="80">
        <v>48000</v>
      </c>
      <c r="AM427" s="87" t="str">
        <f>HYPERLINK("https://t.co/ypg2yrBxBS")</f>
        <v>https://t.co/ypg2yrBxBS</v>
      </c>
      <c r="AN427" s="80"/>
      <c r="AO427" s="82">
        <v>41012.941770833335</v>
      </c>
      <c r="AP427" s="87" t="str">
        <f>HYPERLINK("https://pbs.twimg.com/profile_banners/553058561/1600970207")</f>
        <v>https://pbs.twimg.com/profile_banners/553058561/1600970207</v>
      </c>
      <c r="AQ427" s="80" t="b">
        <v>0</v>
      </c>
      <c r="AR427" s="80" t="b">
        <v>0</v>
      </c>
      <c r="AS427" s="80" t="b">
        <v>1</v>
      </c>
      <c r="AT427" s="80"/>
      <c r="AU427" s="80">
        <v>0</v>
      </c>
      <c r="AV427" s="87" t="str">
        <f>HYPERLINK("https://abs.twimg.com/images/themes/theme4/bg.gif")</f>
        <v>https://abs.twimg.com/images/themes/theme4/bg.gif</v>
      </c>
      <c r="AW427" s="80" t="b">
        <v>0</v>
      </c>
      <c r="AX427" s="80" t="s">
        <v>10746</v>
      </c>
      <c r="AY427" s="87" t="str">
        <f>HYPERLINK("https://twitter.com/nurulhidayah_94")</f>
        <v>https://twitter.com/nurulhidayah_94</v>
      </c>
      <c r="AZ427" s="80" t="s">
        <v>65</v>
      </c>
      <c r="BA427" s="2"/>
      <c r="BB427" s="3"/>
      <c r="BC427" s="3"/>
      <c r="BD427" s="3"/>
      <c r="BE427" s="3"/>
    </row>
    <row r="428" spans="1:57" x14ac:dyDescent="0.35">
      <c r="A428" s="66" t="s">
        <v>553</v>
      </c>
      <c r="B428" s="67"/>
      <c r="C428" s="67"/>
      <c r="D428" s="68"/>
      <c r="E428" s="70"/>
      <c r="F428" s="109" t="str">
        <f>HYPERLINK("https://pbs.twimg.com/profile_images/1435628603857784840/QuQvsqWB_normal.jpg")</f>
        <v>https://pbs.twimg.com/profile_images/1435628603857784840/QuQvsqWB_normal.jpg</v>
      </c>
      <c r="G428" s="67"/>
      <c r="H428" s="71"/>
      <c r="I428" s="72"/>
      <c r="J428" s="72"/>
      <c r="K428" s="71" t="s">
        <v>11171</v>
      </c>
      <c r="L428" s="75"/>
      <c r="M428" s="76"/>
      <c r="N428" s="76"/>
      <c r="O428" s="77"/>
      <c r="P428" s="78"/>
      <c r="Q428" s="78"/>
      <c r="R428" s="92"/>
      <c r="S428" s="92"/>
      <c r="T428" s="92"/>
      <c r="U428" s="92"/>
      <c r="V428" s="52"/>
      <c r="W428" s="52"/>
      <c r="X428" s="52"/>
      <c r="Y428" s="52"/>
      <c r="Z428" s="51"/>
      <c r="AA428" s="73"/>
      <c r="AB428" s="73"/>
      <c r="AC428" s="74"/>
      <c r="AD428" s="80" t="s">
        <v>7009</v>
      </c>
      <c r="AE428" s="85" t="s">
        <v>8222</v>
      </c>
      <c r="AF428" s="80">
        <v>101</v>
      </c>
      <c r="AG428" s="80">
        <v>61</v>
      </c>
      <c r="AH428" s="80">
        <v>356</v>
      </c>
      <c r="AI428" s="80">
        <v>358</v>
      </c>
      <c r="AJ428" s="80"/>
      <c r="AK428" s="80" t="s">
        <v>9334</v>
      </c>
      <c r="AL428" s="80"/>
      <c r="AM428" s="80"/>
      <c r="AN428" s="80"/>
      <c r="AO428" s="82">
        <v>44429.388159722221</v>
      </c>
      <c r="AP428" s="87" t="str">
        <f>HYPERLINK("https://pbs.twimg.com/profile_banners/1429010066200428548/1631115506")</f>
        <v>https://pbs.twimg.com/profile_banners/1429010066200428548/1631115506</v>
      </c>
      <c r="AQ428" s="80" t="b">
        <v>1</v>
      </c>
      <c r="AR428" s="80" t="b">
        <v>0</v>
      </c>
      <c r="AS428" s="80" t="b">
        <v>0</v>
      </c>
      <c r="AT428" s="80"/>
      <c r="AU428" s="80">
        <v>0</v>
      </c>
      <c r="AV428" s="80"/>
      <c r="AW428" s="80" t="b">
        <v>0</v>
      </c>
      <c r="AX428" s="80" t="s">
        <v>10746</v>
      </c>
      <c r="AY428" s="87" t="str">
        <f>HYPERLINK("https://twitter.com/itsme0605")</f>
        <v>https://twitter.com/itsme0605</v>
      </c>
      <c r="AZ428" s="80" t="s">
        <v>66</v>
      </c>
      <c r="BA428" s="2"/>
      <c r="BB428" s="3"/>
      <c r="BC428" s="3"/>
      <c r="BD428" s="3"/>
      <c r="BE428" s="3"/>
    </row>
    <row r="429" spans="1:57" x14ac:dyDescent="0.35">
      <c r="A429" s="66" t="s">
        <v>554</v>
      </c>
      <c r="B429" s="67"/>
      <c r="C429" s="67"/>
      <c r="D429" s="68"/>
      <c r="E429" s="70"/>
      <c r="F429" s="109" t="str">
        <f>HYPERLINK("https://pbs.twimg.com/profile_images/1319543098276364288/hxZ19wiF_normal.jpg")</f>
        <v>https://pbs.twimg.com/profile_images/1319543098276364288/hxZ19wiF_normal.jpg</v>
      </c>
      <c r="G429" s="67"/>
      <c r="H429" s="71"/>
      <c r="I429" s="72"/>
      <c r="J429" s="72"/>
      <c r="K429" s="71" t="s">
        <v>11172</v>
      </c>
      <c r="L429" s="75"/>
      <c r="M429" s="76"/>
      <c r="N429" s="76"/>
      <c r="O429" s="77"/>
      <c r="P429" s="78"/>
      <c r="Q429" s="78"/>
      <c r="R429" s="92"/>
      <c r="S429" s="92"/>
      <c r="T429" s="92"/>
      <c r="U429" s="92"/>
      <c r="V429" s="52"/>
      <c r="W429" s="52"/>
      <c r="X429" s="52"/>
      <c r="Y429" s="52"/>
      <c r="Z429" s="51"/>
      <c r="AA429" s="73"/>
      <c r="AB429" s="73"/>
      <c r="AC429" s="74"/>
      <c r="AD429" s="80" t="s">
        <v>7010</v>
      </c>
      <c r="AE429" s="85" t="s">
        <v>8223</v>
      </c>
      <c r="AF429" s="80">
        <v>6</v>
      </c>
      <c r="AG429" s="80">
        <v>2</v>
      </c>
      <c r="AH429" s="80">
        <v>72</v>
      </c>
      <c r="AI429" s="80">
        <v>2</v>
      </c>
      <c r="AJ429" s="80"/>
      <c r="AK429" s="80" t="s">
        <v>9335</v>
      </c>
      <c r="AL429" s="80"/>
      <c r="AM429" s="80"/>
      <c r="AN429" s="80"/>
      <c r="AO429" s="82">
        <v>44127.31591435185</v>
      </c>
      <c r="AP429" s="80"/>
      <c r="AQ429" s="80" t="b">
        <v>1</v>
      </c>
      <c r="AR429" s="80" t="b">
        <v>0</v>
      </c>
      <c r="AS429" s="80" t="b">
        <v>0</v>
      </c>
      <c r="AT429" s="80"/>
      <c r="AU429" s="80">
        <v>0</v>
      </c>
      <c r="AV429" s="80"/>
      <c r="AW429" s="80" t="b">
        <v>0</v>
      </c>
      <c r="AX429" s="80" t="s">
        <v>10746</v>
      </c>
      <c r="AY429" s="87" t="str">
        <f>HYPERLINK("https://twitter.com/sparepartfjbj")</f>
        <v>https://twitter.com/sparepartfjbj</v>
      </c>
      <c r="AZ429" s="80" t="s">
        <v>66</v>
      </c>
      <c r="BA429" s="2"/>
      <c r="BB429" s="3"/>
      <c r="BC429" s="3"/>
      <c r="BD429" s="3"/>
      <c r="BE429" s="3"/>
    </row>
    <row r="430" spans="1:57" x14ac:dyDescent="0.35">
      <c r="A430" s="66" t="s">
        <v>555</v>
      </c>
      <c r="B430" s="67"/>
      <c r="C430" s="67"/>
      <c r="D430" s="68"/>
      <c r="E430" s="70"/>
      <c r="F430" s="109" t="str">
        <f>HYPERLINK("https://pbs.twimg.com/profile_images/1442526542832148490/eoOXjXiF_normal.jpg")</f>
        <v>https://pbs.twimg.com/profile_images/1442526542832148490/eoOXjXiF_normal.jpg</v>
      </c>
      <c r="G430" s="67"/>
      <c r="H430" s="71"/>
      <c r="I430" s="72"/>
      <c r="J430" s="72"/>
      <c r="K430" s="71" t="s">
        <v>11173</v>
      </c>
      <c r="L430" s="75"/>
      <c r="M430" s="76"/>
      <c r="N430" s="76"/>
      <c r="O430" s="77"/>
      <c r="P430" s="78"/>
      <c r="Q430" s="78"/>
      <c r="R430" s="92"/>
      <c r="S430" s="92"/>
      <c r="T430" s="92"/>
      <c r="U430" s="92"/>
      <c r="V430" s="52"/>
      <c r="W430" s="52"/>
      <c r="X430" s="52"/>
      <c r="Y430" s="52"/>
      <c r="Z430" s="51"/>
      <c r="AA430" s="73"/>
      <c r="AB430" s="73"/>
      <c r="AC430" s="74"/>
      <c r="AD430" s="80" t="s">
        <v>7011</v>
      </c>
      <c r="AE430" s="85" t="s">
        <v>6313</v>
      </c>
      <c r="AF430" s="80">
        <v>68</v>
      </c>
      <c r="AG430" s="80">
        <v>27</v>
      </c>
      <c r="AH430" s="80">
        <v>5673</v>
      </c>
      <c r="AI430" s="80">
        <v>1121</v>
      </c>
      <c r="AJ430" s="80"/>
      <c r="AK430" s="80" t="s">
        <v>9336</v>
      </c>
      <c r="AL430" s="80" t="s">
        <v>10331</v>
      </c>
      <c r="AM430" s="80"/>
      <c r="AN430" s="80"/>
      <c r="AO430" s="82">
        <v>43187.172233796293</v>
      </c>
      <c r="AP430" s="87" t="str">
        <f>HYPERLINK("https://pbs.twimg.com/profile_banners/978846144804671489/1632215470")</f>
        <v>https://pbs.twimg.com/profile_banners/978846144804671489/1632215470</v>
      </c>
      <c r="AQ430" s="80" t="b">
        <v>1</v>
      </c>
      <c r="AR430" s="80" t="b">
        <v>0</v>
      </c>
      <c r="AS430" s="80" t="b">
        <v>0</v>
      </c>
      <c r="AT430" s="80"/>
      <c r="AU430" s="80">
        <v>0</v>
      </c>
      <c r="AV430" s="80"/>
      <c r="AW430" s="80" t="b">
        <v>0</v>
      </c>
      <c r="AX430" s="80" t="s">
        <v>10746</v>
      </c>
      <c r="AY430" s="87" t="str">
        <f>HYPERLINK("https://twitter.com/0bokuto")</f>
        <v>https://twitter.com/0bokuto</v>
      </c>
      <c r="AZ430" s="80" t="s">
        <v>66</v>
      </c>
      <c r="BA430" s="2"/>
      <c r="BB430" s="3"/>
      <c r="BC430" s="3"/>
      <c r="BD430" s="3"/>
      <c r="BE430" s="3"/>
    </row>
    <row r="431" spans="1:57" x14ac:dyDescent="0.35">
      <c r="A431" s="66" t="s">
        <v>556</v>
      </c>
      <c r="B431" s="67"/>
      <c r="C431" s="67"/>
      <c r="D431" s="68"/>
      <c r="E431" s="70"/>
      <c r="F431" s="109" t="str">
        <f>HYPERLINK("https://pbs.twimg.com/profile_images/1431930510331179015/ZCb4f4hb_normal.jpg")</f>
        <v>https://pbs.twimg.com/profile_images/1431930510331179015/ZCb4f4hb_normal.jpg</v>
      </c>
      <c r="G431" s="67"/>
      <c r="H431" s="71"/>
      <c r="I431" s="72"/>
      <c r="J431" s="72"/>
      <c r="K431" s="71" t="s">
        <v>11174</v>
      </c>
      <c r="L431" s="75"/>
      <c r="M431" s="76"/>
      <c r="N431" s="76"/>
      <c r="O431" s="77"/>
      <c r="P431" s="78"/>
      <c r="Q431" s="78"/>
      <c r="R431" s="92"/>
      <c r="S431" s="92"/>
      <c r="T431" s="92"/>
      <c r="U431" s="92"/>
      <c r="V431" s="52"/>
      <c r="W431" s="52"/>
      <c r="X431" s="52"/>
      <c r="Y431" s="52"/>
      <c r="Z431" s="51"/>
      <c r="AA431" s="73"/>
      <c r="AB431" s="73"/>
      <c r="AC431" s="74"/>
      <c r="AD431" s="80" t="s">
        <v>7012</v>
      </c>
      <c r="AE431" s="85" t="s">
        <v>8224</v>
      </c>
      <c r="AF431" s="80">
        <v>106</v>
      </c>
      <c r="AG431" s="80">
        <v>86</v>
      </c>
      <c r="AH431" s="80">
        <v>13777</v>
      </c>
      <c r="AI431" s="80">
        <v>16034</v>
      </c>
      <c r="AJ431" s="80"/>
      <c r="AK431" s="80" t="s">
        <v>9337</v>
      </c>
      <c r="AL431" s="80"/>
      <c r="AM431" s="80"/>
      <c r="AN431" s="80"/>
      <c r="AO431" s="82">
        <v>43294.41946759259</v>
      </c>
      <c r="AP431" s="87" t="str">
        <f>HYPERLINK("https://pbs.twimg.com/profile_banners/1017711237893795841/1632781187")</f>
        <v>https://pbs.twimg.com/profile_banners/1017711237893795841/1632781187</v>
      </c>
      <c r="AQ431" s="80" t="b">
        <v>1</v>
      </c>
      <c r="AR431" s="80" t="b">
        <v>0</v>
      </c>
      <c r="AS431" s="80" t="b">
        <v>1</v>
      </c>
      <c r="AT431" s="80"/>
      <c r="AU431" s="80">
        <v>0</v>
      </c>
      <c r="AV431" s="80"/>
      <c r="AW431" s="80" t="b">
        <v>0</v>
      </c>
      <c r="AX431" s="80" t="s">
        <v>10746</v>
      </c>
      <c r="AY431" s="87" t="str">
        <f>HYPERLINK("https://twitter.com/julyas43")</f>
        <v>https://twitter.com/julyas43</v>
      </c>
      <c r="AZ431" s="80" t="s">
        <v>66</v>
      </c>
      <c r="BA431" s="2"/>
      <c r="BB431" s="3"/>
      <c r="BC431" s="3"/>
      <c r="BD431" s="3"/>
      <c r="BE431" s="3"/>
    </row>
    <row r="432" spans="1:57" x14ac:dyDescent="0.35">
      <c r="A432" s="66" t="s">
        <v>1350</v>
      </c>
      <c r="B432" s="67"/>
      <c r="C432" s="67"/>
      <c r="D432" s="68"/>
      <c r="E432" s="70"/>
      <c r="F432" s="109" t="str">
        <f>HYPERLINK("https://pbs.twimg.com/profile_images/1411123316450942978/B3dvkFsr_normal.jpg")</f>
        <v>https://pbs.twimg.com/profile_images/1411123316450942978/B3dvkFsr_normal.jpg</v>
      </c>
      <c r="G432" s="67"/>
      <c r="H432" s="71"/>
      <c r="I432" s="72"/>
      <c r="J432" s="72"/>
      <c r="K432" s="71" t="s">
        <v>11175</v>
      </c>
      <c r="L432" s="75"/>
      <c r="M432" s="76"/>
      <c r="N432" s="76"/>
      <c r="O432" s="77"/>
      <c r="P432" s="78"/>
      <c r="Q432" s="78"/>
      <c r="R432" s="92"/>
      <c r="S432" s="92"/>
      <c r="T432" s="92"/>
      <c r="U432" s="92"/>
      <c r="V432" s="52"/>
      <c r="W432" s="52"/>
      <c r="X432" s="52"/>
      <c r="Y432" s="52"/>
      <c r="Z432" s="51"/>
      <c r="AA432" s="73"/>
      <c r="AB432" s="73"/>
      <c r="AC432" s="74"/>
      <c r="AD432" s="80" t="s">
        <v>1350</v>
      </c>
      <c r="AE432" s="85" t="s">
        <v>6314</v>
      </c>
      <c r="AF432" s="80">
        <v>3316</v>
      </c>
      <c r="AG432" s="80">
        <v>21917</v>
      </c>
      <c r="AH432" s="80">
        <v>130776</v>
      </c>
      <c r="AI432" s="80">
        <v>5</v>
      </c>
      <c r="AJ432" s="80"/>
      <c r="AK432" s="80" t="s">
        <v>9338</v>
      </c>
      <c r="AL432" s="80" t="s">
        <v>10332</v>
      </c>
      <c r="AM432" s="87" t="str">
        <f>HYPERLINK("https://t.co/UiKuIejR1n")</f>
        <v>https://t.co/UiKuIejR1n</v>
      </c>
      <c r="AN432" s="80"/>
      <c r="AO432" s="82">
        <v>43688.529965277776</v>
      </c>
      <c r="AP432" s="87" t="str">
        <f>HYPERLINK("https://pbs.twimg.com/profile_banners/1160532100111466496/1625206091")</f>
        <v>https://pbs.twimg.com/profile_banners/1160532100111466496/1625206091</v>
      </c>
      <c r="AQ432" s="80" t="b">
        <v>1</v>
      </c>
      <c r="AR432" s="80" t="b">
        <v>0</v>
      </c>
      <c r="AS432" s="80" t="b">
        <v>0</v>
      </c>
      <c r="AT432" s="80"/>
      <c r="AU432" s="80">
        <v>72</v>
      </c>
      <c r="AV432" s="80"/>
      <c r="AW432" s="80" t="b">
        <v>0</v>
      </c>
      <c r="AX432" s="80" t="s">
        <v>10746</v>
      </c>
      <c r="AY432" s="87" t="str">
        <f>HYPERLINK("https://twitter.com/stanmenfess")</f>
        <v>https://twitter.com/stanmenfess</v>
      </c>
      <c r="AZ432" s="80" t="s">
        <v>65</v>
      </c>
      <c r="BA432" s="2"/>
      <c r="BB432" s="3"/>
      <c r="BC432" s="3"/>
      <c r="BD432" s="3"/>
      <c r="BE432" s="3"/>
    </row>
    <row r="433" spans="1:57" x14ac:dyDescent="0.35">
      <c r="A433" s="66" t="s">
        <v>557</v>
      </c>
      <c r="B433" s="67"/>
      <c r="C433" s="67"/>
      <c r="D433" s="68"/>
      <c r="E433" s="70"/>
      <c r="F433" s="109" t="str">
        <f>HYPERLINK("https://pbs.twimg.com/profile_images/1433779002456502274/lJII2tLJ_normal.jpg")</f>
        <v>https://pbs.twimg.com/profile_images/1433779002456502274/lJII2tLJ_normal.jpg</v>
      </c>
      <c r="G433" s="67"/>
      <c r="H433" s="71"/>
      <c r="I433" s="72"/>
      <c r="J433" s="72"/>
      <c r="K433" s="71" t="s">
        <v>11176</v>
      </c>
      <c r="L433" s="75"/>
      <c r="M433" s="76"/>
      <c r="N433" s="76"/>
      <c r="O433" s="77"/>
      <c r="P433" s="78"/>
      <c r="Q433" s="78"/>
      <c r="R433" s="92"/>
      <c r="S433" s="92"/>
      <c r="T433" s="92"/>
      <c r="U433" s="92"/>
      <c r="V433" s="52"/>
      <c r="W433" s="52"/>
      <c r="X433" s="52"/>
      <c r="Y433" s="52"/>
      <c r="Z433" s="51"/>
      <c r="AA433" s="73"/>
      <c r="AB433" s="73"/>
      <c r="AC433" s="74"/>
      <c r="AD433" s="80" t="s">
        <v>7013</v>
      </c>
      <c r="AE433" s="85" t="s">
        <v>8225</v>
      </c>
      <c r="AF433" s="80">
        <v>165</v>
      </c>
      <c r="AG433" s="80">
        <v>139</v>
      </c>
      <c r="AH433" s="80">
        <v>14822</v>
      </c>
      <c r="AI433" s="80">
        <v>10007</v>
      </c>
      <c r="AJ433" s="80"/>
      <c r="AK433" s="80" t="s">
        <v>9339</v>
      </c>
      <c r="AL433" s="80" t="s">
        <v>10159</v>
      </c>
      <c r="AM433" s="80"/>
      <c r="AN433" s="80"/>
      <c r="AO433" s="82">
        <v>43300.019490740742</v>
      </c>
      <c r="AP433" s="87" t="str">
        <f>HYPERLINK("https://pbs.twimg.com/profile_banners/1019740621211176961/1627891464")</f>
        <v>https://pbs.twimg.com/profile_banners/1019740621211176961/1627891464</v>
      </c>
      <c r="AQ433" s="80" t="b">
        <v>1</v>
      </c>
      <c r="AR433" s="80" t="b">
        <v>0</v>
      </c>
      <c r="AS433" s="80" t="b">
        <v>1</v>
      </c>
      <c r="AT433" s="80"/>
      <c r="AU433" s="80">
        <v>1</v>
      </c>
      <c r="AV433" s="80"/>
      <c r="AW433" s="80" t="b">
        <v>0</v>
      </c>
      <c r="AX433" s="80" t="s">
        <v>10746</v>
      </c>
      <c r="AY433" s="87" t="str">
        <f>HYPERLINK("https://twitter.com/h_e_qal")</f>
        <v>https://twitter.com/h_e_qal</v>
      </c>
      <c r="AZ433" s="80" t="s">
        <v>66</v>
      </c>
      <c r="BA433" s="2"/>
      <c r="BB433" s="3"/>
      <c r="BC433" s="3"/>
      <c r="BD433" s="3"/>
      <c r="BE433" s="3"/>
    </row>
    <row r="434" spans="1:57" x14ac:dyDescent="0.35">
      <c r="A434" s="66" t="s">
        <v>1351</v>
      </c>
      <c r="B434" s="67"/>
      <c r="C434" s="67"/>
      <c r="D434" s="68"/>
      <c r="E434" s="70"/>
      <c r="F434" s="109" t="str">
        <f>HYPERLINK("https://pbs.twimg.com/profile_images/1442161227526856708/XVvnX-qE_normal.jpg")</f>
        <v>https://pbs.twimg.com/profile_images/1442161227526856708/XVvnX-qE_normal.jpg</v>
      </c>
      <c r="G434" s="67"/>
      <c r="H434" s="71"/>
      <c r="I434" s="72"/>
      <c r="J434" s="72"/>
      <c r="K434" s="71" t="s">
        <v>11177</v>
      </c>
      <c r="L434" s="75"/>
      <c r="M434" s="76"/>
      <c r="N434" s="76"/>
      <c r="O434" s="77"/>
      <c r="P434" s="78"/>
      <c r="Q434" s="78"/>
      <c r="R434" s="92"/>
      <c r="S434" s="92"/>
      <c r="T434" s="92"/>
      <c r="U434" s="92"/>
      <c r="V434" s="52"/>
      <c r="W434" s="52"/>
      <c r="X434" s="52"/>
      <c r="Y434" s="52"/>
      <c r="Z434" s="51"/>
      <c r="AA434" s="73"/>
      <c r="AB434" s="73"/>
      <c r="AC434" s="74"/>
      <c r="AD434" s="80" t="s">
        <v>7014</v>
      </c>
      <c r="AE434" s="85" t="s">
        <v>6315</v>
      </c>
      <c r="AF434" s="80">
        <v>229</v>
      </c>
      <c r="AG434" s="80">
        <v>297284</v>
      </c>
      <c r="AH434" s="80">
        <v>16370</v>
      </c>
      <c r="AI434" s="80">
        <v>1667</v>
      </c>
      <c r="AJ434" s="80"/>
      <c r="AK434" s="80" t="s">
        <v>9340</v>
      </c>
      <c r="AL434" s="80" t="s">
        <v>10172</v>
      </c>
      <c r="AM434" s="87" t="str">
        <f>HYPERLINK("https://t.co/WySL3Ce7zq")</f>
        <v>https://t.co/WySL3Ce7zq</v>
      </c>
      <c r="AN434" s="80"/>
      <c r="AO434" s="82">
        <v>41717.458761574075</v>
      </c>
      <c r="AP434" s="87" t="str">
        <f>HYPERLINK("https://pbs.twimg.com/profile_banners/2397676153/1616205534")</f>
        <v>https://pbs.twimg.com/profile_banners/2397676153/1616205534</v>
      </c>
      <c r="AQ434" s="80" t="b">
        <v>1</v>
      </c>
      <c r="AR434" s="80" t="b">
        <v>0</v>
      </c>
      <c r="AS434" s="80" t="b">
        <v>1</v>
      </c>
      <c r="AT434" s="80"/>
      <c r="AU434" s="80">
        <v>192858</v>
      </c>
      <c r="AV434" s="87" t="str">
        <f>HYPERLINK("https://abs.twimg.com/images/themes/theme1/bg.png")</f>
        <v>https://abs.twimg.com/images/themes/theme1/bg.png</v>
      </c>
      <c r="AW434" s="80" t="b">
        <v>1</v>
      </c>
      <c r="AX434" s="80" t="s">
        <v>10746</v>
      </c>
      <c r="AY434" s="87" t="str">
        <f>HYPERLINK("https://twitter.com/s_graciajkt48")</f>
        <v>https://twitter.com/s_graciajkt48</v>
      </c>
      <c r="AZ434" s="80" t="s">
        <v>65</v>
      </c>
      <c r="BA434" s="2"/>
      <c r="BB434" s="3"/>
      <c r="BC434" s="3"/>
      <c r="BD434" s="3"/>
      <c r="BE434" s="3"/>
    </row>
    <row r="435" spans="1:57" x14ac:dyDescent="0.35">
      <c r="A435" s="66" t="s">
        <v>558</v>
      </c>
      <c r="B435" s="67"/>
      <c r="C435" s="67"/>
      <c r="D435" s="68"/>
      <c r="E435" s="70"/>
      <c r="F435" s="109" t="str">
        <f>HYPERLINK("https://pbs.twimg.com/profile_images/1323276480734883844/W1Zwn2IS_normal.jpg")</f>
        <v>https://pbs.twimg.com/profile_images/1323276480734883844/W1Zwn2IS_normal.jpg</v>
      </c>
      <c r="G435" s="67"/>
      <c r="H435" s="71"/>
      <c r="I435" s="72"/>
      <c r="J435" s="72"/>
      <c r="K435" s="71" t="s">
        <v>11178</v>
      </c>
      <c r="L435" s="75"/>
      <c r="M435" s="76"/>
      <c r="N435" s="76"/>
      <c r="O435" s="77"/>
      <c r="P435" s="78"/>
      <c r="Q435" s="78"/>
      <c r="R435" s="92"/>
      <c r="S435" s="92"/>
      <c r="T435" s="92"/>
      <c r="U435" s="92"/>
      <c r="V435" s="52"/>
      <c r="W435" s="52"/>
      <c r="X435" s="52"/>
      <c r="Y435" s="52"/>
      <c r="Z435" s="51"/>
      <c r="AA435" s="73"/>
      <c r="AB435" s="73"/>
      <c r="AC435" s="74"/>
      <c r="AD435" s="80" t="s">
        <v>7015</v>
      </c>
      <c r="AE435" s="85" t="s">
        <v>8226</v>
      </c>
      <c r="AF435" s="80">
        <v>11</v>
      </c>
      <c r="AG435" s="80">
        <v>363</v>
      </c>
      <c r="AH435" s="80">
        <v>4378</v>
      </c>
      <c r="AI435" s="80">
        <v>2</v>
      </c>
      <c r="AJ435" s="80"/>
      <c r="AK435" s="80" t="s">
        <v>9341</v>
      </c>
      <c r="AL435" s="80"/>
      <c r="AM435" s="87" t="str">
        <f>HYPERLINK("https://t.co/OqGBlngMgH")</f>
        <v>https://t.co/OqGBlngMgH</v>
      </c>
      <c r="AN435" s="80"/>
      <c r="AO435" s="82">
        <v>44133.364953703705</v>
      </c>
      <c r="AP435" s="80"/>
      <c r="AQ435" s="80" t="b">
        <v>1</v>
      </c>
      <c r="AR435" s="80" t="b">
        <v>0</v>
      </c>
      <c r="AS435" s="80" t="b">
        <v>0</v>
      </c>
      <c r="AT435" s="80"/>
      <c r="AU435" s="80">
        <v>1</v>
      </c>
      <c r="AV435" s="80"/>
      <c r="AW435" s="80" t="b">
        <v>0</v>
      </c>
      <c r="AX435" s="80" t="s">
        <v>10746</v>
      </c>
      <c r="AY435" s="87" t="str">
        <f>HYPERLINK("https://twitter.com/aikerja")</f>
        <v>https://twitter.com/aikerja</v>
      </c>
      <c r="AZ435" s="80" t="s">
        <v>66</v>
      </c>
      <c r="BA435" s="2"/>
      <c r="BB435" s="3"/>
      <c r="BC435" s="3"/>
      <c r="BD435" s="3"/>
      <c r="BE435" s="3"/>
    </row>
    <row r="436" spans="1:57" x14ac:dyDescent="0.35">
      <c r="A436" s="66" t="s">
        <v>559</v>
      </c>
      <c r="B436" s="67"/>
      <c r="C436" s="67"/>
      <c r="D436" s="68"/>
      <c r="E436" s="70"/>
      <c r="F436" s="109" t="str">
        <f>HYPERLINK("https://pbs.twimg.com/profile_images/1438115491466268673/sNamcfrV_normal.jpg")</f>
        <v>https://pbs.twimg.com/profile_images/1438115491466268673/sNamcfrV_normal.jpg</v>
      </c>
      <c r="G436" s="67"/>
      <c r="H436" s="71"/>
      <c r="I436" s="72"/>
      <c r="J436" s="72"/>
      <c r="K436" s="71" t="s">
        <v>11179</v>
      </c>
      <c r="L436" s="75"/>
      <c r="M436" s="76"/>
      <c r="N436" s="76"/>
      <c r="O436" s="77"/>
      <c r="P436" s="78"/>
      <c r="Q436" s="78"/>
      <c r="R436" s="92"/>
      <c r="S436" s="92"/>
      <c r="T436" s="92"/>
      <c r="U436" s="92"/>
      <c r="V436" s="52"/>
      <c r="W436" s="52"/>
      <c r="X436" s="52"/>
      <c r="Y436" s="52"/>
      <c r="Z436" s="51"/>
      <c r="AA436" s="73"/>
      <c r="AB436" s="73"/>
      <c r="AC436" s="74"/>
      <c r="AD436" s="80" t="s">
        <v>7016</v>
      </c>
      <c r="AE436" s="85" t="s">
        <v>8227</v>
      </c>
      <c r="AF436" s="80">
        <v>120</v>
      </c>
      <c r="AG436" s="80">
        <v>145</v>
      </c>
      <c r="AH436" s="80">
        <v>1902</v>
      </c>
      <c r="AI436" s="80">
        <v>13578</v>
      </c>
      <c r="AJ436" s="80"/>
      <c r="AK436" s="80" t="s">
        <v>9342</v>
      </c>
      <c r="AL436" s="80" t="s">
        <v>10333</v>
      </c>
      <c r="AM436" s="80"/>
      <c r="AN436" s="80"/>
      <c r="AO436" s="82">
        <v>43440.641076388885</v>
      </c>
      <c r="AP436" s="87" t="str">
        <f>HYPERLINK("https://pbs.twimg.com/profile_banners/1070700175813894145/1626611311")</f>
        <v>https://pbs.twimg.com/profile_banners/1070700175813894145/1626611311</v>
      </c>
      <c r="AQ436" s="80" t="b">
        <v>1</v>
      </c>
      <c r="AR436" s="80" t="b">
        <v>0</v>
      </c>
      <c r="AS436" s="80" t="b">
        <v>0</v>
      </c>
      <c r="AT436" s="80"/>
      <c r="AU436" s="80">
        <v>0</v>
      </c>
      <c r="AV436" s="80"/>
      <c r="AW436" s="80" t="b">
        <v>0</v>
      </c>
      <c r="AX436" s="80" t="s">
        <v>10746</v>
      </c>
      <c r="AY436" s="87" t="str">
        <f>HYPERLINK("https://twitter.com/nursyhra_")</f>
        <v>https://twitter.com/nursyhra_</v>
      </c>
      <c r="AZ436" s="80" t="s">
        <v>66</v>
      </c>
      <c r="BA436" s="2"/>
      <c r="BB436" s="3"/>
      <c r="BC436" s="3"/>
      <c r="BD436" s="3"/>
      <c r="BE436" s="3"/>
    </row>
    <row r="437" spans="1:57" x14ac:dyDescent="0.35">
      <c r="A437" s="66" t="s">
        <v>1352</v>
      </c>
      <c r="B437" s="67"/>
      <c r="C437" s="67"/>
      <c r="D437" s="68"/>
      <c r="E437" s="70"/>
      <c r="F437" s="109" t="str">
        <f>HYPERLINK("https://pbs.twimg.com/profile_images/1376965467638624258/0k6sM1yA_normal.jpg")</f>
        <v>https://pbs.twimg.com/profile_images/1376965467638624258/0k6sM1yA_normal.jpg</v>
      </c>
      <c r="G437" s="67"/>
      <c r="H437" s="71"/>
      <c r="I437" s="72"/>
      <c r="J437" s="72"/>
      <c r="K437" s="71" t="s">
        <v>11180</v>
      </c>
      <c r="L437" s="75"/>
      <c r="M437" s="76"/>
      <c r="N437" s="76"/>
      <c r="O437" s="77"/>
      <c r="P437" s="78"/>
      <c r="Q437" s="78"/>
      <c r="R437" s="92"/>
      <c r="S437" s="92"/>
      <c r="T437" s="92"/>
      <c r="U437" s="92"/>
      <c r="V437" s="52"/>
      <c r="W437" s="52"/>
      <c r="X437" s="52"/>
      <c r="Y437" s="52"/>
      <c r="Z437" s="51"/>
      <c r="AA437" s="73"/>
      <c r="AB437" s="73"/>
      <c r="AC437" s="74"/>
      <c r="AD437" s="80" t="s">
        <v>7017</v>
      </c>
      <c r="AE437" s="85" t="s">
        <v>6316</v>
      </c>
      <c r="AF437" s="80">
        <v>71</v>
      </c>
      <c r="AG437" s="80">
        <v>103</v>
      </c>
      <c r="AH437" s="80">
        <v>167</v>
      </c>
      <c r="AI437" s="80">
        <v>1239</v>
      </c>
      <c r="AJ437" s="80"/>
      <c r="AK437" s="80" t="s">
        <v>9343</v>
      </c>
      <c r="AL437" s="80"/>
      <c r="AM437" s="80"/>
      <c r="AN437" s="80"/>
      <c r="AO437" s="82">
        <v>43566.690023148149</v>
      </c>
      <c r="AP437" s="87" t="str">
        <f>HYPERLINK("https://pbs.twimg.com/profile_banners/1116378784960172033/1596430767")</f>
        <v>https://pbs.twimg.com/profile_banners/1116378784960172033/1596430767</v>
      </c>
      <c r="AQ437" s="80" t="b">
        <v>1</v>
      </c>
      <c r="AR437" s="80" t="b">
        <v>0</v>
      </c>
      <c r="AS437" s="80" t="b">
        <v>0</v>
      </c>
      <c r="AT437" s="80"/>
      <c r="AU437" s="80">
        <v>0</v>
      </c>
      <c r="AV437" s="80"/>
      <c r="AW437" s="80" t="b">
        <v>0</v>
      </c>
      <c r="AX437" s="80" t="s">
        <v>10746</v>
      </c>
      <c r="AY437" s="87" t="str">
        <f>HYPERLINK("https://twitter.com/ariffl5")</f>
        <v>https://twitter.com/ariffl5</v>
      </c>
      <c r="AZ437" s="80" t="s">
        <v>65</v>
      </c>
      <c r="BA437" s="2"/>
      <c r="BB437" s="3"/>
      <c r="BC437" s="3"/>
      <c r="BD437" s="3"/>
      <c r="BE437" s="3"/>
    </row>
    <row r="438" spans="1:57" x14ac:dyDescent="0.35">
      <c r="A438" s="66" t="s">
        <v>560</v>
      </c>
      <c r="B438" s="67"/>
      <c r="C438" s="67"/>
      <c r="D438" s="68"/>
      <c r="E438" s="70"/>
      <c r="F438" s="109" t="str">
        <f>HYPERLINK("https://pbs.twimg.com/profile_images/1139017036799983617/hVjwVA93_normal.jpg")</f>
        <v>https://pbs.twimg.com/profile_images/1139017036799983617/hVjwVA93_normal.jpg</v>
      </c>
      <c r="G438" s="67"/>
      <c r="H438" s="71"/>
      <c r="I438" s="72"/>
      <c r="J438" s="72"/>
      <c r="K438" s="71" t="s">
        <v>11181</v>
      </c>
      <c r="L438" s="75"/>
      <c r="M438" s="76"/>
      <c r="N438" s="76"/>
      <c r="O438" s="77"/>
      <c r="P438" s="78"/>
      <c r="Q438" s="78"/>
      <c r="R438" s="92"/>
      <c r="S438" s="92"/>
      <c r="T438" s="92"/>
      <c r="U438" s="92"/>
      <c r="V438" s="52"/>
      <c r="W438" s="52"/>
      <c r="X438" s="52"/>
      <c r="Y438" s="52"/>
      <c r="Z438" s="51"/>
      <c r="AA438" s="73"/>
      <c r="AB438" s="73"/>
      <c r="AC438" s="74"/>
      <c r="AD438" s="80" t="s">
        <v>7018</v>
      </c>
      <c r="AE438" s="85" t="s">
        <v>8228</v>
      </c>
      <c r="AF438" s="80">
        <v>21</v>
      </c>
      <c r="AG438" s="80">
        <v>35</v>
      </c>
      <c r="AH438" s="80">
        <v>360</v>
      </c>
      <c r="AI438" s="80">
        <v>273</v>
      </c>
      <c r="AJ438" s="80"/>
      <c r="AK438" s="80" t="s">
        <v>9344</v>
      </c>
      <c r="AL438" s="80"/>
      <c r="AM438" s="80"/>
      <c r="AN438" s="80"/>
      <c r="AO438" s="82">
        <v>43573.490937499999</v>
      </c>
      <c r="AP438" s="80"/>
      <c r="AQ438" s="80" t="b">
        <v>1</v>
      </c>
      <c r="AR438" s="80" t="b">
        <v>0</v>
      </c>
      <c r="AS438" s="80" t="b">
        <v>0</v>
      </c>
      <c r="AT438" s="80"/>
      <c r="AU438" s="80">
        <v>0</v>
      </c>
      <c r="AV438" s="80"/>
      <c r="AW438" s="80" t="b">
        <v>0</v>
      </c>
      <c r="AX438" s="80" t="s">
        <v>10746</v>
      </c>
      <c r="AY438" s="87" t="str">
        <f>HYPERLINK("https://twitter.com/asgcaseba")</f>
        <v>https://twitter.com/asgcaseba</v>
      </c>
      <c r="AZ438" s="80" t="s">
        <v>66</v>
      </c>
      <c r="BA438" s="2"/>
      <c r="BB438" s="3"/>
      <c r="BC438" s="3"/>
      <c r="BD438" s="3"/>
      <c r="BE438" s="3"/>
    </row>
    <row r="439" spans="1:57" x14ac:dyDescent="0.35">
      <c r="A439" s="66" t="s">
        <v>1353</v>
      </c>
      <c r="B439" s="67"/>
      <c r="C439" s="67"/>
      <c r="D439" s="68"/>
      <c r="E439" s="70"/>
      <c r="F439" s="109" t="str">
        <f>HYPERLINK("https://pbs.twimg.com/profile_images/1313764737205768193/S-x_722f_normal.jpg")</f>
        <v>https://pbs.twimg.com/profile_images/1313764737205768193/S-x_722f_normal.jpg</v>
      </c>
      <c r="G439" s="67"/>
      <c r="H439" s="71"/>
      <c r="I439" s="72"/>
      <c r="J439" s="72"/>
      <c r="K439" s="71" t="s">
        <v>11182</v>
      </c>
      <c r="L439" s="75"/>
      <c r="M439" s="76"/>
      <c r="N439" s="76"/>
      <c r="O439" s="77"/>
      <c r="P439" s="78"/>
      <c r="Q439" s="78"/>
      <c r="R439" s="92"/>
      <c r="S439" s="92"/>
      <c r="T439" s="92"/>
      <c r="U439" s="92"/>
      <c r="V439" s="52"/>
      <c r="W439" s="52"/>
      <c r="X439" s="52"/>
      <c r="Y439" s="52"/>
      <c r="Z439" s="51"/>
      <c r="AA439" s="73"/>
      <c r="AB439" s="73"/>
      <c r="AC439" s="74"/>
      <c r="AD439" s="80" t="s">
        <v>7019</v>
      </c>
      <c r="AE439" s="85" t="s">
        <v>6317</v>
      </c>
      <c r="AF439" s="80">
        <v>1960</v>
      </c>
      <c r="AG439" s="80">
        <v>1210</v>
      </c>
      <c r="AH439" s="80">
        <v>25280</v>
      </c>
      <c r="AI439" s="80">
        <v>28208</v>
      </c>
      <c r="AJ439" s="80"/>
      <c r="AK439" s="80" t="s">
        <v>9345</v>
      </c>
      <c r="AL439" s="80"/>
      <c r="AM439" s="80"/>
      <c r="AN439" s="80"/>
      <c r="AO439" s="82">
        <v>41410.436736111114</v>
      </c>
      <c r="AP439" s="87" t="str">
        <f>HYPERLINK("https://pbs.twimg.com/profile_banners/1432735723/1603567396")</f>
        <v>https://pbs.twimg.com/profile_banners/1432735723/1603567396</v>
      </c>
      <c r="AQ439" s="80" t="b">
        <v>0</v>
      </c>
      <c r="AR439" s="80" t="b">
        <v>0</v>
      </c>
      <c r="AS439" s="80" t="b">
        <v>1</v>
      </c>
      <c r="AT439" s="80"/>
      <c r="AU439" s="80">
        <v>1</v>
      </c>
      <c r="AV439" s="87" t="str">
        <f>HYPERLINK("https://abs.twimg.com/images/themes/theme6/bg.gif")</f>
        <v>https://abs.twimg.com/images/themes/theme6/bg.gif</v>
      </c>
      <c r="AW439" s="80" t="b">
        <v>0</v>
      </c>
      <c r="AX439" s="80" t="s">
        <v>10746</v>
      </c>
      <c r="AY439" s="87" t="str">
        <f>HYPERLINK("https://twitter.com/afiqahamni1")</f>
        <v>https://twitter.com/afiqahamni1</v>
      </c>
      <c r="AZ439" s="80" t="s">
        <v>65</v>
      </c>
      <c r="BA439" s="2"/>
      <c r="BB439" s="3"/>
      <c r="BC439" s="3"/>
      <c r="BD439" s="3"/>
      <c r="BE439" s="3"/>
    </row>
    <row r="440" spans="1:57" x14ac:dyDescent="0.35">
      <c r="A440" s="66" t="s">
        <v>562</v>
      </c>
      <c r="B440" s="67"/>
      <c r="C440" s="67"/>
      <c r="D440" s="68"/>
      <c r="E440" s="70"/>
      <c r="F440" s="109" t="str">
        <f>HYPERLINK("https://pbs.twimg.com/profile_images/1424602642270068738/jlB6M34Y_normal.jpg")</f>
        <v>https://pbs.twimg.com/profile_images/1424602642270068738/jlB6M34Y_normal.jpg</v>
      </c>
      <c r="G440" s="67"/>
      <c r="H440" s="71"/>
      <c r="I440" s="72"/>
      <c r="J440" s="72"/>
      <c r="K440" s="71" t="s">
        <v>11183</v>
      </c>
      <c r="L440" s="75"/>
      <c r="M440" s="76"/>
      <c r="N440" s="76"/>
      <c r="O440" s="77"/>
      <c r="P440" s="78"/>
      <c r="Q440" s="78"/>
      <c r="R440" s="92"/>
      <c r="S440" s="92"/>
      <c r="T440" s="92"/>
      <c r="U440" s="92"/>
      <c r="V440" s="52"/>
      <c r="W440" s="52"/>
      <c r="X440" s="52"/>
      <c r="Y440" s="52"/>
      <c r="Z440" s="51"/>
      <c r="AA440" s="73"/>
      <c r="AB440" s="73"/>
      <c r="AC440" s="74"/>
      <c r="AD440" s="80" t="s">
        <v>7020</v>
      </c>
      <c r="AE440" s="85" t="s">
        <v>8229</v>
      </c>
      <c r="AF440" s="80">
        <v>547</v>
      </c>
      <c r="AG440" s="80">
        <v>445</v>
      </c>
      <c r="AH440" s="80">
        <v>18367</v>
      </c>
      <c r="AI440" s="80">
        <v>1240</v>
      </c>
      <c r="AJ440" s="80"/>
      <c r="AK440" s="80" t="s">
        <v>9346</v>
      </c>
      <c r="AL440" s="80" t="s">
        <v>10334</v>
      </c>
      <c r="AM440" s="80"/>
      <c r="AN440" s="80"/>
      <c r="AO440" s="82">
        <v>41178.21670138889</v>
      </c>
      <c r="AP440" s="87" t="str">
        <f>HYPERLINK("https://pbs.twimg.com/profile_banners/846808219/1632128088")</f>
        <v>https://pbs.twimg.com/profile_banners/846808219/1632128088</v>
      </c>
      <c r="AQ440" s="80" t="b">
        <v>0</v>
      </c>
      <c r="AR440" s="80" t="b">
        <v>0</v>
      </c>
      <c r="AS440" s="80" t="b">
        <v>1</v>
      </c>
      <c r="AT440" s="80"/>
      <c r="AU440" s="80">
        <v>3</v>
      </c>
      <c r="AV440" s="87" t="str">
        <f>HYPERLINK("https://abs.twimg.com/images/themes/theme1/bg.png")</f>
        <v>https://abs.twimg.com/images/themes/theme1/bg.png</v>
      </c>
      <c r="AW440" s="80" t="b">
        <v>0</v>
      </c>
      <c r="AX440" s="80" t="s">
        <v>10746</v>
      </c>
      <c r="AY440" s="87" t="str">
        <f>HYPERLINK("https://twitter.com/cygyt")</f>
        <v>https://twitter.com/cygyt</v>
      </c>
      <c r="AZ440" s="80" t="s">
        <v>66</v>
      </c>
      <c r="BA440" s="2"/>
      <c r="BB440" s="3"/>
      <c r="BC440" s="3"/>
      <c r="BD440" s="3"/>
      <c r="BE440" s="3"/>
    </row>
    <row r="441" spans="1:57" x14ac:dyDescent="0.35">
      <c r="A441" s="66" t="s">
        <v>1354</v>
      </c>
      <c r="B441" s="67"/>
      <c r="C441" s="67"/>
      <c r="D441" s="68"/>
      <c r="E441" s="70"/>
      <c r="F441" s="109" t="str">
        <f>HYPERLINK("https://pbs.twimg.com/profile_images/1501487153/hut_ri_ke_66_fb_profile_pics_normal.jpg")</f>
        <v>https://pbs.twimg.com/profile_images/1501487153/hut_ri_ke_66_fb_profile_pics_normal.jpg</v>
      </c>
      <c r="G441" s="67"/>
      <c r="H441" s="71"/>
      <c r="I441" s="72"/>
      <c r="J441" s="72"/>
      <c r="K441" s="71" t="s">
        <v>11184</v>
      </c>
      <c r="L441" s="75"/>
      <c r="M441" s="76"/>
      <c r="N441" s="76"/>
      <c r="O441" s="77"/>
      <c r="P441" s="78"/>
      <c r="Q441" s="78"/>
      <c r="R441" s="92"/>
      <c r="S441" s="92"/>
      <c r="T441" s="92"/>
      <c r="U441" s="92"/>
      <c r="V441" s="52"/>
      <c r="W441" s="52"/>
      <c r="X441" s="52"/>
      <c r="Y441" s="52"/>
      <c r="Z441" s="51"/>
      <c r="AA441" s="73"/>
      <c r="AB441" s="73"/>
      <c r="AC441" s="74"/>
      <c r="AD441" s="80" t="s">
        <v>7021</v>
      </c>
      <c r="AE441" s="85" t="s">
        <v>6318</v>
      </c>
      <c r="AF441" s="80">
        <v>397</v>
      </c>
      <c r="AG441" s="80">
        <v>120</v>
      </c>
      <c r="AH441" s="80">
        <v>1003</v>
      </c>
      <c r="AI441" s="80">
        <v>5850</v>
      </c>
      <c r="AJ441" s="80"/>
      <c r="AK441" s="80"/>
      <c r="AL441" s="80"/>
      <c r="AM441" s="80"/>
      <c r="AN441" s="80"/>
      <c r="AO441" s="82">
        <v>40309.22283564815</v>
      </c>
      <c r="AP441" s="80"/>
      <c r="AQ441" s="80" t="b">
        <v>1</v>
      </c>
      <c r="AR441" s="80" t="b">
        <v>0</v>
      </c>
      <c r="AS441" s="80" t="b">
        <v>1</v>
      </c>
      <c r="AT441" s="80"/>
      <c r="AU441" s="80">
        <v>1</v>
      </c>
      <c r="AV441" s="87" t="str">
        <f>HYPERLINK("https://abs.twimg.com/images/themes/theme1/bg.png")</f>
        <v>https://abs.twimg.com/images/themes/theme1/bg.png</v>
      </c>
      <c r="AW441" s="80" t="b">
        <v>0</v>
      </c>
      <c r="AX441" s="80" t="s">
        <v>10746</v>
      </c>
      <c r="AY441" s="87" t="str">
        <f>HYPERLINK("https://twitter.com/ilhamdw")</f>
        <v>https://twitter.com/ilhamdw</v>
      </c>
      <c r="AZ441" s="80" t="s">
        <v>65</v>
      </c>
      <c r="BA441" s="2"/>
      <c r="BB441" s="3"/>
      <c r="BC441" s="3"/>
      <c r="BD441" s="3"/>
      <c r="BE441" s="3"/>
    </row>
    <row r="442" spans="1:57" x14ac:dyDescent="0.35">
      <c r="A442" s="66" t="s">
        <v>563</v>
      </c>
      <c r="B442" s="67"/>
      <c r="C442" s="67"/>
      <c r="D442" s="68"/>
      <c r="E442" s="70"/>
      <c r="F442" s="109" t="str">
        <f>HYPERLINK("https://pbs.twimg.com/profile_images/1438864497427431431/dBp44y5U_normal.jpg")</f>
        <v>https://pbs.twimg.com/profile_images/1438864497427431431/dBp44y5U_normal.jpg</v>
      </c>
      <c r="G442" s="67"/>
      <c r="H442" s="71"/>
      <c r="I442" s="72"/>
      <c r="J442" s="72"/>
      <c r="K442" s="71" t="s">
        <v>11185</v>
      </c>
      <c r="L442" s="75"/>
      <c r="M442" s="76"/>
      <c r="N442" s="76"/>
      <c r="O442" s="77"/>
      <c r="P442" s="78"/>
      <c r="Q442" s="78"/>
      <c r="R442" s="92"/>
      <c r="S442" s="92"/>
      <c r="T442" s="92"/>
      <c r="U442" s="92"/>
      <c r="V442" s="52"/>
      <c r="W442" s="52"/>
      <c r="X442" s="52"/>
      <c r="Y442" s="52"/>
      <c r="Z442" s="51"/>
      <c r="AA442" s="73"/>
      <c r="AB442" s="73"/>
      <c r="AC442" s="74"/>
      <c r="AD442" s="80" t="s">
        <v>7022</v>
      </c>
      <c r="AE442" s="85" t="s">
        <v>6319</v>
      </c>
      <c r="AF442" s="80">
        <v>40</v>
      </c>
      <c r="AG442" s="80">
        <v>20</v>
      </c>
      <c r="AH442" s="80">
        <v>391</v>
      </c>
      <c r="AI442" s="80">
        <v>74</v>
      </c>
      <c r="AJ442" s="80"/>
      <c r="AK442" s="80"/>
      <c r="AL442" s="80"/>
      <c r="AM442" s="80"/>
      <c r="AN442" s="80"/>
      <c r="AO442" s="82">
        <v>44059.100497685184</v>
      </c>
      <c r="AP442" s="80"/>
      <c r="AQ442" s="80" t="b">
        <v>1</v>
      </c>
      <c r="AR442" s="80" t="b">
        <v>0</v>
      </c>
      <c r="AS442" s="80" t="b">
        <v>0</v>
      </c>
      <c r="AT442" s="80"/>
      <c r="AU442" s="80">
        <v>0</v>
      </c>
      <c r="AV442" s="80"/>
      <c r="AW442" s="80" t="b">
        <v>0</v>
      </c>
      <c r="AX442" s="80" t="s">
        <v>10746</v>
      </c>
      <c r="AY442" s="87" t="str">
        <f>HYPERLINK("https://twitter.com/shhxtty")</f>
        <v>https://twitter.com/shhxtty</v>
      </c>
      <c r="AZ442" s="80" t="s">
        <v>66</v>
      </c>
      <c r="BA442" s="2"/>
      <c r="BB442" s="3"/>
      <c r="BC442" s="3"/>
      <c r="BD442" s="3"/>
      <c r="BE442" s="3"/>
    </row>
    <row r="443" spans="1:57" x14ac:dyDescent="0.35">
      <c r="A443" s="66" t="s">
        <v>1355</v>
      </c>
      <c r="B443" s="67"/>
      <c r="C443" s="67"/>
      <c r="D443" s="68"/>
      <c r="E443" s="70"/>
      <c r="F443" s="109" t="str">
        <f>HYPERLINK("https://pbs.twimg.com/profile_images/1396476671818010628/usQ6R8V4_normal.jpg")</f>
        <v>https://pbs.twimg.com/profile_images/1396476671818010628/usQ6R8V4_normal.jpg</v>
      </c>
      <c r="G443" s="67"/>
      <c r="H443" s="71"/>
      <c r="I443" s="72"/>
      <c r="J443" s="72"/>
      <c r="K443" s="71" t="s">
        <v>11186</v>
      </c>
      <c r="L443" s="75"/>
      <c r="M443" s="76"/>
      <c r="N443" s="76"/>
      <c r="O443" s="77"/>
      <c r="P443" s="78"/>
      <c r="Q443" s="78"/>
      <c r="R443" s="92"/>
      <c r="S443" s="92"/>
      <c r="T443" s="92"/>
      <c r="U443" s="92"/>
      <c r="V443" s="52"/>
      <c r="W443" s="52"/>
      <c r="X443" s="52"/>
      <c r="Y443" s="52"/>
      <c r="Z443" s="51"/>
      <c r="AA443" s="73"/>
      <c r="AB443" s="73"/>
      <c r="AC443" s="74"/>
      <c r="AD443" s="80" t="s">
        <v>7023</v>
      </c>
      <c r="AE443" s="85" t="s">
        <v>6324</v>
      </c>
      <c r="AF443" s="80">
        <v>1548</v>
      </c>
      <c r="AG443" s="80">
        <v>28035</v>
      </c>
      <c r="AH443" s="80">
        <v>268540</v>
      </c>
      <c r="AI443" s="80">
        <v>31</v>
      </c>
      <c r="AJ443" s="80"/>
      <c r="AK443" s="80" t="s">
        <v>9347</v>
      </c>
      <c r="AL443" s="80" t="s">
        <v>10335</v>
      </c>
      <c r="AM443" s="87" t="str">
        <f>HYPERLINK("https://t.co/J34zMgikU1")</f>
        <v>https://t.co/J34zMgikU1</v>
      </c>
      <c r="AN443" s="80"/>
      <c r="AO443" s="82">
        <v>44034.716516203705</v>
      </c>
      <c r="AP443" s="87" t="str">
        <f>HYPERLINK("https://pbs.twimg.com/profile_banners/1285985877177425920/1621781140")</f>
        <v>https://pbs.twimg.com/profile_banners/1285985877177425920/1621781140</v>
      </c>
      <c r="AQ443" s="80" t="b">
        <v>1</v>
      </c>
      <c r="AR443" s="80" t="b">
        <v>0</v>
      </c>
      <c r="AS443" s="80" t="b">
        <v>0</v>
      </c>
      <c r="AT443" s="80"/>
      <c r="AU443" s="80">
        <v>468</v>
      </c>
      <c r="AV443" s="80"/>
      <c r="AW443" s="80" t="b">
        <v>0</v>
      </c>
      <c r="AX443" s="80" t="s">
        <v>10746</v>
      </c>
      <c r="AY443" s="87" t="str">
        <f>HYPERLINK("https://twitter.com/treasuremarkets")</f>
        <v>https://twitter.com/treasuremarkets</v>
      </c>
      <c r="AZ443" s="80" t="s">
        <v>65</v>
      </c>
      <c r="BA443" s="2"/>
      <c r="BB443" s="3"/>
      <c r="BC443" s="3"/>
      <c r="BD443" s="3"/>
      <c r="BE443" s="3"/>
    </row>
    <row r="444" spans="1:57" x14ac:dyDescent="0.35">
      <c r="A444" s="66" t="s">
        <v>564</v>
      </c>
      <c r="B444" s="67"/>
      <c r="C444" s="67"/>
      <c r="D444" s="68"/>
      <c r="E444" s="70"/>
      <c r="F444" s="109" t="str">
        <f>HYPERLINK("https://pbs.twimg.com/profile_images/1437496319262683137/OA_1UDhQ_normal.jpg")</f>
        <v>https://pbs.twimg.com/profile_images/1437496319262683137/OA_1UDhQ_normal.jpg</v>
      </c>
      <c r="G444" s="67"/>
      <c r="H444" s="71"/>
      <c r="I444" s="72"/>
      <c r="J444" s="72"/>
      <c r="K444" s="71" t="s">
        <v>11187</v>
      </c>
      <c r="L444" s="75"/>
      <c r="M444" s="76"/>
      <c r="N444" s="76"/>
      <c r="O444" s="77"/>
      <c r="P444" s="78"/>
      <c r="Q444" s="78"/>
      <c r="R444" s="92"/>
      <c r="S444" s="92"/>
      <c r="T444" s="92"/>
      <c r="U444" s="92"/>
      <c r="V444" s="52"/>
      <c r="W444" s="52"/>
      <c r="X444" s="52"/>
      <c r="Y444" s="52"/>
      <c r="Z444" s="51"/>
      <c r="AA444" s="73"/>
      <c r="AB444" s="73"/>
      <c r="AC444" s="74"/>
      <c r="AD444" s="80" t="s">
        <v>7024</v>
      </c>
      <c r="AE444" s="85" t="s">
        <v>6320</v>
      </c>
      <c r="AF444" s="80">
        <v>261</v>
      </c>
      <c r="AG444" s="80">
        <v>115</v>
      </c>
      <c r="AH444" s="80">
        <v>10310</v>
      </c>
      <c r="AI444" s="80">
        <v>20117</v>
      </c>
      <c r="AJ444" s="80"/>
      <c r="AK444" s="80">
        <v>18</v>
      </c>
      <c r="AL444" s="80" t="s">
        <v>10311</v>
      </c>
      <c r="AM444" s="80"/>
      <c r="AN444" s="80"/>
      <c r="AO444" s="82">
        <v>42979.003530092596</v>
      </c>
      <c r="AP444" s="87" t="str">
        <f>HYPERLINK("https://pbs.twimg.com/profile_banners/903408333222100993/1627961077")</f>
        <v>https://pbs.twimg.com/profile_banners/903408333222100993/1627961077</v>
      </c>
      <c r="AQ444" s="80" t="b">
        <v>1</v>
      </c>
      <c r="AR444" s="80" t="b">
        <v>0</v>
      </c>
      <c r="AS444" s="80" t="b">
        <v>1</v>
      </c>
      <c r="AT444" s="80"/>
      <c r="AU444" s="80">
        <v>0</v>
      </c>
      <c r="AV444" s="80"/>
      <c r="AW444" s="80" t="b">
        <v>0</v>
      </c>
      <c r="AX444" s="80" t="s">
        <v>10746</v>
      </c>
      <c r="AY444" s="87" t="str">
        <f>HYPERLINK("https://twitter.com/nrnshaik19")</f>
        <v>https://twitter.com/nrnshaik19</v>
      </c>
      <c r="AZ444" s="80" t="s">
        <v>66</v>
      </c>
      <c r="BA444" s="2"/>
      <c r="BB444" s="3"/>
      <c r="BC444" s="3"/>
      <c r="BD444" s="3"/>
      <c r="BE444" s="3"/>
    </row>
    <row r="445" spans="1:57" x14ac:dyDescent="0.35">
      <c r="A445" s="66" t="s">
        <v>565</v>
      </c>
      <c r="B445" s="67"/>
      <c r="C445" s="67"/>
      <c r="D445" s="68"/>
      <c r="E445" s="70"/>
      <c r="F445" s="109" t="str">
        <f>HYPERLINK("https://pbs.twimg.com/profile_images/1439814058362892294/99UlnPHr_normal.jpg")</f>
        <v>https://pbs.twimg.com/profile_images/1439814058362892294/99UlnPHr_normal.jpg</v>
      </c>
      <c r="G445" s="67"/>
      <c r="H445" s="71"/>
      <c r="I445" s="72"/>
      <c r="J445" s="72"/>
      <c r="K445" s="71" t="s">
        <v>11188</v>
      </c>
      <c r="L445" s="75"/>
      <c r="M445" s="76"/>
      <c r="N445" s="76"/>
      <c r="O445" s="77"/>
      <c r="P445" s="78"/>
      <c r="Q445" s="78"/>
      <c r="R445" s="92"/>
      <c r="S445" s="92"/>
      <c r="T445" s="92"/>
      <c r="U445" s="92"/>
      <c r="V445" s="52"/>
      <c r="W445" s="52"/>
      <c r="X445" s="52"/>
      <c r="Y445" s="52"/>
      <c r="Z445" s="51"/>
      <c r="AA445" s="73"/>
      <c r="AB445" s="73"/>
      <c r="AC445" s="74"/>
      <c r="AD445" s="80" t="s">
        <v>7025</v>
      </c>
      <c r="AE445" s="85" t="s">
        <v>8230</v>
      </c>
      <c r="AF445" s="80">
        <v>540</v>
      </c>
      <c r="AG445" s="80">
        <v>1496</v>
      </c>
      <c r="AH445" s="80">
        <v>66384</v>
      </c>
      <c r="AI445" s="80">
        <v>39659</v>
      </c>
      <c r="AJ445" s="80"/>
      <c r="AK445" s="80" t="s">
        <v>9348</v>
      </c>
      <c r="AL445" s="80"/>
      <c r="AM445" s="80"/>
      <c r="AN445" s="80"/>
      <c r="AO445" s="82">
        <v>40892.829664351855</v>
      </c>
      <c r="AP445" s="87" t="str">
        <f>HYPERLINK("https://pbs.twimg.com/profile_banners/437750128/1632115086")</f>
        <v>https://pbs.twimg.com/profile_banners/437750128/1632115086</v>
      </c>
      <c r="AQ445" s="80" t="b">
        <v>0</v>
      </c>
      <c r="AR445" s="80" t="b">
        <v>0</v>
      </c>
      <c r="AS445" s="80" t="b">
        <v>1</v>
      </c>
      <c r="AT445" s="80"/>
      <c r="AU445" s="80">
        <v>0</v>
      </c>
      <c r="AV445" s="87" t="str">
        <f>HYPERLINK("https://abs.twimg.com/images/themes/theme1/bg.png")</f>
        <v>https://abs.twimg.com/images/themes/theme1/bg.png</v>
      </c>
      <c r="AW445" s="80" t="b">
        <v>0</v>
      </c>
      <c r="AX445" s="80" t="s">
        <v>10746</v>
      </c>
      <c r="AY445" s="87" t="str">
        <f>HYPERLINK("https://twitter.com/naaabihaaa")</f>
        <v>https://twitter.com/naaabihaaa</v>
      </c>
      <c r="AZ445" s="80" t="s">
        <v>66</v>
      </c>
      <c r="BA445" s="2"/>
      <c r="BB445" s="3"/>
      <c r="BC445" s="3"/>
      <c r="BD445" s="3"/>
      <c r="BE445" s="3"/>
    </row>
    <row r="446" spans="1:57" x14ac:dyDescent="0.35">
      <c r="A446" s="66" t="s">
        <v>566</v>
      </c>
      <c r="B446" s="67"/>
      <c r="C446" s="67"/>
      <c r="D446" s="68"/>
      <c r="E446" s="70"/>
      <c r="F446" s="109" t="str">
        <f>HYPERLINK("https://pbs.twimg.com/profile_images/1019063571206922243/0n9EquRK_normal.jpg")</f>
        <v>https://pbs.twimg.com/profile_images/1019063571206922243/0n9EquRK_normal.jpg</v>
      </c>
      <c r="G446" s="67"/>
      <c r="H446" s="71"/>
      <c r="I446" s="72"/>
      <c r="J446" s="72"/>
      <c r="K446" s="71" t="s">
        <v>11189</v>
      </c>
      <c r="L446" s="75"/>
      <c r="M446" s="76"/>
      <c r="N446" s="76"/>
      <c r="O446" s="77"/>
      <c r="P446" s="78"/>
      <c r="Q446" s="78"/>
      <c r="R446" s="92"/>
      <c r="S446" s="92"/>
      <c r="T446" s="92"/>
      <c r="U446" s="92"/>
      <c r="V446" s="52"/>
      <c r="W446" s="52"/>
      <c r="X446" s="52"/>
      <c r="Y446" s="52"/>
      <c r="Z446" s="51"/>
      <c r="AA446" s="73"/>
      <c r="AB446" s="73"/>
      <c r="AC446" s="74"/>
      <c r="AD446" s="80" t="s">
        <v>7026</v>
      </c>
      <c r="AE446" s="85" t="s">
        <v>8231</v>
      </c>
      <c r="AF446" s="80">
        <v>170</v>
      </c>
      <c r="AG446" s="80">
        <v>420</v>
      </c>
      <c r="AH446" s="80">
        <v>371</v>
      </c>
      <c r="AI446" s="80">
        <v>16</v>
      </c>
      <c r="AJ446" s="80"/>
      <c r="AK446" s="80" t="s">
        <v>9349</v>
      </c>
      <c r="AL446" s="80" t="s">
        <v>10336</v>
      </c>
      <c r="AM446" s="87" t="str">
        <f>HYPERLINK("https://t.co/BquMmVxW6D")</f>
        <v>https://t.co/BquMmVxW6D</v>
      </c>
      <c r="AN446" s="80"/>
      <c r="AO446" s="82">
        <v>42577.292002314818</v>
      </c>
      <c r="AP446" s="87" t="str">
        <f>HYPERLINK("https://pbs.twimg.com/profile_banners/757832946363400192/1611031561")</f>
        <v>https://pbs.twimg.com/profile_banners/757832946363400192/1611031561</v>
      </c>
      <c r="AQ446" s="80" t="b">
        <v>1</v>
      </c>
      <c r="AR446" s="80" t="b">
        <v>0</v>
      </c>
      <c r="AS446" s="80" t="b">
        <v>0</v>
      </c>
      <c r="AT446" s="80"/>
      <c r="AU446" s="80">
        <v>0</v>
      </c>
      <c r="AV446" s="80"/>
      <c r="AW446" s="80" t="b">
        <v>0</v>
      </c>
      <c r="AX446" s="80" t="s">
        <v>10746</v>
      </c>
      <c r="AY446" s="87" t="str">
        <f>HYPERLINK("https://twitter.com/bcbanjarmasin_")</f>
        <v>https://twitter.com/bcbanjarmasin_</v>
      </c>
      <c r="AZ446" s="80" t="s">
        <v>66</v>
      </c>
      <c r="BA446" s="2"/>
      <c r="BB446" s="3"/>
      <c r="BC446" s="3"/>
      <c r="BD446" s="3"/>
      <c r="BE446" s="3"/>
    </row>
    <row r="447" spans="1:57" x14ac:dyDescent="0.35">
      <c r="A447" s="66" t="s">
        <v>567</v>
      </c>
      <c r="B447" s="67"/>
      <c r="C447" s="67"/>
      <c r="D447" s="68"/>
      <c r="E447" s="70"/>
      <c r="F447" s="109" t="str">
        <f>HYPERLINK("https://pbs.twimg.com/profile_images/1346518820257636353/8HBT0lfC_normal.jpg")</f>
        <v>https://pbs.twimg.com/profile_images/1346518820257636353/8HBT0lfC_normal.jpg</v>
      </c>
      <c r="G447" s="67"/>
      <c r="H447" s="71"/>
      <c r="I447" s="72"/>
      <c r="J447" s="72"/>
      <c r="K447" s="71" t="s">
        <v>11190</v>
      </c>
      <c r="L447" s="75"/>
      <c r="M447" s="76"/>
      <c r="N447" s="76"/>
      <c r="O447" s="77"/>
      <c r="P447" s="78"/>
      <c r="Q447" s="78"/>
      <c r="R447" s="92"/>
      <c r="S447" s="92"/>
      <c r="T447" s="92"/>
      <c r="U447" s="92"/>
      <c r="V447" s="52"/>
      <c r="W447" s="52"/>
      <c r="X447" s="52"/>
      <c r="Y447" s="52"/>
      <c r="Z447" s="51"/>
      <c r="AA447" s="73"/>
      <c r="AB447" s="73"/>
      <c r="AC447" s="74"/>
      <c r="AD447" s="80" t="s">
        <v>7027</v>
      </c>
      <c r="AE447" s="85" t="s">
        <v>8232</v>
      </c>
      <c r="AF447" s="80">
        <v>2025</v>
      </c>
      <c r="AG447" s="80">
        <v>2171</v>
      </c>
      <c r="AH447" s="80">
        <v>45768</v>
      </c>
      <c r="AI447" s="80">
        <v>1727</v>
      </c>
      <c r="AJ447" s="80"/>
      <c r="AK447" s="80" t="s">
        <v>9350</v>
      </c>
      <c r="AL447" s="80"/>
      <c r="AM447" s="87" t="str">
        <f>HYPERLINK("https://t.co/fxhrHpwkXE")</f>
        <v>https://t.co/fxhrHpwkXE</v>
      </c>
      <c r="AN447" s="80"/>
      <c r="AO447" s="82">
        <v>43670.350810185184</v>
      </c>
      <c r="AP447" s="87" t="str">
        <f>HYPERLINK("https://pbs.twimg.com/profile_banners/1153944196337684480/1592316553")</f>
        <v>https://pbs.twimg.com/profile_banners/1153944196337684480/1592316553</v>
      </c>
      <c r="AQ447" s="80" t="b">
        <v>1</v>
      </c>
      <c r="AR447" s="80" t="b">
        <v>0</v>
      </c>
      <c r="AS447" s="80" t="b">
        <v>0</v>
      </c>
      <c r="AT447" s="80"/>
      <c r="AU447" s="80">
        <v>3</v>
      </c>
      <c r="AV447" s="80"/>
      <c r="AW447" s="80" t="b">
        <v>0</v>
      </c>
      <c r="AX447" s="80" t="s">
        <v>10746</v>
      </c>
      <c r="AY447" s="87" t="str">
        <f>HYPERLINK("https://twitter.com/kalokamubisa")</f>
        <v>https://twitter.com/kalokamubisa</v>
      </c>
      <c r="AZ447" s="80" t="s">
        <v>66</v>
      </c>
      <c r="BA447" s="2"/>
      <c r="BB447" s="3"/>
      <c r="BC447" s="3"/>
      <c r="BD447" s="3"/>
      <c r="BE447" s="3"/>
    </row>
    <row r="448" spans="1:57" x14ac:dyDescent="0.35">
      <c r="A448" s="66" t="s">
        <v>1356</v>
      </c>
      <c r="B448" s="67"/>
      <c r="C448" s="67"/>
      <c r="D448" s="68"/>
      <c r="E448" s="70"/>
      <c r="F448" s="109" t="str">
        <f>HYPERLINK("https://pbs.twimg.com/profile_images/1152442228041666560/_BIx9Z2l_normal.jpg")</f>
        <v>https://pbs.twimg.com/profile_images/1152442228041666560/_BIx9Z2l_normal.jpg</v>
      </c>
      <c r="G448" s="67"/>
      <c r="H448" s="71"/>
      <c r="I448" s="72"/>
      <c r="J448" s="72"/>
      <c r="K448" s="71" t="s">
        <v>11191</v>
      </c>
      <c r="L448" s="75"/>
      <c r="M448" s="76"/>
      <c r="N448" s="76"/>
      <c r="O448" s="77"/>
      <c r="P448" s="78"/>
      <c r="Q448" s="78"/>
      <c r="R448" s="92"/>
      <c r="S448" s="92"/>
      <c r="T448" s="92"/>
      <c r="U448" s="92"/>
      <c r="V448" s="52"/>
      <c r="W448" s="52"/>
      <c r="X448" s="52"/>
      <c r="Y448" s="52"/>
      <c r="Z448" s="51"/>
      <c r="AA448" s="73"/>
      <c r="AB448" s="73"/>
      <c r="AC448" s="74"/>
      <c r="AD448" s="80" t="s">
        <v>7028</v>
      </c>
      <c r="AE448" s="85" t="s">
        <v>8233</v>
      </c>
      <c r="AF448" s="80">
        <v>4241</v>
      </c>
      <c r="AG448" s="80">
        <v>105010</v>
      </c>
      <c r="AH448" s="80">
        <v>652276</v>
      </c>
      <c r="AI448" s="80">
        <v>71</v>
      </c>
      <c r="AJ448" s="80"/>
      <c r="AK448" s="80" t="s">
        <v>9351</v>
      </c>
      <c r="AL448" s="80" t="s">
        <v>10184</v>
      </c>
      <c r="AM448" s="80"/>
      <c r="AN448" s="80"/>
      <c r="AO448" s="82">
        <v>43666.19222222222</v>
      </c>
      <c r="AP448" s="87" t="str">
        <f>HYPERLINK("https://pbs.twimg.com/profile_banners/1152437175587241985/1563598745")</f>
        <v>https://pbs.twimg.com/profile_banners/1152437175587241985/1563598745</v>
      </c>
      <c r="AQ448" s="80" t="b">
        <v>1</v>
      </c>
      <c r="AR448" s="80" t="b">
        <v>0</v>
      </c>
      <c r="AS448" s="80" t="b">
        <v>1</v>
      </c>
      <c r="AT448" s="80"/>
      <c r="AU448" s="80">
        <v>482</v>
      </c>
      <c r="AV448" s="80"/>
      <c r="AW448" s="80" t="b">
        <v>0</v>
      </c>
      <c r="AX448" s="80" t="s">
        <v>10746</v>
      </c>
      <c r="AY448" s="87" t="str">
        <f>HYPERLINK("https://twitter.com/sbyfess")</f>
        <v>https://twitter.com/sbyfess</v>
      </c>
      <c r="AZ448" s="80" t="s">
        <v>65</v>
      </c>
      <c r="BA448" s="2"/>
      <c r="BB448" s="3"/>
      <c r="BC448" s="3"/>
      <c r="BD448" s="3"/>
      <c r="BE448" s="3"/>
    </row>
    <row r="449" spans="1:57" x14ac:dyDescent="0.35">
      <c r="A449" s="66" t="s">
        <v>1357</v>
      </c>
      <c r="B449" s="67"/>
      <c r="C449" s="67"/>
      <c r="D449" s="68"/>
      <c r="E449" s="70"/>
      <c r="F449" s="109" t="str">
        <f>HYPERLINK("https://pbs.twimg.com/profile_images/1436946986272321537/UV0CDzWl_normal.jpg")</f>
        <v>https://pbs.twimg.com/profile_images/1436946986272321537/UV0CDzWl_normal.jpg</v>
      </c>
      <c r="G449" s="67"/>
      <c r="H449" s="71"/>
      <c r="I449" s="72"/>
      <c r="J449" s="72"/>
      <c r="K449" s="71" t="s">
        <v>11192</v>
      </c>
      <c r="L449" s="75"/>
      <c r="M449" s="76"/>
      <c r="N449" s="76"/>
      <c r="O449" s="77"/>
      <c r="P449" s="78"/>
      <c r="Q449" s="78"/>
      <c r="R449" s="92"/>
      <c r="S449" s="92"/>
      <c r="T449" s="92"/>
      <c r="U449" s="92"/>
      <c r="V449" s="52"/>
      <c r="W449" s="52"/>
      <c r="X449" s="52"/>
      <c r="Y449" s="52"/>
      <c r="Z449" s="51"/>
      <c r="AA449" s="73"/>
      <c r="AB449" s="73"/>
      <c r="AC449" s="74"/>
      <c r="AD449" s="80" t="s">
        <v>7029</v>
      </c>
      <c r="AE449" s="85" t="s">
        <v>6321</v>
      </c>
      <c r="AF449" s="80">
        <v>410</v>
      </c>
      <c r="AG449" s="80">
        <v>355</v>
      </c>
      <c r="AH449" s="80">
        <v>4529</v>
      </c>
      <c r="AI449" s="80">
        <v>7228</v>
      </c>
      <c r="AJ449" s="80"/>
      <c r="AK449" s="80" t="s">
        <v>9352</v>
      </c>
      <c r="AL449" s="80" t="s">
        <v>10337</v>
      </c>
      <c r="AM449" s="80"/>
      <c r="AN449" s="80"/>
      <c r="AO449" s="82">
        <v>43258.92765046296</v>
      </c>
      <c r="AP449" s="87" t="str">
        <f>HYPERLINK("https://pbs.twimg.com/profile_banners/1004849437888221184/1631429813")</f>
        <v>https://pbs.twimg.com/profile_banners/1004849437888221184/1631429813</v>
      </c>
      <c r="AQ449" s="80" t="b">
        <v>1</v>
      </c>
      <c r="AR449" s="80" t="b">
        <v>0</v>
      </c>
      <c r="AS449" s="80" t="b">
        <v>0</v>
      </c>
      <c r="AT449" s="80"/>
      <c r="AU449" s="80">
        <v>2</v>
      </c>
      <c r="AV449" s="80"/>
      <c r="AW449" s="80" t="b">
        <v>0</v>
      </c>
      <c r="AX449" s="80" t="s">
        <v>10746</v>
      </c>
      <c r="AY449" s="87" t="str">
        <f>HYPERLINK("https://twitter.com/ihvjjktch")</f>
        <v>https://twitter.com/ihvjjktch</v>
      </c>
      <c r="AZ449" s="80" t="s">
        <v>65</v>
      </c>
      <c r="BA449" s="2"/>
      <c r="BB449" s="3"/>
      <c r="BC449" s="3"/>
      <c r="BD449" s="3"/>
      <c r="BE449" s="3"/>
    </row>
    <row r="450" spans="1:57" x14ac:dyDescent="0.35">
      <c r="A450" s="66" t="s">
        <v>568</v>
      </c>
      <c r="B450" s="67"/>
      <c r="C450" s="67"/>
      <c r="D450" s="68"/>
      <c r="E450" s="70"/>
      <c r="F450" s="109" t="str">
        <f>HYPERLINK("https://pbs.twimg.com/profile_images/1415543234462248961/EAK03z4Z_normal.jpg")</f>
        <v>https://pbs.twimg.com/profile_images/1415543234462248961/EAK03z4Z_normal.jpg</v>
      </c>
      <c r="G450" s="67"/>
      <c r="H450" s="71"/>
      <c r="I450" s="72"/>
      <c r="J450" s="72"/>
      <c r="K450" s="71" t="s">
        <v>11193</v>
      </c>
      <c r="L450" s="75"/>
      <c r="M450" s="76"/>
      <c r="N450" s="76"/>
      <c r="O450" s="77"/>
      <c r="P450" s="78"/>
      <c r="Q450" s="78"/>
      <c r="R450" s="92"/>
      <c r="S450" s="92"/>
      <c r="T450" s="92"/>
      <c r="U450" s="92"/>
      <c r="V450" s="52"/>
      <c r="W450" s="52"/>
      <c r="X450" s="52"/>
      <c r="Y450" s="52"/>
      <c r="Z450" s="51"/>
      <c r="AA450" s="73"/>
      <c r="AB450" s="73"/>
      <c r="AC450" s="74"/>
      <c r="AD450" s="80" t="s">
        <v>7030</v>
      </c>
      <c r="AE450" s="85" t="s">
        <v>8234</v>
      </c>
      <c r="AF450" s="80">
        <v>1204</v>
      </c>
      <c r="AG450" s="80">
        <v>310</v>
      </c>
      <c r="AH450" s="80">
        <v>11957</v>
      </c>
      <c r="AI450" s="80">
        <v>6232</v>
      </c>
      <c r="AJ450" s="80"/>
      <c r="AK450" s="80" t="s">
        <v>9353</v>
      </c>
      <c r="AL450" s="80"/>
      <c r="AM450" s="80"/>
      <c r="AN450" s="80"/>
      <c r="AO450" s="82">
        <v>43423.632291666669</v>
      </c>
      <c r="AP450" s="87" t="str">
        <f>HYPERLINK("https://pbs.twimg.com/profile_banners/1064536398449958912/1589947395")</f>
        <v>https://pbs.twimg.com/profile_banners/1064536398449958912/1589947395</v>
      </c>
      <c r="AQ450" s="80" t="b">
        <v>1</v>
      </c>
      <c r="AR450" s="80" t="b">
        <v>0</v>
      </c>
      <c r="AS450" s="80" t="b">
        <v>1</v>
      </c>
      <c r="AT450" s="80"/>
      <c r="AU450" s="80">
        <v>0</v>
      </c>
      <c r="AV450" s="80"/>
      <c r="AW450" s="80" t="b">
        <v>0</v>
      </c>
      <c r="AX450" s="80" t="s">
        <v>10746</v>
      </c>
      <c r="AY450" s="87" t="str">
        <f>HYPERLINK("https://twitter.com/awwbubuu")</f>
        <v>https://twitter.com/awwbubuu</v>
      </c>
      <c r="AZ450" s="80" t="s">
        <v>66</v>
      </c>
      <c r="BA450" s="2"/>
      <c r="BB450" s="3"/>
      <c r="BC450" s="3"/>
      <c r="BD450" s="3"/>
      <c r="BE450" s="3"/>
    </row>
    <row r="451" spans="1:57" x14ac:dyDescent="0.35">
      <c r="A451" s="66" t="s">
        <v>1358</v>
      </c>
      <c r="B451" s="67"/>
      <c r="C451" s="67"/>
      <c r="D451" s="68"/>
      <c r="E451" s="70"/>
      <c r="F451" s="109" t="str">
        <f>HYPERLINK("https://pbs.twimg.com/profile_images/1169595401466331137/XUyRcQMd_normal.jpg")</f>
        <v>https://pbs.twimg.com/profile_images/1169595401466331137/XUyRcQMd_normal.jpg</v>
      </c>
      <c r="G451" s="67"/>
      <c r="H451" s="71"/>
      <c r="I451" s="72"/>
      <c r="J451" s="72"/>
      <c r="K451" s="71" t="s">
        <v>11194</v>
      </c>
      <c r="L451" s="75"/>
      <c r="M451" s="76"/>
      <c r="N451" s="76"/>
      <c r="O451" s="77"/>
      <c r="P451" s="78"/>
      <c r="Q451" s="78"/>
      <c r="R451" s="92"/>
      <c r="S451" s="92"/>
      <c r="T451" s="92"/>
      <c r="U451" s="92"/>
      <c r="V451" s="52"/>
      <c r="W451" s="52"/>
      <c r="X451" s="52"/>
      <c r="Y451" s="52"/>
      <c r="Z451" s="51"/>
      <c r="AA451" s="73"/>
      <c r="AB451" s="73"/>
      <c r="AC451" s="74"/>
      <c r="AD451" s="80" t="s">
        <v>7031</v>
      </c>
      <c r="AE451" s="85" t="s">
        <v>6322</v>
      </c>
      <c r="AF451" s="80">
        <v>1082</v>
      </c>
      <c r="AG451" s="80">
        <v>7566</v>
      </c>
      <c r="AH451" s="80">
        <v>40553</v>
      </c>
      <c r="AI451" s="80">
        <v>51</v>
      </c>
      <c r="AJ451" s="80"/>
      <c r="AK451" s="80" t="s">
        <v>9354</v>
      </c>
      <c r="AL451" s="80" t="s">
        <v>10338</v>
      </c>
      <c r="AM451" s="87" t="str">
        <f>HYPERLINK("https://t.co/c93Y72JHM5")</f>
        <v>https://t.co/c93Y72JHM5</v>
      </c>
      <c r="AN451" s="80"/>
      <c r="AO451" s="82">
        <v>43181.345011574071</v>
      </c>
      <c r="AP451" s="87" t="str">
        <f>HYPERLINK("https://pbs.twimg.com/profile_banners/976734429392470016/1567688251")</f>
        <v>https://pbs.twimg.com/profile_banners/976734429392470016/1567688251</v>
      </c>
      <c r="AQ451" s="80" t="b">
        <v>0</v>
      </c>
      <c r="AR451" s="80" t="b">
        <v>0</v>
      </c>
      <c r="AS451" s="80" t="b">
        <v>0</v>
      </c>
      <c r="AT451" s="80"/>
      <c r="AU451" s="80">
        <v>34</v>
      </c>
      <c r="AV451" s="87" t="str">
        <f>HYPERLINK("https://abs.twimg.com/images/themes/theme1/bg.png")</f>
        <v>https://abs.twimg.com/images/themes/theme1/bg.png</v>
      </c>
      <c r="AW451" s="80" t="b">
        <v>0</v>
      </c>
      <c r="AX451" s="80" t="s">
        <v>10746</v>
      </c>
      <c r="AY451" s="87" t="str">
        <f>HYPERLINK("https://twitter.com/lampungbase")</f>
        <v>https://twitter.com/lampungbase</v>
      </c>
      <c r="AZ451" s="80" t="s">
        <v>65</v>
      </c>
      <c r="BA451" s="2"/>
      <c r="BB451" s="3"/>
      <c r="BC451" s="3"/>
      <c r="BD451" s="3"/>
      <c r="BE451" s="3"/>
    </row>
    <row r="452" spans="1:57" x14ac:dyDescent="0.35">
      <c r="A452" s="66" t="s">
        <v>569</v>
      </c>
      <c r="B452" s="67"/>
      <c r="C452" s="67"/>
      <c r="D452" s="68"/>
      <c r="E452" s="70"/>
      <c r="F452" s="109" t="str">
        <f>HYPERLINK("https://pbs.twimg.com/profile_images/1398648102588801028/pv-PdBIf_normal.jpg")</f>
        <v>https://pbs.twimg.com/profile_images/1398648102588801028/pv-PdBIf_normal.jpg</v>
      </c>
      <c r="G452" s="67"/>
      <c r="H452" s="71"/>
      <c r="I452" s="72"/>
      <c r="J452" s="72"/>
      <c r="K452" s="71" t="s">
        <v>11195</v>
      </c>
      <c r="L452" s="75"/>
      <c r="M452" s="76"/>
      <c r="N452" s="76"/>
      <c r="O452" s="77"/>
      <c r="P452" s="78"/>
      <c r="Q452" s="78"/>
      <c r="R452" s="92"/>
      <c r="S452" s="92"/>
      <c r="T452" s="92"/>
      <c r="U452" s="92"/>
      <c r="V452" s="52"/>
      <c r="W452" s="52"/>
      <c r="X452" s="52"/>
      <c r="Y452" s="52"/>
      <c r="Z452" s="51"/>
      <c r="AA452" s="73"/>
      <c r="AB452" s="73"/>
      <c r="AC452" s="74"/>
      <c r="AD452" s="80" t="s">
        <v>7032</v>
      </c>
      <c r="AE452" s="85" t="s">
        <v>6323</v>
      </c>
      <c r="AF452" s="80">
        <v>232</v>
      </c>
      <c r="AG452" s="80">
        <v>317</v>
      </c>
      <c r="AH452" s="80">
        <v>17009</v>
      </c>
      <c r="AI452" s="80">
        <v>9131</v>
      </c>
      <c r="AJ452" s="80"/>
      <c r="AK452" s="80" t="s">
        <v>9355</v>
      </c>
      <c r="AL452" s="80"/>
      <c r="AM452" s="87" t="str">
        <f>HYPERLINK("https://t.co/UzDZUbSyEB")</f>
        <v>https://t.co/UzDZUbSyEB</v>
      </c>
      <c r="AN452" s="80"/>
      <c r="AO452" s="82">
        <v>41301.64570601852</v>
      </c>
      <c r="AP452" s="87" t="str">
        <f>HYPERLINK("https://pbs.twimg.com/profile_banners/1125363716/1618495312")</f>
        <v>https://pbs.twimg.com/profile_banners/1125363716/1618495312</v>
      </c>
      <c r="AQ452" s="80" t="b">
        <v>0</v>
      </c>
      <c r="AR452" s="80" t="b">
        <v>0</v>
      </c>
      <c r="AS452" s="80" t="b">
        <v>1</v>
      </c>
      <c r="AT452" s="80"/>
      <c r="AU452" s="80">
        <v>2</v>
      </c>
      <c r="AV452" s="87" t="str">
        <f>HYPERLINK("https://abs.twimg.com/images/themes/theme1/bg.png")</f>
        <v>https://abs.twimg.com/images/themes/theme1/bg.png</v>
      </c>
      <c r="AW452" s="80" t="b">
        <v>0</v>
      </c>
      <c r="AX452" s="80" t="s">
        <v>10746</v>
      </c>
      <c r="AY452" s="87" t="str">
        <f>HYPERLINK("https://twitter.com/marlyanamn")</f>
        <v>https://twitter.com/marlyanamn</v>
      </c>
      <c r="AZ452" s="80" t="s">
        <v>66</v>
      </c>
      <c r="BA452" s="2"/>
      <c r="BB452" s="3"/>
      <c r="BC452" s="3"/>
      <c r="BD452" s="3"/>
      <c r="BE452" s="3"/>
    </row>
    <row r="453" spans="1:57" x14ac:dyDescent="0.35">
      <c r="A453" s="66" t="s">
        <v>570</v>
      </c>
      <c r="B453" s="67"/>
      <c r="C453" s="67"/>
      <c r="D453" s="68"/>
      <c r="E453" s="70"/>
      <c r="F453" s="109" t="str">
        <f>HYPERLINK("https://pbs.twimg.com/profile_images/1441064834754179072/VnXcxZuJ_normal.jpg")</f>
        <v>https://pbs.twimg.com/profile_images/1441064834754179072/VnXcxZuJ_normal.jpg</v>
      </c>
      <c r="G453" s="67"/>
      <c r="H453" s="71"/>
      <c r="I453" s="72"/>
      <c r="J453" s="72"/>
      <c r="K453" s="71" t="s">
        <v>11196</v>
      </c>
      <c r="L453" s="75"/>
      <c r="M453" s="76"/>
      <c r="N453" s="76"/>
      <c r="O453" s="77"/>
      <c r="P453" s="78"/>
      <c r="Q453" s="78"/>
      <c r="R453" s="92"/>
      <c r="S453" s="92"/>
      <c r="T453" s="92"/>
      <c r="U453" s="92"/>
      <c r="V453" s="52"/>
      <c r="W453" s="52"/>
      <c r="X453" s="52"/>
      <c r="Y453" s="52"/>
      <c r="Z453" s="51"/>
      <c r="AA453" s="73"/>
      <c r="AB453" s="73"/>
      <c r="AC453" s="74"/>
      <c r="AD453" s="80" t="s">
        <v>7033</v>
      </c>
      <c r="AE453" s="85" t="s">
        <v>8235</v>
      </c>
      <c r="AF453" s="80">
        <v>665</v>
      </c>
      <c r="AG453" s="80">
        <v>583</v>
      </c>
      <c r="AH453" s="80">
        <v>1823</v>
      </c>
      <c r="AI453" s="80">
        <v>1314</v>
      </c>
      <c r="AJ453" s="80"/>
      <c r="AK453" s="80" t="s">
        <v>9356</v>
      </c>
      <c r="AL453" s="80" t="s">
        <v>10157</v>
      </c>
      <c r="AM453" s="80"/>
      <c r="AN453" s="80"/>
      <c r="AO453" s="82">
        <v>44286.415208333332</v>
      </c>
      <c r="AP453" s="87" t="str">
        <f>HYPERLINK("https://pbs.twimg.com/profile_banners/1377198428946501640/1618916919")</f>
        <v>https://pbs.twimg.com/profile_banners/1377198428946501640/1618916919</v>
      </c>
      <c r="AQ453" s="80" t="b">
        <v>1</v>
      </c>
      <c r="AR453" s="80" t="b">
        <v>0</v>
      </c>
      <c r="AS453" s="80" t="b">
        <v>0</v>
      </c>
      <c r="AT453" s="80"/>
      <c r="AU453" s="80">
        <v>0</v>
      </c>
      <c r="AV453" s="80"/>
      <c r="AW453" s="80" t="b">
        <v>0</v>
      </c>
      <c r="AX453" s="80" t="s">
        <v>10746</v>
      </c>
      <c r="AY453" s="87" t="str">
        <f>HYPERLINK("https://twitter.com/sayangtravis")</f>
        <v>https://twitter.com/sayangtravis</v>
      </c>
      <c r="AZ453" s="80" t="s">
        <v>66</v>
      </c>
      <c r="BA453" s="2"/>
      <c r="BB453" s="3"/>
      <c r="BC453" s="3"/>
      <c r="BD453" s="3"/>
      <c r="BE453" s="3"/>
    </row>
    <row r="454" spans="1:57" x14ac:dyDescent="0.35">
      <c r="A454" s="66" t="s">
        <v>571</v>
      </c>
      <c r="B454" s="67"/>
      <c r="C454" s="67"/>
      <c r="D454" s="68"/>
      <c r="E454" s="70"/>
      <c r="F454" s="109" t="str">
        <f>HYPERLINK("https://pbs.twimg.com/profile_images/1293454066266386432/0sITGlxY_normal.jpg")</f>
        <v>https://pbs.twimg.com/profile_images/1293454066266386432/0sITGlxY_normal.jpg</v>
      </c>
      <c r="G454" s="67"/>
      <c r="H454" s="71"/>
      <c r="I454" s="72"/>
      <c r="J454" s="72"/>
      <c r="K454" s="71" t="s">
        <v>11197</v>
      </c>
      <c r="L454" s="75"/>
      <c r="M454" s="76"/>
      <c r="N454" s="76"/>
      <c r="O454" s="77"/>
      <c r="P454" s="78"/>
      <c r="Q454" s="78"/>
      <c r="R454" s="92"/>
      <c r="S454" s="92"/>
      <c r="T454" s="92"/>
      <c r="U454" s="92"/>
      <c r="V454" s="52"/>
      <c r="W454" s="52"/>
      <c r="X454" s="52"/>
      <c r="Y454" s="52"/>
      <c r="Z454" s="51"/>
      <c r="AA454" s="73"/>
      <c r="AB454" s="73"/>
      <c r="AC454" s="74"/>
      <c r="AD454" s="80" t="s">
        <v>7034</v>
      </c>
      <c r="AE454" s="85" t="s">
        <v>8236</v>
      </c>
      <c r="AF454" s="80">
        <v>660</v>
      </c>
      <c r="AG454" s="80">
        <v>657</v>
      </c>
      <c r="AH454" s="80">
        <v>33374</v>
      </c>
      <c r="AI454" s="80">
        <v>3526</v>
      </c>
      <c r="AJ454" s="80"/>
      <c r="AK454" s="80" t="s">
        <v>9357</v>
      </c>
      <c r="AL454" s="80" t="s">
        <v>10339</v>
      </c>
      <c r="AM454" s="80"/>
      <c r="AN454" s="80"/>
      <c r="AO454" s="82">
        <v>40681.193310185183</v>
      </c>
      <c r="AP454" s="87" t="str">
        <f>HYPERLINK("https://pbs.twimg.com/profile_banners/300667053/1573765702")</f>
        <v>https://pbs.twimg.com/profile_banners/300667053/1573765702</v>
      </c>
      <c r="AQ454" s="80" t="b">
        <v>0</v>
      </c>
      <c r="AR454" s="80" t="b">
        <v>0</v>
      </c>
      <c r="AS454" s="80" t="b">
        <v>1</v>
      </c>
      <c r="AT454" s="80"/>
      <c r="AU454" s="80">
        <v>8</v>
      </c>
      <c r="AV454" s="87" t="str">
        <f>HYPERLINK("https://abs.twimg.com/images/themes/theme1/bg.png")</f>
        <v>https://abs.twimg.com/images/themes/theme1/bg.png</v>
      </c>
      <c r="AW454" s="80" t="b">
        <v>0</v>
      </c>
      <c r="AX454" s="80" t="s">
        <v>10746</v>
      </c>
      <c r="AY454" s="87" t="str">
        <f>HYPERLINK("https://twitter.com/ohmasgoff")</f>
        <v>https://twitter.com/ohmasgoff</v>
      </c>
      <c r="AZ454" s="80" t="s">
        <v>66</v>
      </c>
      <c r="BA454" s="2"/>
      <c r="BB454" s="3"/>
      <c r="BC454" s="3"/>
      <c r="BD454" s="3"/>
      <c r="BE454" s="3"/>
    </row>
    <row r="455" spans="1:57" x14ac:dyDescent="0.35">
      <c r="A455" s="66" t="s">
        <v>572</v>
      </c>
      <c r="B455" s="67"/>
      <c r="C455" s="67"/>
      <c r="D455" s="68"/>
      <c r="E455" s="70"/>
      <c r="F455" s="109" t="str">
        <f>HYPERLINK("https://pbs.twimg.com/profile_images/1441283441299898373/rX6KTTCz_normal.jpg")</f>
        <v>https://pbs.twimg.com/profile_images/1441283441299898373/rX6KTTCz_normal.jpg</v>
      </c>
      <c r="G455" s="67"/>
      <c r="H455" s="71"/>
      <c r="I455" s="72"/>
      <c r="J455" s="72"/>
      <c r="K455" s="71" t="s">
        <v>11198</v>
      </c>
      <c r="L455" s="75"/>
      <c r="M455" s="76"/>
      <c r="N455" s="76"/>
      <c r="O455" s="77"/>
      <c r="P455" s="78"/>
      <c r="Q455" s="78"/>
      <c r="R455" s="92"/>
      <c r="S455" s="92"/>
      <c r="T455" s="92"/>
      <c r="U455" s="92"/>
      <c r="V455" s="52"/>
      <c r="W455" s="52"/>
      <c r="X455" s="52"/>
      <c r="Y455" s="52"/>
      <c r="Z455" s="51"/>
      <c r="AA455" s="73"/>
      <c r="AB455" s="73"/>
      <c r="AC455" s="74"/>
      <c r="AD455" s="80" t="s">
        <v>7035</v>
      </c>
      <c r="AE455" s="85" t="s">
        <v>8237</v>
      </c>
      <c r="AF455" s="80">
        <v>1448</v>
      </c>
      <c r="AG455" s="80">
        <v>1262</v>
      </c>
      <c r="AH455" s="80">
        <v>22747</v>
      </c>
      <c r="AI455" s="80">
        <v>5739</v>
      </c>
      <c r="AJ455" s="80"/>
      <c r="AK455" s="80" t="s">
        <v>9358</v>
      </c>
      <c r="AL455" s="80" t="s">
        <v>10340</v>
      </c>
      <c r="AM455" s="87" t="str">
        <f>HYPERLINK("https://t.co/azwnR2ydzM")</f>
        <v>https://t.co/azwnR2ydzM</v>
      </c>
      <c r="AN455" s="80"/>
      <c r="AO455" s="82">
        <v>43555.59175925926</v>
      </c>
      <c r="AP455" s="87" t="str">
        <f>HYPERLINK("https://pbs.twimg.com/profile_banners/1112356908436877315/1626936867")</f>
        <v>https://pbs.twimg.com/profile_banners/1112356908436877315/1626936867</v>
      </c>
      <c r="AQ455" s="80" t="b">
        <v>1</v>
      </c>
      <c r="AR455" s="80" t="b">
        <v>0</v>
      </c>
      <c r="AS455" s="80" t="b">
        <v>0</v>
      </c>
      <c r="AT455" s="80"/>
      <c r="AU455" s="80">
        <v>0</v>
      </c>
      <c r="AV455" s="80"/>
      <c r="AW455" s="80" t="b">
        <v>0</v>
      </c>
      <c r="AX455" s="80" t="s">
        <v>10746</v>
      </c>
      <c r="AY455" s="87" t="str">
        <f>HYPERLINK("https://twitter.com/milkeuta")</f>
        <v>https://twitter.com/milkeuta</v>
      </c>
      <c r="AZ455" s="80" t="s">
        <v>66</v>
      </c>
      <c r="BA455" s="2"/>
      <c r="BB455" s="3"/>
      <c r="BC455" s="3"/>
      <c r="BD455" s="3"/>
      <c r="BE455" s="3"/>
    </row>
    <row r="456" spans="1:57" x14ac:dyDescent="0.35">
      <c r="A456" s="66" t="s">
        <v>573</v>
      </c>
      <c r="B456" s="67"/>
      <c r="C456" s="67"/>
      <c r="D456" s="68"/>
      <c r="E456" s="70"/>
      <c r="F456" s="109" t="str">
        <f>HYPERLINK("https://pbs.twimg.com/profile_images/1419256068945825792/No7oiBdK_normal.jpg")</f>
        <v>https://pbs.twimg.com/profile_images/1419256068945825792/No7oiBdK_normal.jpg</v>
      </c>
      <c r="G456" s="67"/>
      <c r="H456" s="71"/>
      <c r="I456" s="72"/>
      <c r="J456" s="72"/>
      <c r="K456" s="71" t="s">
        <v>11199</v>
      </c>
      <c r="L456" s="75"/>
      <c r="M456" s="76"/>
      <c r="N456" s="76"/>
      <c r="O456" s="77"/>
      <c r="P456" s="78"/>
      <c r="Q456" s="78"/>
      <c r="R456" s="92"/>
      <c r="S456" s="92"/>
      <c r="T456" s="92"/>
      <c r="U456" s="92"/>
      <c r="V456" s="52"/>
      <c r="W456" s="52"/>
      <c r="X456" s="52"/>
      <c r="Y456" s="52"/>
      <c r="Z456" s="51"/>
      <c r="AA456" s="73"/>
      <c r="AB456" s="73"/>
      <c r="AC456" s="74"/>
      <c r="AD456" s="80" t="s">
        <v>7036</v>
      </c>
      <c r="AE456" s="85" t="s">
        <v>8238</v>
      </c>
      <c r="AF456" s="80">
        <v>115</v>
      </c>
      <c r="AG456" s="80">
        <v>127</v>
      </c>
      <c r="AH456" s="80">
        <v>525</v>
      </c>
      <c r="AI456" s="80">
        <v>357</v>
      </c>
      <c r="AJ456" s="80"/>
      <c r="AK456" s="80" t="s">
        <v>9359</v>
      </c>
      <c r="AL456" s="80" t="s">
        <v>10341</v>
      </c>
      <c r="AM456" s="80"/>
      <c r="AN456" s="80"/>
      <c r="AO456" s="82">
        <v>43848.553414351853</v>
      </c>
      <c r="AP456" s="87" t="str">
        <f>HYPERLINK("https://pbs.twimg.com/profile_banners/1218522623098798080/1579883804")</f>
        <v>https://pbs.twimg.com/profile_banners/1218522623098798080/1579883804</v>
      </c>
      <c r="AQ456" s="80" t="b">
        <v>1</v>
      </c>
      <c r="AR456" s="80" t="b">
        <v>0</v>
      </c>
      <c r="AS456" s="80" t="b">
        <v>0</v>
      </c>
      <c r="AT456" s="80"/>
      <c r="AU456" s="80">
        <v>0</v>
      </c>
      <c r="AV456" s="80"/>
      <c r="AW456" s="80" t="b">
        <v>0</v>
      </c>
      <c r="AX456" s="80" t="s">
        <v>10746</v>
      </c>
      <c r="AY456" s="87" t="str">
        <f>HYPERLINK("https://twitter.com/adityaraa27")</f>
        <v>https://twitter.com/adityaraa27</v>
      </c>
      <c r="AZ456" s="80" t="s">
        <v>66</v>
      </c>
      <c r="BA456" s="2"/>
      <c r="BB456" s="3"/>
      <c r="BC456" s="3"/>
      <c r="BD456" s="3"/>
      <c r="BE456" s="3"/>
    </row>
    <row r="457" spans="1:57" x14ac:dyDescent="0.35">
      <c r="A457" s="66" t="s">
        <v>1359</v>
      </c>
      <c r="B457" s="67"/>
      <c r="C457" s="67"/>
      <c r="D457" s="68"/>
      <c r="E457" s="70"/>
      <c r="F457" s="109" t="str">
        <f>HYPERLINK("https://pbs.twimg.com/profile_images/1224526226682810370/U8ElEdk3_normal.jpg")</f>
        <v>https://pbs.twimg.com/profile_images/1224526226682810370/U8ElEdk3_normal.jpg</v>
      </c>
      <c r="G457" s="67"/>
      <c r="H457" s="71"/>
      <c r="I457" s="72"/>
      <c r="J457" s="72"/>
      <c r="K457" s="71" t="s">
        <v>11200</v>
      </c>
      <c r="L457" s="75"/>
      <c r="M457" s="76"/>
      <c r="N457" s="76"/>
      <c r="O457" s="77"/>
      <c r="P457" s="78"/>
      <c r="Q457" s="78"/>
      <c r="R457" s="92"/>
      <c r="S457" s="92"/>
      <c r="T457" s="92"/>
      <c r="U457" s="92"/>
      <c r="V457" s="52"/>
      <c r="W457" s="52"/>
      <c r="X457" s="52"/>
      <c r="Y457" s="52"/>
      <c r="Z457" s="51"/>
      <c r="AA457" s="73"/>
      <c r="AB457" s="73"/>
      <c r="AC457" s="74"/>
      <c r="AD457" s="80" t="s">
        <v>7037</v>
      </c>
      <c r="AE457" s="85" t="s">
        <v>6325</v>
      </c>
      <c r="AF457" s="80">
        <v>9081</v>
      </c>
      <c r="AG457" s="80">
        <v>15978</v>
      </c>
      <c r="AH457" s="80">
        <v>52240</v>
      </c>
      <c r="AI457" s="80">
        <v>6678</v>
      </c>
      <c r="AJ457" s="80"/>
      <c r="AK457" s="80"/>
      <c r="AL457" s="80" t="s">
        <v>10342</v>
      </c>
      <c r="AM457" s="80"/>
      <c r="AN457" s="80"/>
      <c r="AO457" s="82">
        <v>43753.375659722224</v>
      </c>
      <c r="AP457" s="87" t="str">
        <f>HYPERLINK("https://pbs.twimg.com/profile_banners/1184031349100777475/1580785303")</f>
        <v>https://pbs.twimg.com/profile_banners/1184031349100777475/1580785303</v>
      </c>
      <c r="AQ457" s="80" t="b">
        <v>1</v>
      </c>
      <c r="AR457" s="80" t="b">
        <v>0</v>
      </c>
      <c r="AS457" s="80" t="b">
        <v>0</v>
      </c>
      <c r="AT457" s="80"/>
      <c r="AU457" s="80">
        <v>57</v>
      </c>
      <c r="AV457" s="80"/>
      <c r="AW457" s="80" t="b">
        <v>0</v>
      </c>
      <c r="AX457" s="80" t="s">
        <v>10746</v>
      </c>
      <c r="AY457" s="87" t="str">
        <f>HYPERLINK("https://twitter.com/karawangfess")</f>
        <v>https://twitter.com/karawangfess</v>
      </c>
      <c r="AZ457" s="80" t="s">
        <v>65</v>
      </c>
      <c r="BA457" s="2"/>
      <c r="BB457" s="3"/>
      <c r="BC457" s="3"/>
      <c r="BD457" s="3"/>
      <c r="BE457" s="3"/>
    </row>
    <row r="458" spans="1:57" x14ac:dyDescent="0.35">
      <c r="A458" s="66" t="s">
        <v>574</v>
      </c>
      <c r="B458" s="67"/>
      <c r="C458" s="67"/>
      <c r="D458" s="68"/>
      <c r="E458" s="70"/>
      <c r="F458" s="109" t="str">
        <f>HYPERLINK("https://pbs.twimg.com/profile_images/1439614657644302340/zuSv9_3f_normal.jpg")</f>
        <v>https://pbs.twimg.com/profile_images/1439614657644302340/zuSv9_3f_normal.jpg</v>
      </c>
      <c r="G458" s="67"/>
      <c r="H458" s="71"/>
      <c r="I458" s="72"/>
      <c r="J458" s="72"/>
      <c r="K458" s="71" t="s">
        <v>11201</v>
      </c>
      <c r="L458" s="75"/>
      <c r="M458" s="76"/>
      <c r="N458" s="76"/>
      <c r="O458" s="77"/>
      <c r="P458" s="78"/>
      <c r="Q458" s="78"/>
      <c r="R458" s="92"/>
      <c r="S458" s="92"/>
      <c r="T458" s="92"/>
      <c r="U458" s="92"/>
      <c r="V458" s="52"/>
      <c r="W458" s="52"/>
      <c r="X458" s="52"/>
      <c r="Y458" s="52"/>
      <c r="Z458" s="51"/>
      <c r="AA458" s="73"/>
      <c r="AB458" s="73"/>
      <c r="AC458" s="74"/>
      <c r="AD458" s="80" t="s">
        <v>7038</v>
      </c>
      <c r="AE458" s="85" t="s">
        <v>8239</v>
      </c>
      <c r="AF458" s="80">
        <v>141</v>
      </c>
      <c r="AG458" s="80">
        <v>167</v>
      </c>
      <c r="AH458" s="80">
        <v>12396</v>
      </c>
      <c r="AI458" s="80">
        <v>392</v>
      </c>
      <c r="AJ458" s="80"/>
      <c r="AK458" s="80" t="s">
        <v>9360</v>
      </c>
      <c r="AL458" s="80" t="s">
        <v>10343</v>
      </c>
      <c r="AM458" s="87" t="str">
        <f>HYPERLINK("https://t.co/tuhn6h9JE6")</f>
        <v>https://t.co/tuhn6h9JE6</v>
      </c>
      <c r="AN458" s="80"/>
      <c r="AO458" s="82">
        <v>44210.660798611112</v>
      </c>
      <c r="AP458" s="87" t="str">
        <f>HYPERLINK("https://pbs.twimg.com/profile_banners/1349745943638286337/1631242790")</f>
        <v>https://pbs.twimg.com/profile_banners/1349745943638286337/1631242790</v>
      </c>
      <c r="AQ458" s="80" t="b">
        <v>1</v>
      </c>
      <c r="AR458" s="80" t="b">
        <v>0</v>
      </c>
      <c r="AS458" s="80" t="b">
        <v>1</v>
      </c>
      <c r="AT458" s="80"/>
      <c r="AU458" s="80">
        <v>4</v>
      </c>
      <c r="AV458" s="80"/>
      <c r="AW458" s="80" t="b">
        <v>0</v>
      </c>
      <c r="AX458" s="80" t="s">
        <v>10746</v>
      </c>
      <c r="AY458" s="87" t="str">
        <f>HYPERLINK("https://twitter.com/itzelworid")</f>
        <v>https://twitter.com/itzelworid</v>
      </c>
      <c r="AZ458" s="80" t="s">
        <v>66</v>
      </c>
      <c r="BA458" s="2"/>
      <c r="BB458" s="3"/>
      <c r="BC458" s="3"/>
      <c r="BD458" s="3"/>
      <c r="BE458" s="3"/>
    </row>
    <row r="459" spans="1:57" x14ac:dyDescent="0.35">
      <c r="A459" s="66" t="s">
        <v>1360</v>
      </c>
      <c r="B459" s="67"/>
      <c r="C459" s="67"/>
      <c r="D459" s="68"/>
      <c r="E459" s="70"/>
      <c r="F459" s="109" t="str">
        <f>HYPERLINK("https://abs.twimg.com/sticky/default_profile_images/default_profile_normal.png")</f>
        <v>https://abs.twimg.com/sticky/default_profile_images/default_profile_normal.png</v>
      </c>
      <c r="G459" s="67"/>
      <c r="H459" s="71"/>
      <c r="I459" s="72"/>
      <c r="J459" s="72"/>
      <c r="K459" s="71" t="s">
        <v>11202</v>
      </c>
      <c r="L459" s="75"/>
      <c r="M459" s="76"/>
      <c r="N459" s="76"/>
      <c r="O459" s="77"/>
      <c r="P459" s="78"/>
      <c r="Q459" s="78"/>
      <c r="R459" s="92"/>
      <c r="S459" s="92"/>
      <c r="T459" s="92"/>
      <c r="U459" s="92"/>
      <c r="V459" s="52"/>
      <c r="W459" s="52"/>
      <c r="X459" s="52"/>
      <c r="Y459" s="52"/>
      <c r="Z459" s="51"/>
      <c r="AA459" s="73"/>
      <c r="AB459" s="73"/>
      <c r="AC459" s="74"/>
      <c r="AD459" s="80" t="s">
        <v>7039</v>
      </c>
      <c r="AE459" s="85" t="s">
        <v>8240</v>
      </c>
      <c r="AF459" s="80">
        <v>0</v>
      </c>
      <c r="AG459" s="80">
        <v>0</v>
      </c>
      <c r="AH459" s="80">
        <v>7</v>
      </c>
      <c r="AI459" s="80">
        <v>0</v>
      </c>
      <c r="AJ459" s="80"/>
      <c r="AK459" s="80" t="s">
        <v>9361</v>
      </c>
      <c r="AL459" s="80"/>
      <c r="AM459" s="80"/>
      <c r="AN459" s="80"/>
      <c r="AO459" s="82">
        <v>44463.58797453704</v>
      </c>
      <c r="AP459" s="80"/>
      <c r="AQ459" s="80" t="b">
        <v>1</v>
      </c>
      <c r="AR459" s="80" t="b">
        <v>1</v>
      </c>
      <c r="AS459" s="80" t="b">
        <v>0</v>
      </c>
      <c r="AT459" s="80"/>
      <c r="AU459" s="80">
        <v>0</v>
      </c>
      <c r="AV459" s="80"/>
      <c r="AW459" s="80" t="b">
        <v>0</v>
      </c>
      <c r="AX459" s="80" t="s">
        <v>10746</v>
      </c>
      <c r="AY459" s="87" t="str">
        <f>HYPERLINK("https://twitter.com/anyaslalusalah")</f>
        <v>https://twitter.com/anyaslalusalah</v>
      </c>
      <c r="AZ459" s="80" t="s">
        <v>65</v>
      </c>
      <c r="BA459" s="2"/>
      <c r="BB459" s="3"/>
      <c r="BC459" s="3"/>
      <c r="BD459" s="3"/>
      <c r="BE459" s="3"/>
    </row>
    <row r="460" spans="1:57" x14ac:dyDescent="0.35">
      <c r="A460" s="66" t="s">
        <v>575</v>
      </c>
      <c r="B460" s="67"/>
      <c r="C460" s="67"/>
      <c r="D460" s="68"/>
      <c r="E460" s="70"/>
      <c r="F460" s="109" t="str">
        <f>HYPERLINK("https://pbs.twimg.com/profile_images/515954317602217985/ibhCnnwC_normal.jpeg")</f>
        <v>https://pbs.twimg.com/profile_images/515954317602217985/ibhCnnwC_normal.jpeg</v>
      </c>
      <c r="G460" s="67"/>
      <c r="H460" s="71"/>
      <c r="I460" s="72"/>
      <c r="J460" s="72"/>
      <c r="K460" s="71" t="s">
        <v>11203</v>
      </c>
      <c r="L460" s="75"/>
      <c r="M460" s="76"/>
      <c r="N460" s="76"/>
      <c r="O460" s="77"/>
      <c r="P460" s="78"/>
      <c r="Q460" s="78"/>
      <c r="R460" s="92"/>
      <c r="S460" s="92"/>
      <c r="T460" s="92"/>
      <c r="U460" s="92"/>
      <c r="V460" s="52"/>
      <c r="W460" s="52"/>
      <c r="X460" s="52"/>
      <c r="Y460" s="52"/>
      <c r="Z460" s="51"/>
      <c r="AA460" s="73"/>
      <c r="AB460" s="73"/>
      <c r="AC460" s="74"/>
      <c r="AD460" s="80" t="s">
        <v>7040</v>
      </c>
      <c r="AE460" s="85" t="s">
        <v>8241</v>
      </c>
      <c r="AF460" s="80">
        <v>277</v>
      </c>
      <c r="AG460" s="80">
        <v>66</v>
      </c>
      <c r="AH460" s="80">
        <v>2154</v>
      </c>
      <c r="AI460" s="80">
        <v>2</v>
      </c>
      <c r="AJ460" s="80"/>
      <c r="AK460" s="80"/>
      <c r="AL460" s="80" t="s">
        <v>10344</v>
      </c>
      <c r="AM460" s="80"/>
      <c r="AN460" s="80"/>
      <c r="AO460" s="82">
        <v>40647.28297453704</v>
      </c>
      <c r="AP460" s="87" t="str">
        <f>HYPERLINK("https://pbs.twimg.com/profile_banners/281915510/1396173430")</f>
        <v>https://pbs.twimg.com/profile_banners/281915510/1396173430</v>
      </c>
      <c r="AQ460" s="80" t="b">
        <v>1</v>
      </c>
      <c r="AR460" s="80" t="b">
        <v>0</v>
      </c>
      <c r="AS460" s="80" t="b">
        <v>0</v>
      </c>
      <c r="AT460" s="80"/>
      <c r="AU460" s="80">
        <v>2</v>
      </c>
      <c r="AV460" s="87" t="str">
        <f>HYPERLINK("https://abs.twimg.com/images/themes/theme1/bg.png")</f>
        <v>https://abs.twimg.com/images/themes/theme1/bg.png</v>
      </c>
      <c r="AW460" s="80" t="b">
        <v>0</v>
      </c>
      <c r="AX460" s="80" t="s">
        <v>10746</v>
      </c>
      <c r="AY460" s="87" t="str">
        <f>HYPERLINK("https://twitter.com/atshushichun")</f>
        <v>https://twitter.com/atshushichun</v>
      </c>
      <c r="AZ460" s="80" t="s">
        <v>66</v>
      </c>
      <c r="BA460" s="2"/>
      <c r="BB460" s="3"/>
      <c r="BC460" s="3"/>
      <c r="BD460" s="3"/>
      <c r="BE460" s="3"/>
    </row>
    <row r="461" spans="1:57" x14ac:dyDescent="0.35">
      <c r="A461" s="66" t="s">
        <v>1361</v>
      </c>
      <c r="B461" s="67"/>
      <c r="C461" s="67"/>
      <c r="D461" s="68"/>
      <c r="E461" s="70"/>
      <c r="F461" s="109" t="str">
        <f>HYPERLINK("https://pbs.twimg.com/profile_images/1209268107190996992/aycrl4be_normal.jpg")</f>
        <v>https://pbs.twimg.com/profile_images/1209268107190996992/aycrl4be_normal.jpg</v>
      </c>
      <c r="G461" s="67"/>
      <c r="H461" s="71"/>
      <c r="I461" s="72"/>
      <c r="J461" s="72"/>
      <c r="K461" s="71" t="s">
        <v>11204</v>
      </c>
      <c r="L461" s="75"/>
      <c r="M461" s="76"/>
      <c r="N461" s="76"/>
      <c r="O461" s="77"/>
      <c r="P461" s="78"/>
      <c r="Q461" s="78"/>
      <c r="R461" s="92"/>
      <c r="S461" s="92"/>
      <c r="T461" s="92"/>
      <c r="U461" s="92"/>
      <c r="V461" s="52"/>
      <c r="W461" s="52"/>
      <c r="X461" s="52"/>
      <c r="Y461" s="52"/>
      <c r="Z461" s="51"/>
      <c r="AA461" s="73"/>
      <c r="AB461" s="73"/>
      <c r="AC461" s="74"/>
      <c r="AD461" s="80" t="s">
        <v>7041</v>
      </c>
      <c r="AE461" s="85" t="s">
        <v>6327</v>
      </c>
      <c r="AF461" s="80">
        <v>642</v>
      </c>
      <c r="AG461" s="80">
        <v>3769883</v>
      </c>
      <c r="AH461" s="80">
        <v>25505</v>
      </c>
      <c r="AI461" s="80">
        <v>111</v>
      </c>
      <c r="AJ461" s="80"/>
      <c r="AK461" s="80" t="s">
        <v>9362</v>
      </c>
      <c r="AL461" s="80" t="s">
        <v>10134</v>
      </c>
      <c r="AM461" s="80"/>
      <c r="AN461" s="80"/>
      <c r="AO461" s="82">
        <v>40647.484583333331</v>
      </c>
      <c r="AP461" s="87" t="str">
        <f>HYPERLINK("https://pbs.twimg.com/profile_banners/282006208/1577112783")</f>
        <v>https://pbs.twimg.com/profile_banners/282006208/1577112783</v>
      </c>
      <c r="AQ461" s="80" t="b">
        <v>0</v>
      </c>
      <c r="AR461" s="80" t="b">
        <v>0</v>
      </c>
      <c r="AS461" s="80" t="b">
        <v>1</v>
      </c>
      <c r="AT461" s="80"/>
      <c r="AU461" s="80">
        <v>1235</v>
      </c>
      <c r="AV461" s="87" t="str">
        <f>HYPERLINK("https://abs.twimg.com/images/themes/theme17/bg.gif")</f>
        <v>https://abs.twimg.com/images/themes/theme17/bg.gif</v>
      </c>
      <c r="AW461" s="80" t="b">
        <v>1</v>
      </c>
      <c r="AX461" s="80" t="s">
        <v>10746</v>
      </c>
      <c r="AY461" s="87" t="str">
        <f>HYPERLINK("https://twitter.com/mohmahfudmd")</f>
        <v>https://twitter.com/mohmahfudmd</v>
      </c>
      <c r="AZ461" s="80" t="s">
        <v>65</v>
      </c>
      <c r="BA461" s="2"/>
      <c r="BB461" s="3"/>
      <c r="BC461" s="3"/>
      <c r="BD461" s="3"/>
      <c r="BE461" s="3"/>
    </row>
    <row r="462" spans="1:57" x14ac:dyDescent="0.35">
      <c r="A462" s="66" t="s">
        <v>576</v>
      </c>
      <c r="B462" s="67"/>
      <c r="C462" s="67"/>
      <c r="D462" s="68"/>
      <c r="E462" s="70"/>
      <c r="F462" s="109" t="str">
        <f>HYPERLINK("https://pbs.twimg.com/profile_images/1308579761904476161/yG_jhDPn_normal.jpg")</f>
        <v>https://pbs.twimg.com/profile_images/1308579761904476161/yG_jhDPn_normal.jpg</v>
      </c>
      <c r="G462" s="67"/>
      <c r="H462" s="71"/>
      <c r="I462" s="72"/>
      <c r="J462" s="72"/>
      <c r="K462" s="71" t="s">
        <v>11205</v>
      </c>
      <c r="L462" s="75"/>
      <c r="M462" s="76"/>
      <c r="N462" s="76"/>
      <c r="O462" s="77"/>
      <c r="P462" s="78"/>
      <c r="Q462" s="78"/>
      <c r="R462" s="92"/>
      <c r="S462" s="92"/>
      <c r="T462" s="92"/>
      <c r="U462" s="92"/>
      <c r="V462" s="52"/>
      <c r="W462" s="52"/>
      <c r="X462" s="52"/>
      <c r="Y462" s="52"/>
      <c r="Z462" s="51"/>
      <c r="AA462" s="73"/>
      <c r="AB462" s="73"/>
      <c r="AC462" s="74"/>
      <c r="AD462" s="80" t="s">
        <v>7042</v>
      </c>
      <c r="AE462" s="85" t="s">
        <v>8242</v>
      </c>
      <c r="AF462" s="80">
        <v>246</v>
      </c>
      <c r="AG462" s="80">
        <v>27</v>
      </c>
      <c r="AH462" s="80">
        <v>1014</v>
      </c>
      <c r="AI462" s="80">
        <v>408</v>
      </c>
      <c r="AJ462" s="80"/>
      <c r="AK462" s="80" t="s">
        <v>9363</v>
      </c>
      <c r="AL462" s="80" t="s">
        <v>10345</v>
      </c>
      <c r="AM462" s="87" t="str">
        <f>HYPERLINK("https://t.co/kgolLu838L")</f>
        <v>https://t.co/kgolLu838L</v>
      </c>
      <c r="AN462" s="80"/>
      <c r="AO462" s="82">
        <v>43919.410509259258</v>
      </c>
      <c r="AP462" s="80"/>
      <c r="AQ462" s="80" t="b">
        <v>1</v>
      </c>
      <c r="AR462" s="80" t="b">
        <v>0</v>
      </c>
      <c r="AS462" s="80" t="b">
        <v>1</v>
      </c>
      <c r="AT462" s="80"/>
      <c r="AU462" s="80">
        <v>0</v>
      </c>
      <c r="AV462" s="80"/>
      <c r="AW462" s="80" t="b">
        <v>0</v>
      </c>
      <c r="AX462" s="80" t="s">
        <v>10746</v>
      </c>
      <c r="AY462" s="87" t="str">
        <f>HYPERLINK("https://twitter.com/gopinda901")</f>
        <v>https://twitter.com/gopinda901</v>
      </c>
      <c r="AZ462" s="80" t="s">
        <v>66</v>
      </c>
      <c r="BA462" s="2"/>
      <c r="BB462" s="3"/>
      <c r="BC462" s="3"/>
      <c r="BD462" s="3"/>
      <c r="BE462" s="3"/>
    </row>
    <row r="463" spans="1:57" x14ac:dyDescent="0.35">
      <c r="A463" s="66" t="s">
        <v>577</v>
      </c>
      <c r="B463" s="67"/>
      <c r="C463" s="67"/>
      <c r="D463" s="68"/>
      <c r="E463" s="70"/>
      <c r="F463" s="109" t="str">
        <f>HYPERLINK("https://pbs.twimg.com/profile_images/1441805018806448139/DAdMO8GI_normal.jpg")</f>
        <v>https://pbs.twimg.com/profile_images/1441805018806448139/DAdMO8GI_normal.jpg</v>
      </c>
      <c r="G463" s="67"/>
      <c r="H463" s="71"/>
      <c r="I463" s="72"/>
      <c r="J463" s="72"/>
      <c r="K463" s="71" t="s">
        <v>11206</v>
      </c>
      <c r="L463" s="75"/>
      <c r="M463" s="76"/>
      <c r="N463" s="76"/>
      <c r="O463" s="77"/>
      <c r="P463" s="78"/>
      <c r="Q463" s="78"/>
      <c r="R463" s="92"/>
      <c r="S463" s="92"/>
      <c r="T463" s="92"/>
      <c r="U463" s="92"/>
      <c r="V463" s="52"/>
      <c r="W463" s="52"/>
      <c r="X463" s="52"/>
      <c r="Y463" s="52"/>
      <c r="Z463" s="51"/>
      <c r="AA463" s="73"/>
      <c r="AB463" s="73"/>
      <c r="AC463" s="74"/>
      <c r="AD463" s="80" t="s">
        <v>7043</v>
      </c>
      <c r="AE463" s="85" t="s">
        <v>8243</v>
      </c>
      <c r="AF463" s="80">
        <v>495</v>
      </c>
      <c r="AG463" s="80">
        <v>1092</v>
      </c>
      <c r="AH463" s="80">
        <v>66052</v>
      </c>
      <c r="AI463" s="80">
        <v>24698</v>
      </c>
      <c r="AJ463" s="80"/>
      <c r="AK463" s="80" t="s">
        <v>9364</v>
      </c>
      <c r="AL463" s="80" t="s">
        <v>9630</v>
      </c>
      <c r="AM463" s="87" t="str">
        <f>HYPERLINK("https://t.co/rnHGiCpqcc")</f>
        <v>https://t.co/rnHGiCpqcc</v>
      </c>
      <c r="AN463" s="80"/>
      <c r="AO463" s="82">
        <v>43334.150254629632</v>
      </c>
      <c r="AP463" s="87" t="str">
        <f>HYPERLINK("https://pbs.twimg.com/profile_banners/1032109195422617600/1631532566")</f>
        <v>https://pbs.twimg.com/profile_banners/1032109195422617600/1631532566</v>
      </c>
      <c r="AQ463" s="80" t="b">
        <v>1</v>
      </c>
      <c r="AR463" s="80" t="b">
        <v>0</v>
      </c>
      <c r="AS463" s="80" t="b">
        <v>1</v>
      </c>
      <c r="AT463" s="80"/>
      <c r="AU463" s="80">
        <v>4</v>
      </c>
      <c r="AV463" s="80"/>
      <c r="AW463" s="80" t="b">
        <v>0</v>
      </c>
      <c r="AX463" s="80" t="s">
        <v>10746</v>
      </c>
      <c r="AY463" s="87" t="str">
        <f>HYPERLINK("https://twitter.com/crossvinee")</f>
        <v>https://twitter.com/crossvinee</v>
      </c>
      <c r="AZ463" s="80" t="s">
        <v>66</v>
      </c>
      <c r="BA463" s="2"/>
      <c r="BB463" s="3"/>
      <c r="BC463" s="3"/>
      <c r="BD463" s="3"/>
      <c r="BE463" s="3"/>
    </row>
    <row r="464" spans="1:57" x14ac:dyDescent="0.35">
      <c r="A464" s="66" t="s">
        <v>578</v>
      </c>
      <c r="B464" s="67"/>
      <c r="C464" s="67"/>
      <c r="D464" s="68"/>
      <c r="E464" s="70"/>
      <c r="F464" s="109" t="str">
        <f>HYPERLINK("https://pbs.twimg.com/profile_images/1442045293457858564/Pb9RX1oO_normal.jpg")</f>
        <v>https://pbs.twimg.com/profile_images/1442045293457858564/Pb9RX1oO_normal.jpg</v>
      </c>
      <c r="G464" s="67"/>
      <c r="H464" s="71"/>
      <c r="I464" s="72"/>
      <c r="J464" s="72"/>
      <c r="K464" s="71" t="s">
        <v>11207</v>
      </c>
      <c r="L464" s="75"/>
      <c r="M464" s="76"/>
      <c r="N464" s="76"/>
      <c r="O464" s="77"/>
      <c r="P464" s="78"/>
      <c r="Q464" s="78"/>
      <c r="R464" s="92"/>
      <c r="S464" s="92"/>
      <c r="T464" s="92"/>
      <c r="U464" s="92"/>
      <c r="V464" s="52"/>
      <c r="W464" s="52"/>
      <c r="X464" s="52"/>
      <c r="Y464" s="52"/>
      <c r="Z464" s="51"/>
      <c r="AA464" s="73"/>
      <c r="AB464" s="73"/>
      <c r="AC464" s="74"/>
      <c r="AD464" s="80" t="s">
        <v>7044</v>
      </c>
      <c r="AE464" s="85" t="s">
        <v>8244</v>
      </c>
      <c r="AF464" s="80">
        <v>556</v>
      </c>
      <c r="AG464" s="80">
        <v>760</v>
      </c>
      <c r="AH464" s="80">
        <v>36531</v>
      </c>
      <c r="AI464" s="80">
        <v>14631</v>
      </c>
      <c r="AJ464" s="80"/>
      <c r="AK464" s="80" t="s">
        <v>9365</v>
      </c>
      <c r="AL464" s="80" t="s">
        <v>10311</v>
      </c>
      <c r="AM464" s="87" t="str">
        <f>HYPERLINK("https://t.co/3l48AaiZPh")</f>
        <v>https://t.co/3l48AaiZPh</v>
      </c>
      <c r="AN464" s="80"/>
      <c r="AO464" s="82">
        <v>44068.522094907406</v>
      </c>
      <c r="AP464" s="87" t="str">
        <f>HYPERLINK("https://pbs.twimg.com/profile_banners/1298236596689412096/1631896571")</f>
        <v>https://pbs.twimg.com/profile_banners/1298236596689412096/1631896571</v>
      </c>
      <c r="AQ464" s="80" t="b">
        <v>1</v>
      </c>
      <c r="AR464" s="80" t="b">
        <v>0</v>
      </c>
      <c r="AS464" s="80" t="b">
        <v>0</v>
      </c>
      <c r="AT464" s="80"/>
      <c r="AU464" s="80">
        <v>9</v>
      </c>
      <c r="AV464" s="80"/>
      <c r="AW464" s="80" t="b">
        <v>0</v>
      </c>
      <c r="AX464" s="80" t="s">
        <v>10746</v>
      </c>
      <c r="AY464" s="87" t="str">
        <f>HYPERLINK("https://twitter.com/hunjisvngs")</f>
        <v>https://twitter.com/hunjisvngs</v>
      </c>
      <c r="AZ464" s="80" t="s">
        <v>66</v>
      </c>
      <c r="BA464" s="2"/>
      <c r="BB464" s="3"/>
      <c r="BC464" s="3"/>
      <c r="BD464" s="3"/>
      <c r="BE464" s="3"/>
    </row>
    <row r="465" spans="1:57" x14ac:dyDescent="0.35">
      <c r="A465" s="66" t="s">
        <v>579</v>
      </c>
      <c r="B465" s="67"/>
      <c r="C465" s="67"/>
      <c r="D465" s="68"/>
      <c r="E465" s="70"/>
      <c r="F465" s="109" t="str">
        <f>HYPERLINK("https://pbs.twimg.com/profile_images/1440219954066771976/hiPOvbnY_normal.jpg")</f>
        <v>https://pbs.twimg.com/profile_images/1440219954066771976/hiPOvbnY_normal.jpg</v>
      </c>
      <c r="G465" s="67"/>
      <c r="H465" s="71"/>
      <c r="I465" s="72"/>
      <c r="J465" s="72"/>
      <c r="K465" s="71" t="s">
        <v>11208</v>
      </c>
      <c r="L465" s="75"/>
      <c r="M465" s="76"/>
      <c r="N465" s="76"/>
      <c r="O465" s="77"/>
      <c r="P465" s="78"/>
      <c r="Q465" s="78"/>
      <c r="R465" s="92"/>
      <c r="S465" s="92"/>
      <c r="T465" s="92"/>
      <c r="U465" s="92"/>
      <c r="V465" s="52"/>
      <c r="W465" s="52"/>
      <c r="X465" s="52"/>
      <c r="Y465" s="52"/>
      <c r="Z465" s="51"/>
      <c r="AA465" s="73"/>
      <c r="AB465" s="73"/>
      <c r="AC465" s="74"/>
      <c r="AD465" s="80" t="s">
        <v>7045</v>
      </c>
      <c r="AE465" s="85" t="s">
        <v>8245</v>
      </c>
      <c r="AF465" s="80">
        <v>278</v>
      </c>
      <c r="AG465" s="80">
        <v>196</v>
      </c>
      <c r="AH465" s="80">
        <v>1032</v>
      </c>
      <c r="AI465" s="80">
        <v>1020</v>
      </c>
      <c r="AJ465" s="80"/>
      <c r="AK465" s="80" t="s">
        <v>9366</v>
      </c>
      <c r="AL465" s="80"/>
      <c r="AM465" s="80"/>
      <c r="AN465" s="80"/>
      <c r="AO465" s="82">
        <v>44399.167164351849</v>
      </c>
      <c r="AP465" s="87" t="str">
        <f>HYPERLINK("https://pbs.twimg.com/profile_banners/1418058350537756675/1629508315")</f>
        <v>https://pbs.twimg.com/profile_banners/1418058350537756675/1629508315</v>
      </c>
      <c r="AQ465" s="80" t="b">
        <v>1</v>
      </c>
      <c r="AR465" s="80" t="b">
        <v>0</v>
      </c>
      <c r="AS465" s="80" t="b">
        <v>0</v>
      </c>
      <c r="AT465" s="80"/>
      <c r="AU465" s="80">
        <v>0</v>
      </c>
      <c r="AV465" s="80"/>
      <c r="AW465" s="80" t="b">
        <v>0</v>
      </c>
      <c r="AX465" s="80" t="s">
        <v>10746</v>
      </c>
      <c r="AY465" s="87" t="str">
        <f>HYPERLINK("https://twitter.com/hyunjiyoungein")</f>
        <v>https://twitter.com/hyunjiyoungein</v>
      </c>
      <c r="AZ465" s="80" t="s">
        <v>66</v>
      </c>
      <c r="BA465" s="2"/>
      <c r="BB465" s="3"/>
      <c r="BC465" s="3"/>
      <c r="BD465" s="3"/>
      <c r="BE465" s="3"/>
    </row>
    <row r="466" spans="1:57" x14ac:dyDescent="0.35">
      <c r="A466" s="66" t="s">
        <v>580</v>
      </c>
      <c r="B466" s="67"/>
      <c r="C466" s="67"/>
      <c r="D466" s="68"/>
      <c r="E466" s="70"/>
      <c r="F466" s="109" t="str">
        <f>HYPERLINK("https://pbs.twimg.com/profile_images/1438827591058681859/urLNgwSI_normal.jpg")</f>
        <v>https://pbs.twimg.com/profile_images/1438827591058681859/urLNgwSI_normal.jpg</v>
      </c>
      <c r="G466" s="67"/>
      <c r="H466" s="71"/>
      <c r="I466" s="72"/>
      <c r="J466" s="72"/>
      <c r="K466" s="71" t="s">
        <v>11209</v>
      </c>
      <c r="L466" s="75"/>
      <c r="M466" s="76"/>
      <c r="N466" s="76"/>
      <c r="O466" s="77"/>
      <c r="P466" s="78"/>
      <c r="Q466" s="78"/>
      <c r="R466" s="92"/>
      <c r="S466" s="92"/>
      <c r="T466" s="92"/>
      <c r="U466" s="92"/>
      <c r="V466" s="52"/>
      <c r="W466" s="52"/>
      <c r="X466" s="52"/>
      <c r="Y466" s="52"/>
      <c r="Z466" s="51"/>
      <c r="AA466" s="73"/>
      <c r="AB466" s="73"/>
      <c r="AC466" s="74"/>
      <c r="AD466" s="80" t="s">
        <v>7046</v>
      </c>
      <c r="AE466" s="85" t="s">
        <v>8246</v>
      </c>
      <c r="AF466" s="80">
        <v>556</v>
      </c>
      <c r="AG466" s="80">
        <v>540</v>
      </c>
      <c r="AH466" s="80">
        <v>43281</v>
      </c>
      <c r="AI466" s="80">
        <v>12274</v>
      </c>
      <c r="AJ466" s="80"/>
      <c r="AK466" s="80" t="s">
        <v>9367</v>
      </c>
      <c r="AL466" s="80"/>
      <c r="AM466" s="80"/>
      <c r="AN466" s="80"/>
      <c r="AO466" s="82">
        <v>44150.236747685187</v>
      </c>
      <c r="AP466" s="87" t="str">
        <f>HYPERLINK("https://pbs.twimg.com/profile_banners/1327848997663346688/1631186659")</f>
        <v>https://pbs.twimg.com/profile_banners/1327848997663346688/1631186659</v>
      </c>
      <c r="AQ466" s="80" t="b">
        <v>1</v>
      </c>
      <c r="AR466" s="80" t="b">
        <v>0</v>
      </c>
      <c r="AS466" s="80" t="b">
        <v>0</v>
      </c>
      <c r="AT466" s="80"/>
      <c r="AU466" s="80">
        <v>3</v>
      </c>
      <c r="AV466" s="80"/>
      <c r="AW466" s="80" t="b">
        <v>0</v>
      </c>
      <c r="AX466" s="80" t="s">
        <v>10746</v>
      </c>
      <c r="AY466" s="87" t="str">
        <f>HYPERLINK("https://twitter.com/minnieeeeyey")</f>
        <v>https://twitter.com/minnieeeeyey</v>
      </c>
      <c r="AZ466" s="80" t="s">
        <v>66</v>
      </c>
      <c r="BA466" s="2"/>
      <c r="BB466" s="3"/>
      <c r="BC466" s="3"/>
      <c r="BD466" s="3"/>
      <c r="BE466" s="3"/>
    </row>
    <row r="467" spans="1:57" x14ac:dyDescent="0.35">
      <c r="A467" s="66" t="s">
        <v>582</v>
      </c>
      <c r="B467" s="67"/>
      <c r="C467" s="67"/>
      <c r="D467" s="68"/>
      <c r="E467" s="70"/>
      <c r="F467" s="109" t="str">
        <f>HYPERLINK("https://pbs.twimg.com/profile_images/1437475206419779587/qrlZ3Z2o_normal.jpg")</f>
        <v>https://pbs.twimg.com/profile_images/1437475206419779587/qrlZ3Z2o_normal.jpg</v>
      </c>
      <c r="G467" s="67"/>
      <c r="H467" s="71"/>
      <c r="I467" s="72"/>
      <c r="J467" s="72"/>
      <c r="K467" s="71" t="s">
        <v>11210</v>
      </c>
      <c r="L467" s="75"/>
      <c r="M467" s="76"/>
      <c r="N467" s="76"/>
      <c r="O467" s="77"/>
      <c r="P467" s="78"/>
      <c r="Q467" s="78"/>
      <c r="R467" s="92"/>
      <c r="S467" s="92"/>
      <c r="T467" s="92"/>
      <c r="U467" s="92"/>
      <c r="V467" s="52"/>
      <c r="W467" s="52"/>
      <c r="X467" s="52"/>
      <c r="Y467" s="52"/>
      <c r="Z467" s="51"/>
      <c r="AA467" s="73"/>
      <c r="AB467" s="73"/>
      <c r="AC467" s="74"/>
      <c r="AD467" s="80" t="s">
        <v>7047</v>
      </c>
      <c r="AE467" s="85" t="s">
        <v>8247</v>
      </c>
      <c r="AF467" s="80">
        <v>356</v>
      </c>
      <c r="AG467" s="80">
        <v>190</v>
      </c>
      <c r="AH467" s="80">
        <v>3551</v>
      </c>
      <c r="AI467" s="80">
        <v>8930</v>
      </c>
      <c r="AJ467" s="80"/>
      <c r="AK467" s="80" t="s">
        <v>9368</v>
      </c>
      <c r="AL467" s="80"/>
      <c r="AM467" s="80"/>
      <c r="AN467" s="80"/>
      <c r="AO467" s="82">
        <v>43252.924490740741</v>
      </c>
      <c r="AP467" s="87" t="str">
        <f>HYPERLINK("https://pbs.twimg.com/profile_banners/1002673963686715392/1631772416")</f>
        <v>https://pbs.twimg.com/profile_banners/1002673963686715392/1631772416</v>
      </c>
      <c r="AQ467" s="80" t="b">
        <v>1</v>
      </c>
      <c r="AR467" s="80" t="b">
        <v>0</v>
      </c>
      <c r="AS467" s="80" t="b">
        <v>0</v>
      </c>
      <c r="AT467" s="80"/>
      <c r="AU467" s="80">
        <v>0</v>
      </c>
      <c r="AV467" s="80"/>
      <c r="AW467" s="80" t="b">
        <v>0</v>
      </c>
      <c r="AX467" s="80" t="s">
        <v>10746</v>
      </c>
      <c r="AY467" s="87" t="str">
        <f>HYPERLINK("https://twitter.com/skzstaycmchhysj")</f>
        <v>https://twitter.com/skzstaycmchhysj</v>
      </c>
      <c r="AZ467" s="80" t="s">
        <v>66</v>
      </c>
      <c r="BA467" s="2"/>
      <c r="BB467" s="3"/>
      <c r="BC467" s="3"/>
      <c r="BD467" s="3"/>
      <c r="BE467" s="3"/>
    </row>
    <row r="468" spans="1:57" x14ac:dyDescent="0.35">
      <c r="A468" s="66" t="s">
        <v>583</v>
      </c>
      <c r="B468" s="67"/>
      <c r="C468" s="67"/>
      <c r="D468" s="68"/>
      <c r="E468" s="70"/>
      <c r="F468" s="109" t="str">
        <f>HYPERLINK("https://pbs.twimg.com/profile_images/1441465900373217285/aFiGZG3q_normal.jpg")</f>
        <v>https://pbs.twimg.com/profile_images/1441465900373217285/aFiGZG3q_normal.jpg</v>
      </c>
      <c r="G468" s="67"/>
      <c r="H468" s="71"/>
      <c r="I468" s="72"/>
      <c r="J468" s="72"/>
      <c r="K468" s="71" t="s">
        <v>11211</v>
      </c>
      <c r="L468" s="75"/>
      <c r="M468" s="76"/>
      <c r="N468" s="76"/>
      <c r="O468" s="77"/>
      <c r="P468" s="78"/>
      <c r="Q468" s="78"/>
      <c r="R468" s="92"/>
      <c r="S468" s="92"/>
      <c r="T468" s="92"/>
      <c r="U468" s="92"/>
      <c r="V468" s="52"/>
      <c r="W468" s="52"/>
      <c r="X468" s="52"/>
      <c r="Y468" s="52"/>
      <c r="Z468" s="51"/>
      <c r="AA468" s="73"/>
      <c r="AB468" s="73"/>
      <c r="AC468" s="74"/>
      <c r="AD468" s="80" t="s">
        <v>7048</v>
      </c>
      <c r="AE468" s="85" t="s">
        <v>8248</v>
      </c>
      <c r="AF468" s="80">
        <v>216</v>
      </c>
      <c r="AG468" s="80">
        <v>199</v>
      </c>
      <c r="AH468" s="80">
        <v>6903</v>
      </c>
      <c r="AI468" s="80">
        <v>9976</v>
      </c>
      <c r="AJ468" s="80"/>
      <c r="AK468" s="80" t="s">
        <v>9369</v>
      </c>
      <c r="AL468" s="80" t="s">
        <v>10346</v>
      </c>
      <c r="AM468" s="87" t="str">
        <f>HYPERLINK("https://t.co/YNN9rdc3ZW")</f>
        <v>https://t.co/YNN9rdc3ZW</v>
      </c>
      <c r="AN468" s="80"/>
      <c r="AO468" s="82">
        <v>44300.271562499998</v>
      </c>
      <c r="AP468" s="87" t="str">
        <f>HYPERLINK("https://pbs.twimg.com/profile_banners/1382219786344493056/1627066842")</f>
        <v>https://pbs.twimg.com/profile_banners/1382219786344493056/1627066842</v>
      </c>
      <c r="AQ468" s="80" t="b">
        <v>1</v>
      </c>
      <c r="AR468" s="80" t="b">
        <v>0</v>
      </c>
      <c r="AS468" s="80" t="b">
        <v>0</v>
      </c>
      <c r="AT468" s="80"/>
      <c r="AU468" s="80">
        <v>0</v>
      </c>
      <c r="AV468" s="80"/>
      <c r="AW468" s="80" t="b">
        <v>0</v>
      </c>
      <c r="AX468" s="80" t="s">
        <v>10746</v>
      </c>
      <c r="AY468" s="87" t="str">
        <f>HYPERLINK("https://twitter.com/bbokfreckkie")</f>
        <v>https://twitter.com/bbokfreckkie</v>
      </c>
      <c r="AZ468" s="80" t="s">
        <v>66</v>
      </c>
      <c r="BA468" s="2"/>
      <c r="BB468" s="3"/>
      <c r="BC468" s="3"/>
      <c r="BD468" s="3"/>
      <c r="BE468" s="3"/>
    </row>
    <row r="469" spans="1:57" x14ac:dyDescent="0.35">
      <c r="A469" s="66" t="s">
        <v>584</v>
      </c>
      <c r="B469" s="67"/>
      <c r="C469" s="67"/>
      <c r="D469" s="68"/>
      <c r="E469" s="70"/>
      <c r="F469" s="109" t="str">
        <f>HYPERLINK("https://pbs.twimg.com/profile_images/1423604900961820678/XBgejojd_normal.jpg")</f>
        <v>https://pbs.twimg.com/profile_images/1423604900961820678/XBgejojd_normal.jpg</v>
      </c>
      <c r="G469" s="67"/>
      <c r="H469" s="71"/>
      <c r="I469" s="72"/>
      <c r="J469" s="72"/>
      <c r="K469" s="71" t="s">
        <v>11212</v>
      </c>
      <c r="L469" s="75"/>
      <c r="M469" s="76"/>
      <c r="N469" s="76"/>
      <c r="O469" s="77"/>
      <c r="P469" s="78"/>
      <c r="Q469" s="78"/>
      <c r="R469" s="92"/>
      <c r="S469" s="92"/>
      <c r="T469" s="92"/>
      <c r="U469" s="92"/>
      <c r="V469" s="52"/>
      <c r="W469" s="52"/>
      <c r="X469" s="52"/>
      <c r="Y469" s="52"/>
      <c r="Z469" s="51"/>
      <c r="AA469" s="73"/>
      <c r="AB469" s="73"/>
      <c r="AC469" s="74"/>
      <c r="AD469" s="80" t="s">
        <v>7049</v>
      </c>
      <c r="AE469" s="85" t="s">
        <v>8249</v>
      </c>
      <c r="AF469" s="80">
        <v>140</v>
      </c>
      <c r="AG469" s="80">
        <v>66</v>
      </c>
      <c r="AH469" s="80">
        <v>20211</v>
      </c>
      <c r="AI469" s="80">
        <v>43899</v>
      </c>
      <c r="AJ469" s="80"/>
      <c r="AK469" s="80"/>
      <c r="AL469" s="80"/>
      <c r="AM469" s="80"/>
      <c r="AN469" s="80"/>
      <c r="AO469" s="82">
        <v>42010.447824074072</v>
      </c>
      <c r="AP469" s="87" t="str">
        <f>HYPERLINK("https://pbs.twimg.com/profile_banners/2960656291/1626607402")</f>
        <v>https://pbs.twimg.com/profile_banners/2960656291/1626607402</v>
      </c>
      <c r="AQ469" s="80" t="b">
        <v>1</v>
      </c>
      <c r="AR469" s="80" t="b">
        <v>0</v>
      </c>
      <c r="AS469" s="80" t="b">
        <v>0</v>
      </c>
      <c r="AT469" s="80"/>
      <c r="AU469" s="80">
        <v>0</v>
      </c>
      <c r="AV469" s="87" t="str">
        <f>HYPERLINK("https://abs.twimg.com/images/themes/theme1/bg.png")</f>
        <v>https://abs.twimg.com/images/themes/theme1/bg.png</v>
      </c>
      <c r="AW469" s="80" t="b">
        <v>0</v>
      </c>
      <c r="AX469" s="80" t="s">
        <v>10746</v>
      </c>
      <c r="AY469" s="87" t="str">
        <f>HYPERLINK("https://twitter.com/favorskz")</f>
        <v>https://twitter.com/favorskz</v>
      </c>
      <c r="AZ469" s="80" t="s">
        <v>66</v>
      </c>
      <c r="BA469" s="2"/>
      <c r="BB469" s="3"/>
      <c r="BC469" s="3"/>
      <c r="BD469" s="3"/>
      <c r="BE469" s="3"/>
    </row>
    <row r="470" spans="1:57" x14ac:dyDescent="0.35">
      <c r="A470" s="66" t="s">
        <v>585</v>
      </c>
      <c r="B470" s="67"/>
      <c r="C470" s="67"/>
      <c r="D470" s="68"/>
      <c r="E470" s="70"/>
      <c r="F470" s="109" t="str">
        <f>HYPERLINK("https://pbs.twimg.com/profile_images/1441585648398319616/BE5IDhiU_normal.jpg")</f>
        <v>https://pbs.twimg.com/profile_images/1441585648398319616/BE5IDhiU_normal.jpg</v>
      </c>
      <c r="G470" s="67"/>
      <c r="H470" s="71"/>
      <c r="I470" s="72"/>
      <c r="J470" s="72"/>
      <c r="K470" s="71" t="s">
        <v>11213</v>
      </c>
      <c r="L470" s="75"/>
      <c r="M470" s="76"/>
      <c r="N470" s="76"/>
      <c r="O470" s="77"/>
      <c r="P470" s="78"/>
      <c r="Q470" s="78"/>
      <c r="R470" s="92"/>
      <c r="S470" s="92"/>
      <c r="T470" s="92"/>
      <c r="U470" s="92"/>
      <c r="V470" s="52"/>
      <c r="W470" s="52"/>
      <c r="X470" s="52"/>
      <c r="Y470" s="52"/>
      <c r="Z470" s="51"/>
      <c r="AA470" s="73"/>
      <c r="AB470" s="73"/>
      <c r="AC470" s="74"/>
      <c r="AD470" s="80" t="s">
        <v>7050</v>
      </c>
      <c r="AE470" s="85" t="s">
        <v>8250</v>
      </c>
      <c r="AF470" s="80">
        <v>1765</v>
      </c>
      <c r="AG470" s="80">
        <v>864</v>
      </c>
      <c r="AH470" s="80">
        <v>29497</v>
      </c>
      <c r="AI470" s="80">
        <v>84142</v>
      </c>
      <c r="AJ470" s="80"/>
      <c r="AK470" s="80" t="s">
        <v>9370</v>
      </c>
      <c r="AL470" s="80" t="s">
        <v>10210</v>
      </c>
      <c r="AM470" s="87" t="str">
        <f>HYPERLINK("https://t.co/HTDLU2NwRh")</f>
        <v>https://t.co/HTDLU2NwRh</v>
      </c>
      <c r="AN470" s="80"/>
      <c r="AO470" s="82">
        <v>43288.088379629633</v>
      </c>
      <c r="AP470" s="87" t="str">
        <f>HYPERLINK("https://pbs.twimg.com/profile_banners/1015416931896049664/1628138515")</f>
        <v>https://pbs.twimg.com/profile_banners/1015416931896049664/1628138515</v>
      </c>
      <c r="AQ470" s="80" t="b">
        <v>1</v>
      </c>
      <c r="AR470" s="80" t="b">
        <v>0</v>
      </c>
      <c r="AS470" s="80" t="b">
        <v>1</v>
      </c>
      <c r="AT470" s="80"/>
      <c r="AU470" s="80">
        <v>3</v>
      </c>
      <c r="AV470" s="80"/>
      <c r="AW470" s="80" t="b">
        <v>0</v>
      </c>
      <c r="AX470" s="80" t="s">
        <v>10746</v>
      </c>
      <c r="AY470" s="87" t="str">
        <f>HYPERLINK("https://twitter.com/haafiieezaa98")</f>
        <v>https://twitter.com/haafiieezaa98</v>
      </c>
      <c r="AZ470" s="80" t="s">
        <v>66</v>
      </c>
      <c r="BA470" s="2"/>
      <c r="BB470" s="3"/>
      <c r="BC470" s="3"/>
      <c r="BD470" s="3"/>
      <c r="BE470" s="3"/>
    </row>
    <row r="471" spans="1:57" x14ac:dyDescent="0.35">
      <c r="A471" s="66" t="s">
        <v>586</v>
      </c>
      <c r="B471" s="67"/>
      <c r="C471" s="67"/>
      <c r="D471" s="68"/>
      <c r="E471" s="70"/>
      <c r="F471" s="109" t="str">
        <f>HYPERLINK("https://pbs.twimg.com/profile_images/1442368600245821443/gIlO5kqm_normal.jpg")</f>
        <v>https://pbs.twimg.com/profile_images/1442368600245821443/gIlO5kqm_normal.jpg</v>
      </c>
      <c r="G471" s="67"/>
      <c r="H471" s="71"/>
      <c r="I471" s="72"/>
      <c r="J471" s="72"/>
      <c r="K471" s="71" t="s">
        <v>11214</v>
      </c>
      <c r="L471" s="75"/>
      <c r="M471" s="76"/>
      <c r="N471" s="76"/>
      <c r="O471" s="77"/>
      <c r="P471" s="78"/>
      <c r="Q471" s="78"/>
      <c r="R471" s="92"/>
      <c r="S471" s="92"/>
      <c r="T471" s="92"/>
      <c r="U471" s="92"/>
      <c r="V471" s="52"/>
      <c r="W471" s="52"/>
      <c r="X471" s="52"/>
      <c r="Y471" s="52"/>
      <c r="Z471" s="51"/>
      <c r="AA471" s="73"/>
      <c r="AB471" s="73"/>
      <c r="AC471" s="74"/>
      <c r="AD471" s="80" t="s">
        <v>7051</v>
      </c>
      <c r="AE471" s="85" t="s">
        <v>8251</v>
      </c>
      <c r="AF471" s="80">
        <v>283</v>
      </c>
      <c r="AG471" s="80">
        <v>242</v>
      </c>
      <c r="AH471" s="80">
        <v>32173</v>
      </c>
      <c r="AI471" s="80">
        <v>49823</v>
      </c>
      <c r="AJ471" s="80"/>
      <c r="AK471" s="80" t="s">
        <v>9371</v>
      </c>
      <c r="AL471" s="80" t="s">
        <v>10248</v>
      </c>
      <c r="AM471" s="80"/>
      <c r="AN471" s="80"/>
      <c r="AO471" s="82">
        <v>44338.531493055554</v>
      </c>
      <c r="AP471" s="87" t="str">
        <f>HYPERLINK("https://pbs.twimg.com/profile_banners/1396084729657532419/1629111018")</f>
        <v>https://pbs.twimg.com/profile_banners/1396084729657532419/1629111018</v>
      </c>
      <c r="AQ471" s="80" t="b">
        <v>1</v>
      </c>
      <c r="AR471" s="80" t="b">
        <v>0</v>
      </c>
      <c r="AS471" s="80" t="b">
        <v>0</v>
      </c>
      <c r="AT471" s="80"/>
      <c r="AU471" s="80">
        <v>0</v>
      </c>
      <c r="AV471" s="80"/>
      <c r="AW471" s="80" t="b">
        <v>0</v>
      </c>
      <c r="AX471" s="80" t="s">
        <v>10746</v>
      </c>
      <c r="AY471" s="87" t="str">
        <f>HYPERLINK("https://twitter.com/mongmongmy")</f>
        <v>https://twitter.com/mongmongmy</v>
      </c>
      <c r="AZ471" s="80" t="s">
        <v>66</v>
      </c>
      <c r="BA471" s="2"/>
      <c r="BB471" s="3"/>
      <c r="BC471" s="3"/>
      <c r="BD471" s="3"/>
      <c r="BE471" s="3"/>
    </row>
    <row r="472" spans="1:57" x14ac:dyDescent="0.35">
      <c r="A472" s="66" t="s">
        <v>587</v>
      </c>
      <c r="B472" s="67"/>
      <c r="C472" s="67"/>
      <c r="D472" s="68"/>
      <c r="E472" s="70"/>
      <c r="F472" s="109" t="str">
        <f>HYPERLINK("https://pbs.twimg.com/profile_images/1441367474474086407/C2hAmhNo_normal.jpg")</f>
        <v>https://pbs.twimg.com/profile_images/1441367474474086407/C2hAmhNo_normal.jpg</v>
      </c>
      <c r="G472" s="67"/>
      <c r="H472" s="71"/>
      <c r="I472" s="72"/>
      <c r="J472" s="72"/>
      <c r="K472" s="71" t="s">
        <v>11215</v>
      </c>
      <c r="L472" s="75"/>
      <c r="M472" s="76"/>
      <c r="N472" s="76"/>
      <c r="O472" s="77"/>
      <c r="P472" s="78"/>
      <c r="Q472" s="78"/>
      <c r="R472" s="92"/>
      <c r="S472" s="92"/>
      <c r="T472" s="92"/>
      <c r="U472" s="92"/>
      <c r="V472" s="52"/>
      <c r="W472" s="52"/>
      <c r="X472" s="52"/>
      <c r="Y472" s="52"/>
      <c r="Z472" s="51"/>
      <c r="AA472" s="73"/>
      <c r="AB472" s="73"/>
      <c r="AC472" s="74"/>
      <c r="AD472" s="80" t="s">
        <v>7052</v>
      </c>
      <c r="AE472" s="85" t="s">
        <v>8252</v>
      </c>
      <c r="AF472" s="80">
        <v>296</v>
      </c>
      <c r="AG472" s="80">
        <v>285</v>
      </c>
      <c r="AH472" s="80">
        <v>10652</v>
      </c>
      <c r="AI472" s="80">
        <v>12681</v>
      </c>
      <c r="AJ472" s="80"/>
      <c r="AK472" s="80" t="s">
        <v>9372</v>
      </c>
      <c r="AL472" s="80" t="s">
        <v>10347</v>
      </c>
      <c r="AM472" s="87" t="str">
        <f>HYPERLINK("https://t.co/xJU0N2sQKH")</f>
        <v>https://t.co/xJU0N2sQKH</v>
      </c>
      <c r="AN472" s="80"/>
      <c r="AO472" s="82">
        <v>44366.295636574076</v>
      </c>
      <c r="AP472" s="87" t="str">
        <f>HYPERLINK("https://pbs.twimg.com/profile_banners/1406146099195252737/1631894001")</f>
        <v>https://pbs.twimg.com/profile_banners/1406146099195252737/1631894001</v>
      </c>
      <c r="AQ472" s="80" t="b">
        <v>1</v>
      </c>
      <c r="AR472" s="80" t="b">
        <v>0</v>
      </c>
      <c r="AS472" s="80" t="b">
        <v>0</v>
      </c>
      <c r="AT472" s="80"/>
      <c r="AU472" s="80">
        <v>3</v>
      </c>
      <c r="AV472" s="80"/>
      <c r="AW472" s="80" t="b">
        <v>0</v>
      </c>
      <c r="AX472" s="80" t="s">
        <v>10746</v>
      </c>
      <c r="AY472" s="87" t="str">
        <f>HYPERLINK("https://twitter.com/enhanreals")</f>
        <v>https://twitter.com/enhanreals</v>
      </c>
      <c r="AZ472" s="80" t="s">
        <v>66</v>
      </c>
      <c r="BA472" s="2"/>
      <c r="BB472" s="3"/>
      <c r="BC472" s="3"/>
      <c r="BD472" s="3"/>
      <c r="BE472" s="3"/>
    </row>
    <row r="473" spans="1:57" x14ac:dyDescent="0.35">
      <c r="A473" s="66" t="s">
        <v>588</v>
      </c>
      <c r="B473" s="67"/>
      <c r="C473" s="67"/>
      <c r="D473" s="68"/>
      <c r="E473" s="70"/>
      <c r="F473" s="109" t="str">
        <f>HYPERLINK("https://pbs.twimg.com/profile_images/1441666778266882049/LEhYjgMT_normal.jpg")</f>
        <v>https://pbs.twimg.com/profile_images/1441666778266882049/LEhYjgMT_normal.jpg</v>
      </c>
      <c r="G473" s="67"/>
      <c r="H473" s="71"/>
      <c r="I473" s="72"/>
      <c r="J473" s="72"/>
      <c r="K473" s="71" t="s">
        <v>11216</v>
      </c>
      <c r="L473" s="75"/>
      <c r="M473" s="76"/>
      <c r="N473" s="76"/>
      <c r="O473" s="77"/>
      <c r="P473" s="78"/>
      <c r="Q473" s="78"/>
      <c r="R473" s="92"/>
      <c r="S473" s="92"/>
      <c r="T473" s="92"/>
      <c r="U473" s="92"/>
      <c r="V473" s="52"/>
      <c r="W473" s="52"/>
      <c r="X473" s="52"/>
      <c r="Y473" s="52"/>
      <c r="Z473" s="51"/>
      <c r="AA473" s="73"/>
      <c r="AB473" s="73"/>
      <c r="AC473" s="74"/>
      <c r="AD473" s="80" t="s">
        <v>7053</v>
      </c>
      <c r="AE473" s="85" t="s">
        <v>8253</v>
      </c>
      <c r="AF473" s="80">
        <v>406</v>
      </c>
      <c r="AG473" s="80">
        <v>424</v>
      </c>
      <c r="AH473" s="80">
        <v>16861</v>
      </c>
      <c r="AI473" s="80">
        <v>12484</v>
      </c>
      <c r="AJ473" s="80"/>
      <c r="AK473" s="80" t="s">
        <v>9373</v>
      </c>
      <c r="AL473" s="80"/>
      <c r="AM473" s="80"/>
      <c r="AN473" s="80"/>
      <c r="AO473" s="82">
        <v>43433.353703703702</v>
      </c>
      <c r="AP473" s="87" t="str">
        <f>HYPERLINK("https://pbs.twimg.com/profile_banners/1068059321332727808/1631549823")</f>
        <v>https://pbs.twimg.com/profile_banners/1068059321332727808/1631549823</v>
      </c>
      <c r="AQ473" s="80" t="b">
        <v>1</v>
      </c>
      <c r="AR473" s="80" t="b">
        <v>0</v>
      </c>
      <c r="AS473" s="80" t="b">
        <v>0</v>
      </c>
      <c r="AT473" s="80"/>
      <c r="AU473" s="80">
        <v>1</v>
      </c>
      <c r="AV473" s="80"/>
      <c r="AW473" s="80" t="b">
        <v>0</v>
      </c>
      <c r="AX473" s="80" t="s">
        <v>10746</v>
      </c>
      <c r="AY473" s="87" t="str">
        <f>HYPERLINK("https://twitter.com/ansnisnis")</f>
        <v>https://twitter.com/ansnisnis</v>
      </c>
      <c r="AZ473" s="80" t="s">
        <v>66</v>
      </c>
      <c r="BA473" s="2"/>
      <c r="BB473" s="3"/>
      <c r="BC473" s="3"/>
      <c r="BD473" s="3"/>
      <c r="BE473" s="3"/>
    </row>
    <row r="474" spans="1:57" x14ac:dyDescent="0.35">
      <c r="A474" s="66" t="s">
        <v>589</v>
      </c>
      <c r="B474" s="67"/>
      <c r="C474" s="67"/>
      <c r="D474" s="68"/>
      <c r="E474" s="70"/>
      <c r="F474" s="109" t="str">
        <f>HYPERLINK("https://pbs.twimg.com/profile_images/1421814476181889025/q3YqAlAU_normal.jpg")</f>
        <v>https://pbs.twimg.com/profile_images/1421814476181889025/q3YqAlAU_normal.jpg</v>
      </c>
      <c r="G474" s="67"/>
      <c r="H474" s="71"/>
      <c r="I474" s="72"/>
      <c r="J474" s="72"/>
      <c r="K474" s="71" t="s">
        <v>11217</v>
      </c>
      <c r="L474" s="75"/>
      <c r="M474" s="76"/>
      <c r="N474" s="76"/>
      <c r="O474" s="77"/>
      <c r="P474" s="78"/>
      <c r="Q474" s="78"/>
      <c r="R474" s="92"/>
      <c r="S474" s="92"/>
      <c r="T474" s="92"/>
      <c r="U474" s="92"/>
      <c r="V474" s="52"/>
      <c r="W474" s="52"/>
      <c r="X474" s="52"/>
      <c r="Y474" s="52"/>
      <c r="Z474" s="51"/>
      <c r="AA474" s="73"/>
      <c r="AB474" s="73"/>
      <c r="AC474" s="74"/>
      <c r="AD474" s="80" t="s">
        <v>7054</v>
      </c>
      <c r="AE474" s="85" t="s">
        <v>8254</v>
      </c>
      <c r="AF474" s="80">
        <v>670</v>
      </c>
      <c r="AG474" s="80">
        <v>223</v>
      </c>
      <c r="AH474" s="80">
        <v>19142</v>
      </c>
      <c r="AI474" s="80">
        <v>139177</v>
      </c>
      <c r="AJ474" s="80"/>
      <c r="AK474" s="80" t="s">
        <v>9374</v>
      </c>
      <c r="AL474" s="80" t="s">
        <v>10210</v>
      </c>
      <c r="AM474" s="80"/>
      <c r="AN474" s="80"/>
      <c r="AO474" s="82">
        <v>43593.221643518518</v>
      </c>
      <c r="AP474" s="87" t="str">
        <f>HYPERLINK("https://pbs.twimg.com/profile_banners/1125993524623634432/1630672733")</f>
        <v>https://pbs.twimg.com/profile_banners/1125993524623634432/1630672733</v>
      </c>
      <c r="AQ474" s="80" t="b">
        <v>1</v>
      </c>
      <c r="AR474" s="80" t="b">
        <v>0</v>
      </c>
      <c r="AS474" s="80" t="b">
        <v>0</v>
      </c>
      <c r="AT474" s="80"/>
      <c r="AU474" s="80">
        <v>1</v>
      </c>
      <c r="AV474" s="80"/>
      <c r="AW474" s="80" t="b">
        <v>0</v>
      </c>
      <c r="AX474" s="80" t="s">
        <v>10746</v>
      </c>
      <c r="AY474" s="87" t="str">
        <f>HYPERLINK("https://twitter.com/abbykhai11")</f>
        <v>https://twitter.com/abbykhai11</v>
      </c>
      <c r="AZ474" s="80" t="s">
        <v>66</v>
      </c>
      <c r="BA474" s="2"/>
      <c r="BB474" s="3"/>
      <c r="BC474" s="3"/>
      <c r="BD474" s="3"/>
      <c r="BE474" s="3"/>
    </row>
    <row r="475" spans="1:57" x14ac:dyDescent="0.35">
      <c r="A475" s="66" t="s">
        <v>590</v>
      </c>
      <c r="B475" s="67"/>
      <c r="C475" s="67"/>
      <c r="D475" s="68"/>
      <c r="E475" s="70"/>
      <c r="F475" s="109" t="str">
        <f>HYPERLINK("https://pbs.twimg.com/profile_images/1438759610777669633/qNkFrSQa_normal.jpg")</f>
        <v>https://pbs.twimg.com/profile_images/1438759610777669633/qNkFrSQa_normal.jpg</v>
      </c>
      <c r="G475" s="67"/>
      <c r="H475" s="71"/>
      <c r="I475" s="72"/>
      <c r="J475" s="72"/>
      <c r="K475" s="71" t="s">
        <v>11218</v>
      </c>
      <c r="L475" s="75"/>
      <c r="M475" s="76"/>
      <c r="N475" s="76"/>
      <c r="O475" s="77"/>
      <c r="P475" s="78"/>
      <c r="Q475" s="78"/>
      <c r="R475" s="92"/>
      <c r="S475" s="92"/>
      <c r="T475" s="92"/>
      <c r="U475" s="92"/>
      <c r="V475" s="52"/>
      <c r="W475" s="52"/>
      <c r="X475" s="52"/>
      <c r="Y475" s="52"/>
      <c r="Z475" s="51"/>
      <c r="AA475" s="73"/>
      <c r="AB475" s="73"/>
      <c r="AC475" s="74"/>
      <c r="AD475" s="80" t="s">
        <v>7055</v>
      </c>
      <c r="AE475" s="85" t="s">
        <v>8255</v>
      </c>
      <c r="AF475" s="80">
        <v>724</v>
      </c>
      <c r="AG475" s="80">
        <v>719</v>
      </c>
      <c r="AH475" s="80">
        <v>24546</v>
      </c>
      <c r="AI475" s="80">
        <v>24073</v>
      </c>
      <c r="AJ475" s="80"/>
      <c r="AK475" s="80" t="s">
        <v>9375</v>
      </c>
      <c r="AL475" s="80" t="s">
        <v>10348</v>
      </c>
      <c r="AM475" s="87" t="str">
        <f>HYPERLINK("https://t.co/9unZqhbmxa")</f>
        <v>https://t.co/9unZqhbmxa</v>
      </c>
      <c r="AN475" s="80"/>
      <c r="AO475" s="82">
        <v>44345.315069444441</v>
      </c>
      <c r="AP475" s="87" t="str">
        <f>HYPERLINK("https://pbs.twimg.com/profile_banners/1398542987953524739/1631861999")</f>
        <v>https://pbs.twimg.com/profile_banners/1398542987953524739/1631861999</v>
      </c>
      <c r="AQ475" s="80" t="b">
        <v>1</v>
      </c>
      <c r="AR475" s="80" t="b">
        <v>0</v>
      </c>
      <c r="AS475" s="80" t="b">
        <v>0</v>
      </c>
      <c r="AT475" s="80"/>
      <c r="AU475" s="80">
        <v>0</v>
      </c>
      <c r="AV475" s="80"/>
      <c r="AW475" s="80" t="b">
        <v>0</v>
      </c>
      <c r="AX475" s="80" t="s">
        <v>10746</v>
      </c>
      <c r="AY475" s="87" t="str">
        <f>HYPERLINK("https://twitter.com/nychnie")</f>
        <v>https://twitter.com/nychnie</v>
      </c>
      <c r="AZ475" s="80" t="s">
        <v>66</v>
      </c>
      <c r="BA475" s="2"/>
      <c r="BB475" s="3"/>
      <c r="BC475" s="3"/>
      <c r="BD475" s="3"/>
      <c r="BE475" s="3"/>
    </row>
    <row r="476" spans="1:57" x14ac:dyDescent="0.35">
      <c r="A476" s="66" t="s">
        <v>591</v>
      </c>
      <c r="B476" s="67"/>
      <c r="C476" s="67"/>
      <c r="D476" s="68"/>
      <c r="E476" s="70"/>
      <c r="F476" s="109" t="str">
        <f>HYPERLINK("https://pbs.twimg.com/profile_images/1440722950039040007/qC0rSwQX_normal.jpg")</f>
        <v>https://pbs.twimg.com/profile_images/1440722950039040007/qC0rSwQX_normal.jpg</v>
      </c>
      <c r="G476" s="67"/>
      <c r="H476" s="71"/>
      <c r="I476" s="72"/>
      <c r="J476" s="72"/>
      <c r="K476" s="71" t="s">
        <v>11219</v>
      </c>
      <c r="L476" s="75"/>
      <c r="M476" s="76"/>
      <c r="N476" s="76"/>
      <c r="O476" s="77"/>
      <c r="P476" s="78"/>
      <c r="Q476" s="78"/>
      <c r="R476" s="92"/>
      <c r="S476" s="92"/>
      <c r="T476" s="92"/>
      <c r="U476" s="92"/>
      <c r="V476" s="52"/>
      <c r="W476" s="52"/>
      <c r="X476" s="52"/>
      <c r="Y476" s="52"/>
      <c r="Z476" s="51"/>
      <c r="AA476" s="73"/>
      <c r="AB476" s="73"/>
      <c r="AC476" s="74"/>
      <c r="AD476" s="80" t="s">
        <v>7056</v>
      </c>
      <c r="AE476" s="85" t="s">
        <v>8256</v>
      </c>
      <c r="AF476" s="80">
        <v>544</v>
      </c>
      <c r="AG476" s="80">
        <v>579</v>
      </c>
      <c r="AH476" s="80">
        <v>41624</v>
      </c>
      <c r="AI476" s="80">
        <v>29803</v>
      </c>
      <c r="AJ476" s="80"/>
      <c r="AK476" s="80" t="s">
        <v>9376</v>
      </c>
      <c r="AL476" s="80" t="s">
        <v>10349</v>
      </c>
      <c r="AM476" s="87" t="str">
        <f>HYPERLINK("https://t.co/us6vobDWUr")</f>
        <v>https://t.co/us6vobDWUr</v>
      </c>
      <c r="AN476" s="80"/>
      <c r="AO476" s="82">
        <v>44205.85633101852</v>
      </c>
      <c r="AP476" s="87" t="str">
        <f>HYPERLINK("https://pbs.twimg.com/profile_banners/1348004861124571139/1631128397")</f>
        <v>https://pbs.twimg.com/profile_banners/1348004861124571139/1631128397</v>
      </c>
      <c r="AQ476" s="80" t="b">
        <v>1</v>
      </c>
      <c r="AR476" s="80" t="b">
        <v>0</v>
      </c>
      <c r="AS476" s="80" t="b">
        <v>0</v>
      </c>
      <c r="AT476" s="80"/>
      <c r="AU476" s="80">
        <v>7</v>
      </c>
      <c r="AV476" s="80"/>
      <c r="AW476" s="80" t="b">
        <v>0</v>
      </c>
      <c r="AX476" s="80" t="s">
        <v>10746</v>
      </c>
      <c r="AY476" s="87" t="str">
        <f>HYPERLINK("https://twitter.com/14quokka")</f>
        <v>https://twitter.com/14quokka</v>
      </c>
      <c r="AZ476" s="80" t="s">
        <v>66</v>
      </c>
      <c r="BA476" s="2"/>
      <c r="BB476" s="3"/>
      <c r="BC476" s="3"/>
      <c r="BD476" s="3"/>
      <c r="BE476" s="3"/>
    </row>
    <row r="477" spans="1:57" x14ac:dyDescent="0.35">
      <c r="A477" s="66" t="s">
        <v>592</v>
      </c>
      <c r="B477" s="67"/>
      <c r="C477" s="67"/>
      <c r="D477" s="68"/>
      <c r="E477" s="70"/>
      <c r="F477" s="109" t="str">
        <f>HYPERLINK("https://pbs.twimg.com/profile_images/1172122438814953472/yvh-MPxy_normal.jpg")</f>
        <v>https://pbs.twimg.com/profile_images/1172122438814953472/yvh-MPxy_normal.jpg</v>
      </c>
      <c r="G477" s="67"/>
      <c r="H477" s="71"/>
      <c r="I477" s="72"/>
      <c r="J477" s="72"/>
      <c r="K477" s="71" t="s">
        <v>11220</v>
      </c>
      <c r="L477" s="75"/>
      <c r="M477" s="76"/>
      <c r="N477" s="76"/>
      <c r="O477" s="77"/>
      <c r="P477" s="78"/>
      <c r="Q477" s="78"/>
      <c r="R477" s="92"/>
      <c r="S477" s="92"/>
      <c r="T477" s="92"/>
      <c r="U477" s="92"/>
      <c r="V477" s="52"/>
      <c r="W477" s="52"/>
      <c r="X477" s="52"/>
      <c r="Y477" s="52"/>
      <c r="Z477" s="51"/>
      <c r="AA477" s="73"/>
      <c r="AB477" s="73"/>
      <c r="AC477" s="74"/>
      <c r="AD477" s="80" t="s">
        <v>7057</v>
      </c>
      <c r="AE477" s="85" t="s">
        <v>8257</v>
      </c>
      <c r="AF477" s="80">
        <v>166</v>
      </c>
      <c r="AG477" s="80">
        <v>173</v>
      </c>
      <c r="AH477" s="80">
        <v>25879</v>
      </c>
      <c r="AI477" s="80">
        <v>4334</v>
      </c>
      <c r="AJ477" s="80"/>
      <c r="AK477" s="80" t="s">
        <v>9377</v>
      </c>
      <c r="AL477" s="80" t="s">
        <v>10350</v>
      </c>
      <c r="AM477" s="87" t="str">
        <f>HYPERLINK("https://t.co/bCbHjF35IB")</f>
        <v>https://t.co/bCbHjF35IB</v>
      </c>
      <c r="AN477" s="80"/>
      <c r="AO477" s="82">
        <v>42667.946863425925</v>
      </c>
      <c r="AP477" s="87" t="str">
        <f>HYPERLINK("https://pbs.twimg.com/profile_banners/790685168264617984/1523284212")</f>
        <v>https://pbs.twimg.com/profile_banners/790685168264617984/1523284212</v>
      </c>
      <c r="AQ477" s="80" t="b">
        <v>1</v>
      </c>
      <c r="AR477" s="80" t="b">
        <v>0</v>
      </c>
      <c r="AS477" s="80" t="b">
        <v>1</v>
      </c>
      <c r="AT477" s="80"/>
      <c r="AU477" s="80">
        <v>0</v>
      </c>
      <c r="AV477" s="80"/>
      <c r="AW477" s="80" t="b">
        <v>0</v>
      </c>
      <c r="AX477" s="80" t="s">
        <v>10746</v>
      </c>
      <c r="AY477" s="87" t="str">
        <f>HYPERLINK("https://twitter.com/aanisnana")</f>
        <v>https://twitter.com/aanisnana</v>
      </c>
      <c r="AZ477" s="80" t="s">
        <v>66</v>
      </c>
      <c r="BA477" s="2"/>
      <c r="BB477" s="3"/>
      <c r="BC477" s="3"/>
      <c r="BD477" s="3"/>
      <c r="BE477" s="3"/>
    </row>
    <row r="478" spans="1:57" x14ac:dyDescent="0.35">
      <c r="A478" s="66" t="s">
        <v>593</v>
      </c>
      <c r="B478" s="67"/>
      <c r="C478" s="67"/>
      <c r="D478" s="68"/>
      <c r="E478" s="70"/>
      <c r="F478" s="109" t="str">
        <f>HYPERLINK("https://pbs.twimg.com/profile_images/1442399462849060868/_2BGHGso_normal.jpg")</f>
        <v>https://pbs.twimg.com/profile_images/1442399462849060868/_2BGHGso_normal.jpg</v>
      </c>
      <c r="G478" s="67"/>
      <c r="H478" s="71"/>
      <c r="I478" s="72"/>
      <c r="J478" s="72"/>
      <c r="K478" s="71" t="s">
        <v>11221</v>
      </c>
      <c r="L478" s="75"/>
      <c r="M478" s="76"/>
      <c r="N478" s="76"/>
      <c r="O478" s="77"/>
      <c r="P478" s="78"/>
      <c r="Q478" s="78"/>
      <c r="R478" s="92"/>
      <c r="S478" s="92"/>
      <c r="T478" s="92"/>
      <c r="U478" s="92"/>
      <c r="V478" s="52"/>
      <c r="W478" s="52"/>
      <c r="X478" s="52"/>
      <c r="Y478" s="52"/>
      <c r="Z478" s="51"/>
      <c r="AA478" s="73"/>
      <c r="AB478" s="73"/>
      <c r="AC478" s="74"/>
      <c r="AD478" s="80" t="s">
        <v>7058</v>
      </c>
      <c r="AE478" s="85" t="s">
        <v>8258</v>
      </c>
      <c r="AF478" s="80">
        <v>539</v>
      </c>
      <c r="AG478" s="80">
        <v>583</v>
      </c>
      <c r="AH478" s="80">
        <v>10370</v>
      </c>
      <c r="AI478" s="80">
        <v>8234</v>
      </c>
      <c r="AJ478" s="80"/>
      <c r="AK478" s="80" t="s">
        <v>9378</v>
      </c>
      <c r="AL478" s="80" t="s">
        <v>10351</v>
      </c>
      <c r="AM478" s="87" t="str">
        <f>HYPERLINK("https://t.co/h9ttk6x8Im")</f>
        <v>https://t.co/h9ttk6x8Im</v>
      </c>
      <c r="AN478" s="80"/>
      <c r="AO478" s="82">
        <v>44250.255173611113</v>
      </c>
      <c r="AP478" s="87" t="str">
        <f>HYPERLINK("https://pbs.twimg.com/profile_banners/1364094469331591171/1632630462")</f>
        <v>https://pbs.twimg.com/profile_banners/1364094469331591171/1632630462</v>
      </c>
      <c r="AQ478" s="80" t="b">
        <v>1</v>
      </c>
      <c r="AR478" s="80" t="b">
        <v>0</v>
      </c>
      <c r="AS478" s="80" t="b">
        <v>0</v>
      </c>
      <c r="AT478" s="80"/>
      <c r="AU478" s="80">
        <v>1</v>
      </c>
      <c r="AV478" s="80"/>
      <c r="AW478" s="80" t="b">
        <v>0</v>
      </c>
      <c r="AX478" s="80" t="s">
        <v>10746</v>
      </c>
      <c r="AY478" s="87" t="str">
        <f>HYPERLINK("https://twitter.com/_hanjillipop")</f>
        <v>https://twitter.com/_hanjillipop</v>
      </c>
      <c r="AZ478" s="80" t="s">
        <v>66</v>
      </c>
      <c r="BA478" s="2"/>
      <c r="BB478" s="3"/>
      <c r="BC478" s="3"/>
      <c r="BD478" s="3"/>
      <c r="BE478" s="3"/>
    </row>
    <row r="479" spans="1:57" x14ac:dyDescent="0.35">
      <c r="A479" s="66" t="s">
        <v>594</v>
      </c>
      <c r="B479" s="67"/>
      <c r="C479" s="67"/>
      <c r="D479" s="68"/>
      <c r="E479" s="70"/>
      <c r="F479" s="109" t="str">
        <f>HYPERLINK("https://pbs.twimg.com/profile_images/1327086189468237824/y_ES2byw_normal.jpg")</f>
        <v>https://pbs.twimg.com/profile_images/1327086189468237824/y_ES2byw_normal.jpg</v>
      </c>
      <c r="G479" s="67"/>
      <c r="H479" s="71"/>
      <c r="I479" s="72"/>
      <c r="J479" s="72"/>
      <c r="K479" s="71" t="s">
        <v>11222</v>
      </c>
      <c r="L479" s="75"/>
      <c r="M479" s="76"/>
      <c r="N479" s="76"/>
      <c r="O479" s="77"/>
      <c r="P479" s="78"/>
      <c r="Q479" s="78"/>
      <c r="R479" s="92"/>
      <c r="S479" s="92"/>
      <c r="T479" s="92"/>
      <c r="U479" s="92"/>
      <c r="V479" s="52"/>
      <c r="W479" s="52"/>
      <c r="X479" s="52"/>
      <c r="Y479" s="52"/>
      <c r="Z479" s="51"/>
      <c r="AA479" s="73"/>
      <c r="AB479" s="73"/>
      <c r="AC479" s="74"/>
      <c r="AD479" s="80" t="s">
        <v>7059</v>
      </c>
      <c r="AE479" s="85" t="s">
        <v>8259</v>
      </c>
      <c r="AF479" s="80">
        <v>285</v>
      </c>
      <c r="AG479" s="80">
        <v>6013</v>
      </c>
      <c r="AH479" s="80">
        <v>26688</v>
      </c>
      <c r="AI479" s="80">
        <v>457</v>
      </c>
      <c r="AJ479" s="80"/>
      <c r="AK479" s="80" t="s">
        <v>9379</v>
      </c>
      <c r="AL479" s="80" t="s">
        <v>10352</v>
      </c>
      <c r="AM479" s="87" t="str">
        <f>HYPERLINK("https://t.co/xzsyDqX5KI")</f>
        <v>https://t.co/xzsyDqX5KI</v>
      </c>
      <c r="AN479" s="80"/>
      <c r="AO479" s="82">
        <v>41902.17596064815</v>
      </c>
      <c r="AP479" s="87" t="str">
        <f>HYPERLINK("https://pbs.twimg.com/profile_banners/2821017554/1623679363")</f>
        <v>https://pbs.twimg.com/profile_banners/2821017554/1623679363</v>
      </c>
      <c r="AQ479" s="80" t="b">
        <v>0</v>
      </c>
      <c r="AR479" s="80" t="b">
        <v>0</v>
      </c>
      <c r="AS479" s="80" t="b">
        <v>1</v>
      </c>
      <c r="AT479" s="80"/>
      <c r="AU479" s="80">
        <v>13</v>
      </c>
      <c r="AV479" s="87" t="str">
        <f>HYPERLINK("https://abs.twimg.com/images/themes/theme1/bg.png")</f>
        <v>https://abs.twimg.com/images/themes/theme1/bg.png</v>
      </c>
      <c r="AW479" s="80" t="b">
        <v>0</v>
      </c>
      <c r="AX479" s="80" t="s">
        <v>10746</v>
      </c>
      <c r="AY479" s="87" t="str">
        <f>HYPERLINK("https://twitter.com/tvstvmy")</f>
        <v>https://twitter.com/tvstvmy</v>
      </c>
      <c r="AZ479" s="80" t="s">
        <v>66</v>
      </c>
      <c r="BA479" s="2"/>
      <c r="BB479" s="3"/>
      <c r="BC479" s="3"/>
      <c r="BD479" s="3"/>
      <c r="BE479" s="3"/>
    </row>
    <row r="480" spans="1:57" x14ac:dyDescent="0.35">
      <c r="A480" s="66" t="s">
        <v>595</v>
      </c>
      <c r="B480" s="67"/>
      <c r="C480" s="67"/>
      <c r="D480" s="68"/>
      <c r="E480" s="70"/>
      <c r="F480" s="109" t="str">
        <f>HYPERLINK("https://pbs.twimg.com/profile_images/1437288736878784512/Fdfs4y57_normal.jpg")</f>
        <v>https://pbs.twimg.com/profile_images/1437288736878784512/Fdfs4y57_normal.jpg</v>
      </c>
      <c r="G480" s="67"/>
      <c r="H480" s="71"/>
      <c r="I480" s="72"/>
      <c r="J480" s="72"/>
      <c r="K480" s="71" t="s">
        <v>11223</v>
      </c>
      <c r="L480" s="75"/>
      <c r="M480" s="76"/>
      <c r="N480" s="76"/>
      <c r="O480" s="77"/>
      <c r="P480" s="78"/>
      <c r="Q480" s="78"/>
      <c r="R480" s="92"/>
      <c r="S480" s="92"/>
      <c r="T480" s="92"/>
      <c r="U480" s="92"/>
      <c r="V480" s="52"/>
      <c r="W480" s="52"/>
      <c r="X480" s="52"/>
      <c r="Y480" s="52"/>
      <c r="Z480" s="51"/>
      <c r="AA480" s="73"/>
      <c r="AB480" s="73"/>
      <c r="AC480" s="74"/>
      <c r="AD480" s="80" t="s">
        <v>7060</v>
      </c>
      <c r="AE480" s="85" t="s">
        <v>8260</v>
      </c>
      <c r="AF480" s="80">
        <v>576</v>
      </c>
      <c r="AG480" s="80">
        <v>624</v>
      </c>
      <c r="AH480" s="80">
        <v>49708</v>
      </c>
      <c r="AI480" s="80">
        <v>62764</v>
      </c>
      <c r="AJ480" s="80"/>
      <c r="AK480" s="80" t="s">
        <v>9380</v>
      </c>
      <c r="AL480" s="80" t="s">
        <v>10353</v>
      </c>
      <c r="AM480" s="80"/>
      <c r="AN480" s="80"/>
      <c r="AO480" s="82">
        <v>43057.161828703705</v>
      </c>
      <c r="AP480" s="87" t="str">
        <f>HYPERLINK("https://pbs.twimg.com/profile_banners/931731952314363904/1631364169")</f>
        <v>https://pbs.twimg.com/profile_banners/931731952314363904/1631364169</v>
      </c>
      <c r="AQ480" s="80" t="b">
        <v>1</v>
      </c>
      <c r="AR480" s="80" t="b">
        <v>0</v>
      </c>
      <c r="AS480" s="80" t="b">
        <v>0</v>
      </c>
      <c r="AT480" s="80"/>
      <c r="AU480" s="80">
        <v>8</v>
      </c>
      <c r="AV480" s="80"/>
      <c r="AW480" s="80" t="b">
        <v>0</v>
      </c>
      <c r="AX480" s="80" t="s">
        <v>10746</v>
      </c>
      <c r="AY480" s="87" t="str">
        <f>HYPERLINK("https://twitter.com/prncsflwr_")</f>
        <v>https://twitter.com/prncsflwr_</v>
      </c>
      <c r="AZ480" s="80" t="s">
        <v>66</v>
      </c>
      <c r="BA480" s="2"/>
      <c r="BB480" s="3"/>
      <c r="BC480" s="3"/>
      <c r="BD480" s="3"/>
      <c r="BE480" s="3"/>
    </row>
    <row r="481" spans="1:57" x14ac:dyDescent="0.35">
      <c r="A481" s="66" t="s">
        <v>596</v>
      </c>
      <c r="B481" s="67"/>
      <c r="C481" s="67"/>
      <c r="D481" s="68"/>
      <c r="E481" s="70"/>
      <c r="F481" s="109" t="str">
        <f>HYPERLINK("https://pbs.twimg.com/profile_images/1441316164416589825/oWxS4CM5_normal.jpg")</f>
        <v>https://pbs.twimg.com/profile_images/1441316164416589825/oWxS4CM5_normal.jpg</v>
      </c>
      <c r="G481" s="67"/>
      <c r="H481" s="71"/>
      <c r="I481" s="72"/>
      <c r="J481" s="72"/>
      <c r="K481" s="71" t="s">
        <v>11224</v>
      </c>
      <c r="L481" s="75"/>
      <c r="M481" s="76"/>
      <c r="N481" s="76"/>
      <c r="O481" s="77"/>
      <c r="P481" s="78"/>
      <c r="Q481" s="78"/>
      <c r="R481" s="92"/>
      <c r="S481" s="92"/>
      <c r="T481" s="92"/>
      <c r="U481" s="92"/>
      <c r="V481" s="52"/>
      <c r="W481" s="52"/>
      <c r="X481" s="52"/>
      <c r="Y481" s="52"/>
      <c r="Z481" s="51"/>
      <c r="AA481" s="73"/>
      <c r="AB481" s="73"/>
      <c r="AC481" s="74"/>
      <c r="AD481" s="80" t="s">
        <v>7061</v>
      </c>
      <c r="AE481" s="85" t="s">
        <v>8261</v>
      </c>
      <c r="AF481" s="80">
        <v>115</v>
      </c>
      <c r="AG481" s="80">
        <v>79</v>
      </c>
      <c r="AH481" s="80">
        <v>6056</v>
      </c>
      <c r="AI481" s="80">
        <v>2269</v>
      </c>
      <c r="AJ481" s="80"/>
      <c r="AK481" s="80" t="s">
        <v>9381</v>
      </c>
      <c r="AL481" s="80"/>
      <c r="AM481" s="80"/>
      <c r="AN481" s="80"/>
      <c r="AO481" s="82">
        <v>44317.96020833333</v>
      </c>
      <c r="AP481" s="87" t="str">
        <f>HYPERLINK("https://pbs.twimg.com/profile_banners/1388629912253190144/1632471526")</f>
        <v>https://pbs.twimg.com/profile_banners/1388629912253190144/1632471526</v>
      </c>
      <c r="AQ481" s="80" t="b">
        <v>1</v>
      </c>
      <c r="AR481" s="80" t="b">
        <v>0</v>
      </c>
      <c r="AS481" s="80" t="b">
        <v>0</v>
      </c>
      <c r="AT481" s="80"/>
      <c r="AU481" s="80">
        <v>0</v>
      </c>
      <c r="AV481" s="80"/>
      <c r="AW481" s="80" t="b">
        <v>0</v>
      </c>
      <c r="AX481" s="80" t="s">
        <v>10746</v>
      </c>
      <c r="AY481" s="87" t="str">
        <f>HYPERLINK("https://twitter.com/stayawl")</f>
        <v>https://twitter.com/stayawl</v>
      </c>
      <c r="AZ481" s="80" t="s">
        <v>66</v>
      </c>
      <c r="BA481" s="2"/>
      <c r="BB481" s="3"/>
      <c r="BC481" s="3"/>
      <c r="BD481" s="3"/>
      <c r="BE481" s="3"/>
    </row>
    <row r="482" spans="1:57" x14ac:dyDescent="0.35">
      <c r="A482" s="66" t="s">
        <v>597</v>
      </c>
      <c r="B482" s="67"/>
      <c r="C482" s="67"/>
      <c r="D482" s="68"/>
      <c r="E482" s="70"/>
      <c r="F482" s="109" t="str">
        <f>HYPERLINK("https://pbs.twimg.com/profile_images/1413824876339634180/XMx5qXio_normal.jpg")</f>
        <v>https://pbs.twimg.com/profile_images/1413824876339634180/XMx5qXio_normal.jpg</v>
      </c>
      <c r="G482" s="67"/>
      <c r="H482" s="71"/>
      <c r="I482" s="72"/>
      <c r="J482" s="72"/>
      <c r="K482" s="71" t="s">
        <v>11225</v>
      </c>
      <c r="L482" s="75"/>
      <c r="M482" s="76"/>
      <c r="N482" s="76"/>
      <c r="O482" s="77"/>
      <c r="P482" s="78"/>
      <c r="Q482" s="78"/>
      <c r="R482" s="92"/>
      <c r="S482" s="92"/>
      <c r="T482" s="92"/>
      <c r="U482" s="92"/>
      <c r="V482" s="52"/>
      <c r="W482" s="52"/>
      <c r="X482" s="52"/>
      <c r="Y482" s="52"/>
      <c r="Z482" s="51"/>
      <c r="AA482" s="73"/>
      <c r="AB482" s="73"/>
      <c r="AC482" s="74"/>
      <c r="AD482" s="80" t="s">
        <v>7062</v>
      </c>
      <c r="AE482" s="85" t="s">
        <v>8262</v>
      </c>
      <c r="AF482" s="80">
        <v>20</v>
      </c>
      <c r="AG482" s="80">
        <v>1169</v>
      </c>
      <c r="AH482" s="80">
        <v>21759</v>
      </c>
      <c r="AI482" s="80">
        <v>961</v>
      </c>
      <c r="AJ482" s="80"/>
      <c r="AK482" s="80" t="s">
        <v>9382</v>
      </c>
      <c r="AL482" s="80" t="s">
        <v>10354</v>
      </c>
      <c r="AM482" s="87" t="str">
        <f>HYPERLINK("https://t.co/pEdrC7VEOA")</f>
        <v>https://t.co/pEdrC7VEOA</v>
      </c>
      <c r="AN482" s="80"/>
      <c r="AO482" s="82">
        <v>44218.559016203704</v>
      </c>
      <c r="AP482" s="87" t="str">
        <f>HYPERLINK("https://pbs.twimg.com/profile_banners/1352608147433639938/1629474132")</f>
        <v>https://pbs.twimg.com/profile_banners/1352608147433639938/1629474132</v>
      </c>
      <c r="AQ482" s="80" t="b">
        <v>1</v>
      </c>
      <c r="AR482" s="80" t="b">
        <v>0</v>
      </c>
      <c r="AS482" s="80" t="b">
        <v>0</v>
      </c>
      <c r="AT482" s="80"/>
      <c r="AU482" s="80">
        <v>5</v>
      </c>
      <c r="AV482" s="80"/>
      <c r="AW482" s="80" t="b">
        <v>0</v>
      </c>
      <c r="AX482" s="80" t="s">
        <v>10746</v>
      </c>
      <c r="AY482" s="87" t="str">
        <f>HYPERLINK("https://twitter.com/nctrting")</f>
        <v>https://twitter.com/nctrting</v>
      </c>
      <c r="AZ482" s="80" t="s">
        <v>66</v>
      </c>
      <c r="BA482" s="2"/>
      <c r="BB482" s="3"/>
      <c r="BC482" s="3"/>
      <c r="BD482" s="3"/>
      <c r="BE482" s="3"/>
    </row>
    <row r="483" spans="1:57" x14ac:dyDescent="0.35">
      <c r="A483" s="66" t="s">
        <v>712</v>
      </c>
      <c r="B483" s="67"/>
      <c r="C483" s="67"/>
      <c r="D483" s="68"/>
      <c r="E483" s="70"/>
      <c r="F483" s="109" t="str">
        <f>HYPERLINK("https://pbs.twimg.com/profile_images/1422519338565726219/mfW-C9UA_normal.jpg")</f>
        <v>https://pbs.twimg.com/profile_images/1422519338565726219/mfW-C9UA_normal.jpg</v>
      </c>
      <c r="G483" s="67"/>
      <c r="H483" s="71"/>
      <c r="I483" s="72"/>
      <c r="J483" s="72"/>
      <c r="K483" s="71" t="s">
        <v>11226</v>
      </c>
      <c r="L483" s="75"/>
      <c r="M483" s="76"/>
      <c r="N483" s="76"/>
      <c r="O483" s="77"/>
      <c r="P483" s="78"/>
      <c r="Q483" s="78"/>
      <c r="R483" s="92"/>
      <c r="S483" s="92"/>
      <c r="T483" s="92"/>
      <c r="U483" s="92"/>
      <c r="V483" s="52"/>
      <c r="W483" s="52"/>
      <c r="X483" s="52"/>
      <c r="Y483" s="52"/>
      <c r="Z483" s="51"/>
      <c r="AA483" s="73"/>
      <c r="AB483" s="73"/>
      <c r="AC483" s="74"/>
      <c r="AD483" s="80" t="s">
        <v>7063</v>
      </c>
      <c r="AE483" s="85" t="s">
        <v>8263</v>
      </c>
      <c r="AF483" s="80">
        <v>219</v>
      </c>
      <c r="AG483" s="80">
        <v>57</v>
      </c>
      <c r="AH483" s="80">
        <v>4555</v>
      </c>
      <c r="AI483" s="80">
        <v>9553</v>
      </c>
      <c r="AJ483" s="80"/>
      <c r="AK483" s="80" t="s">
        <v>9383</v>
      </c>
      <c r="AL483" s="80" t="s">
        <v>10355</v>
      </c>
      <c r="AM483" s="80"/>
      <c r="AN483" s="80"/>
      <c r="AO483" s="82">
        <v>44212.725844907407</v>
      </c>
      <c r="AP483" s="87" t="str">
        <f>HYPERLINK("https://pbs.twimg.com/profile_banners/1350494286119227392/1625457837")</f>
        <v>https://pbs.twimg.com/profile_banners/1350494286119227392/1625457837</v>
      </c>
      <c r="AQ483" s="80" t="b">
        <v>1</v>
      </c>
      <c r="AR483" s="80" t="b">
        <v>0</v>
      </c>
      <c r="AS483" s="80" t="b">
        <v>0</v>
      </c>
      <c r="AT483" s="80"/>
      <c r="AU483" s="80">
        <v>0</v>
      </c>
      <c r="AV483" s="80"/>
      <c r="AW483" s="80" t="b">
        <v>0</v>
      </c>
      <c r="AX483" s="80" t="s">
        <v>10746</v>
      </c>
      <c r="AY483" s="87" t="str">
        <f>HYPERLINK("https://twitter.com/nxnadoongies")</f>
        <v>https://twitter.com/nxnadoongies</v>
      </c>
      <c r="AZ483" s="80" t="s">
        <v>66</v>
      </c>
      <c r="BA483" s="2"/>
      <c r="BB483" s="3"/>
      <c r="BC483" s="3"/>
      <c r="BD483" s="3"/>
      <c r="BE483" s="3"/>
    </row>
    <row r="484" spans="1:57" x14ac:dyDescent="0.35">
      <c r="A484" s="66" t="s">
        <v>598</v>
      </c>
      <c r="B484" s="67"/>
      <c r="C484" s="67"/>
      <c r="D484" s="68"/>
      <c r="E484" s="70"/>
      <c r="F484" s="109" t="str">
        <f>HYPERLINK("https://pbs.twimg.com/profile_images/1437069728149762055/ash7s3_v_normal.jpg")</f>
        <v>https://pbs.twimg.com/profile_images/1437069728149762055/ash7s3_v_normal.jpg</v>
      </c>
      <c r="G484" s="67"/>
      <c r="H484" s="71"/>
      <c r="I484" s="72"/>
      <c r="J484" s="72"/>
      <c r="K484" s="71" t="s">
        <v>11227</v>
      </c>
      <c r="L484" s="75"/>
      <c r="M484" s="76"/>
      <c r="N484" s="76"/>
      <c r="O484" s="77"/>
      <c r="P484" s="78"/>
      <c r="Q484" s="78"/>
      <c r="R484" s="92"/>
      <c r="S484" s="92"/>
      <c r="T484" s="92"/>
      <c r="U484" s="92"/>
      <c r="V484" s="52"/>
      <c r="W484" s="52"/>
      <c r="X484" s="52"/>
      <c r="Y484" s="52"/>
      <c r="Z484" s="51"/>
      <c r="AA484" s="73"/>
      <c r="AB484" s="73"/>
      <c r="AC484" s="74"/>
      <c r="AD484" s="80" t="s">
        <v>7064</v>
      </c>
      <c r="AE484" s="85" t="s">
        <v>8264</v>
      </c>
      <c r="AF484" s="80">
        <v>0</v>
      </c>
      <c r="AG484" s="80">
        <v>3300</v>
      </c>
      <c r="AH484" s="80">
        <v>25190</v>
      </c>
      <c r="AI484" s="80">
        <v>68</v>
      </c>
      <c r="AJ484" s="80"/>
      <c r="AK484" s="80" t="s">
        <v>9384</v>
      </c>
      <c r="AL484" s="80" t="s">
        <v>10356</v>
      </c>
      <c r="AM484" s="80"/>
      <c r="AN484" s="80"/>
      <c r="AO484" s="82">
        <v>43909.173946759256</v>
      </c>
      <c r="AP484" s="87" t="str">
        <f>HYPERLINK("https://pbs.twimg.com/profile_banners/1240490750023888896/1628258570")</f>
        <v>https://pbs.twimg.com/profile_banners/1240490750023888896/1628258570</v>
      </c>
      <c r="AQ484" s="80" t="b">
        <v>1</v>
      </c>
      <c r="AR484" s="80" t="b">
        <v>0</v>
      </c>
      <c r="AS484" s="80" t="b">
        <v>0</v>
      </c>
      <c r="AT484" s="80"/>
      <c r="AU484" s="80">
        <v>12</v>
      </c>
      <c r="AV484" s="80"/>
      <c r="AW484" s="80" t="b">
        <v>0</v>
      </c>
      <c r="AX484" s="80" t="s">
        <v>10746</v>
      </c>
      <c r="AY484" s="87" t="str">
        <f>HYPERLINK("https://twitter.com/myncteam")</f>
        <v>https://twitter.com/myncteam</v>
      </c>
      <c r="AZ484" s="80" t="s">
        <v>66</v>
      </c>
      <c r="BA484" s="2"/>
      <c r="BB484" s="3"/>
      <c r="BC484" s="3"/>
      <c r="BD484" s="3"/>
      <c r="BE484" s="3"/>
    </row>
    <row r="485" spans="1:57" x14ac:dyDescent="0.35">
      <c r="A485" s="66" t="s">
        <v>599</v>
      </c>
      <c r="B485" s="67"/>
      <c r="C485" s="67"/>
      <c r="D485" s="68"/>
      <c r="E485" s="70"/>
      <c r="F485" s="109" t="str">
        <f>HYPERLINK("https://pbs.twimg.com/profile_images/1442673363856416769/cl09cxoA_normal.jpg")</f>
        <v>https://pbs.twimg.com/profile_images/1442673363856416769/cl09cxoA_normal.jpg</v>
      </c>
      <c r="G485" s="67"/>
      <c r="H485" s="71"/>
      <c r="I485" s="72"/>
      <c r="J485" s="72"/>
      <c r="K485" s="71" t="s">
        <v>11228</v>
      </c>
      <c r="L485" s="75"/>
      <c r="M485" s="76"/>
      <c r="N485" s="76"/>
      <c r="O485" s="77"/>
      <c r="P485" s="78"/>
      <c r="Q485" s="78"/>
      <c r="R485" s="92"/>
      <c r="S485" s="92"/>
      <c r="T485" s="92"/>
      <c r="U485" s="92"/>
      <c r="V485" s="52"/>
      <c r="W485" s="52"/>
      <c r="X485" s="52"/>
      <c r="Y485" s="52"/>
      <c r="Z485" s="51"/>
      <c r="AA485" s="73"/>
      <c r="AB485" s="73"/>
      <c r="AC485" s="74"/>
      <c r="AD485" s="80" t="s">
        <v>7065</v>
      </c>
      <c r="AE485" s="85" t="s">
        <v>8265</v>
      </c>
      <c r="AF485" s="80">
        <v>9</v>
      </c>
      <c r="AG485" s="80">
        <v>1876</v>
      </c>
      <c r="AH485" s="80">
        <v>9122</v>
      </c>
      <c r="AI485" s="80">
        <v>3</v>
      </c>
      <c r="AJ485" s="80"/>
      <c r="AK485" s="80" t="s">
        <v>9385</v>
      </c>
      <c r="AL485" s="80" t="s">
        <v>10157</v>
      </c>
      <c r="AM485" s="87" t="str">
        <f>HYPERLINK("https://t.co/f2tDe127RZ")</f>
        <v>https://t.co/f2tDe127RZ</v>
      </c>
      <c r="AN485" s="80"/>
      <c r="AO485" s="82">
        <v>44336.60900462963</v>
      </c>
      <c r="AP485" s="87" t="str">
        <f>HYPERLINK("https://pbs.twimg.com/profile_banners/1395388017439744003/1627545285")</f>
        <v>https://pbs.twimg.com/profile_banners/1395388017439744003/1627545285</v>
      </c>
      <c r="AQ485" s="80" t="b">
        <v>1</v>
      </c>
      <c r="AR485" s="80" t="b">
        <v>0</v>
      </c>
      <c r="AS485" s="80" t="b">
        <v>0</v>
      </c>
      <c r="AT485" s="80"/>
      <c r="AU485" s="80">
        <v>0</v>
      </c>
      <c r="AV485" s="80"/>
      <c r="AW485" s="80" t="b">
        <v>0</v>
      </c>
      <c r="AX485" s="80" t="s">
        <v>10746</v>
      </c>
      <c r="AY485" s="87" t="str">
        <f>HYPERLINK("https://twitter.com/pasarnct")</f>
        <v>https://twitter.com/pasarnct</v>
      </c>
      <c r="AZ485" s="80" t="s">
        <v>66</v>
      </c>
      <c r="BA485" s="2"/>
      <c r="BB485" s="3"/>
      <c r="BC485" s="3"/>
      <c r="BD485" s="3"/>
      <c r="BE485" s="3"/>
    </row>
    <row r="486" spans="1:57" x14ac:dyDescent="0.35">
      <c r="A486" s="66" t="s">
        <v>600</v>
      </c>
      <c r="B486" s="67"/>
      <c r="C486" s="67"/>
      <c r="D486" s="68"/>
      <c r="E486" s="70"/>
      <c r="F486" s="109" t="str">
        <f>HYPERLINK("https://pbs.twimg.com/profile_images/1427852227864002563/V6hR2DYU_normal.jpg")</f>
        <v>https://pbs.twimg.com/profile_images/1427852227864002563/V6hR2DYU_normal.jpg</v>
      </c>
      <c r="G486" s="67"/>
      <c r="H486" s="71"/>
      <c r="I486" s="72"/>
      <c r="J486" s="72"/>
      <c r="K486" s="71" t="s">
        <v>11229</v>
      </c>
      <c r="L486" s="75"/>
      <c r="M486" s="76"/>
      <c r="N486" s="76"/>
      <c r="O486" s="77"/>
      <c r="P486" s="78"/>
      <c r="Q486" s="78"/>
      <c r="R486" s="92"/>
      <c r="S486" s="92"/>
      <c r="T486" s="92"/>
      <c r="U486" s="92"/>
      <c r="V486" s="52"/>
      <c r="W486" s="52"/>
      <c r="X486" s="52"/>
      <c r="Y486" s="52"/>
      <c r="Z486" s="51"/>
      <c r="AA486" s="73"/>
      <c r="AB486" s="73"/>
      <c r="AC486" s="74"/>
      <c r="AD486" s="80" t="s">
        <v>7066</v>
      </c>
      <c r="AE486" s="85" t="s">
        <v>8266</v>
      </c>
      <c r="AF486" s="80">
        <v>204</v>
      </c>
      <c r="AG486" s="80">
        <v>178</v>
      </c>
      <c r="AH486" s="80">
        <v>10646</v>
      </c>
      <c r="AI486" s="80">
        <v>29390</v>
      </c>
      <c r="AJ486" s="80"/>
      <c r="AK486" s="80" t="s">
        <v>9386</v>
      </c>
      <c r="AL486" s="80"/>
      <c r="AM486" s="80"/>
      <c r="AN486" s="80"/>
      <c r="AO486" s="82">
        <v>42732.53701388889</v>
      </c>
      <c r="AP486" s="87" t="str">
        <f>HYPERLINK("https://pbs.twimg.com/profile_banners/814091855168032769/1631986260")</f>
        <v>https://pbs.twimg.com/profile_banners/814091855168032769/1631986260</v>
      </c>
      <c r="AQ486" s="80" t="b">
        <v>1</v>
      </c>
      <c r="AR486" s="80" t="b">
        <v>0</v>
      </c>
      <c r="AS486" s="80" t="b">
        <v>0</v>
      </c>
      <c r="AT486" s="80"/>
      <c r="AU486" s="80">
        <v>2</v>
      </c>
      <c r="AV486" s="80"/>
      <c r="AW486" s="80" t="b">
        <v>0</v>
      </c>
      <c r="AX486" s="80" t="s">
        <v>10746</v>
      </c>
      <c r="AY486" s="87" t="str">
        <f>HYPERLINK("https://twitter.com/elninosaurus")</f>
        <v>https://twitter.com/elninosaurus</v>
      </c>
      <c r="AZ486" s="80" t="s">
        <v>66</v>
      </c>
      <c r="BA486" s="2"/>
      <c r="BB486" s="3"/>
      <c r="BC486" s="3"/>
      <c r="BD486" s="3"/>
      <c r="BE486" s="3"/>
    </row>
    <row r="487" spans="1:57" x14ac:dyDescent="0.35">
      <c r="A487" s="66" t="s">
        <v>601</v>
      </c>
      <c r="B487" s="67"/>
      <c r="C487" s="67"/>
      <c r="D487" s="68"/>
      <c r="E487" s="70"/>
      <c r="F487" s="109" t="str">
        <f>HYPERLINK("https://pbs.twimg.com/profile_images/1441398670084116482/fOwaMjMk_normal.jpg")</f>
        <v>https://pbs.twimg.com/profile_images/1441398670084116482/fOwaMjMk_normal.jpg</v>
      </c>
      <c r="G487" s="67"/>
      <c r="H487" s="71"/>
      <c r="I487" s="72"/>
      <c r="J487" s="72"/>
      <c r="K487" s="71" t="s">
        <v>11230</v>
      </c>
      <c r="L487" s="75"/>
      <c r="M487" s="76"/>
      <c r="N487" s="76"/>
      <c r="O487" s="77"/>
      <c r="P487" s="78"/>
      <c r="Q487" s="78"/>
      <c r="R487" s="92"/>
      <c r="S487" s="92"/>
      <c r="T487" s="92"/>
      <c r="U487" s="92"/>
      <c r="V487" s="52"/>
      <c r="W487" s="52"/>
      <c r="X487" s="52"/>
      <c r="Y487" s="52"/>
      <c r="Z487" s="51"/>
      <c r="AA487" s="73"/>
      <c r="AB487" s="73"/>
      <c r="AC487" s="74"/>
      <c r="AD487" s="80" t="s">
        <v>7067</v>
      </c>
      <c r="AE487" s="85" t="s">
        <v>8267</v>
      </c>
      <c r="AF487" s="80">
        <v>870</v>
      </c>
      <c r="AG487" s="80">
        <v>1020</v>
      </c>
      <c r="AH487" s="80">
        <v>24364</v>
      </c>
      <c r="AI487" s="80">
        <v>11448</v>
      </c>
      <c r="AJ487" s="80"/>
      <c r="AK487" s="80" t="s">
        <v>9387</v>
      </c>
      <c r="AL487" s="80" t="s">
        <v>10357</v>
      </c>
      <c r="AM487" s="80"/>
      <c r="AN487" s="80"/>
      <c r="AO487" s="82">
        <v>43791.121620370373</v>
      </c>
      <c r="AP487" s="87" t="str">
        <f>HYPERLINK("https://pbs.twimg.com/profile_banners/1197710034978791424/1627053530")</f>
        <v>https://pbs.twimg.com/profile_banners/1197710034978791424/1627053530</v>
      </c>
      <c r="AQ487" s="80" t="b">
        <v>1</v>
      </c>
      <c r="AR487" s="80" t="b">
        <v>0</v>
      </c>
      <c r="AS487" s="80" t="b">
        <v>1</v>
      </c>
      <c r="AT487" s="80"/>
      <c r="AU487" s="80">
        <v>2</v>
      </c>
      <c r="AV487" s="80"/>
      <c r="AW487" s="80" t="b">
        <v>0</v>
      </c>
      <c r="AX487" s="80" t="s">
        <v>10746</v>
      </c>
      <c r="AY487" s="87" t="str">
        <f>HYPERLINK("https://twitter.com/perikertas17")</f>
        <v>https://twitter.com/perikertas17</v>
      </c>
      <c r="AZ487" s="80" t="s">
        <v>66</v>
      </c>
      <c r="BA487" s="2"/>
      <c r="BB487" s="3"/>
      <c r="BC487" s="3"/>
      <c r="BD487" s="3"/>
      <c r="BE487" s="3"/>
    </row>
    <row r="488" spans="1:57" x14ac:dyDescent="0.35">
      <c r="A488" s="66" t="s">
        <v>602</v>
      </c>
      <c r="B488" s="67"/>
      <c r="C488" s="67"/>
      <c r="D488" s="68"/>
      <c r="E488" s="70"/>
      <c r="F488" s="109" t="str">
        <f>HYPERLINK("https://pbs.twimg.com/profile_images/1438896783803834369/R0vA3qnT_normal.jpg")</f>
        <v>https://pbs.twimg.com/profile_images/1438896783803834369/R0vA3qnT_normal.jpg</v>
      </c>
      <c r="G488" s="67"/>
      <c r="H488" s="71"/>
      <c r="I488" s="72"/>
      <c r="J488" s="72"/>
      <c r="K488" s="71" t="s">
        <v>11231</v>
      </c>
      <c r="L488" s="75"/>
      <c r="M488" s="76"/>
      <c r="N488" s="76"/>
      <c r="O488" s="77"/>
      <c r="P488" s="78"/>
      <c r="Q488" s="78"/>
      <c r="R488" s="92"/>
      <c r="S488" s="92"/>
      <c r="T488" s="92"/>
      <c r="U488" s="92"/>
      <c r="V488" s="52"/>
      <c r="W488" s="52"/>
      <c r="X488" s="52"/>
      <c r="Y488" s="52"/>
      <c r="Z488" s="51"/>
      <c r="AA488" s="73"/>
      <c r="AB488" s="73"/>
      <c r="AC488" s="74"/>
      <c r="AD488" s="80" t="s">
        <v>7068</v>
      </c>
      <c r="AE488" s="85" t="s">
        <v>8268</v>
      </c>
      <c r="AF488" s="80">
        <v>1078</v>
      </c>
      <c r="AG488" s="80">
        <v>1660</v>
      </c>
      <c r="AH488" s="80">
        <v>160828</v>
      </c>
      <c r="AI488" s="80">
        <v>24723</v>
      </c>
      <c r="AJ488" s="80"/>
      <c r="AK488" s="80" t="s">
        <v>9388</v>
      </c>
      <c r="AL488" s="80" t="s">
        <v>10358</v>
      </c>
      <c r="AM488" s="87" t="str">
        <f>HYPERLINK("https://t.co/NFHPUFyRX7")</f>
        <v>https://t.co/NFHPUFyRX7</v>
      </c>
      <c r="AN488" s="80"/>
      <c r="AO488" s="82">
        <v>40918.444201388891</v>
      </c>
      <c r="AP488" s="87" t="str">
        <f>HYPERLINK("https://pbs.twimg.com/profile_banners/460068359/1599631898")</f>
        <v>https://pbs.twimg.com/profile_banners/460068359/1599631898</v>
      </c>
      <c r="AQ488" s="80" t="b">
        <v>0</v>
      </c>
      <c r="AR488" s="80" t="b">
        <v>0</v>
      </c>
      <c r="AS488" s="80" t="b">
        <v>1</v>
      </c>
      <c r="AT488" s="80"/>
      <c r="AU488" s="80">
        <v>6</v>
      </c>
      <c r="AV488" s="87" t="str">
        <f>HYPERLINK("https://abs.twimg.com/images/themes/theme10/bg.gif")</f>
        <v>https://abs.twimg.com/images/themes/theme10/bg.gif</v>
      </c>
      <c r="AW488" s="80" t="b">
        <v>0</v>
      </c>
      <c r="AX488" s="80" t="s">
        <v>10746</v>
      </c>
      <c r="AY488" s="87" t="str">
        <f>HYPERLINK("https://twitter.com/bucinhwghyunjin")</f>
        <v>https://twitter.com/bucinhwghyunjin</v>
      </c>
      <c r="AZ488" s="80" t="s">
        <v>66</v>
      </c>
      <c r="BA488" s="2"/>
      <c r="BB488" s="3"/>
      <c r="BC488" s="3"/>
      <c r="BD488" s="3"/>
      <c r="BE488" s="3"/>
    </row>
    <row r="489" spans="1:57" x14ac:dyDescent="0.35">
      <c r="A489" s="66" t="s">
        <v>603</v>
      </c>
      <c r="B489" s="67"/>
      <c r="C489" s="67"/>
      <c r="D489" s="68"/>
      <c r="E489" s="70"/>
      <c r="F489" s="109" t="str">
        <f>HYPERLINK("https://pbs.twimg.com/profile_images/1442024734313488391/br7Km7sV_normal.jpg")</f>
        <v>https://pbs.twimg.com/profile_images/1442024734313488391/br7Km7sV_normal.jpg</v>
      </c>
      <c r="G489" s="67"/>
      <c r="H489" s="71"/>
      <c r="I489" s="72"/>
      <c r="J489" s="72"/>
      <c r="K489" s="71" t="s">
        <v>11232</v>
      </c>
      <c r="L489" s="75"/>
      <c r="M489" s="76"/>
      <c r="N489" s="76"/>
      <c r="O489" s="77"/>
      <c r="P489" s="78"/>
      <c r="Q489" s="78"/>
      <c r="R489" s="92"/>
      <c r="S489" s="92"/>
      <c r="T489" s="92"/>
      <c r="U489" s="92"/>
      <c r="V489" s="52"/>
      <c r="W489" s="52"/>
      <c r="X489" s="52"/>
      <c r="Y489" s="52"/>
      <c r="Z489" s="51"/>
      <c r="AA489" s="73"/>
      <c r="AB489" s="73"/>
      <c r="AC489" s="74"/>
      <c r="AD489" s="80" t="s">
        <v>7069</v>
      </c>
      <c r="AE489" s="85" t="s">
        <v>8269</v>
      </c>
      <c r="AF489" s="80">
        <v>215</v>
      </c>
      <c r="AG489" s="80">
        <v>349</v>
      </c>
      <c r="AH489" s="80">
        <v>14105</v>
      </c>
      <c r="AI489" s="80">
        <v>389</v>
      </c>
      <c r="AJ489" s="80"/>
      <c r="AK489" s="80" t="s">
        <v>9389</v>
      </c>
      <c r="AL489" s="80" t="s">
        <v>10172</v>
      </c>
      <c r="AM489" s="87" t="str">
        <f>HYPERLINK("https://t.co/SOkwAiwlBf")</f>
        <v>https://t.co/SOkwAiwlBf</v>
      </c>
      <c r="AN489" s="80"/>
      <c r="AO489" s="82">
        <v>42003.712627314817</v>
      </c>
      <c r="AP489" s="87" t="str">
        <f>HYPERLINK("https://pbs.twimg.com/profile_banners/2952351234/1631940167")</f>
        <v>https://pbs.twimg.com/profile_banners/2952351234/1631940167</v>
      </c>
      <c r="AQ489" s="80" t="b">
        <v>0</v>
      </c>
      <c r="AR489" s="80" t="b">
        <v>0</v>
      </c>
      <c r="AS489" s="80" t="b">
        <v>1</v>
      </c>
      <c r="AT489" s="80"/>
      <c r="AU489" s="80">
        <v>5</v>
      </c>
      <c r="AV489" s="87" t="str">
        <f>HYPERLINK("https://abs.twimg.com/images/themes/theme1/bg.png")</f>
        <v>https://abs.twimg.com/images/themes/theme1/bg.png</v>
      </c>
      <c r="AW489" s="80" t="b">
        <v>0</v>
      </c>
      <c r="AX489" s="80" t="s">
        <v>10746</v>
      </c>
      <c r="AY489" s="87" t="str">
        <f>HYPERLINK("https://twitter.com/stxrslight")</f>
        <v>https://twitter.com/stxrslight</v>
      </c>
      <c r="AZ489" s="80" t="s">
        <v>66</v>
      </c>
      <c r="BA489" s="2"/>
      <c r="BB489" s="3"/>
      <c r="BC489" s="3"/>
      <c r="BD489" s="3"/>
      <c r="BE489" s="3"/>
    </row>
    <row r="490" spans="1:57" x14ac:dyDescent="0.35">
      <c r="A490" s="66" t="s">
        <v>1362</v>
      </c>
      <c r="B490" s="67"/>
      <c r="C490" s="67"/>
      <c r="D490" s="68"/>
      <c r="E490" s="70"/>
      <c r="F490" s="109" t="str">
        <f>HYPERLINK("https://pbs.twimg.com/profile_images/1442030829782245386/qrcVVeBk_normal.jpg")</f>
        <v>https://pbs.twimg.com/profile_images/1442030829782245386/qrcVVeBk_normal.jpg</v>
      </c>
      <c r="G490" s="67"/>
      <c r="H490" s="71"/>
      <c r="I490" s="72"/>
      <c r="J490" s="72"/>
      <c r="K490" s="71" t="s">
        <v>11233</v>
      </c>
      <c r="L490" s="75"/>
      <c r="M490" s="76"/>
      <c r="N490" s="76"/>
      <c r="O490" s="77"/>
      <c r="P490" s="78"/>
      <c r="Q490" s="78"/>
      <c r="R490" s="92"/>
      <c r="S490" s="92"/>
      <c r="T490" s="92"/>
      <c r="U490" s="92"/>
      <c r="V490" s="52"/>
      <c r="W490" s="52"/>
      <c r="X490" s="52"/>
      <c r="Y490" s="52"/>
      <c r="Z490" s="51"/>
      <c r="AA490" s="73"/>
      <c r="AB490" s="73"/>
      <c r="AC490" s="74"/>
      <c r="AD490" s="80" t="s">
        <v>7070</v>
      </c>
      <c r="AE490" s="85" t="s">
        <v>8270</v>
      </c>
      <c r="AF490" s="80">
        <v>157</v>
      </c>
      <c r="AG490" s="80">
        <v>340</v>
      </c>
      <c r="AH490" s="80">
        <v>4021</v>
      </c>
      <c r="AI490" s="80">
        <v>92</v>
      </c>
      <c r="AJ490" s="80"/>
      <c r="AK490" s="80" t="s">
        <v>9390</v>
      </c>
      <c r="AL490" s="80" t="s">
        <v>10359</v>
      </c>
      <c r="AM490" s="87" t="str">
        <f>HYPERLINK("https://t.co/kyTh5yi7FU")</f>
        <v>https://t.co/kyTh5yi7FU</v>
      </c>
      <c r="AN490" s="80"/>
      <c r="AO490" s="82">
        <v>41631.726863425924</v>
      </c>
      <c r="AP490" s="87" t="str">
        <f>HYPERLINK("https://pbs.twimg.com/profile_banners/2259194006/1628255091")</f>
        <v>https://pbs.twimg.com/profile_banners/2259194006/1628255091</v>
      </c>
      <c r="AQ490" s="80" t="b">
        <v>0</v>
      </c>
      <c r="AR490" s="80" t="b">
        <v>0</v>
      </c>
      <c r="AS490" s="80" t="b">
        <v>0</v>
      </c>
      <c r="AT490" s="80"/>
      <c r="AU490" s="80">
        <v>0</v>
      </c>
      <c r="AV490" s="87" t="str">
        <f>HYPERLINK("https://abs.twimg.com/images/themes/theme1/bg.png")</f>
        <v>https://abs.twimg.com/images/themes/theme1/bg.png</v>
      </c>
      <c r="AW490" s="80" t="b">
        <v>0</v>
      </c>
      <c r="AX490" s="80" t="s">
        <v>10746</v>
      </c>
      <c r="AY490" s="87" t="str">
        <f>HYPERLINK("https://twitter.com/ferskjaen")</f>
        <v>https://twitter.com/ferskjaen</v>
      </c>
      <c r="AZ490" s="80" t="s">
        <v>65</v>
      </c>
      <c r="BA490" s="2"/>
      <c r="BB490" s="3"/>
      <c r="BC490" s="3"/>
      <c r="BD490" s="3"/>
      <c r="BE490" s="3"/>
    </row>
    <row r="491" spans="1:57" x14ac:dyDescent="0.35">
      <c r="A491" s="66" t="s">
        <v>604</v>
      </c>
      <c r="B491" s="67"/>
      <c r="C491" s="67"/>
      <c r="D491" s="68"/>
      <c r="E491" s="70"/>
      <c r="F491" s="109" t="str">
        <f>HYPERLINK("https://pbs.twimg.com/profile_images/1442371355643572232/2Be4TFdr_normal.jpg")</f>
        <v>https://pbs.twimg.com/profile_images/1442371355643572232/2Be4TFdr_normal.jpg</v>
      </c>
      <c r="G491" s="67"/>
      <c r="H491" s="71"/>
      <c r="I491" s="72"/>
      <c r="J491" s="72"/>
      <c r="K491" s="71" t="s">
        <v>11234</v>
      </c>
      <c r="L491" s="75"/>
      <c r="M491" s="76"/>
      <c r="N491" s="76"/>
      <c r="O491" s="77"/>
      <c r="P491" s="78"/>
      <c r="Q491" s="78"/>
      <c r="R491" s="92"/>
      <c r="S491" s="92"/>
      <c r="T491" s="92"/>
      <c r="U491" s="92"/>
      <c r="V491" s="52"/>
      <c r="W491" s="52"/>
      <c r="X491" s="52"/>
      <c r="Y491" s="52"/>
      <c r="Z491" s="51"/>
      <c r="AA491" s="73"/>
      <c r="AB491" s="73"/>
      <c r="AC491" s="74"/>
      <c r="AD491" s="80" t="s">
        <v>7071</v>
      </c>
      <c r="AE491" s="85" t="s">
        <v>8271</v>
      </c>
      <c r="AF491" s="80">
        <v>153</v>
      </c>
      <c r="AG491" s="80">
        <v>89</v>
      </c>
      <c r="AH491" s="80">
        <v>653</v>
      </c>
      <c r="AI491" s="80">
        <v>1286</v>
      </c>
      <c r="AJ491" s="80"/>
      <c r="AK491" s="80" t="s">
        <v>9391</v>
      </c>
      <c r="AL491" s="80" t="s">
        <v>10360</v>
      </c>
      <c r="AM491" s="80"/>
      <c r="AN491" s="80"/>
      <c r="AO491" s="82">
        <v>44399.79315972222</v>
      </c>
      <c r="AP491" s="87" t="str">
        <f>HYPERLINK("https://pbs.twimg.com/profile_banners/1418285198601428994/1632544182")</f>
        <v>https://pbs.twimg.com/profile_banners/1418285198601428994/1632544182</v>
      </c>
      <c r="AQ491" s="80" t="b">
        <v>1</v>
      </c>
      <c r="AR491" s="80" t="b">
        <v>0</v>
      </c>
      <c r="AS491" s="80" t="b">
        <v>0</v>
      </c>
      <c r="AT491" s="80"/>
      <c r="AU491" s="80">
        <v>0</v>
      </c>
      <c r="AV491" s="80"/>
      <c r="AW491" s="80" t="b">
        <v>0</v>
      </c>
      <c r="AX491" s="80" t="s">
        <v>10746</v>
      </c>
      <c r="AY491" s="87" t="str">
        <f>HYPERLINK("https://twitter.com/hohochamzzz")</f>
        <v>https://twitter.com/hohochamzzz</v>
      </c>
      <c r="AZ491" s="80" t="s">
        <v>66</v>
      </c>
      <c r="BA491" s="2"/>
      <c r="BB491" s="3"/>
      <c r="BC491" s="3"/>
      <c r="BD491" s="3"/>
      <c r="BE491" s="3"/>
    </row>
    <row r="492" spans="1:57" x14ac:dyDescent="0.35">
      <c r="A492" s="66" t="s">
        <v>605</v>
      </c>
      <c r="B492" s="67"/>
      <c r="C492" s="67"/>
      <c r="D492" s="68"/>
      <c r="E492" s="70"/>
      <c r="F492" s="109" t="str">
        <f>HYPERLINK("https://pbs.twimg.com/profile_images/1422609270533591044/CsDcTXK9_normal.jpg")</f>
        <v>https://pbs.twimg.com/profile_images/1422609270533591044/CsDcTXK9_normal.jpg</v>
      </c>
      <c r="G492" s="67"/>
      <c r="H492" s="71"/>
      <c r="I492" s="72"/>
      <c r="J492" s="72"/>
      <c r="K492" s="71" t="s">
        <v>11235</v>
      </c>
      <c r="L492" s="75"/>
      <c r="M492" s="76"/>
      <c r="N492" s="76"/>
      <c r="O492" s="77"/>
      <c r="P492" s="78"/>
      <c r="Q492" s="78"/>
      <c r="R492" s="92"/>
      <c r="S492" s="92"/>
      <c r="T492" s="92"/>
      <c r="U492" s="92"/>
      <c r="V492" s="52"/>
      <c r="W492" s="52"/>
      <c r="X492" s="52"/>
      <c r="Y492" s="52"/>
      <c r="Z492" s="51"/>
      <c r="AA492" s="73"/>
      <c r="AB492" s="73"/>
      <c r="AC492" s="74"/>
      <c r="AD492" s="80" t="s">
        <v>7072</v>
      </c>
      <c r="AE492" s="85" t="s">
        <v>8272</v>
      </c>
      <c r="AF492" s="80">
        <v>434</v>
      </c>
      <c r="AG492" s="80">
        <v>632</v>
      </c>
      <c r="AH492" s="80">
        <v>469248</v>
      </c>
      <c r="AI492" s="80">
        <v>282086</v>
      </c>
      <c r="AJ492" s="80"/>
      <c r="AK492" s="80" t="s">
        <v>9392</v>
      </c>
      <c r="AL492" s="80"/>
      <c r="AM492" s="80"/>
      <c r="AN492" s="80"/>
      <c r="AO492" s="82">
        <v>41242.652499999997</v>
      </c>
      <c r="AP492" s="87" t="str">
        <f>HYPERLINK("https://pbs.twimg.com/profile_banners/978592178/1599222387")</f>
        <v>https://pbs.twimg.com/profile_banners/978592178/1599222387</v>
      </c>
      <c r="AQ492" s="80" t="b">
        <v>0</v>
      </c>
      <c r="AR492" s="80" t="b">
        <v>0</v>
      </c>
      <c r="AS492" s="80" t="b">
        <v>1</v>
      </c>
      <c r="AT492" s="80"/>
      <c r="AU492" s="80">
        <v>8</v>
      </c>
      <c r="AV492" s="87" t="str">
        <f>HYPERLINK("https://abs.twimg.com/images/themes/theme9/bg.gif")</f>
        <v>https://abs.twimg.com/images/themes/theme9/bg.gif</v>
      </c>
      <c r="AW492" s="80" t="b">
        <v>0</v>
      </c>
      <c r="AX492" s="80" t="s">
        <v>10746</v>
      </c>
      <c r="AY492" s="87" t="str">
        <f>HYPERLINK("https://twitter.com/sumasenyangyang")</f>
        <v>https://twitter.com/sumasenyangyang</v>
      </c>
      <c r="AZ492" s="80" t="s">
        <v>66</v>
      </c>
      <c r="BA492" s="2"/>
      <c r="BB492" s="3"/>
      <c r="BC492" s="3"/>
      <c r="BD492" s="3"/>
      <c r="BE492" s="3"/>
    </row>
    <row r="493" spans="1:57" x14ac:dyDescent="0.35">
      <c r="A493" s="66" t="s">
        <v>606</v>
      </c>
      <c r="B493" s="67"/>
      <c r="C493" s="67"/>
      <c r="D493" s="68"/>
      <c r="E493" s="70"/>
      <c r="F493" s="109" t="str">
        <f>HYPERLINK("https://pbs.twimg.com/profile_images/1441655403104796674/B_JeJ4-y_normal.jpg")</f>
        <v>https://pbs.twimg.com/profile_images/1441655403104796674/B_JeJ4-y_normal.jpg</v>
      </c>
      <c r="G493" s="67"/>
      <c r="H493" s="71"/>
      <c r="I493" s="72"/>
      <c r="J493" s="72"/>
      <c r="K493" s="71" t="s">
        <v>11236</v>
      </c>
      <c r="L493" s="75"/>
      <c r="M493" s="76"/>
      <c r="N493" s="76"/>
      <c r="O493" s="77"/>
      <c r="P493" s="78"/>
      <c r="Q493" s="78"/>
      <c r="R493" s="92"/>
      <c r="S493" s="92"/>
      <c r="T493" s="92"/>
      <c r="U493" s="92"/>
      <c r="V493" s="52"/>
      <c r="W493" s="52"/>
      <c r="X493" s="52"/>
      <c r="Y493" s="52"/>
      <c r="Z493" s="51"/>
      <c r="AA493" s="73"/>
      <c r="AB493" s="73"/>
      <c r="AC493" s="74"/>
      <c r="AD493" s="80" t="s">
        <v>7073</v>
      </c>
      <c r="AE493" s="85" t="s">
        <v>8273</v>
      </c>
      <c r="AF493" s="80">
        <v>1141</v>
      </c>
      <c r="AG493" s="80">
        <v>1139</v>
      </c>
      <c r="AH493" s="80">
        <v>3978</v>
      </c>
      <c r="AI493" s="80">
        <v>4317</v>
      </c>
      <c r="AJ493" s="80"/>
      <c r="AK493" s="80" t="s">
        <v>9393</v>
      </c>
      <c r="AL493" s="80"/>
      <c r="AM493" s="87" t="str">
        <f>HYPERLINK("https://t.co/bXOJeihEGd")</f>
        <v>https://t.co/bXOJeihEGd</v>
      </c>
      <c r="AN493" s="80"/>
      <c r="AO493" s="82">
        <v>44175.322511574072</v>
      </c>
      <c r="AP493" s="87" t="str">
        <f>HYPERLINK("https://pbs.twimg.com/profile_banners/1336939761240428546/1628841477")</f>
        <v>https://pbs.twimg.com/profile_banners/1336939761240428546/1628841477</v>
      </c>
      <c r="AQ493" s="80" t="b">
        <v>1</v>
      </c>
      <c r="AR493" s="80" t="b">
        <v>0</v>
      </c>
      <c r="AS493" s="80" t="b">
        <v>0</v>
      </c>
      <c r="AT493" s="80"/>
      <c r="AU493" s="80">
        <v>0</v>
      </c>
      <c r="AV493" s="80"/>
      <c r="AW493" s="80" t="b">
        <v>0</v>
      </c>
      <c r="AX493" s="80" t="s">
        <v>10746</v>
      </c>
      <c r="AY493" s="87" t="str">
        <f>HYPERLINK("https://twitter.com/piecesofhyune")</f>
        <v>https://twitter.com/piecesofhyune</v>
      </c>
      <c r="AZ493" s="80" t="s">
        <v>66</v>
      </c>
      <c r="BA493" s="2"/>
      <c r="BB493" s="3"/>
      <c r="BC493" s="3"/>
      <c r="BD493" s="3"/>
      <c r="BE493" s="3"/>
    </row>
    <row r="494" spans="1:57" x14ac:dyDescent="0.35">
      <c r="A494" s="66" t="s">
        <v>607</v>
      </c>
      <c r="B494" s="67"/>
      <c r="C494" s="67"/>
      <c r="D494" s="68"/>
      <c r="E494" s="70"/>
      <c r="F494" s="109" t="str">
        <f>HYPERLINK("https://pbs.twimg.com/profile_images/1232189480406147072/odSSTvoy_normal.jpg")</f>
        <v>https://pbs.twimg.com/profile_images/1232189480406147072/odSSTvoy_normal.jpg</v>
      </c>
      <c r="G494" s="67"/>
      <c r="H494" s="71"/>
      <c r="I494" s="72"/>
      <c r="J494" s="72"/>
      <c r="K494" s="71" t="s">
        <v>11237</v>
      </c>
      <c r="L494" s="75"/>
      <c r="M494" s="76"/>
      <c r="N494" s="76"/>
      <c r="O494" s="77"/>
      <c r="P494" s="78"/>
      <c r="Q494" s="78"/>
      <c r="R494" s="92"/>
      <c r="S494" s="92"/>
      <c r="T494" s="92"/>
      <c r="U494" s="92"/>
      <c r="V494" s="52"/>
      <c r="W494" s="52"/>
      <c r="X494" s="52"/>
      <c r="Y494" s="52"/>
      <c r="Z494" s="51"/>
      <c r="AA494" s="73"/>
      <c r="AB494" s="73"/>
      <c r="AC494" s="74"/>
      <c r="AD494" s="80" t="s">
        <v>7074</v>
      </c>
      <c r="AE494" s="85" t="s">
        <v>8274</v>
      </c>
      <c r="AF494" s="80">
        <v>96</v>
      </c>
      <c r="AG494" s="80">
        <v>84</v>
      </c>
      <c r="AH494" s="80">
        <v>24</v>
      </c>
      <c r="AI494" s="80">
        <v>0</v>
      </c>
      <c r="AJ494" s="80"/>
      <c r="AK494" s="80"/>
      <c r="AL494" s="80"/>
      <c r="AM494" s="80"/>
      <c r="AN494" s="80"/>
      <c r="AO494" s="82">
        <v>40751.114756944444</v>
      </c>
      <c r="AP494" s="80"/>
      <c r="AQ494" s="80" t="b">
        <v>0</v>
      </c>
      <c r="AR494" s="80" t="b">
        <v>0</v>
      </c>
      <c r="AS494" s="80" t="b">
        <v>0</v>
      </c>
      <c r="AT494" s="80"/>
      <c r="AU494" s="80">
        <v>0</v>
      </c>
      <c r="AV494" s="87" t="str">
        <f>HYPERLINK("https://abs.twimg.com/images/themes/theme14/bg.gif")</f>
        <v>https://abs.twimg.com/images/themes/theme14/bg.gif</v>
      </c>
      <c r="AW494" s="80" t="b">
        <v>0</v>
      </c>
      <c r="AX494" s="80" t="s">
        <v>10746</v>
      </c>
      <c r="AY494" s="87" t="str">
        <f>HYPERLINK("https://twitter.com/wirawankrisna")</f>
        <v>https://twitter.com/wirawankrisna</v>
      </c>
      <c r="AZ494" s="80" t="s">
        <v>66</v>
      </c>
      <c r="BA494" s="2"/>
      <c r="BB494" s="3"/>
      <c r="BC494" s="3"/>
      <c r="BD494" s="3"/>
      <c r="BE494" s="3"/>
    </row>
    <row r="495" spans="1:57" x14ac:dyDescent="0.35">
      <c r="A495" s="66" t="s">
        <v>1363</v>
      </c>
      <c r="B495" s="67"/>
      <c r="C495" s="67"/>
      <c r="D495" s="68"/>
      <c r="E495" s="70"/>
      <c r="F495" s="109" t="str">
        <f>HYPERLINK("https://pbs.twimg.com/profile_images/1278247035498409985/1A_DZked_normal.jpg")</f>
        <v>https://pbs.twimg.com/profile_images/1278247035498409985/1A_DZked_normal.jpg</v>
      </c>
      <c r="G495" s="67"/>
      <c r="H495" s="71"/>
      <c r="I495" s="72"/>
      <c r="J495" s="72"/>
      <c r="K495" s="71" t="s">
        <v>11238</v>
      </c>
      <c r="L495" s="75"/>
      <c r="M495" s="76"/>
      <c r="N495" s="76"/>
      <c r="O495" s="77"/>
      <c r="P495" s="78"/>
      <c r="Q495" s="78"/>
      <c r="R495" s="92"/>
      <c r="S495" s="92"/>
      <c r="T495" s="92"/>
      <c r="U495" s="92"/>
      <c r="V495" s="52"/>
      <c r="W495" s="52"/>
      <c r="X495" s="52"/>
      <c r="Y495" s="52"/>
      <c r="Z495" s="51"/>
      <c r="AA495" s="73"/>
      <c r="AB495" s="73"/>
      <c r="AC495" s="74"/>
      <c r="AD495" s="80" t="s">
        <v>7075</v>
      </c>
      <c r="AE495" s="85" t="s">
        <v>8275</v>
      </c>
      <c r="AF495" s="80">
        <v>322</v>
      </c>
      <c r="AG495" s="80">
        <v>585577</v>
      </c>
      <c r="AH495" s="80">
        <v>33331</v>
      </c>
      <c r="AI495" s="80">
        <v>1748</v>
      </c>
      <c r="AJ495" s="80"/>
      <c r="AK495" s="80" t="s">
        <v>9394</v>
      </c>
      <c r="AL495" s="80" t="s">
        <v>10325</v>
      </c>
      <c r="AM495" s="87" t="str">
        <f>HYPERLINK("https://t.co/bt5mfEpOdq")</f>
        <v>https://t.co/bt5mfEpOdq</v>
      </c>
      <c r="AN495" s="80"/>
      <c r="AO495" s="82">
        <v>42128.184120370373</v>
      </c>
      <c r="AP495" s="87" t="str">
        <f>HYPERLINK("https://pbs.twimg.com/profile_banners/3184723542/1593593113")</f>
        <v>https://pbs.twimg.com/profile_banners/3184723542/1593593113</v>
      </c>
      <c r="AQ495" s="80" t="b">
        <v>0</v>
      </c>
      <c r="AR495" s="80" t="b">
        <v>0</v>
      </c>
      <c r="AS495" s="80" t="b">
        <v>1</v>
      </c>
      <c r="AT495" s="80"/>
      <c r="AU495" s="80">
        <v>341</v>
      </c>
      <c r="AV495" s="87" t="str">
        <f>HYPERLINK("https://abs.twimg.com/images/themes/theme1/bg.png")</f>
        <v>https://abs.twimg.com/images/themes/theme1/bg.png</v>
      </c>
      <c r="AW495" s="80" t="b">
        <v>1</v>
      </c>
      <c r="AX495" s="80" t="s">
        <v>10746</v>
      </c>
      <c r="AY495" s="87" t="str">
        <f>HYPERLINK("https://twitter.com/kemenbumn")</f>
        <v>https://twitter.com/kemenbumn</v>
      </c>
      <c r="AZ495" s="80" t="s">
        <v>65</v>
      </c>
      <c r="BA495" s="2"/>
      <c r="BB495" s="3"/>
      <c r="BC495" s="3"/>
      <c r="BD495" s="3"/>
      <c r="BE495" s="3"/>
    </row>
    <row r="496" spans="1:57" x14ac:dyDescent="0.35">
      <c r="A496" s="66" t="s">
        <v>608</v>
      </c>
      <c r="B496" s="67"/>
      <c r="C496" s="67"/>
      <c r="D496" s="68"/>
      <c r="E496" s="70"/>
      <c r="F496" s="109" t="str">
        <f>HYPERLINK("https://pbs.twimg.com/profile_images/1353853268976312320/5QYb3LCX_normal.jpg")</f>
        <v>https://pbs.twimg.com/profile_images/1353853268976312320/5QYb3LCX_normal.jpg</v>
      </c>
      <c r="G496" s="67"/>
      <c r="H496" s="71"/>
      <c r="I496" s="72"/>
      <c r="J496" s="72"/>
      <c r="K496" s="71" t="s">
        <v>11239</v>
      </c>
      <c r="L496" s="75"/>
      <c r="M496" s="76"/>
      <c r="N496" s="76"/>
      <c r="O496" s="77"/>
      <c r="P496" s="78"/>
      <c r="Q496" s="78"/>
      <c r="R496" s="92"/>
      <c r="S496" s="92"/>
      <c r="T496" s="92"/>
      <c r="U496" s="92"/>
      <c r="V496" s="52"/>
      <c r="W496" s="52"/>
      <c r="X496" s="52"/>
      <c r="Y496" s="52"/>
      <c r="Z496" s="51"/>
      <c r="AA496" s="73"/>
      <c r="AB496" s="73"/>
      <c r="AC496" s="74"/>
      <c r="AD496" s="80" t="s">
        <v>7076</v>
      </c>
      <c r="AE496" s="85" t="s">
        <v>8276</v>
      </c>
      <c r="AF496" s="80">
        <v>5</v>
      </c>
      <c r="AG496" s="80">
        <v>616</v>
      </c>
      <c r="AH496" s="80">
        <v>13193</v>
      </c>
      <c r="AI496" s="80">
        <v>35</v>
      </c>
      <c r="AJ496" s="80"/>
      <c r="AK496" s="80" t="s">
        <v>9395</v>
      </c>
      <c r="AL496" s="80" t="s">
        <v>10311</v>
      </c>
      <c r="AM496" s="80"/>
      <c r="AN496" s="80"/>
      <c r="AO496" s="82">
        <v>44213.376759259256</v>
      </c>
      <c r="AP496" s="87" t="str">
        <f>HYPERLINK("https://pbs.twimg.com/profile_banners/1350730138997018624/1611587541")</f>
        <v>https://pbs.twimg.com/profile_banners/1350730138997018624/1611587541</v>
      </c>
      <c r="AQ496" s="80" t="b">
        <v>1</v>
      </c>
      <c r="AR496" s="80" t="b">
        <v>0</v>
      </c>
      <c r="AS496" s="80" t="b">
        <v>0</v>
      </c>
      <c r="AT496" s="80"/>
      <c r="AU496" s="80">
        <v>3</v>
      </c>
      <c r="AV496" s="80"/>
      <c r="AW496" s="80" t="b">
        <v>0</v>
      </c>
      <c r="AX496" s="80" t="s">
        <v>10746</v>
      </c>
      <c r="AY496" s="87" t="str">
        <f>HYPERLINK("https://twitter.com/dearczennies_")</f>
        <v>https://twitter.com/dearczennies_</v>
      </c>
      <c r="AZ496" s="80" t="s">
        <v>66</v>
      </c>
      <c r="BA496" s="2"/>
      <c r="BB496" s="3"/>
      <c r="BC496" s="3"/>
      <c r="BD496" s="3"/>
      <c r="BE496" s="3"/>
    </row>
    <row r="497" spans="1:57" x14ac:dyDescent="0.35">
      <c r="A497" s="66" t="s">
        <v>609</v>
      </c>
      <c r="B497" s="67"/>
      <c r="C497" s="67"/>
      <c r="D497" s="68"/>
      <c r="E497" s="70"/>
      <c r="F497" s="109" t="str">
        <f>HYPERLINK("https://pbs.twimg.com/profile_images/3057789984/ad0b23dbf0eed174ffff556f27cb2993_normal.png")</f>
        <v>https://pbs.twimg.com/profile_images/3057789984/ad0b23dbf0eed174ffff556f27cb2993_normal.png</v>
      </c>
      <c r="G497" s="67"/>
      <c r="H497" s="71"/>
      <c r="I497" s="72"/>
      <c r="J497" s="72"/>
      <c r="K497" s="71" t="s">
        <v>11240</v>
      </c>
      <c r="L497" s="75"/>
      <c r="M497" s="76"/>
      <c r="N497" s="76"/>
      <c r="O497" s="77"/>
      <c r="P497" s="78"/>
      <c r="Q497" s="78"/>
      <c r="R497" s="92"/>
      <c r="S497" s="92"/>
      <c r="T497" s="92"/>
      <c r="U497" s="92"/>
      <c r="V497" s="52"/>
      <c r="W497" s="52"/>
      <c r="X497" s="52"/>
      <c r="Y497" s="52"/>
      <c r="Z497" s="51"/>
      <c r="AA497" s="73"/>
      <c r="AB497" s="73"/>
      <c r="AC497" s="74"/>
      <c r="AD497" s="80" t="s">
        <v>7077</v>
      </c>
      <c r="AE497" s="85" t="s">
        <v>8277</v>
      </c>
      <c r="AF497" s="80">
        <v>1396</v>
      </c>
      <c r="AG497" s="80">
        <v>75193</v>
      </c>
      <c r="AH497" s="80">
        <v>27845</v>
      </c>
      <c r="AI497" s="80">
        <v>108</v>
      </c>
      <c r="AJ497" s="80"/>
      <c r="AK497" s="80" t="s">
        <v>9396</v>
      </c>
      <c r="AL497" s="80" t="s">
        <v>6543</v>
      </c>
      <c r="AM497" s="80"/>
      <c r="AN497" s="80"/>
      <c r="AO497" s="82">
        <v>40342.607581018521</v>
      </c>
      <c r="AP497" s="87" t="str">
        <f>HYPERLINK("https://pbs.twimg.com/profile_banners/155226919/1357290105")</f>
        <v>https://pbs.twimg.com/profile_banners/155226919/1357290105</v>
      </c>
      <c r="AQ497" s="80" t="b">
        <v>0</v>
      </c>
      <c r="AR497" s="80" t="b">
        <v>0</v>
      </c>
      <c r="AS497" s="80" t="b">
        <v>0</v>
      </c>
      <c r="AT497" s="80"/>
      <c r="AU497" s="80">
        <v>295</v>
      </c>
      <c r="AV497" s="87" t="str">
        <f>HYPERLINK("https://abs.twimg.com/images/themes/theme1/bg.png")</f>
        <v>https://abs.twimg.com/images/themes/theme1/bg.png</v>
      </c>
      <c r="AW497" s="80" t="b">
        <v>0</v>
      </c>
      <c r="AX497" s="80" t="s">
        <v>10746</v>
      </c>
      <c r="AY497" s="87" t="str">
        <f>HYPERLINK("https://twitter.com/infokuis")</f>
        <v>https://twitter.com/infokuis</v>
      </c>
      <c r="AZ497" s="80" t="s">
        <v>66</v>
      </c>
      <c r="BA497" s="2"/>
      <c r="BB497" s="3"/>
      <c r="BC497" s="3"/>
      <c r="BD497" s="3"/>
      <c r="BE497" s="3"/>
    </row>
    <row r="498" spans="1:57" x14ac:dyDescent="0.35">
      <c r="A498" s="66" t="s">
        <v>610</v>
      </c>
      <c r="B498" s="67"/>
      <c r="C498" s="67"/>
      <c r="D498" s="68"/>
      <c r="E498" s="70"/>
      <c r="F498" s="109" t="str">
        <f>HYPERLINK("https://pbs.twimg.com/profile_images/1432916322321514503/28h9tstZ_normal.jpg")</f>
        <v>https://pbs.twimg.com/profile_images/1432916322321514503/28h9tstZ_normal.jpg</v>
      </c>
      <c r="G498" s="67"/>
      <c r="H498" s="71"/>
      <c r="I498" s="72"/>
      <c r="J498" s="72"/>
      <c r="K498" s="71" t="s">
        <v>11241</v>
      </c>
      <c r="L498" s="75"/>
      <c r="M498" s="76"/>
      <c r="N498" s="76"/>
      <c r="O498" s="77"/>
      <c r="P498" s="78"/>
      <c r="Q498" s="78"/>
      <c r="R498" s="92"/>
      <c r="S498" s="92"/>
      <c r="T498" s="92"/>
      <c r="U498" s="92"/>
      <c r="V498" s="52"/>
      <c r="W498" s="52"/>
      <c r="X498" s="52"/>
      <c r="Y498" s="52"/>
      <c r="Z498" s="51"/>
      <c r="AA498" s="73"/>
      <c r="AB498" s="73"/>
      <c r="AC498" s="74"/>
      <c r="AD498" s="80" t="s">
        <v>7078</v>
      </c>
      <c r="AE498" s="85" t="s">
        <v>8278</v>
      </c>
      <c r="AF498" s="80">
        <v>246</v>
      </c>
      <c r="AG498" s="80">
        <v>96</v>
      </c>
      <c r="AH498" s="80">
        <v>5594</v>
      </c>
      <c r="AI498" s="80">
        <v>4052</v>
      </c>
      <c r="AJ498" s="80"/>
      <c r="AK498" s="80" t="s">
        <v>9397</v>
      </c>
      <c r="AL498" s="80" t="s">
        <v>10361</v>
      </c>
      <c r="AM498" s="87" t="str">
        <f>HYPERLINK("https://t.co/2csTxKKbJE")</f>
        <v>https://t.co/2csTxKKbJE</v>
      </c>
      <c r="AN498" s="80"/>
      <c r="AO498" s="82">
        <v>44166.153287037036</v>
      </c>
      <c r="AP498" s="87" t="str">
        <f>HYPERLINK("https://pbs.twimg.com/profile_banners/1333616950304378880/1628650211")</f>
        <v>https://pbs.twimg.com/profile_banners/1333616950304378880/1628650211</v>
      </c>
      <c r="AQ498" s="80" t="b">
        <v>1</v>
      </c>
      <c r="AR498" s="80" t="b">
        <v>0</v>
      </c>
      <c r="AS498" s="80" t="b">
        <v>0</v>
      </c>
      <c r="AT498" s="80"/>
      <c r="AU498" s="80">
        <v>0</v>
      </c>
      <c r="AV498" s="80"/>
      <c r="AW498" s="80" t="b">
        <v>0</v>
      </c>
      <c r="AX498" s="80" t="s">
        <v>10746</v>
      </c>
      <c r="AY498" s="87" t="str">
        <f>HYPERLINK("https://twitter.com/tenlee_107")</f>
        <v>https://twitter.com/tenlee_107</v>
      </c>
      <c r="AZ498" s="80" t="s">
        <v>66</v>
      </c>
      <c r="BA498" s="2"/>
      <c r="BB498" s="3"/>
      <c r="BC498" s="3"/>
      <c r="BD498" s="3"/>
      <c r="BE498" s="3"/>
    </row>
    <row r="499" spans="1:57" x14ac:dyDescent="0.35">
      <c r="A499" s="66" t="s">
        <v>611</v>
      </c>
      <c r="B499" s="67"/>
      <c r="C499" s="67"/>
      <c r="D499" s="68"/>
      <c r="E499" s="70"/>
      <c r="F499" s="109" t="str">
        <f>HYPERLINK("https://pbs.twimg.com/profile_images/1442080863047467008/-JloLyg-_normal.jpg")</f>
        <v>https://pbs.twimg.com/profile_images/1442080863047467008/-JloLyg-_normal.jpg</v>
      </c>
      <c r="G499" s="67"/>
      <c r="H499" s="71"/>
      <c r="I499" s="72"/>
      <c r="J499" s="72"/>
      <c r="K499" s="71" t="s">
        <v>11242</v>
      </c>
      <c r="L499" s="75"/>
      <c r="M499" s="76"/>
      <c r="N499" s="76"/>
      <c r="O499" s="77"/>
      <c r="P499" s="78"/>
      <c r="Q499" s="78"/>
      <c r="R499" s="92"/>
      <c r="S499" s="92"/>
      <c r="T499" s="92"/>
      <c r="U499" s="92"/>
      <c r="V499" s="52"/>
      <c r="W499" s="52"/>
      <c r="X499" s="52"/>
      <c r="Y499" s="52"/>
      <c r="Z499" s="51"/>
      <c r="AA499" s="73"/>
      <c r="AB499" s="73"/>
      <c r="AC499" s="74"/>
      <c r="AD499" s="80" t="s">
        <v>7079</v>
      </c>
      <c r="AE499" s="85" t="s">
        <v>6328</v>
      </c>
      <c r="AF499" s="80">
        <v>612</v>
      </c>
      <c r="AG499" s="80">
        <v>822</v>
      </c>
      <c r="AH499" s="80">
        <v>13161</v>
      </c>
      <c r="AI499" s="80">
        <v>1979</v>
      </c>
      <c r="AJ499" s="80"/>
      <c r="AK499" s="80" t="s">
        <v>9398</v>
      </c>
      <c r="AL499" s="80" t="s">
        <v>10197</v>
      </c>
      <c r="AM499" s="87" t="str">
        <f>HYPERLINK("https://t.co/KxTlEwPlIK")</f>
        <v>https://t.co/KxTlEwPlIK</v>
      </c>
      <c r="AN499" s="80"/>
      <c r="AO499" s="82">
        <v>43484.391134259262</v>
      </c>
      <c r="AP499" s="87" t="str">
        <f>HYPERLINK("https://pbs.twimg.com/profile_banners/1086554666987450368/1627375747")</f>
        <v>https://pbs.twimg.com/profile_banners/1086554666987450368/1627375747</v>
      </c>
      <c r="AQ499" s="80" t="b">
        <v>1</v>
      </c>
      <c r="AR499" s="80" t="b">
        <v>0</v>
      </c>
      <c r="AS499" s="80" t="b">
        <v>0</v>
      </c>
      <c r="AT499" s="80"/>
      <c r="AU499" s="80">
        <v>0</v>
      </c>
      <c r="AV499" s="80"/>
      <c r="AW499" s="80" t="b">
        <v>0</v>
      </c>
      <c r="AX499" s="80" t="s">
        <v>10746</v>
      </c>
      <c r="AY499" s="87" t="str">
        <f>HYPERLINK("https://twitter.com/matchclctte")</f>
        <v>https://twitter.com/matchclctte</v>
      </c>
      <c r="AZ499" s="80" t="s">
        <v>66</v>
      </c>
      <c r="BA499" s="2"/>
      <c r="BB499" s="3"/>
      <c r="BC499" s="3"/>
      <c r="BD499" s="3"/>
      <c r="BE499" s="3"/>
    </row>
    <row r="500" spans="1:57" x14ac:dyDescent="0.35">
      <c r="A500" s="66" t="s">
        <v>612</v>
      </c>
      <c r="B500" s="67"/>
      <c r="C500" s="67"/>
      <c r="D500" s="68"/>
      <c r="E500" s="70"/>
      <c r="F500" s="109" t="str">
        <f>HYPERLINK("https://pbs.twimg.com/profile_images/1440610001773481985/gn4oAL34_normal.jpg")</f>
        <v>https://pbs.twimg.com/profile_images/1440610001773481985/gn4oAL34_normal.jpg</v>
      </c>
      <c r="G500" s="67"/>
      <c r="H500" s="71"/>
      <c r="I500" s="72"/>
      <c r="J500" s="72"/>
      <c r="K500" s="71" t="s">
        <v>11243</v>
      </c>
      <c r="L500" s="75"/>
      <c r="M500" s="76"/>
      <c r="N500" s="76"/>
      <c r="O500" s="77"/>
      <c r="P500" s="78"/>
      <c r="Q500" s="78"/>
      <c r="R500" s="92"/>
      <c r="S500" s="92"/>
      <c r="T500" s="92"/>
      <c r="U500" s="92"/>
      <c r="V500" s="52"/>
      <c r="W500" s="52"/>
      <c r="X500" s="52"/>
      <c r="Y500" s="52"/>
      <c r="Z500" s="51"/>
      <c r="AA500" s="73"/>
      <c r="AB500" s="73"/>
      <c r="AC500" s="74"/>
      <c r="AD500" s="80" t="s">
        <v>612</v>
      </c>
      <c r="AE500" s="85" t="s">
        <v>8279</v>
      </c>
      <c r="AF500" s="80">
        <v>141</v>
      </c>
      <c r="AG500" s="80">
        <v>38</v>
      </c>
      <c r="AH500" s="80">
        <v>52</v>
      </c>
      <c r="AI500" s="80">
        <v>307</v>
      </c>
      <c r="AJ500" s="80"/>
      <c r="AK500" s="80" t="s">
        <v>9399</v>
      </c>
      <c r="AL500" s="80" t="s">
        <v>10218</v>
      </c>
      <c r="AM500" s="87" t="str">
        <f>HYPERLINK("https://t.co/9q9FUTMkTf")</f>
        <v>https://t.co/9q9FUTMkTf</v>
      </c>
      <c r="AN500" s="80"/>
      <c r="AO500" s="82">
        <v>43711.391250000001</v>
      </c>
      <c r="AP500" s="87" t="str">
        <f>HYPERLINK("https://pbs.twimg.com/profile_banners/1168816668815966208/1632377980")</f>
        <v>https://pbs.twimg.com/profile_banners/1168816668815966208/1632377980</v>
      </c>
      <c r="AQ500" s="80" t="b">
        <v>1</v>
      </c>
      <c r="AR500" s="80" t="b">
        <v>0</v>
      </c>
      <c r="AS500" s="80" t="b">
        <v>0</v>
      </c>
      <c r="AT500" s="80"/>
      <c r="AU500" s="80">
        <v>0</v>
      </c>
      <c r="AV500" s="80"/>
      <c r="AW500" s="80" t="b">
        <v>0</v>
      </c>
      <c r="AX500" s="80" t="s">
        <v>10746</v>
      </c>
      <c r="AY500" s="87" t="str">
        <f>HYPERLINK("https://twitter.com/shahrinazakaria")</f>
        <v>https://twitter.com/shahrinazakaria</v>
      </c>
      <c r="AZ500" s="80" t="s">
        <v>66</v>
      </c>
      <c r="BA500" s="2"/>
      <c r="BB500" s="3"/>
      <c r="BC500" s="3"/>
      <c r="BD500" s="3"/>
      <c r="BE500" s="3"/>
    </row>
    <row r="501" spans="1:57" x14ac:dyDescent="0.35">
      <c r="A501" s="66" t="s">
        <v>613</v>
      </c>
      <c r="B501" s="67"/>
      <c r="C501" s="67"/>
      <c r="D501" s="68"/>
      <c r="E501" s="70"/>
      <c r="F501" s="109" t="str">
        <f>HYPERLINK("https://pbs.twimg.com/profile_images/1442017164421054471/_laoAzZ2_normal.jpg")</f>
        <v>https://pbs.twimg.com/profile_images/1442017164421054471/_laoAzZ2_normal.jpg</v>
      </c>
      <c r="G501" s="67"/>
      <c r="H501" s="71"/>
      <c r="I501" s="72"/>
      <c r="J501" s="72"/>
      <c r="K501" s="71" t="s">
        <v>11244</v>
      </c>
      <c r="L501" s="75"/>
      <c r="M501" s="76"/>
      <c r="N501" s="76"/>
      <c r="O501" s="77"/>
      <c r="P501" s="78"/>
      <c r="Q501" s="78"/>
      <c r="R501" s="92"/>
      <c r="S501" s="92"/>
      <c r="T501" s="92"/>
      <c r="U501" s="92"/>
      <c r="V501" s="52"/>
      <c r="W501" s="52"/>
      <c r="X501" s="52"/>
      <c r="Y501" s="52"/>
      <c r="Z501" s="51"/>
      <c r="AA501" s="73"/>
      <c r="AB501" s="73"/>
      <c r="AC501" s="74"/>
      <c r="AD501" s="80" t="s">
        <v>7080</v>
      </c>
      <c r="AE501" s="85" t="s">
        <v>8280</v>
      </c>
      <c r="AF501" s="80">
        <v>207</v>
      </c>
      <c r="AG501" s="80">
        <v>376</v>
      </c>
      <c r="AH501" s="80">
        <v>13429</v>
      </c>
      <c r="AI501" s="80">
        <v>299</v>
      </c>
      <c r="AJ501" s="80"/>
      <c r="AK501" s="80" t="s">
        <v>9400</v>
      </c>
      <c r="AL501" s="80"/>
      <c r="AM501" s="87" t="str">
        <f>HYPERLINK("https://t.co/1bkGiU19dN")</f>
        <v>https://t.co/1bkGiU19dN</v>
      </c>
      <c r="AN501" s="80"/>
      <c r="AO501" s="82">
        <v>42130.360381944447</v>
      </c>
      <c r="AP501" s="87" t="str">
        <f>HYPERLINK("https://pbs.twimg.com/profile_banners/3186344916/1631893759")</f>
        <v>https://pbs.twimg.com/profile_banners/3186344916/1631893759</v>
      </c>
      <c r="AQ501" s="80" t="b">
        <v>0</v>
      </c>
      <c r="AR501" s="80" t="b">
        <v>0</v>
      </c>
      <c r="AS501" s="80" t="b">
        <v>0</v>
      </c>
      <c r="AT501" s="80"/>
      <c r="AU501" s="80">
        <v>4</v>
      </c>
      <c r="AV501" s="87" t="str">
        <f>HYPERLINK("https://abs.twimg.com/images/themes/theme1/bg.png")</f>
        <v>https://abs.twimg.com/images/themes/theme1/bg.png</v>
      </c>
      <c r="AW501" s="80" t="b">
        <v>0</v>
      </c>
      <c r="AX501" s="80" t="s">
        <v>10746</v>
      </c>
      <c r="AY501" s="87" t="str">
        <f>HYPERLINK("https://twitter.com/proxpective")</f>
        <v>https://twitter.com/proxpective</v>
      </c>
      <c r="AZ501" s="80" t="s">
        <v>66</v>
      </c>
      <c r="BA501" s="2"/>
      <c r="BB501" s="3"/>
      <c r="BC501" s="3"/>
      <c r="BD501" s="3"/>
      <c r="BE501" s="3"/>
    </row>
    <row r="502" spans="1:57" x14ac:dyDescent="0.35">
      <c r="A502" s="66" t="s">
        <v>1364</v>
      </c>
      <c r="B502" s="67"/>
      <c r="C502" s="67"/>
      <c r="D502" s="68"/>
      <c r="E502" s="70"/>
      <c r="F502" s="109" t="str">
        <f>HYPERLINK("https://pbs.twimg.com/profile_images/1437618894076723202/ys3ouQmp_normal.jpg")</f>
        <v>https://pbs.twimg.com/profile_images/1437618894076723202/ys3ouQmp_normal.jpg</v>
      </c>
      <c r="G502" s="67"/>
      <c r="H502" s="71"/>
      <c r="I502" s="72"/>
      <c r="J502" s="72"/>
      <c r="K502" s="71" t="s">
        <v>11245</v>
      </c>
      <c r="L502" s="75"/>
      <c r="M502" s="76"/>
      <c r="N502" s="76"/>
      <c r="O502" s="77"/>
      <c r="P502" s="78"/>
      <c r="Q502" s="78"/>
      <c r="R502" s="92"/>
      <c r="S502" s="92"/>
      <c r="T502" s="92"/>
      <c r="U502" s="92"/>
      <c r="V502" s="52"/>
      <c r="W502" s="52"/>
      <c r="X502" s="52"/>
      <c r="Y502" s="52"/>
      <c r="Z502" s="51"/>
      <c r="AA502" s="73"/>
      <c r="AB502" s="73"/>
      <c r="AC502" s="74"/>
      <c r="AD502" s="80" t="s">
        <v>7081</v>
      </c>
      <c r="AE502" s="85" t="s">
        <v>8281</v>
      </c>
      <c r="AF502" s="80">
        <v>49</v>
      </c>
      <c r="AG502" s="80">
        <v>1213</v>
      </c>
      <c r="AH502" s="80">
        <v>44555</v>
      </c>
      <c r="AI502" s="80">
        <v>205</v>
      </c>
      <c r="AJ502" s="80"/>
      <c r="AK502" s="80" t="s">
        <v>9401</v>
      </c>
      <c r="AL502" s="80" t="s">
        <v>10362</v>
      </c>
      <c r="AM502" s="87" t="str">
        <f>HYPERLINK("https://t.co/rXIclL6uYL")</f>
        <v>https://t.co/rXIclL6uYL</v>
      </c>
      <c r="AN502" s="80"/>
      <c r="AO502" s="82">
        <v>41157.410451388889</v>
      </c>
      <c r="AP502" s="87" t="str">
        <f>HYPERLINK("https://pbs.twimg.com/profile_banners/804264985/1588522951")</f>
        <v>https://pbs.twimg.com/profile_banners/804264985/1588522951</v>
      </c>
      <c r="AQ502" s="80" t="b">
        <v>0</v>
      </c>
      <c r="AR502" s="80" t="b">
        <v>0</v>
      </c>
      <c r="AS502" s="80" t="b">
        <v>1</v>
      </c>
      <c r="AT502" s="80"/>
      <c r="AU502" s="80">
        <v>4</v>
      </c>
      <c r="AV502" s="87" t="str">
        <f>HYPERLINK("https://abs.twimg.com/images/themes/theme1/bg.png")</f>
        <v>https://abs.twimg.com/images/themes/theme1/bg.png</v>
      </c>
      <c r="AW502" s="80" t="b">
        <v>0</v>
      </c>
      <c r="AX502" s="80" t="s">
        <v>10746</v>
      </c>
      <c r="AY502" s="87" t="str">
        <f>HYPERLINK("https://twitter.com/herecital")</f>
        <v>https://twitter.com/herecital</v>
      </c>
      <c r="AZ502" s="80" t="s">
        <v>65</v>
      </c>
      <c r="BA502" s="2"/>
      <c r="BB502" s="3"/>
      <c r="BC502" s="3"/>
      <c r="BD502" s="3"/>
      <c r="BE502" s="3"/>
    </row>
    <row r="503" spans="1:57" x14ac:dyDescent="0.35">
      <c r="A503" s="66" t="s">
        <v>614</v>
      </c>
      <c r="B503" s="67"/>
      <c r="C503" s="67"/>
      <c r="D503" s="68"/>
      <c r="E503" s="70"/>
      <c r="F503" s="109" t="str">
        <f>HYPERLINK("https://pbs.twimg.com/profile_images/1439229400768122885/lNbndgsz_normal.jpg")</f>
        <v>https://pbs.twimg.com/profile_images/1439229400768122885/lNbndgsz_normal.jpg</v>
      </c>
      <c r="G503" s="67"/>
      <c r="H503" s="71"/>
      <c r="I503" s="72"/>
      <c r="J503" s="72"/>
      <c r="K503" s="71" t="s">
        <v>11246</v>
      </c>
      <c r="L503" s="75"/>
      <c r="M503" s="76"/>
      <c r="N503" s="76"/>
      <c r="O503" s="77"/>
      <c r="P503" s="78"/>
      <c r="Q503" s="78"/>
      <c r="R503" s="92"/>
      <c r="S503" s="92"/>
      <c r="T503" s="92"/>
      <c r="U503" s="92"/>
      <c r="V503" s="52"/>
      <c r="W503" s="52"/>
      <c r="X503" s="52"/>
      <c r="Y503" s="52"/>
      <c r="Z503" s="51"/>
      <c r="AA503" s="73"/>
      <c r="AB503" s="73"/>
      <c r="AC503" s="74"/>
      <c r="AD503" s="80" t="s">
        <v>7082</v>
      </c>
      <c r="AE503" s="85" t="s">
        <v>8282</v>
      </c>
      <c r="AF503" s="80">
        <v>973</v>
      </c>
      <c r="AG503" s="80">
        <v>1005</v>
      </c>
      <c r="AH503" s="80">
        <v>6244</v>
      </c>
      <c r="AI503" s="80">
        <v>11196</v>
      </c>
      <c r="AJ503" s="80"/>
      <c r="AK503" s="80" t="s">
        <v>9402</v>
      </c>
      <c r="AL503" s="80" t="s">
        <v>10363</v>
      </c>
      <c r="AM503" s="80"/>
      <c r="AN503" s="80"/>
      <c r="AO503" s="82">
        <v>43813.166967592595</v>
      </c>
      <c r="AP503" s="87" t="str">
        <f>HYPERLINK("https://pbs.twimg.com/profile_banners/1205699006032044032/1627482165")</f>
        <v>https://pbs.twimg.com/profile_banners/1205699006032044032/1627482165</v>
      </c>
      <c r="AQ503" s="80" t="b">
        <v>1</v>
      </c>
      <c r="AR503" s="80" t="b">
        <v>0</v>
      </c>
      <c r="AS503" s="80" t="b">
        <v>1</v>
      </c>
      <c r="AT503" s="80"/>
      <c r="AU503" s="80">
        <v>4</v>
      </c>
      <c r="AV503" s="80"/>
      <c r="AW503" s="80" t="b">
        <v>0</v>
      </c>
      <c r="AX503" s="80" t="s">
        <v>10746</v>
      </c>
      <c r="AY503" s="87" t="str">
        <f>HYPERLINK("https://twitter.com/half_moonxstars")</f>
        <v>https://twitter.com/half_moonxstars</v>
      </c>
      <c r="AZ503" s="80" t="s">
        <v>66</v>
      </c>
      <c r="BA503" s="2"/>
      <c r="BB503" s="3"/>
      <c r="BC503" s="3"/>
      <c r="BD503" s="3"/>
      <c r="BE503" s="3"/>
    </row>
    <row r="504" spans="1:57" x14ac:dyDescent="0.35">
      <c r="A504" s="66" t="s">
        <v>615</v>
      </c>
      <c r="B504" s="67"/>
      <c r="C504" s="67"/>
      <c r="D504" s="68"/>
      <c r="E504" s="70"/>
      <c r="F504" s="109" t="str">
        <f>HYPERLINK("https://pbs.twimg.com/profile_images/1356443657767817216/DGmq_J7__normal.jpg")</f>
        <v>https://pbs.twimg.com/profile_images/1356443657767817216/DGmq_J7__normal.jpg</v>
      </c>
      <c r="G504" s="67"/>
      <c r="H504" s="71"/>
      <c r="I504" s="72"/>
      <c r="J504" s="72"/>
      <c r="K504" s="71" t="s">
        <v>11247</v>
      </c>
      <c r="L504" s="75"/>
      <c r="M504" s="76"/>
      <c r="N504" s="76"/>
      <c r="O504" s="77"/>
      <c r="P504" s="78"/>
      <c r="Q504" s="78"/>
      <c r="R504" s="92"/>
      <c r="S504" s="92"/>
      <c r="T504" s="92"/>
      <c r="U504" s="92"/>
      <c r="V504" s="52"/>
      <c r="W504" s="52"/>
      <c r="X504" s="52"/>
      <c r="Y504" s="52"/>
      <c r="Z504" s="51"/>
      <c r="AA504" s="73"/>
      <c r="AB504" s="73"/>
      <c r="AC504" s="74"/>
      <c r="AD504" s="80" t="s">
        <v>7083</v>
      </c>
      <c r="AE504" s="85" t="s">
        <v>8283</v>
      </c>
      <c r="AF504" s="80">
        <v>4</v>
      </c>
      <c r="AG504" s="80">
        <v>572</v>
      </c>
      <c r="AH504" s="80">
        <v>2666</v>
      </c>
      <c r="AI504" s="80">
        <v>63</v>
      </c>
      <c r="AJ504" s="80"/>
      <c r="AK504" s="80" t="s">
        <v>9403</v>
      </c>
      <c r="AL504" s="80" t="s">
        <v>10364</v>
      </c>
      <c r="AM504" s="87" t="str">
        <f>HYPERLINK("https://t.co/MwjfiL9T7E")</f>
        <v>https://t.co/MwjfiL9T7E</v>
      </c>
      <c r="AN504" s="80"/>
      <c r="AO504" s="82">
        <v>44229.142164351855</v>
      </c>
      <c r="AP504" s="87" t="str">
        <f>HYPERLINK("https://pbs.twimg.com/profile_banners/1356443266036637699/1612239344")</f>
        <v>https://pbs.twimg.com/profile_banners/1356443266036637699/1612239344</v>
      </c>
      <c r="AQ504" s="80" t="b">
        <v>1</v>
      </c>
      <c r="AR504" s="80" t="b">
        <v>0</v>
      </c>
      <c r="AS504" s="80" t="b">
        <v>0</v>
      </c>
      <c r="AT504" s="80"/>
      <c r="AU504" s="80">
        <v>0</v>
      </c>
      <c r="AV504" s="80"/>
      <c r="AW504" s="80" t="b">
        <v>0</v>
      </c>
      <c r="AX504" s="80" t="s">
        <v>10746</v>
      </c>
      <c r="AY504" s="87" t="str">
        <f>HYPERLINK("https://twitter.com/nctmydream_")</f>
        <v>https://twitter.com/nctmydream_</v>
      </c>
      <c r="AZ504" s="80" t="s">
        <v>66</v>
      </c>
      <c r="BA504" s="2"/>
      <c r="BB504" s="3"/>
      <c r="BC504" s="3"/>
      <c r="BD504" s="3"/>
      <c r="BE504" s="3"/>
    </row>
    <row r="505" spans="1:57" x14ac:dyDescent="0.35">
      <c r="A505" s="66" t="s">
        <v>616</v>
      </c>
      <c r="B505" s="67"/>
      <c r="C505" s="67"/>
      <c r="D505" s="68"/>
      <c r="E505" s="70"/>
      <c r="F505" s="109" t="str">
        <f>HYPERLINK("https://pbs.twimg.com/profile_images/1427497131208704004/pOGitV6H_normal.jpg")</f>
        <v>https://pbs.twimg.com/profile_images/1427497131208704004/pOGitV6H_normal.jpg</v>
      </c>
      <c r="G505" s="67"/>
      <c r="H505" s="71"/>
      <c r="I505" s="72"/>
      <c r="J505" s="72"/>
      <c r="K505" s="71" t="s">
        <v>11248</v>
      </c>
      <c r="L505" s="75"/>
      <c r="M505" s="76"/>
      <c r="N505" s="76"/>
      <c r="O505" s="77"/>
      <c r="P505" s="78"/>
      <c r="Q505" s="78"/>
      <c r="R505" s="92"/>
      <c r="S505" s="92"/>
      <c r="T505" s="92"/>
      <c r="U505" s="92"/>
      <c r="V505" s="52"/>
      <c r="W505" s="52"/>
      <c r="X505" s="52"/>
      <c r="Y505" s="52"/>
      <c r="Z505" s="51"/>
      <c r="AA505" s="73"/>
      <c r="AB505" s="73"/>
      <c r="AC505" s="74"/>
      <c r="AD505" s="80" t="s">
        <v>616</v>
      </c>
      <c r="AE505" s="85" t="s">
        <v>8284</v>
      </c>
      <c r="AF505" s="80">
        <v>3</v>
      </c>
      <c r="AG505" s="80">
        <v>2508</v>
      </c>
      <c r="AH505" s="80">
        <v>23935</v>
      </c>
      <c r="AI505" s="80">
        <v>173</v>
      </c>
      <c r="AJ505" s="80"/>
      <c r="AK505" s="80" t="s">
        <v>9404</v>
      </c>
      <c r="AL505" s="80" t="s">
        <v>10365</v>
      </c>
      <c r="AM505" s="87" t="str">
        <f>HYPERLINK("https://t.co/KwS8620wmh")</f>
        <v>https://t.co/KwS8620wmh</v>
      </c>
      <c r="AN505" s="80"/>
      <c r="AO505" s="82">
        <v>44146.272152777776</v>
      </c>
      <c r="AP505" s="87" t="str">
        <f>HYPERLINK("https://pbs.twimg.com/profile_banners/1326412279236206592/1629176814")</f>
        <v>https://pbs.twimg.com/profile_banners/1326412279236206592/1629176814</v>
      </c>
      <c r="AQ505" s="80" t="b">
        <v>1</v>
      </c>
      <c r="AR505" s="80" t="b">
        <v>0</v>
      </c>
      <c r="AS505" s="80" t="b">
        <v>0</v>
      </c>
      <c r="AT505" s="80"/>
      <c r="AU505" s="80">
        <v>10</v>
      </c>
      <c r="AV505" s="80"/>
      <c r="AW505" s="80" t="b">
        <v>0</v>
      </c>
      <c r="AX505" s="80" t="s">
        <v>10746</v>
      </c>
      <c r="AY505" s="87" t="str">
        <f>HYPERLINK("https://twitter.com/nctmy95")</f>
        <v>https://twitter.com/nctmy95</v>
      </c>
      <c r="AZ505" s="80" t="s">
        <v>66</v>
      </c>
      <c r="BA505" s="2"/>
      <c r="BB505" s="3"/>
      <c r="BC505" s="3"/>
      <c r="BD505" s="3"/>
      <c r="BE505" s="3"/>
    </row>
    <row r="506" spans="1:57" x14ac:dyDescent="0.35">
      <c r="A506" s="66" t="s">
        <v>617</v>
      </c>
      <c r="B506" s="67"/>
      <c r="C506" s="67"/>
      <c r="D506" s="68"/>
      <c r="E506" s="70"/>
      <c r="F506" s="109" t="str">
        <f>HYPERLINK("https://pbs.twimg.com/profile_images/1428698213381414939/x2TW9E1__normal.jpg")</f>
        <v>https://pbs.twimg.com/profile_images/1428698213381414939/x2TW9E1__normal.jpg</v>
      </c>
      <c r="G506" s="67"/>
      <c r="H506" s="71"/>
      <c r="I506" s="72"/>
      <c r="J506" s="72"/>
      <c r="K506" s="71" t="s">
        <v>11249</v>
      </c>
      <c r="L506" s="75"/>
      <c r="M506" s="76"/>
      <c r="N506" s="76"/>
      <c r="O506" s="77"/>
      <c r="P506" s="78"/>
      <c r="Q506" s="78"/>
      <c r="R506" s="92"/>
      <c r="S506" s="92"/>
      <c r="T506" s="92"/>
      <c r="U506" s="92"/>
      <c r="V506" s="52"/>
      <c r="W506" s="52"/>
      <c r="X506" s="52"/>
      <c r="Y506" s="52"/>
      <c r="Z506" s="51"/>
      <c r="AA506" s="73"/>
      <c r="AB506" s="73"/>
      <c r="AC506" s="74"/>
      <c r="AD506" s="80" t="s">
        <v>7084</v>
      </c>
      <c r="AE506" s="85" t="s">
        <v>8285</v>
      </c>
      <c r="AF506" s="80">
        <v>3859</v>
      </c>
      <c r="AG506" s="80">
        <v>4964</v>
      </c>
      <c r="AH506" s="80">
        <v>6713</v>
      </c>
      <c r="AI506" s="80">
        <v>7901</v>
      </c>
      <c r="AJ506" s="80"/>
      <c r="AK506" s="80" t="s">
        <v>9405</v>
      </c>
      <c r="AL506" s="80" t="s">
        <v>6547</v>
      </c>
      <c r="AM506" s="80"/>
      <c r="AN506" s="80"/>
      <c r="AO506" s="82">
        <v>44030.341747685183</v>
      </c>
      <c r="AP506" s="87" t="str">
        <f>HYPERLINK("https://pbs.twimg.com/profile_banners/1284400323059056640/1619912831")</f>
        <v>https://pbs.twimg.com/profile_banners/1284400323059056640/1619912831</v>
      </c>
      <c r="AQ506" s="80" t="b">
        <v>1</v>
      </c>
      <c r="AR506" s="80" t="b">
        <v>0</v>
      </c>
      <c r="AS506" s="80" t="b">
        <v>0</v>
      </c>
      <c r="AT506" s="80"/>
      <c r="AU506" s="80">
        <v>0</v>
      </c>
      <c r="AV506" s="80"/>
      <c r="AW506" s="80" t="b">
        <v>0</v>
      </c>
      <c r="AX506" s="80" t="s">
        <v>10746</v>
      </c>
      <c r="AY506" s="87" t="str">
        <f>HYPERLINK("https://twitter.com/dhinijogja")</f>
        <v>https://twitter.com/dhinijogja</v>
      </c>
      <c r="AZ506" s="80" t="s">
        <v>66</v>
      </c>
      <c r="BA506" s="2"/>
      <c r="BB506" s="3"/>
      <c r="BC506" s="3"/>
      <c r="BD506" s="3"/>
      <c r="BE506" s="3"/>
    </row>
    <row r="507" spans="1:57" x14ac:dyDescent="0.35">
      <c r="A507" s="66" t="s">
        <v>618</v>
      </c>
      <c r="B507" s="67"/>
      <c r="C507" s="67"/>
      <c r="D507" s="68"/>
      <c r="E507" s="70"/>
      <c r="F507" s="109" t="str">
        <f>HYPERLINK("https://pbs.twimg.com/profile_images/1427608856549462018/hJ7yXrVa_normal.jpg")</f>
        <v>https://pbs.twimg.com/profile_images/1427608856549462018/hJ7yXrVa_normal.jpg</v>
      </c>
      <c r="G507" s="67"/>
      <c r="H507" s="71"/>
      <c r="I507" s="72"/>
      <c r="J507" s="72"/>
      <c r="K507" s="71" t="s">
        <v>11250</v>
      </c>
      <c r="L507" s="75"/>
      <c r="M507" s="76"/>
      <c r="N507" s="76"/>
      <c r="O507" s="77"/>
      <c r="P507" s="78"/>
      <c r="Q507" s="78"/>
      <c r="R507" s="92"/>
      <c r="S507" s="92"/>
      <c r="T507" s="92"/>
      <c r="U507" s="92"/>
      <c r="V507" s="52"/>
      <c r="W507" s="52"/>
      <c r="X507" s="52"/>
      <c r="Y507" s="52"/>
      <c r="Z507" s="51"/>
      <c r="AA507" s="73"/>
      <c r="AB507" s="73"/>
      <c r="AC507" s="74"/>
      <c r="AD507" s="80" t="s">
        <v>7085</v>
      </c>
      <c r="AE507" s="85" t="s">
        <v>8286</v>
      </c>
      <c r="AF507" s="80">
        <v>2</v>
      </c>
      <c r="AG507" s="80">
        <v>435</v>
      </c>
      <c r="AH507" s="80">
        <v>6539</v>
      </c>
      <c r="AI507" s="80">
        <v>0</v>
      </c>
      <c r="AJ507" s="80"/>
      <c r="AK507" s="80" t="s">
        <v>9406</v>
      </c>
      <c r="AL507" s="80" t="s">
        <v>10366</v>
      </c>
      <c r="AM507" s="87" t="str">
        <f>HYPERLINK("https://t.co/1euWwtjzLY")</f>
        <v>https://t.co/1euWwtjzLY</v>
      </c>
      <c r="AN507" s="80"/>
      <c r="AO507" s="82">
        <v>44310.525520833333</v>
      </c>
      <c r="AP507" s="87" t="str">
        <f>HYPERLINK("https://pbs.twimg.com/profile_banners/1385935710415245317/1629207699")</f>
        <v>https://pbs.twimg.com/profile_banners/1385935710415245317/1629207699</v>
      </c>
      <c r="AQ507" s="80" t="b">
        <v>1</v>
      </c>
      <c r="AR507" s="80" t="b">
        <v>0</v>
      </c>
      <c r="AS507" s="80" t="b">
        <v>0</v>
      </c>
      <c r="AT507" s="80"/>
      <c r="AU507" s="80">
        <v>1</v>
      </c>
      <c r="AV507" s="80"/>
      <c r="AW507" s="80" t="b">
        <v>0</v>
      </c>
      <c r="AX507" s="80" t="s">
        <v>10746</v>
      </c>
      <c r="AY507" s="87" t="str">
        <f>HYPERLINK("https://twitter.com/pasarnctrt")</f>
        <v>https://twitter.com/pasarnctrt</v>
      </c>
      <c r="AZ507" s="80" t="s">
        <v>66</v>
      </c>
      <c r="BA507" s="2"/>
      <c r="BB507" s="3"/>
      <c r="BC507" s="3"/>
      <c r="BD507" s="3"/>
      <c r="BE507" s="3"/>
    </row>
    <row r="508" spans="1:57" x14ac:dyDescent="0.35">
      <c r="A508" s="66" t="s">
        <v>619</v>
      </c>
      <c r="B508" s="67"/>
      <c r="C508" s="67"/>
      <c r="D508" s="68"/>
      <c r="E508" s="70"/>
      <c r="F508" s="109" t="str">
        <f>HYPERLINK("https://pbs.twimg.com/profile_images/1419479199853596679/Dm5BRiYZ_normal.jpg")</f>
        <v>https://pbs.twimg.com/profile_images/1419479199853596679/Dm5BRiYZ_normal.jpg</v>
      </c>
      <c r="G508" s="67"/>
      <c r="H508" s="71"/>
      <c r="I508" s="72"/>
      <c r="J508" s="72"/>
      <c r="K508" s="71" t="s">
        <v>11251</v>
      </c>
      <c r="L508" s="75"/>
      <c r="M508" s="76"/>
      <c r="N508" s="76"/>
      <c r="O508" s="77"/>
      <c r="P508" s="78"/>
      <c r="Q508" s="78"/>
      <c r="R508" s="92"/>
      <c r="S508" s="92"/>
      <c r="T508" s="92"/>
      <c r="U508" s="92"/>
      <c r="V508" s="52"/>
      <c r="W508" s="52"/>
      <c r="X508" s="52"/>
      <c r="Y508" s="52"/>
      <c r="Z508" s="51"/>
      <c r="AA508" s="73"/>
      <c r="AB508" s="73"/>
      <c r="AC508" s="74"/>
      <c r="AD508" s="80" t="s">
        <v>7086</v>
      </c>
      <c r="AE508" s="85" t="s">
        <v>8287</v>
      </c>
      <c r="AF508" s="80">
        <v>1686</v>
      </c>
      <c r="AG508" s="80">
        <v>1621</v>
      </c>
      <c r="AH508" s="80">
        <v>7727</v>
      </c>
      <c r="AI508" s="80">
        <v>15178</v>
      </c>
      <c r="AJ508" s="80"/>
      <c r="AK508" s="80" t="s">
        <v>9407</v>
      </c>
      <c r="AL508" s="80" t="s">
        <v>10367</v>
      </c>
      <c r="AM508" s="80"/>
      <c r="AN508" s="80"/>
      <c r="AO508" s="82">
        <v>43978.93236111111</v>
      </c>
      <c r="AP508" s="87" t="str">
        <f>HYPERLINK("https://pbs.twimg.com/profile_banners/1265770313628844032/1622949553")</f>
        <v>https://pbs.twimg.com/profile_banners/1265770313628844032/1622949553</v>
      </c>
      <c r="AQ508" s="80" t="b">
        <v>1</v>
      </c>
      <c r="AR508" s="80" t="b">
        <v>0</v>
      </c>
      <c r="AS508" s="80" t="b">
        <v>0</v>
      </c>
      <c r="AT508" s="80"/>
      <c r="AU508" s="80">
        <v>8</v>
      </c>
      <c r="AV508" s="80"/>
      <c r="AW508" s="80" t="b">
        <v>0</v>
      </c>
      <c r="AX508" s="80" t="s">
        <v>10746</v>
      </c>
      <c r="AY508" s="87" t="str">
        <f>HYPERLINK("https://twitter.com/zigichild")</f>
        <v>https://twitter.com/zigichild</v>
      </c>
      <c r="AZ508" s="80" t="s">
        <v>66</v>
      </c>
      <c r="BA508" s="2"/>
      <c r="BB508" s="3"/>
      <c r="BC508" s="3"/>
      <c r="BD508" s="3"/>
      <c r="BE508" s="3"/>
    </row>
    <row r="509" spans="1:57" x14ac:dyDescent="0.35">
      <c r="A509" s="66" t="s">
        <v>1365</v>
      </c>
      <c r="B509" s="67"/>
      <c r="C509" s="67"/>
      <c r="D509" s="68"/>
      <c r="E509" s="70"/>
      <c r="F509" s="109" t="str">
        <f>HYPERLINK("https://pbs.twimg.com/profile_images/1427836141353324546/RSavHC8__normal.png")</f>
        <v>https://pbs.twimg.com/profile_images/1427836141353324546/RSavHC8__normal.png</v>
      </c>
      <c r="G509" s="67"/>
      <c r="H509" s="71"/>
      <c r="I509" s="72"/>
      <c r="J509" s="72"/>
      <c r="K509" s="71" t="s">
        <v>11252</v>
      </c>
      <c r="L509" s="75"/>
      <c r="M509" s="76"/>
      <c r="N509" s="76"/>
      <c r="O509" s="77"/>
      <c r="P509" s="78"/>
      <c r="Q509" s="78"/>
      <c r="R509" s="92"/>
      <c r="S509" s="92"/>
      <c r="T509" s="92"/>
      <c r="U509" s="92"/>
      <c r="V509" s="52"/>
      <c r="W509" s="52"/>
      <c r="X509" s="52"/>
      <c r="Y509" s="52"/>
      <c r="Z509" s="51"/>
      <c r="AA509" s="73"/>
      <c r="AB509" s="73"/>
      <c r="AC509" s="74"/>
      <c r="AD509" s="80" t="s">
        <v>7087</v>
      </c>
      <c r="AE509" s="85" t="s">
        <v>6329</v>
      </c>
      <c r="AF509" s="80">
        <v>8091</v>
      </c>
      <c r="AG509" s="80">
        <v>306348</v>
      </c>
      <c r="AH509" s="80">
        <v>412506</v>
      </c>
      <c r="AI509" s="80">
        <v>20</v>
      </c>
      <c r="AJ509" s="80"/>
      <c r="AK509" s="80" t="s">
        <v>9408</v>
      </c>
      <c r="AL509" s="80"/>
      <c r="AM509" s="87" t="str">
        <f>HYPERLINK("https://t.co/iaIFcOOXkA")</f>
        <v>https://t.co/iaIFcOOXkA</v>
      </c>
      <c r="AN509" s="80"/>
      <c r="AO509" s="82">
        <v>44114.712106481478</v>
      </c>
      <c r="AP509" s="87" t="str">
        <f>HYPERLINK("https://pbs.twimg.com/profile_banners/1314975287294083073/1629257640")</f>
        <v>https://pbs.twimg.com/profile_banners/1314975287294083073/1629257640</v>
      </c>
      <c r="AQ509" s="80" t="b">
        <v>1</v>
      </c>
      <c r="AR509" s="80" t="b">
        <v>0</v>
      </c>
      <c r="AS509" s="80" t="b">
        <v>1</v>
      </c>
      <c r="AT509" s="80"/>
      <c r="AU509" s="80">
        <v>3849</v>
      </c>
      <c r="AV509" s="80"/>
      <c r="AW509" s="80" t="b">
        <v>0</v>
      </c>
      <c r="AX509" s="80" t="s">
        <v>10746</v>
      </c>
      <c r="AY509" s="87" t="str">
        <f>HYPERLINK("https://twitter.com/convomf")</f>
        <v>https://twitter.com/convomf</v>
      </c>
      <c r="AZ509" s="80" t="s">
        <v>65</v>
      </c>
      <c r="BA509" s="2"/>
      <c r="BB509" s="3"/>
      <c r="BC509" s="3"/>
      <c r="BD509" s="3"/>
      <c r="BE509" s="3"/>
    </row>
    <row r="510" spans="1:57" x14ac:dyDescent="0.35">
      <c r="A510" s="66" t="s">
        <v>620</v>
      </c>
      <c r="B510" s="67"/>
      <c r="C510" s="67"/>
      <c r="D510" s="68"/>
      <c r="E510" s="70"/>
      <c r="F510" s="109" t="str">
        <f>HYPERLINK("https://pbs.twimg.com/profile_images/1376977612866646019/p1jnlMYL_normal.jpg")</f>
        <v>https://pbs.twimg.com/profile_images/1376977612866646019/p1jnlMYL_normal.jpg</v>
      </c>
      <c r="G510" s="67"/>
      <c r="H510" s="71"/>
      <c r="I510" s="72"/>
      <c r="J510" s="72"/>
      <c r="K510" s="71" t="s">
        <v>11253</v>
      </c>
      <c r="L510" s="75"/>
      <c r="M510" s="76"/>
      <c r="N510" s="76"/>
      <c r="O510" s="77"/>
      <c r="P510" s="78"/>
      <c r="Q510" s="78"/>
      <c r="R510" s="92"/>
      <c r="S510" s="92"/>
      <c r="T510" s="92"/>
      <c r="U510" s="92"/>
      <c r="V510" s="52"/>
      <c r="W510" s="52"/>
      <c r="X510" s="52"/>
      <c r="Y510" s="52"/>
      <c r="Z510" s="51"/>
      <c r="AA510" s="73"/>
      <c r="AB510" s="73"/>
      <c r="AC510" s="74"/>
      <c r="AD510" s="80" t="s">
        <v>7088</v>
      </c>
      <c r="AE510" s="85" t="s">
        <v>8288</v>
      </c>
      <c r="AF510" s="80">
        <v>151</v>
      </c>
      <c r="AG510" s="80">
        <v>12</v>
      </c>
      <c r="AH510" s="80">
        <v>757</v>
      </c>
      <c r="AI510" s="80">
        <v>313</v>
      </c>
      <c r="AJ510" s="80"/>
      <c r="AK510" s="80" t="s">
        <v>9409</v>
      </c>
      <c r="AL510" s="80"/>
      <c r="AM510" s="80"/>
      <c r="AN510" s="80"/>
      <c r="AO510" s="82">
        <v>43120.302881944444</v>
      </c>
      <c r="AP510" s="87" t="str">
        <f>HYPERLINK("https://pbs.twimg.com/profile_banners/954613503133798400/1628505496")</f>
        <v>https://pbs.twimg.com/profile_banners/954613503133798400/1628505496</v>
      </c>
      <c r="AQ510" s="80" t="b">
        <v>1</v>
      </c>
      <c r="AR510" s="80" t="b">
        <v>0</v>
      </c>
      <c r="AS510" s="80" t="b">
        <v>0</v>
      </c>
      <c r="AT510" s="80"/>
      <c r="AU510" s="80">
        <v>0</v>
      </c>
      <c r="AV510" s="80"/>
      <c r="AW510" s="80" t="b">
        <v>0</v>
      </c>
      <c r="AX510" s="80" t="s">
        <v>10746</v>
      </c>
      <c r="AY510" s="87" t="str">
        <f>HYPERLINK("https://twitter.com/jjeyaz")</f>
        <v>https://twitter.com/jjeyaz</v>
      </c>
      <c r="AZ510" s="80" t="s">
        <v>66</v>
      </c>
      <c r="BA510" s="2"/>
      <c r="BB510" s="3"/>
      <c r="BC510" s="3"/>
      <c r="BD510" s="3"/>
      <c r="BE510" s="3"/>
    </row>
    <row r="511" spans="1:57" x14ac:dyDescent="0.35">
      <c r="A511" s="66" t="s">
        <v>1366</v>
      </c>
      <c r="B511" s="67"/>
      <c r="C511" s="67"/>
      <c r="D511" s="68"/>
      <c r="E511" s="70"/>
      <c r="F511" s="109" t="str">
        <f>HYPERLINK("https://pbs.twimg.com/profile_images/1429619790839123968/6_pQgY05_normal.jpg")</f>
        <v>https://pbs.twimg.com/profile_images/1429619790839123968/6_pQgY05_normal.jpg</v>
      </c>
      <c r="G511" s="67"/>
      <c r="H511" s="71"/>
      <c r="I511" s="72"/>
      <c r="J511" s="72"/>
      <c r="K511" s="71" t="s">
        <v>11254</v>
      </c>
      <c r="L511" s="75"/>
      <c r="M511" s="76"/>
      <c r="N511" s="76"/>
      <c r="O511" s="77"/>
      <c r="P511" s="78"/>
      <c r="Q511" s="78"/>
      <c r="R511" s="92"/>
      <c r="S511" s="92"/>
      <c r="T511" s="92"/>
      <c r="U511" s="92"/>
      <c r="V511" s="52"/>
      <c r="W511" s="52"/>
      <c r="X511" s="52"/>
      <c r="Y511" s="52"/>
      <c r="Z511" s="51"/>
      <c r="AA511" s="73"/>
      <c r="AB511" s="73"/>
      <c r="AC511" s="74"/>
      <c r="AD511" s="80" t="s">
        <v>7089</v>
      </c>
      <c r="AE511" s="85" t="s">
        <v>6330</v>
      </c>
      <c r="AF511" s="80">
        <v>215</v>
      </c>
      <c r="AG511" s="80">
        <v>440</v>
      </c>
      <c r="AH511" s="80">
        <v>660</v>
      </c>
      <c r="AI511" s="80">
        <v>943</v>
      </c>
      <c r="AJ511" s="80"/>
      <c r="AK511" s="80" t="s">
        <v>9410</v>
      </c>
      <c r="AL511" s="80" t="s">
        <v>10368</v>
      </c>
      <c r="AM511" s="80"/>
      <c r="AN511" s="80"/>
      <c r="AO511" s="82">
        <v>43576.177430555559</v>
      </c>
      <c r="AP511" s="87" t="str">
        <f>HYPERLINK("https://pbs.twimg.com/profile_banners/1119816908113453058/1629272905")</f>
        <v>https://pbs.twimg.com/profile_banners/1119816908113453058/1629272905</v>
      </c>
      <c r="AQ511" s="80" t="b">
        <v>1</v>
      </c>
      <c r="AR511" s="80" t="b">
        <v>0</v>
      </c>
      <c r="AS511" s="80" t="b">
        <v>0</v>
      </c>
      <c r="AT511" s="80"/>
      <c r="AU511" s="80">
        <v>1</v>
      </c>
      <c r="AV511" s="80"/>
      <c r="AW511" s="80" t="b">
        <v>0</v>
      </c>
      <c r="AX511" s="80" t="s">
        <v>10746</v>
      </c>
      <c r="AY511" s="87" t="str">
        <f>HYPERLINK("https://twitter.com/fiddinroyan")</f>
        <v>https://twitter.com/fiddinroyan</v>
      </c>
      <c r="AZ511" s="80" t="s">
        <v>65</v>
      </c>
      <c r="BA511" s="2"/>
      <c r="BB511" s="3"/>
      <c r="BC511" s="3"/>
      <c r="BD511" s="3"/>
      <c r="BE511" s="3"/>
    </row>
    <row r="512" spans="1:57" x14ac:dyDescent="0.35">
      <c r="A512" s="66" t="s">
        <v>621</v>
      </c>
      <c r="B512" s="67"/>
      <c r="C512" s="67"/>
      <c r="D512" s="68"/>
      <c r="E512" s="70"/>
      <c r="F512" s="109" t="str">
        <f>HYPERLINK("https://pbs.twimg.com/profile_images/1438641377714196483/Mol7n_bp_normal.jpg")</f>
        <v>https://pbs.twimg.com/profile_images/1438641377714196483/Mol7n_bp_normal.jpg</v>
      </c>
      <c r="G512" s="67"/>
      <c r="H512" s="71"/>
      <c r="I512" s="72"/>
      <c r="J512" s="72"/>
      <c r="K512" s="71" t="s">
        <v>11255</v>
      </c>
      <c r="L512" s="75"/>
      <c r="M512" s="76"/>
      <c r="N512" s="76"/>
      <c r="O512" s="77"/>
      <c r="P512" s="78"/>
      <c r="Q512" s="78"/>
      <c r="R512" s="92"/>
      <c r="S512" s="92"/>
      <c r="T512" s="92"/>
      <c r="U512" s="92"/>
      <c r="V512" s="52"/>
      <c r="W512" s="52"/>
      <c r="X512" s="52"/>
      <c r="Y512" s="52"/>
      <c r="Z512" s="51"/>
      <c r="AA512" s="73"/>
      <c r="AB512" s="73"/>
      <c r="AC512" s="74"/>
      <c r="AD512" s="80" t="s">
        <v>7090</v>
      </c>
      <c r="AE512" s="85" t="s">
        <v>8289</v>
      </c>
      <c r="AF512" s="80">
        <v>613</v>
      </c>
      <c r="AG512" s="80">
        <v>1981</v>
      </c>
      <c r="AH512" s="80">
        <v>93768</v>
      </c>
      <c r="AI512" s="80">
        <v>10316</v>
      </c>
      <c r="AJ512" s="80"/>
      <c r="AK512" s="80" t="s">
        <v>9411</v>
      </c>
      <c r="AL512" s="80" t="s">
        <v>10369</v>
      </c>
      <c r="AM512" s="80"/>
      <c r="AN512" s="80"/>
      <c r="AO512" s="82">
        <v>40251.262361111112</v>
      </c>
      <c r="AP512" s="87" t="str">
        <f>HYPERLINK("https://pbs.twimg.com/profile_banners/122878616/1604508227")</f>
        <v>https://pbs.twimg.com/profile_banners/122878616/1604508227</v>
      </c>
      <c r="AQ512" s="80" t="b">
        <v>0</v>
      </c>
      <c r="AR512" s="80" t="b">
        <v>0</v>
      </c>
      <c r="AS512" s="80" t="b">
        <v>1</v>
      </c>
      <c r="AT512" s="80"/>
      <c r="AU512" s="80">
        <v>4</v>
      </c>
      <c r="AV512" s="87" t="str">
        <f>HYPERLINK("https://abs.twimg.com/images/themes/theme1/bg.png")</f>
        <v>https://abs.twimg.com/images/themes/theme1/bg.png</v>
      </c>
      <c r="AW512" s="80" t="b">
        <v>0</v>
      </c>
      <c r="AX512" s="80" t="s">
        <v>10746</v>
      </c>
      <c r="AY512" s="87" t="str">
        <f>HYPERLINK("https://twitter.com/nblnndf")</f>
        <v>https://twitter.com/nblnndf</v>
      </c>
      <c r="AZ512" s="80" t="s">
        <v>66</v>
      </c>
      <c r="BA512" s="2"/>
      <c r="BB512" s="3"/>
      <c r="BC512" s="3"/>
      <c r="BD512" s="3"/>
      <c r="BE512" s="3"/>
    </row>
    <row r="513" spans="1:57" x14ac:dyDescent="0.35">
      <c r="A513" s="66" t="s">
        <v>622</v>
      </c>
      <c r="B513" s="67"/>
      <c r="C513" s="67"/>
      <c r="D513" s="68"/>
      <c r="E513" s="70"/>
      <c r="F513" s="109" t="str">
        <f>HYPERLINK("https://pbs.twimg.com/profile_images/1431240005360369668/tcSrO4St_normal.jpg")</f>
        <v>https://pbs.twimg.com/profile_images/1431240005360369668/tcSrO4St_normal.jpg</v>
      </c>
      <c r="G513" s="67"/>
      <c r="H513" s="71"/>
      <c r="I513" s="72"/>
      <c r="J513" s="72"/>
      <c r="K513" s="71" t="s">
        <v>11256</v>
      </c>
      <c r="L513" s="75"/>
      <c r="M513" s="76"/>
      <c r="N513" s="76"/>
      <c r="O513" s="77"/>
      <c r="P513" s="78"/>
      <c r="Q513" s="78"/>
      <c r="R513" s="92"/>
      <c r="S513" s="92"/>
      <c r="T513" s="92"/>
      <c r="U513" s="92"/>
      <c r="V513" s="52"/>
      <c r="W513" s="52"/>
      <c r="X513" s="52"/>
      <c r="Y513" s="52"/>
      <c r="Z513" s="51"/>
      <c r="AA513" s="73"/>
      <c r="AB513" s="73"/>
      <c r="AC513" s="74"/>
      <c r="AD513" s="80" t="s">
        <v>7091</v>
      </c>
      <c r="AE513" s="85" t="s">
        <v>8290</v>
      </c>
      <c r="AF513" s="80">
        <v>91</v>
      </c>
      <c r="AG513" s="80">
        <v>116</v>
      </c>
      <c r="AH513" s="80">
        <v>1354</v>
      </c>
      <c r="AI513" s="80">
        <v>3191</v>
      </c>
      <c r="AJ513" s="80"/>
      <c r="AK513" s="80" t="s">
        <v>9412</v>
      </c>
      <c r="AL513" s="80" t="s">
        <v>10370</v>
      </c>
      <c r="AM513" s="80"/>
      <c r="AN513" s="80"/>
      <c r="AO513" s="82">
        <v>43754.131388888891</v>
      </c>
      <c r="AP513" s="87" t="str">
        <f>HYPERLINK("https://pbs.twimg.com/profile_banners/1184305210774020096/1595649673")</f>
        <v>https://pbs.twimg.com/profile_banners/1184305210774020096/1595649673</v>
      </c>
      <c r="AQ513" s="80" t="b">
        <v>1</v>
      </c>
      <c r="AR513" s="80" t="b">
        <v>0</v>
      </c>
      <c r="AS513" s="80" t="b">
        <v>0</v>
      </c>
      <c r="AT513" s="80"/>
      <c r="AU513" s="80">
        <v>0</v>
      </c>
      <c r="AV513" s="80"/>
      <c r="AW513" s="80" t="b">
        <v>0</v>
      </c>
      <c r="AX513" s="80" t="s">
        <v>10746</v>
      </c>
      <c r="AY513" s="87" t="str">
        <f>HYPERLINK("https://twitter.com/fuznalaela")</f>
        <v>https://twitter.com/fuznalaela</v>
      </c>
      <c r="AZ513" s="80" t="s">
        <v>66</v>
      </c>
      <c r="BA513" s="2"/>
      <c r="BB513" s="3"/>
      <c r="BC513" s="3"/>
      <c r="BD513" s="3"/>
      <c r="BE513" s="3"/>
    </row>
    <row r="514" spans="1:57" x14ac:dyDescent="0.35">
      <c r="A514" s="66" t="s">
        <v>623</v>
      </c>
      <c r="B514" s="67"/>
      <c r="C514" s="67"/>
      <c r="D514" s="68"/>
      <c r="E514" s="70"/>
      <c r="F514" s="109" t="str">
        <f>HYPERLINK("https://pbs.twimg.com/profile_images/1441627411683049482/iB_krL1X_normal.jpg")</f>
        <v>https://pbs.twimg.com/profile_images/1441627411683049482/iB_krL1X_normal.jpg</v>
      </c>
      <c r="G514" s="67"/>
      <c r="H514" s="71"/>
      <c r="I514" s="72"/>
      <c r="J514" s="72"/>
      <c r="K514" s="71" t="s">
        <v>11257</v>
      </c>
      <c r="L514" s="75"/>
      <c r="M514" s="76"/>
      <c r="N514" s="76"/>
      <c r="O514" s="77"/>
      <c r="P514" s="78"/>
      <c r="Q514" s="78"/>
      <c r="R514" s="92"/>
      <c r="S514" s="92"/>
      <c r="T514" s="92"/>
      <c r="U514" s="92"/>
      <c r="V514" s="52"/>
      <c r="W514" s="52"/>
      <c r="X514" s="52"/>
      <c r="Y514" s="52"/>
      <c r="Z514" s="51"/>
      <c r="AA514" s="73"/>
      <c r="AB514" s="73"/>
      <c r="AC514" s="74"/>
      <c r="AD514" s="80" t="s">
        <v>7092</v>
      </c>
      <c r="AE514" s="85" t="s">
        <v>8291</v>
      </c>
      <c r="AF514" s="80">
        <v>21</v>
      </c>
      <c r="AG514" s="80">
        <v>16</v>
      </c>
      <c r="AH514" s="80">
        <v>608</v>
      </c>
      <c r="AI514" s="80">
        <v>8</v>
      </c>
      <c r="AJ514" s="80"/>
      <c r="AK514" s="80" t="s">
        <v>9413</v>
      </c>
      <c r="AL514" s="80"/>
      <c r="AM514" s="80"/>
      <c r="AN514" s="80"/>
      <c r="AO514" s="82">
        <v>44460.695706018516</v>
      </c>
      <c r="AP514" s="87" t="str">
        <f>HYPERLINK("https://pbs.twimg.com/profile_banners/1440355320958570502/1632545596")</f>
        <v>https://pbs.twimg.com/profile_banners/1440355320958570502/1632545596</v>
      </c>
      <c r="AQ514" s="80" t="b">
        <v>1</v>
      </c>
      <c r="AR514" s="80" t="b">
        <v>0</v>
      </c>
      <c r="AS514" s="80" t="b">
        <v>0</v>
      </c>
      <c r="AT514" s="80"/>
      <c r="AU514" s="80">
        <v>0</v>
      </c>
      <c r="AV514" s="80"/>
      <c r="AW514" s="80" t="b">
        <v>0</v>
      </c>
      <c r="AX514" s="80" t="s">
        <v>10746</v>
      </c>
      <c r="AY514" s="87" t="str">
        <f>HYPERLINK("https://twitter.com/lem0n4de_sh0p")</f>
        <v>https://twitter.com/lem0n4de_sh0p</v>
      </c>
      <c r="AZ514" s="80" t="s">
        <v>66</v>
      </c>
      <c r="BA514" s="2"/>
      <c r="BB514" s="3"/>
      <c r="BC514" s="3"/>
      <c r="BD514" s="3"/>
      <c r="BE514" s="3"/>
    </row>
    <row r="515" spans="1:57" x14ac:dyDescent="0.35">
      <c r="A515" s="66" t="s">
        <v>624</v>
      </c>
      <c r="B515" s="67"/>
      <c r="C515" s="67"/>
      <c r="D515" s="68"/>
      <c r="E515" s="70"/>
      <c r="F515" s="109" t="str">
        <f>HYPERLINK("https://pbs.twimg.com/profile_images/1338685347803189249/4PJxT9lZ_normal.jpg")</f>
        <v>https://pbs.twimg.com/profile_images/1338685347803189249/4PJxT9lZ_normal.jpg</v>
      </c>
      <c r="G515" s="67"/>
      <c r="H515" s="71"/>
      <c r="I515" s="72"/>
      <c r="J515" s="72"/>
      <c r="K515" s="71" t="s">
        <v>11258</v>
      </c>
      <c r="L515" s="75"/>
      <c r="M515" s="76"/>
      <c r="N515" s="76"/>
      <c r="O515" s="77"/>
      <c r="P515" s="78"/>
      <c r="Q515" s="78"/>
      <c r="R515" s="92"/>
      <c r="S515" s="92"/>
      <c r="T515" s="92"/>
      <c r="U515" s="92"/>
      <c r="V515" s="52"/>
      <c r="W515" s="52"/>
      <c r="X515" s="52"/>
      <c r="Y515" s="52"/>
      <c r="Z515" s="51"/>
      <c r="AA515" s="73"/>
      <c r="AB515" s="73"/>
      <c r="AC515" s="74"/>
      <c r="AD515" s="80" t="s">
        <v>7093</v>
      </c>
      <c r="AE515" s="85" t="s">
        <v>8292</v>
      </c>
      <c r="AF515" s="80">
        <v>642</v>
      </c>
      <c r="AG515" s="80">
        <v>671</v>
      </c>
      <c r="AH515" s="80">
        <v>15173</v>
      </c>
      <c r="AI515" s="80">
        <v>16750</v>
      </c>
      <c r="AJ515" s="80"/>
      <c r="AK515" s="80" t="s">
        <v>9414</v>
      </c>
      <c r="AL515" s="80"/>
      <c r="AM515" s="80"/>
      <c r="AN515" s="80"/>
      <c r="AO515" s="82">
        <v>44107.713622685187</v>
      </c>
      <c r="AP515" s="87" t="str">
        <f>HYPERLINK("https://pbs.twimg.com/profile_banners/1312439089224798215/1601746376")</f>
        <v>https://pbs.twimg.com/profile_banners/1312439089224798215/1601746376</v>
      </c>
      <c r="AQ515" s="80" t="b">
        <v>1</v>
      </c>
      <c r="AR515" s="80" t="b">
        <v>0</v>
      </c>
      <c r="AS515" s="80" t="b">
        <v>0</v>
      </c>
      <c r="AT515" s="80"/>
      <c r="AU515" s="80">
        <v>0</v>
      </c>
      <c r="AV515" s="80"/>
      <c r="AW515" s="80" t="b">
        <v>0</v>
      </c>
      <c r="AX515" s="80" t="s">
        <v>10746</v>
      </c>
      <c r="AY515" s="87" t="str">
        <f>HYPERLINK("https://twitter.com/ilusikmu")</f>
        <v>https://twitter.com/ilusikmu</v>
      </c>
      <c r="AZ515" s="80" t="s">
        <v>66</v>
      </c>
      <c r="BA515" s="2"/>
      <c r="BB515" s="3"/>
      <c r="BC515" s="3"/>
      <c r="BD515" s="3"/>
      <c r="BE515" s="3"/>
    </row>
    <row r="516" spans="1:57" x14ac:dyDescent="0.35">
      <c r="A516" s="66" t="s">
        <v>1108</v>
      </c>
      <c r="B516" s="67"/>
      <c r="C516" s="67"/>
      <c r="D516" s="68"/>
      <c r="E516" s="70"/>
      <c r="F516" s="109" t="str">
        <f>HYPERLINK("https://pbs.twimg.com/profile_images/1348942039765839873/-ZNEYh3H_normal.jpg")</f>
        <v>https://pbs.twimg.com/profile_images/1348942039765839873/-ZNEYh3H_normal.jpg</v>
      </c>
      <c r="G516" s="67"/>
      <c r="H516" s="71"/>
      <c r="I516" s="72"/>
      <c r="J516" s="72"/>
      <c r="K516" s="71" t="s">
        <v>11259</v>
      </c>
      <c r="L516" s="75"/>
      <c r="M516" s="76"/>
      <c r="N516" s="76"/>
      <c r="O516" s="77"/>
      <c r="P516" s="78"/>
      <c r="Q516" s="78"/>
      <c r="R516" s="92"/>
      <c r="S516" s="92"/>
      <c r="T516" s="92"/>
      <c r="U516" s="92"/>
      <c r="V516" s="52"/>
      <c r="W516" s="52"/>
      <c r="X516" s="52"/>
      <c r="Y516" s="52"/>
      <c r="Z516" s="51"/>
      <c r="AA516" s="73"/>
      <c r="AB516" s="73"/>
      <c r="AC516" s="74"/>
      <c r="AD516" s="80" t="s">
        <v>7094</v>
      </c>
      <c r="AE516" s="85" t="s">
        <v>8293</v>
      </c>
      <c r="AF516" s="80">
        <v>2901</v>
      </c>
      <c r="AG516" s="80">
        <v>3278</v>
      </c>
      <c r="AH516" s="80">
        <v>21756</v>
      </c>
      <c r="AI516" s="80">
        <v>33711</v>
      </c>
      <c r="AJ516" s="80"/>
      <c r="AK516" s="80" t="s">
        <v>9415</v>
      </c>
      <c r="AL516" s="80"/>
      <c r="AM516" s="80"/>
      <c r="AN516" s="80"/>
      <c r="AO516" s="82">
        <v>44095.166400462964</v>
      </c>
      <c r="AP516" s="87" t="str">
        <f>HYPERLINK("https://pbs.twimg.com/profile_banners/1307892095240212480/1623504963")</f>
        <v>https://pbs.twimg.com/profile_banners/1307892095240212480/1623504963</v>
      </c>
      <c r="AQ516" s="80" t="b">
        <v>1</v>
      </c>
      <c r="AR516" s="80" t="b">
        <v>0</v>
      </c>
      <c r="AS516" s="80" t="b">
        <v>1</v>
      </c>
      <c r="AT516" s="80"/>
      <c r="AU516" s="80">
        <v>0</v>
      </c>
      <c r="AV516" s="80"/>
      <c r="AW516" s="80" t="b">
        <v>0</v>
      </c>
      <c r="AX516" s="80" t="s">
        <v>10746</v>
      </c>
      <c r="AY516" s="87" t="str">
        <f>HYPERLINK("https://twitter.com/ndukla2")</f>
        <v>https://twitter.com/ndukla2</v>
      </c>
      <c r="AZ516" s="80" t="s">
        <v>66</v>
      </c>
      <c r="BA516" s="2"/>
      <c r="BB516" s="3"/>
      <c r="BC516" s="3"/>
      <c r="BD516" s="3"/>
      <c r="BE516" s="3"/>
    </row>
    <row r="517" spans="1:57" x14ac:dyDescent="0.35">
      <c r="A517" s="66" t="s">
        <v>625</v>
      </c>
      <c r="B517" s="67"/>
      <c r="C517" s="67"/>
      <c r="D517" s="68"/>
      <c r="E517" s="70"/>
      <c r="F517" s="109" t="str">
        <f>HYPERLINK("https://pbs.twimg.com/profile_images/1338896059595071490/saNLRk6r_normal.jpg")</f>
        <v>https://pbs.twimg.com/profile_images/1338896059595071490/saNLRk6r_normal.jpg</v>
      </c>
      <c r="G517" s="67"/>
      <c r="H517" s="71"/>
      <c r="I517" s="72"/>
      <c r="J517" s="72"/>
      <c r="K517" s="71" t="s">
        <v>11260</v>
      </c>
      <c r="L517" s="75"/>
      <c r="M517" s="76"/>
      <c r="N517" s="76"/>
      <c r="O517" s="77"/>
      <c r="P517" s="78"/>
      <c r="Q517" s="78"/>
      <c r="R517" s="92"/>
      <c r="S517" s="92"/>
      <c r="T517" s="92"/>
      <c r="U517" s="92"/>
      <c r="V517" s="52"/>
      <c r="W517" s="52"/>
      <c r="X517" s="52"/>
      <c r="Y517" s="52"/>
      <c r="Z517" s="51"/>
      <c r="AA517" s="73"/>
      <c r="AB517" s="73"/>
      <c r="AC517" s="74"/>
      <c r="AD517" s="80" t="s">
        <v>7095</v>
      </c>
      <c r="AE517" s="85" t="s">
        <v>8294</v>
      </c>
      <c r="AF517" s="80">
        <v>655</v>
      </c>
      <c r="AG517" s="80">
        <v>628</v>
      </c>
      <c r="AH517" s="80">
        <v>5938</v>
      </c>
      <c r="AI517" s="80">
        <v>7284</v>
      </c>
      <c r="AJ517" s="80"/>
      <c r="AK517" s="80" t="s">
        <v>9416</v>
      </c>
      <c r="AL517" s="80"/>
      <c r="AM517" s="80"/>
      <c r="AN517" s="80"/>
      <c r="AO517" s="82">
        <v>44142.446817129632</v>
      </c>
      <c r="AP517" s="87" t="str">
        <f>HYPERLINK("https://pbs.twimg.com/profile_banners/1325025951189594112/1617449312")</f>
        <v>https://pbs.twimg.com/profile_banners/1325025951189594112/1617449312</v>
      </c>
      <c r="AQ517" s="80" t="b">
        <v>1</v>
      </c>
      <c r="AR517" s="80" t="b">
        <v>0</v>
      </c>
      <c r="AS517" s="80" t="b">
        <v>0</v>
      </c>
      <c r="AT517" s="80"/>
      <c r="AU517" s="80">
        <v>0</v>
      </c>
      <c r="AV517" s="80"/>
      <c r="AW517" s="80" t="b">
        <v>0</v>
      </c>
      <c r="AX517" s="80" t="s">
        <v>10746</v>
      </c>
      <c r="AY517" s="87" t="str">
        <f>HYPERLINK("https://twitter.com/sunyibiar")</f>
        <v>https://twitter.com/sunyibiar</v>
      </c>
      <c r="AZ517" s="80" t="s">
        <v>66</v>
      </c>
      <c r="BA517" s="2"/>
      <c r="BB517" s="3"/>
      <c r="BC517" s="3"/>
      <c r="BD517" s="3"/>
      <c r="BE517" s="3"/>
    </row>
    <row r="518" spans="1:57" x14ac:dyDescent="0.35">
      <c r="A518" s="66" t="s">
        <v>626</v>
      </c>
      <c r="B518" s="67"/>
      <c r="C518" s="67"/>
      <c r="D518" s="68"/>
      <c r="E518" s="70"/>
      <c r="F518" s="109" t="str">
        <f>HYPERLINK("https://pbs.twimg.com/profile_images/1440383771581157376/42MolmeB_normal.jpg")</f>
        <v>https://pbs.twimg.com/profile_images/1440383771581157376/42MolmeB_normal.jpg</v>
      </c>
      <c r="G518" s="67"/>
      <c r="H518" s="71"/>
      <c r="I518" s="72"/>
      <c r="J518" s="72"/>
      <c r="K518" s="71" t="s">
        <v>11261</v>
      </c>
      <c r="L518" s="75"/>
      <c r="M518" s="76"/>
      <c r="N518" s="76"/>
      <c r="O518" s="77"/>
      <c r="P518" s="78"/>
      <c r="Q518" s="78"/>
      <c r="R518" s="92"/>
      <c r="S518" s="92"/>
      <c r="T518" s="92"/>
      <c r="U518" s="92"/>
      <c r="V518" s="52"/>
      <c r="W518" s="52"/>
      <c r="X518" s="52"/>
      <c r="Y518" s="52"/>
      <c r="Z518" s="51"/>
      <c r="AA518" s="73"/>
      <c r="AB518" s="73"/>
      <c r="AC518" s="74"/>
      <c r="AD518" s="80" t="s">
        <v>7096</v>
      </c>
      <c r="AE518" s="85" t="s">
        <v>8295</v>
      </c>
      <c r="AF518" s="80">
        <v>324</v>
      </c>
      <c r="AG518" s="80">
        <v>306</v>
      </c>
      <c r="AH518" s="80">
        <v>2560</v>
      </c>
      <c r="AI518" s="80">
        <v>4050</v>
      </c>
      <c r="AJ518" s="80"/>
      <c r="AK518" s="80"/>
      <c r="AL518" s="80"/>
      <c r="AM518" s="80"/>
      <c r="AN518" s="80"/>
      <c r="AO518" s="82">
        <v>44269.331423611111</v>
      </c>
      <c r="AP518" s="87" t="str">
        <f>HYPERLINK("https://pbs.twimg.com/profile_banners/1371004020676907008/1617449458")</f>
        <v>https://pbs.twimg.com/profile_banners/1371004020676907008/1617449458</v>
      </c>
      <c r="AQ518" s="80" t="b">
        <v>1</v>
      </c>
      <c r="AR518" s="80" t="b">
        <v>0</v>
      </c>
      <c r="AS518" s="80" t="b">
        <v>0</v>
      </c>
      <c r="AT518" s="80"/>
      <c r="AU518" s="80">
        <v>0</v>
      </c>
      <c r="AV518" s="80"/>
      <c r="AW518" s="80" t="b">
        <v>0</v>
      </c>
      <c r="AX518" s="80" t="s">
        <v>10746</v>
      </c>
      <c r="AY518" s="87" t="str">
        <f>HYPERLINK("https://twitter.com/winkiwinki_")</f>
        <v>https://twitter.com/winkiwinki_</v>
      </c>
      <c r="AZ518" s="80" t="s">
        <v>66</v>
      </c>
      <c r="BA518" s="2"/>
      <c r="BB518" s="3"/>
      <c r="BC518" s="3"/>
      <c r="BD518" s="3"/>
      <c r="BE518" s="3"/>
    </row>
    <row r="519" spans="1:57" x14ac:dyDescent="0.35">
      <c r="A519" s="66" t="s">
        <v>627</v>
      </c>
      <c r="B519" s="67"/>
      <c r="C519" s="67"/>
      <c r="D519" s="68"/>
      <c r="E519" s="70"/>
      <c r="F519" s="109" t="str">
        <f>HYPERLINK("https://pbs.twimg.com/profile_images/1440384293126107139/JsAtWATB_normal.jpg")</f>
        <v>https://pbs.twimg.com/profile_images/1440384293126107139/JsAtWATB_normal.jpg</v>
      </c>
      <c r="G519" s="67"/>
      <c r="H519" s="71"/>
      <c r="I519" s="72"/>
      <c r="J519" s="72"/>
      <c r="K519" s="71" t="s">
        <v>11262</v>
      </c>
      <c r="L519" s="75"/>
      <c r="M519" s="76"/>
      <c r="N519" s="76"/>
      <c r="O519" s="77"/>
      <c r="P519" s="78"/>
      <c r="Q519" s="78"/>
      <c r="R519" s="92"/>
      <c r="S519" s="92"/>
      <c r="T519" s="92"/>
      <c r="U519" s="92"/>
      <c r="V519" s="52"/>
      <c r="W519" s="52"/>
      <c r="X519" s="52"/>
      <c r="Y519" s="52"/>
      <c r="Z519" s="51"/>
      <c r="AA519" s="73"/>
      <c r="AB519" s="73"/>
      <c r="AC519" s="74"/>
      <c r="AD519" s="80" t="s">
        <v>7097</v>
      </c>
      <c r="AE519" s="85" t="s">
        <v>8296</v>
      </c>
      <c r="AF519" s="80">
        <v>222</v>
      </c>
      <c r="AG519" s="80">
        <v>221</v>
      </c>
      <c r="AH519" s="80">
        <v>2137</v>
      </c>
      <c r="AI519" s="80">
        <v>3547</v>
      </c>
      <c r="AJ519" s="80"/>
      <c r="AK519" s="80"/>
      <c r="AL519" s="80"/>
      <c r="AM519" s="80"/>
      <c r="AN519" s="80"/>
      <c r="AO519" s="82">
        <v>44269.794236111113</v>
      </c>
      <c r="AP519" s="87" t="str">
        <f>HYPERLINK("https://pbs.twimg.com/profile_banners/1371170537704058886/1632249516")</f>
        <v>https://pbs.twimg.com/profile_banners/1371170537704058886/1632249516</v>
      </c>
      <c r="AQ519" s="80" t="b">
        <v>1</v>
      </c>
      <c r="AR519" s="80" t="b">
        <v>0</v>
      </c>
      <c r="AS519" s="80" t="b">
        <v>0</v>
      </c>
      <c r="AT519" s="80"/>
      <c r="AU519" s="80">
        <v>0</v>
      </c>
      <c r="AV519" s="80"/>
      <c r="AW519" s="80" t="b">
        <v>0</v>
      </c>
      <c r="AX519" s="80" t="s">
        <v>10746</v>
      </c>
      <c r="AY519" s="87" t="str">
        <f>HYPERLINK("https://twitter.com/intanint")</f>
        <v>https://twitter.com/intanint</v>
      </c>
      <c r="AZ519" s="80" t="s">
        <v>66</v>
      </c>
      <c r="BA519" s="2"/>
      <c r="BB519" s="3"/>
      <c r="BC519" s="3"/>
      <c r="BD519" s="3"/>
      <c r="BE519" s="3"/>
    </row>
    <row r="520" spans="1:57" x14ac:dyDescent="0.35">
      <c r="A520" s="66" t="s">
        <v>628</v>
      </c>
      <c r="B520" s="67"/>
      <c r="C520" s="67"/>
      <c r="D520" s="68"/>
      <c r="E520" s="70"/>
      <c r="F520" s="109" t="str">
        <f>HYPERLINK("https://pbs.twimg.com/profile_images/1441468342108262407/v90SNLJl_normal.jpg")</f>
        <v>https://pbs.twimg.com/profile_images/1441468342108262407/v90SNLJl_normal.jpg</v>
      </c>
      <c r="G520" s="67"/>
      <c r="H520" s="71"/>
      <c r="I520" s="72"/>
      <c r="J520" s="72"/>
      <c r="K520" s="71" t="s">
        <v>11263</v>
      </c>
      <c r="L520" s="75"/>
      <c r="M520" s="76"/>
      <c r="N520" s="76"/>
      <c r="O520" s="77"/>
      <c r="P520" s="78"/>
      <c r="Q520" s="78"/>
      <c r="R520" s="92"/>
      <c r="S520" s="92"/>
      <c r="T520" s="92"/>
      <c r="U520" s="92"/>
      <c r="V520" s="52"/>
      <c r="W520" s="52"/>
      <c r="X520" s="52"/>
      <c r="Y520" s="52"/>
      <c r="Z520" s="51"/>
      <c r="AA520" s="73"/>
      <c r="AB520" s="73"/>
      <c r="AC520" s="74"/>
      <c r="AD520" s="80" t="s">
        <v>7098</v>
      </c>
      <c r="AE520" s="85" t="s">
        <v>8297</v>
      </c>
      <c r="AF520" s="80">
        <v>206</v>
      </c>
      <c r="AG520" s="80">
        <v>24</v>
      </c>
      <c r="AH520" s="80">
        <v>3214</v>
      </c>
      <c r="AI520" s="80">
        <v>10664</v>
      </c>
      <c r="AJ520" s="80"/>
      <c r="AK520" s="80" t="s">
        <v>9417</v>
      </c>
      <c r="AL520" s="80" t="s">
        <v>10371</v>
      </c>
      <c r="AM520" s="87" t="str">
        <f>HYPERLINK("https://t.co/LDEuchs9Mv")</f>
        <v>https://t.co/LDEuchs9Mv</v>
      </c>
      <c r="AN520" s="80"/>
      <c r="AO520" s="82">
        <v>44104.786469907405</v>
      </c>
      <c r="AP520" s="87" t="str">
        <f>HYPERLINK("https://pbs.twimg.com/profile_banners/1311378247200894977/1632507808")</f>
        <v>https://pbs.twimg.com/profile_banners/1311378247200894977/1632507808</v>
      </c>
      <c r="AQ520" s="80" t="b">
        <v>1</v>
      </c>
      <c r="AR520" s="80" t="b">
        <v>0</v>
      </c>
      <c r="AS520" s="80" t="b">
        <v>0</v>
      </c>
      <c r="AT520" s="80"/>
      <c r="AU520" s="80">
        <v>0</v>
      </c>
      <c r="AV520" s="80"/>
      <c r="AW520" s="80" t="b">
        <v>0</v>
      </c>
      <c r="AX520" s="80" t="s">
        <v>10746</v>
      </c>
      <c r="AY520" s="87" t="str">
        <f>HYPERLINK("https://twitter.com/_mintcholatte")</f>
        <v>https://twitter.com/_mintcholatte</v>
      </c>
      <c r="AZ520" s="80" t="s">
        <v>66</v>
      </c>
      <c r="BA520" s="2"/>
      <c r="BB520" s="3"/>
      <c r="BC520" s="3"/>
      <c r="BD520" s="3"/>
      <c r="BE520" s="3"/>
    </row>
    <row r="521" spans="1:57" x14ac:dyDescent="0.35">
      <c r="A521" s="66" t="s">
        <v>1367</v>
      </c>
      <c r="B521" s="67"/>
      <c r="C521" s="67"/>
      <c r="D521" s="68"/>
      <c r="E521" s="70"/>
      <c r="F521" s="109" t="str">
        <f>HYPERLINK("https://pbs.twimg.com/profile_images/1390241463657668608/t7fsuv4I_normal.jpg")</f>
        <v>https://pbs.twimg.com/profile_images/1390241463657668608/t7fsuv4I_normal.jpg</v>
      </c>
      <c r="G521" s="67"/>
      <c r="H521" s="71"/>
      <c r="I521" s="72"/>
      <c r="J521" s="72"/>
      <c r="K521" s="71" t="s">
        <v>11264</v>
      </c>
      <c r="L521" s="75"/>
      <c r="M521" s="76"/>
      <c r="N521" s="76"/>
      <c r="O521" s="77"/>
      <c r="P521" s="78"/>
      <c r="Q521" s="78"/>
      <c r="R521" s="92"/>
      <c r="S521" s="92"/>
      <c r="T521" s="92"/>
      <c r="U521" s="92"/>
      <c r="V521" s="52"/>
      <c r="W521" s="52"/>
      <c r="X521" s="52"/>
      <c r="Y521" s="52"/>
      <c r="Z521" s="51"/>
      <c r="AA521" s="73"/>
      <c r="AB521" s="73"/>
      <c r="AC521" s="74"/>
      <c r="AD521" s="80" t="s">
        <v>7099</v>
      </c>
      <c r="AE521" s="85" t="s">
        <v>6331</v>
      </c>
      <c r="AF521" s="80">
        <v>12387</v>
      </c>
      <c r="AG521" s="80">
        <v>161277</v>
      </c>
      <c r="AH521" s="80">
        <v>475988</v>
      </c>
      <c r="AI521" s="80">
        <v>10</v>
      </c>
      <c r="AJ521" s="80"/>
      <c r="AK521" s="80" t="s">
        <v>9418</v>
      </c>
      <c r="AL521" s="80" t="s">
        <v>10139</v>
      </c>
      <c r="AM521" s="87" t="str">
        <f>HYPERLINK("https://t.co/83Zhp1kEKn")</f>
        <v>https://t.co/83Zhp1kEKn</v>
      </c>
      <c r="AN521" s="80"/>
      <c r="AO521" s="82">
        <v>43789.784317129626</v>
      </c>
      <c r="AP521" s="87" t="str">
        <f>HYPERLINK("https://pbs.twimg.com/profile_banners/1197225394866282496/1582631802")</f>
        <v>https://pbs.twimg.com/profile_banners/1197225394866282496/1582631802</v>
      </c>
      <c r="AQ521" s="80" t="b">
        <v>1</v>
      </c>
      <c r="AR521" s="80" t="b">
        <v>0</v>
      </c>
      <c r="AS521" s="80" t="b">
        <v>0</v>
      </c>
      <c r="AT521" s="80"/>
      <c r="AU521" s="80">
        <v>2440</v>
      </c>
      <c r="AV521" s="80"/>
      <c r="AW521" s="80" t="b">
        <v>0</v>
      </c>
      <c r="AX521" s="80" t="s">
        <v>10746</v>
      </c>
      <c r="AY521" s="87" t="str">
        <f>HYPERLINK("https://twitter.com/askrlfess")</f>
        <v>https://twitter.com/askrlfess</v>
      </c>
      <c r="AZ521" s="80" t="s">
        <v>65</v>
      </c>
      <c r="BA521" s="2"/>
      <c r="BB521" s="3"/>
      <c r="BC521" s="3"/>
      <c r="BD521" s="3"/>
      <c r="BE521" s="3"/>
    </row>
    <row r="522" spans="1:57" x14ac:dyDescent="0.35">
      <c r="A522" s="66" t="s">
        <v>629</v>
      </c>
      <c r="B522" s="67"/>
      <c r="C522" s="67"/>
      <c r="D522" s="68"/>
      <c r="E522" s="70"/>
      <c r="F522" s="109" t="str">
        <f>HYPERLINK("https://pbs.twimg.com/profile_images/1397531388312653830/Dr3w03Yw_normal.jpg")</f>
        <v>https://pbs.twimg.com/profile_images/1397531388312653830/Dr3w03Yw_normal.jpg</v>
      </c>
      <c r="G522" s="67"/>
      <c r="H522" s="71"/>
      <c r="I522" s="72"/>
      <c r="J522" s="72"/>
      <c r="K522" s="71" t="s">
        <v>11265</v>
      </c>
      <c r="L522" s="75"/>
      <c r="M522" s="76"/>
      <c r="N522" s="76"/>
      <c r="O522" s="77"/>
      <c r="P522" s="78"/>
      <c r="Q522" s="78"/>
      <c r="R522" s="92"/>
      <c r="S522" s="92"/>
      <c r="T522" s="92"/>
      <c r="U522" s="92"/>
      <c r="V522" s="52"/>
      <c r="W522" s="52"/>
      <c r="X522" s="52"/>
      <c r="Y522" s="52"/>
      <c r="Z522" s="51"/>
      <c r="AA522" s="73"/>
      <c r="AB522" s="73"/>
      <c r="AC522" s="74"/>
      <c r="AD522" s="80" t="s">
        <v>7100</v>
      </c>
      <c r="AE522" s="85" t="s">
        <v>8298</v>
      </c>
      <c r="AF522" s="80">
        <v>557</v>
      </c>
      <c r="AG522" s="80">
        <v>406</v>
      </c>
      <c r="AH522" s="80">
        <v>24899</v>
      </c>
      <c r="AI522" s="80">
        <v>9129</v>
      </c>
      <c r="AJ522" s="80"/>
      <c r="AK522" s="80" t="s">
        <v>9419</v>
      </c>
      <c r="AL522" s="80" t="s">
        <v>10372</v>
      </c>
      <c r="AM522" s="87" t="str">
        <f>HYPERLINK("https://t.co/j7rvsGrxBF")</f>
        <v>https://t.co/j7rvsGrxBF</v>
      </c>
      <c r="AN522" s="80"/>
      <c r="AO522" s="82">
        <v>42304.565254629626</v>
      </c>
      <c r="AP522" s="87" t="str">
        <f>HYPERLINK("https://pbs.twimg.com/profile_banners/4035939913/1622032424")</f>
        <v>https://pbs.twimg.com/profile_banners/4035939913/1622032424</v>
      </c>
      <c r="AQ522" s="80" t="b">
        <v>0</v>
      </c>
      <c r="AR522" s="80" t="b">
        <v>0</v>
      </c>
      <c r="AS522" s="80" t="b">
        <v>1</v>
      </c>
      <c r="AT522" s="80"/>
      <c r="AU522" s="80">
        <v>2</v>
      </c>
      <c r="AV522" s="87" t="str">
        <f>HYPERLINK("https://abs.twimg.com/images/themes/theme1/bg.png")</f>
        <v>https://abs.twimg.com/images/themes/theme1/bg.png</v>
      </c>
      <c r="AW522" s="80" t="b">
        <v>0</v>
      </c>
      <c r="AX522" s="80" t="s">
        <v>10746</v>
      </c>
      <c r="AY522" s="87" t="str">
        <f>HYPERLINK("https://twitter.com/azrnazol")</f>
        <v>https://twitter.com/azrnazol</v>
      </c>
      <c r="AZ522" s="80" t="s">
        <v>66</v>
      </c>
      <c r="BA522" s="2"/>
      <c r="BB522" s="3"/>
      <c r="BC522" s="3"/>
      <c r="BD522" s="3"/>
      <c r="BE522" s="3"/>
    </row>
    <row r="523" spans="1:57" x14ac:dyDescent="0.35">
      <c r="A523" s="66" t="s">
        <v>630</v>
      </c>
      <c r="B523" s="67"/>
      <c r="C523" s="67"/>
      <c r="D523" s="68"/>
      <c r="E523" s="70"/>
      <c r="F523" s="109" t="str">
        <f>HYPERLINK("https://pbs.twimg.com/profile_images/1044596314292420608/UyByhG0l_normal.jpg")</f>
        <v>https://pbs.twimg.com/profile_images/1044596314292420608/UyByhG0l_normal.jpg</v>
      </c>
      <c r="G523" s="67"/>
      <c r="H523" s="71"/>
      <c r="I523" s="72"/>
      <c r="J523" s="72"/>
      <c r="K523" s="71" t="s">
        <v>11266</v>
      </c>
      <c r="L523" s="75"/>
      <c r="M523" s="76"/>
      <c r="N523" s="76"/>
      <c r="O523" s="77"/>
      <c r="P523" s="78"/>
      <c r="Q523" s="78"/>
      <c r="R523" s="92"/>
      <c r="S523" s="92"/>
      <c r="T523" s="92"/>
      <c r="U523" s="92"/>
      <c r="V523" s="52"/>
      <c r="W523" s="52"/>
      <c r="X523" s="52"/>
      <c r="Y523" s="52"/>
      <c r="Z523" s="51"/>
      <c r="AA523" s="73"/>
      <c r="AB523" s="73"/>
      <c r="AC523" s="74"/>
      <c r="AD523" s="80" t="s">
        <v>7101</v>
      </c>
      <c r="AE523" s="85" t="s">
        <v>8299</v>
      </c>
      <c r="AF523" s="80">
        <v>1</v>
      </c>
      <c r="AG523" s="80">
        <v>133</v>
      </c>
      <c r="AH523" s="80">
        <v>3095</v>
      </c>
      <c r="AI523" s="80">
        <v>10</v>
      </c>
      <c r="AJ523" s="80"/>
      <c r="AK523" s="80" t="s">
        <v>9420</v>
      </c>
      <c r="AL523" s="80" t="s">
        <v>10373</v>
      </c>
      <c r="AM523" s="87" t="str">
        <f>HYPERLINK("https://t.co/Shgan76Ii9")</f>
        <v>https://t.co/Shgan76Ii9</v>
      </c>
      <c r="AN523" s="80"/>
      <c r="AO523" s="82">
        <v>43200.521365740744</v>
      </c>
      <c r="AP523" s="87" t="str">
        <f>HYPERLINK("https://pbs.twimg.com/profile_banners/983683705049833473/1558420159")</f>
        <v>https://pbs.twimg.com/profile_banners/983683705049833473/1558420159</v>
      </c>
      <c r="AQ523" s="80" t="b">
        <v>1</v>
      </c>
      <c r="AR523" s="80" t="b">
        <v>0</v>
      </c>
      <c r="AS523" s="80" t="b">
        <v>0</v>
      </c>
      <c r="AT523" s="80"/>
      <c r="AU523" s="80">
        <v>0</v>
      </c>
      <c r="AV523" s="80"/>
      <c r="AW523" s="80" t="b">
        <v>0</v>
      </c>
      <c r="AX523" s="80" t="s">
        <v>10746</v>
      </c>
      <c r="AY523" s="87" t="str">
        <f>HYPERLINK("https://twitter.com/lokersumatera1")</f>
        <v>https://twitter.com/lokersumatera1</v>
      </c>
      <c r="AZ523" s="80" t="s">
        <v>66</v>
      </c>
      <c r="BA523" s="2"/>
      <c r="BB523" s="3"/>
      <c r="BC523" s="3"/>
      <c r="BD523" s="3"/>
      <c r="BE523" s="3"/>
    </row>
    <row r="524" spans="1:57" x14ac:dyDescent="0.35">
      <c r="A524" s="66" t="s">
        <v>631</v>
      </c>
      <c r="B524" s="67"/>
      <c r="C524" s="67"/>
      <c r="D524" s="68"/>
      <c r="E524" s="70"/>
      <c r="F524" s="109" t="str">
        <f>HYPERLINK("https://pbs.twimg.com/profile_images/1433728859971588097/k8ltPHcu_normal.jpg")</f>
        <v>https://pbs.twimg.com/profile_images/1433728859971588097/k8ltPHcu_normal.jpg</v>
      </c>
      <c r="G524" s="67"/>
      <c r="H524" s="71"/>
      <c r="I524" s="72"/>
      <c r="J524" s="72"/>
      <c r="K524" s="71" t="s">
        <v>11267</v>
      </c>
      <c r="L524" s="75"/>
      <c r="M524" s="76"/>
      <c r="N524" s="76"/>
      <c r="O524" s="77"/>
      <c r="P524" s="78"/>
      <c r="Q524" s="78"/>
      <c r="R524" s="92"/>
      <c r="S524" s="92"/>
      <c r="T524" s="92"/>
      <c r="U524" s="92"/>
      <c r="V524" s="52"/>
      <c r="W524" s="52"/>
      <c r="X524" s="52"/>
      <c r="Y524" s="52"/>
      <c r="Z524" s="51"/>
      <c r="AA524" s="73"/>
      <c r="AB524" s="73"/>
      <c r="AC524" s="74"/>
      <c r="AD524" s="80" t="s">
        <v>7102</v>
      </c>
      <c r="AE524" s="85" t="s">
        <v>8300</v>
      </c>
      <c r="AF524" s="80">
        <v>996</v>
      </c>
      <c r="AG524" s="80">
        <v>4208</v>
      </c>
      <c r="AH524" s="80">
        <v>45434</v>
      </c>
      <c r="AI524" s="80">
        <v>15</v>
      </c>
      <c r="AJ524" s="80"/>
      <c r="AK524" s="80" t="s">
        <v>9421</v>
      </c>
      <c r="AL524" s="80"/>
      <c r="AM524" s="87" t="str">
        <f>HYPERLINK("https://t.co/VdRKrbelpM")</f>
        <v>https://t.co/VdRKrbelpM</v>
      </c>
      <c r="AN524" s="80"/>
      <c r="AO524" s="82">
        <v>44330.261250000003</v>
      </c>
      <c r="AP524" s="87" t="str">
        <f>HYPERLINK("https://pbs.twimg.com/profile_banners/1393087700102565894/1621090752")</f>
        <v>https://pbs.twimg.com/profile_banners/1393087700102565894/1621090752</v>
      </c>
      <c r="AQ524" s="80" t="b">
        <v>1</v>
      </c>
      <c r="AR524" s="80" t="b">
        <v>0</v>
      </c>
      <c r="AS524" s="80" t="b">
        <v>0</v>
      </c>
      <c r="AT524" s="80"/>
      <c r="AU524" s="80">
        <v>57</v>
      </c>
      <c r="AV524" s="80"/>
      <c r="AW524" s="80" t="b">
        <v>0</v>
      </c>
      <c r="AX524" s="80" t="s">
        <v>10746</v>
      </c>
      <c r="AY524" s="87" t="str">
        <f>HYPERLINK("https://twitter.com/ateezmart")</f>
        <v>https://twitter.com/ateezmart</v>
      </c>
      <c r="AZ524" s="80" t="s">
        <v>66</v>
      </c>
      <c r="BA524" s="2"/>
      <c r="BB524" s="3"/>
      <c r="BC524" s="3"/>
      <c r="BD524" s="3"/>
      <c r="BE524" s="3"/>
    </row>
    <row r="525" spans="1:57" x14ac:dyDescent="0.35">
      <c r="A525" s="66" t="s">
        <v>632</v>
      </c>
      <c r="B525" s="67"/>
      <c r="C525" s="67"/>
      <c r="D525" s="68"/>
      <c r="E525" s="70"/>
      <c r="F525" s="109" t="str">
        <f>HYPERLINK("https://pbs.twimg.com/profile_images/1441633267858374661/MQ7I8cKY_normal.jpg")</f>
        <v>https://pbs.twimg.com/profile_images/1441633267858374661/MQ7I8cKY_normal.jpg</v>
      </c>
      <c r="G525" s="67"/>
      <c r="H525" s="71"/>
      <c r="I525" s="72"/>
      <c r="J525" s="72"/>
      <c r="K525" s="71" t="s">
        <v>11268</v>
      </c>
      <c r="L525" s="75"/>
      <c r="M525" s="76"/>
      <c r="N525" s="76"/>
      <c r="O525" s="77"/>
      <c r="P525" s="78"/>
      <c r="Q525" s="78"/>
      <c r="R525" s="92"/>
      <c r="S525" s="92"/>
      <c r="T525" s="92"/>
      <c r="U525" s="92"/>
      <c r="V525" s="52"/>
      <c r="W525" s="52"/>
      <c r="X525" s="52"/>
      <c r="Y525" s="52"/>
      <c r="Z525" s="51"/>
      <c r="AA525" s="73"/>
      <c r="AB525" s="73"/>
      <c r="AC525" s="74"/>
      <c r="AD525" s="80" t="s">
        <v>7103</v>
      </c>
      <c r="AE525" s="85" t="s">
        <v>8301</v>
      </c>
      <c r="AF525" s="80">
        <v>1</v>
      </c>
      <c r="AG525" s="80">
        <v>241</v>
      </c>
      <c r="AH525" s="80">
        <v>147</v>
      </c>
      <c r="AI525" s="80">
        <v>11</v>
      </c>
      <c r="AJ525" s="80"/>
      <c r="AK525" s="80" t="s">
        <v>9422</v>
      </c>
      <c r="AL525" s="80" t="s">
        <v>10160</v>
      </c>
      <c r="AM525" s="87" t="str">
        <f>HYPERLINK("https://t.co/7xsG328vRT")</f>
        <v>https://t.co/7xsG328vRT</v>
      </c>
      <c r="AN525" s="80"/>
      <c r="AO525" s="82">
        <v>44406.739664351851</v>
      </c>
      <c r="AP525" s="80"/>
      <c r="AQ525" s="80" t="b">
        <v>1</v>
      </c>
      <c r="AR525" s="80" t="b">
        <v>0</v>
      </c>
      <c r="AS525" s="80" t="b">
        <v>0</v>
      </c>
      <c r="AT525" s="80"/>
      <c r="AU525" s="80">
        <v>1</v>
      </c>
      <c r="AV525" s="80"/>
      <c r="AW525" s="80" t="b">
        <v>0</v>
      </c>
      <c r="AX525" s="80" t="s">
        <v>10746</v>
      </c>
      <c r="AY525" s="87" t="str">
        <f>HYPERLINK("https://twitter.com/seoulutionid")</f>
        <v>https://twitter.com/seoulutionid</v>
      </c>
      <c r="AZ525" s="80" t="s">
        <v>66</v>
      </c>
      <c r="BA525" s="2"/>
      <c r="BB525" s="3"/>
      <c r="BC525" s="3"/>
      <c r="BD525" s="3"/>
      <c r="BE525" s="3"/>
    </row>
    <row r="526" spans="1:57" x14ac:dyDescent="0.35">
      <c r="A526" s="66" t="s">
        <v>633</v>
      </c>
      <c r="B526" s="67"/>
      <c r="C526" s="67"/>
      <c r="D526" s="68"/>
      <c r="E526" s="70"/>
      <c r="F526" s="109" t="str">
        <f>HYPERLINK("https://pbs.twimg.com/profile_images/1442484423731994634/IctUIVZB_normal.jpg")</f>
        <v>https://pbs.twimg.com/profile_images/1442484423731994634/IctUIVZB_normal.jpg</v>
      </c>
      <c r="G526" s="67"/>
      <c r="H526" s="71"/>
      <c r="I526" s="72"/>
      <c r="J526" s="72"/>
      <c r="K526" s="71" t="s">
        <v>11269</v>
      </c>
      <c r="L526" s="75"/>
      <c r="M526" s="76"/>
      <c r="N526" s="76"/>
      <c r="O526" s="77"/>
      <c r="P526" s="78"/>
      <c r="Q526" s="78"/>
      <c r="R526" s="92"/>
      <c r="S526" s="92"/>
      <c r="T526" s="92"/>
      <c r="U526" s="92"/>
      <c r="V526" s="52"/>
      <c r="W526" s="52"/>
      <c r="X526" s="52"/>
      <c r="Y526" s="52"/>
      <c r="Z526" s="51"/>
      <c r="AA526" s="73"/>
      <c r="AB526" s="73"/>
      <c r="AC526" s="74"/>
      <c r="AD526" s="80" t="s">
        <v>7104</v>
      </c>
      <c r="AE526" s="85" t="s">
        <v>8302</v>
      </c>
      <c r="AF526" s="80">
        <v>120</v>
      </c>
      <c r="AG526" s="80">
        <v>46</v>
      </c>
      <c r="AH526" s="80">
        <v>8017</v>
      </c>
      <c r="AI526" s="80">
        <v>248</v>
      </c>
      <c r="AJ526" s="80"/>
      <c r="AK526" s="80" t="s">
        <v>9423</v>
      </c>
      <c r="AL526" s="80" t="s">
        <v>10374</v>
      </c>
      <c r="AM526" s="80"/>
      <c r="AN526" s="80"/>
      <c r="AO526" s="82">
        <v>42537.374756944446</v>
      </c>
      <c r="AP526" s="87" t="str">
        <f>HYPERLINK("https://pbs.twimg.com/profile_banners/743367423168913408/1632142874")</f>
        <v>https://pbs.twimg.com/profile_banners/743367423168913408/1632142874</v>
      </c>
      <c r="AQ526" s="80" t="b">
        <v>0</v>
      </c>
      <c r="AR526" s="80" t="b">
        <v>0</v>
      </c>
      <c r="AS526" s="80" t="b">
        <v>0</v>
      </c>
      <c r="AT526" s="80"/>
      <c r="AU526" s="80">
        <v>0</v>
      </c>
      <c r="AV526" s="87" t="str">
        <f>HYPERLINK("https://abs.twimg.com/images/themes/theme1/bg.png")</f>
        <v>https://abs.twimg.com/images/themes/theme1/bg.png</v>
      </c>
      <c r="AW526" s="80" t="b">
        <v>0</v>
      </c>
      <c r="AX526" s="80" t="s">
        <v>10746</v>
      </c>
      <c r="AY526" s="87" t="str">
        <f>HYPERLINK("https://twitter.com/fallinstaar")</f>
        <v>https://twitter.com/fallinstaar</v>
      </c>
      <c r="AZ526" s="80" t="s">
        <v>66</v>
      </c>
      <c r="BA526" s="2"/>
      <c r="BB526" s="3"/>
      <c r="BC526" s="3"/>
      <c r="BD526" s="3"/>
      <c r="BE526" s="3"/>
    </row>
    <row r="527" spans="1:57" x14ac:dyDescent="0.35">
      <c r="A527" s="66" t="s">
        <v>634</v>
      </c>
      <c r="B527" s="67"/>
      <c r="C527" s="67"/>
      <c r="D527" s="68"/>
      <c r="E527" s="70"/>
      <c r="F527" s="109" t="str">
        <f>HYPERLINK("https://pbs.twimg.com/profile_images/1436759668529848323/N0WLHnkt_normal.jpg")</f>
        <v>https://pbs.twimg.com/profile_images/1436759668529848323/N0WLHnkt_normal.jpg</v>
      </c>
      <c r="G527" s="67"/>
      <c r="H527" s="71"/>
      <c r="I527" s="72"/>
      <c r="J527" s="72"/>
      <c r="K527" s="71" t="s">
        <v>11270</v>
      </c>
      <c r="L527" s="75"/>
      <c r="M527" s="76"/>
      <c r="N527" s="76"/>
      <c r="O527" s="77"/>
      <c r="P527" s="78"/>
      <c r="Q527" s="78"/>
      <c r="R527" s="92"/>
      <c r="S527" s="92"/>
      <c r="T527" s="92"/>
      <c r="U527" s="92"/>
      <c r="V527" s="52"/>
      <c r="W527" s="52"/>
      <c r="X527" s="52"/>
      <c r="Y527" s="52"/>
      <c r="Z527" s="51"/>
      <c r="AA527" s="73"/>
      <c r="AB527" s="73"/>
      <c r="AC527" s="74"/>
      <c r="AD527" s="80" t="s">
        <v>7105</v>
      </c>
      <c r="AE527" s="85" t="s">
        <v>8303</v>
      </c>
      <c r="AF527" s="80">
        <v>1090</v>
      </c>
      <c r="AG527" s="80">
        <v>1097</v>
      </c>
      <c r="AH527" s="80">
        <v>46908</v>
      </c>
      <c r="AI527" s="80">
        <v>151371</v>
      </c>
      <c r="AJ527" s="80"/>
      <c r="AK527" s="80" t="s">
        <v>9424</v>
      </c>
      <c r="AL527" s="80" t="s">
        <v>10375</v>
      </c>
      <c r="AM527" s="87" t="str">
        <f>HYPERLINK("https://t.co/5J8QeNcz6S")</f>
        <v>https://t.co/5J8QeNcz6S</v>
      </c>
      <c r="AN527" s="80"/>
      <c r="AO527" s="82">
        <v>43988.987812500003</v>
      </c>
      <c r="AP527" s="87" t="str">
        <f>HYPERLINK("https://pbs.twimg.com/profile_banners/1269414344149721089/1631385850")</f>
        <v>https://pbs.twimg.com/profile_banners/1269414344149721089/1631385850</v>
      </c>
      <c r="AQ527" s="80" t="b">
        <v>1</v>
      </c>
      <c r="AR527" s="80" t="b">
        <v>0</v>
      </c>
      <c r="AS527" s="80" t="b">
        <v>1</v>
      </c>
      <c r="AT527" s="80"/>
      <c r="AU527" s="80">
        <v>1</v>
      </c>
      <c r="AV527" s="80"/>
      <c r="AW527" s="80" t="b">
        <v>0</v>
      </c>
      <c r="AX527" s="80" t="s">
        <v>10746</v>
      </c>
      <c r="AY527" s="87" t="str">
        <f>HYPERLINK("https://twitter.com/leeehovo")</f>
        <v>https://twitter.com/leeehovo</v>
      </c>
      <c r="AZ527" s="80" t="s">
        <v>66</v>
      </c>
      <c r="BA527" s="2"/>
      <c r="BB527" s="3"/>
      <c r="BC527" s="3"/>
      <c r="BD527" s="3"/>
      <c r="BE527" s="3"/>
    </row>
    <row r="528" spans="1:57" x14ac:dyDescent="0.35">
      <c r="A528" s="66" t="s">
        <v>1368</v>
      </c>
      <c r="B528" s="67"/>
      <c r="C528" s="67"/>
      <c r="D528" s="68"/>
      <c r="E528" s="70"/>
      <c r="F528" s="109" t="str">
        <f>HYPERLINK("https://pbs.twimg.com/profile_images/1418183085523279873/RH_Hat-3_normal.jpg")</f>
        <v>https://pbs.twimg.com/profile_images/1418183085523279873/RH_Hat-3_normal.jpg</v>
      </c>
      <c r="G528" s="67"/>
      <c r="H528" s="71"/>
      <c r="I528" s="72"/>
      <c r="J528" s="72"/>
      <c r="K528" s="71" t="s">
        <v>11271</v>
      </c>
      <c r="L528" s="75"/>
      <c r="M528" s="76"/>
      <c r="N528" s="76"/>
      <c r="O528" s="77"/>
      <c r="P528" s="78"/>
      <c r="Q528" s="78"/>
      <c r="R528" s="92"/>
      <c r="S528" s="92"/>
      <c r="T528" s="92"/>
      <c r="U528" s="92"/>
      <c r="V528" s="52"/>
      <c r="W528" s="52"/>
      <c r="X528" s="52"/>
      <c r="Y528" s="52"/>
      <c r="Z528" s="51"/>
      <c r="AA528" s="73"/>
      <c r="AB528" s="73"/>
      <c r="AC528" s="74"/>
      <c r="AD528" s="80" t="s">
        <v>6486</v>
      </c>
      <c r="AE528" s="85" t="s">
        <v>6332</v>
      </c>
      <c r="AF528" s="80">
        <v>155</v>
      </c>
      <c r="AG528" s="80">
        <v>40</v>
      </c>
      <c r="AH528" s="80">
        <v>3382</v>
      </c>
      <c r="AI528" s="80">
        <v>4428</v>
      </c>
      <c r="AJ528" s="80"/>
      <c r="AK528" s="80" t="s">
        <v>9425</v>
      </c>
      <c r="AL528" s="80"/>
      <c r="AM528" s="80"/>
      <c r="AN528" s="80"/>
      <c r="AO528" s="82">
        <v>44126.386932870373</v>
      </c>
      <c r="AP528" s="87" t="str">
        <f>HYPERLINK("https://pbs.twimg.com/profile_banners/1319206050512261121/1629734001")</f>
        <v>https://pbs.twimg.com/profile_banners/1319206050512261121/1629734001</v>
      </c>
      <c r="AQ528" s="80" t="b">
        <v>1</v>
      </c>
      <c r="AR528" s="80" t="b">
        <v>0</v>
      </c>
      <c r="AS528" s="80" t="b">
        <v>0</v>
      </c>
      <c r="AT528" s="80"/>
      <c r="AU528" s="80">
        <v>0</v>
      </c>
      <c r="AV528" s="80"/>
      <c r="AW528" s="80" t="b">
        <v>0</v>
      </c>
      <c r="AX528" s="80" t="s">
        <v>10746</v>
      </c>
      <c r="AY528" s="87" t="str">
        <f>HYPERLINK("https://twitter.com/yuyujuyu_")</f>
        <v>https://twitter.com/yuyujuyu_</v>
      </c>
      <c r="AZ528" s="80" t="s">
        <v>65</v>
      </c>
      <c r="BA528" s="2"/>
      <c r="BB528" s="3"/>
      <c r="BC528" s="3"/>
      <c r="BD528" s="3"/>
      <c r="BE528" s="3"/>
    </row>
    <row r="529" spans="1:57" x14ac:dyDescent="0.35">
      <c r="A529" s="66" t="s">
        <v>635</v>
      </c>
      <c r="B529" s="67"/>
      <c r="C529" s="67"/>
      <c r="D529" s="68"/>
      <c r="E529" s="70"/>
      <c r="F529" s="109" t="str">
        <f>HYPERLINK("https://pbs.twimg.com/profile_images/1426185626093711360/WqAlXKfW_normal.jpg")</f>
        <v>https://pbs.twimg.com/profile_images/1426185626093711360/WqAlXKfW_normal.jpg</v>
      </c>
      <c r="G529" s="67"/>
      <c r="H529" s="71"/>
      <c r="I529" s="72"/>
      <c r="J529" s="72"/>
      <c r="K529" s="71" t="s">
        <v>11272</v>
      </c>
      <c r="L529" s="75"/>
      <c r="M529" s="76"/>
      <c r="N529" s="76"/>
      <c r="O529" s="77"/>
      <c r="P529" s="78"/>
      <c r="Q529" s="78"/>
      <c r="R529" s="92"/>
      <c r="S529" s="92"/>
      <c r="T529" s="92"/>
      <c r="U529" s="92"/>
      <c r="V529" s="52"/>
      <c r="W529" s="52"/>
      <c r="X529" s="52"/>
      <c r="Y529" s="52"/>
      <c r="Z529" s="51"/>
      <c r="AA529" s="73"/>
      <c r="AB529" s="73"/>
      <c r="AC529" s="74"/>
      <c r="AD529" s="80" t="s">
        <v>7106</v>
      </c>
      <c r="AE529" s="85" t="s">
        <v>8304</v>
      </c>
      <c r="AF529" s="80">
        <v>217</v>
      </c>
      <c r="AG529" s="80">
        <v>121</v>
      </c>
      <c r="AH529" s="80">
        <v>15366</v>
      </c>
      <c r="AI529" s="80">
        <v>1894</v>
      </c>
      <c r="AJ529" s="80"/>
      <c r="AK529" s="80" t="s">
        <v>9426</v>
      </c>
      <c r="AL529" s="80" t="s">
        <v>10376</v>
      </c>
      <c r="AM529" s="80"/>
      <c r="AN529" s="80"/>
      <c r="AO529" s="82">
        <v>44105.362754629627</v>
      </c>
      <c r="AP529" s="87" t="str">
        <f>HYPERLINK("https://pbs.twimg.com/profile_banners/1311587168414912512/1628864124")</f>
        <v>https://pbs.twimg.com/profile_banners/1311587168414912512/1628864124</v>
      </c>
      <c r="AQ529" s="80" t="b">
        <v>1</v>
      </c>
      <c r="AR529" s="80" t="b">
        <v>0</v>
      </c>
      <c r="AS529" s="80" t="b">
        <v>0</v>
      </c>
      <c r="AT529" s="80"/>
      <c r="AU529" s="80">
        <v>0</v>
      </c>
      <c r="AV529" s="80"/>
      <c r="AW529" s="80" t="b">
        <v>0</v>
      </c>
      <c r="AX529" s="80" t="s">
        <v>10746</v>
      </c>
      <c r="AY529" s="87" t="str">
        <f>HYPERLINK("https://twitter.com/jaerimcoty")</f>
        <v>https://twitter.com/jaerimcoty</v>
      </c>
      <c r="AZ529" s="80" t="s">
        <v>66</v>
      </c>
      <c r="BA529" s="2"/>
      <c r="BB529" s="3"/>
      <c r="BC529" s="3"/>
      <c r="BD529" s="3"/>
      <c r="BE529" s="3"/>
    </row>
    <row r="530" spans="1:57" x14ac:dyDescent="0.35">
      <c r="A530" s="66" t="s">
        <v>1369</v>
      </c>
      <c r="B530" s="67"/>
      <c r="C530" s="67"/>
      <c r="D530" s="68"/>
      <c r="E530" s="70"/>
      <c r="F530" s="109" t="str">
        <f>HYPERLINK("https://pbs.twimg.com/profile_images/1433317622381088769/C1LDFTUM_normal.jpg")</f>
        <v>https://pbs.twimg.com/profile_images/1433317622381088769/C1LDFTUM_normal.jpg</v>
      </c>
      <c r="G530" s="67"/>
      <c r="H530" s="71"/>
      <c r="I530" s="72"/>
      <c r="J530" s="72"/>
      <c r="K530" s="71" t="s">
        <v>11273</v>
      </c>
      <c r="L530" s="75"/>
      <c r="M530" s="76"/>
      <c r="N530" s="76"/>
      <c r="O530" s="77"/>
      <c r="P530" s="78"/>
      <c r="Q530" s="78"/>
      <c r="R530" s="92"/>
      <c r="S530" s="92"/>
      <c r="T530" s="92"/>
      <c r="U530" s="92"/>
      <c r="V530" s="52"/>
      <c r="W530" s="52"/>
      <c r="X530" s="52"/>
      <c r="Y530" s="52"/>
      <c r="Z530" s="51"/>
      <c r="AA530" s="73"/>
      <c r="AB530" s="73"/>
      <c r="AC530" s="74"/>
      <c r="AD530" s="80" t="s">
        <v>7107</v>
      </c>
      <c r="AE530" s="85" t="s">
        <v>6333</v>
      </c>
      <c r="AF530" s="80">
        <v>176</v>
      </c>
      <c r="AG530" s="80">
        <v>199</v>
      </c>
      <c r="AH530" s="80">
        <v>2468</v>
      </c>
      <c r="AI530" s="80">
        <v>706</v>
      </c>
      <c r="AJ530" s="80"/>
      <c r="AK530" s="80" t="s">
        <v>9427</v>
      </c>
      <c r="AL530" s="80" t="s">
        <v>10377</v>
      </c>
      <c r="AM530" s="80"/>
      <c r="AN530" s="80"/>
      <c r="AO530" s="82">
        <v>44107.169085648151</v>
      </c>
      <c r="AP530" s="87" t="str">
        <f>HYPERLINK("https://pbs.twimg.com/profile_banners/1312241748945498112/1629420390")</f>
        <v>https://pbs.twimg.com/profile_banners/1312241748945498112/1629420390</v>
      </c>
      <c r="AQ530" s="80" t="b">
        <v>1</v>
      </c>
      <c r="AR530" s="80" t="b">
        <v>0</v>
      </c>
      <c r="AS530" s="80" t="b">
        <v>0</v>
      </c>
      <c r="AT530" s="80"/>
      <c r="AU530" s="80">
        <v>0</v>
      </c>
      <c r="AV530" s="80"/>
      <c r="AW530" s="80" t="b">
        <v>0</v>
      </c>
      <c r="AX530" s="80" t="s">
        <v>10746</v>
      </c>
      <c r="AY530" s="87" t="str">
        <f>HYPERLINK("https://twitter.com/bbysaturnusca")</f>
        <v>https://twitter.com/bbysaturnusca</v>
      </c>
      <c r="AZ530" s="80" t="s">
        <v>65</v>
      </c>
      <c r="BA530" s="2"/>
      <c r="BB530" s="3"/>
      <c r="BC530" s="3"/>
      <c r="BD530" s="3"/>
      <c r="BE530" s="3"/>
    </row>
    <row r="531" spans="1:57" x14ac:dyDescent="0.35">
      <c r="A531" s="66" t="s">
        <v>636</v>
      </c>
      <c r="B531" s="67"/>
      <c r="C531" s="67"/>
      <c r="D531" s="68"/>
      <c r="E531" s="70"/>
      <c r="F531" s="109" t="str">
        <f>HYPERLINK("https://pbs.twimg.com/profile_images/574998826378899456/t0tccmD4_normal.jpeg")</f>
        <v>https://pbs.twimg.com/profile_images/574998826378899456/t0tccmD4_normal.jpeg</v>
      </c>
      <c r="G531" s="67"/>
      <c r="H531" s="71"/>
      <c r="I531" s="72"/>
      <c r="J531" s="72"/>
      <c r="K531" s="71" t="s">
        <v>11274</v>
      </c>
      <c r="L531" s="75"/>
      <c r="M531" s="76"/>
      <c r="N531" s="76"/>
      <c r="O531" s="77"/>
      <c r="P531" s="78"/>
      <c r="Q531" s="78"/>
      <c r="R531" s="92"/>
      <c r="S531" s="92"/>
      <c r="T531" s="92"/>
      <c r="U531" s="92"/>
      <c r="V531" s="52"/>
      <c r="W531" s="52"/>
      <c r="X531" s="52"/>
      <c r="Y531" s="52"/>
      <c r="Z531" s="51"/>
      <c r="AA531" s="73"/>
      <c r="AB531" s="73"/>
      <c r="AC531" s="74"/>
      <c r="AD531" s="80" t="s">
        <v>7108</v>
      </c>
      <c r="AE531" s="85" t="s">
        <v>8305</v>
      </c>
      <c r="AF531" s="80">
        <v>477</v>
      </c>
      <c r="AG531" s="80">
        <v>110</v>
      </c>
      <c r="AH531" s="80">
        <v>3192</v>
      </c>
      <c r="AI531" s="80">
        <v>2</v>
      </c>
      <c r="AJ531" s="80"/>
      <c r="AK531" s="80" t="s">
        <v>9428</v>
      </c>
      <c r="AL531" s="80"/>
      <c r="AM531" s="87" t="str">
        <f>HYPERLINK("http://t.co/kZ9FnnSAMz")</f>
        <v>http://t.co/kZ9FnnSAMz</v>
      </c>
      <c r="AN531" s="80"/>
      <c r="AO531" s="82">
        <v>42061.166296296295</v>
      </c>
      <c r="AP531" s="87" t="str">
        <f>HYPERLINK("https://pbs.twimg.com/profile_banners/3063783077/1483734372")</f>
        <v>https://pbs.twimg.com/profile_banners/3063783077/1483734372</v>
      </c>
      <c r="AQ531" s="80" t="b">
        <v>1</v>
      </c>
      <c r="AR531" s="80" t="b">
        <v>0</v>
      </c>
      <c r="AS531" s="80" t="b">
        <v>0</v>
      </c>
      <c r="AT531" s="80"/>
      <c r="AU531" s="80">
        <v>2</v>
      </c>
      <c r="AV531" s="87" t="str">
        <f>HYPERLINK("https://abs.twimg.com/images/themes/theme1/bg.png")</f>
        <v>https://abs.twimg.com/images/themes/theme1/bg.png</v>
      </c>
      <c r="AW531" s="80" t="b">
        <v>0</v>
      </c>
      <c r="AX531" s="80" t="s">
        <v>10746</v>
      </c>
      <c r="AY531" s="87" t="str">
        <f>HYPERLINK("https://twitter.com/benarmalay")</f>
        <v>https://twitter.com/benarmalay</v>
      </c>
      <c r="AZ531" s="80" t="s">
        <v>66</v>
      </c>
      <c r="BA531" s="2"/>
      <c r="BB531" s="3"/>
      <c r="BC531" s="3"/>
      <c r="BD531" s="3"/>
      <c r="BE531" s="3"/>
    </row>
    <row r="532" spans="1:57" x14ac:dyDescent="0.35">
      <c r="A532" s="66" t="s">
        <v>637</v>
      </c>
      <c r="B532" s="67"/>
      <c r="C532" s="67"/>
      <c r="D532" s="68"/>
      <c r="E532" s="70"/>
      <c r="F532" s="109" t="str">
        <f>HYPERLINK("https://pbs.twimg.com/profile_images/626777192786227201/fKqIfUxU_normal.png")</f>
        <v>https://pbs.twimg.com/profile_images/626777192786227201/fKqIfUxU_normal.png</v>
      </c>
      <c r="G532" s="67"/>
      <c r="H532" s="71"/>
      <c r="I532" s="72"/>
      <c r="J532" s="72"/>
      <c r="K532" s="71" t="s">
        <v>11275</v>
      </c>
      <c r="L532" s="75"/>
      <c r="M532" s="76"/>
      <c r="N532" s="76"/>
      <c r="O532" s="77"/>
      <c r="P532" s="78"/>
      <c r="Q532" s="78"/>
      <c r="R532" s="92"/>
      <c r="S532" s="92"/>
      <c r="T532" s="92"/>
      <c r="U532" s="92"/>
      <c r="V532" s="52"/>
      <c r="W532" s="52"/>
      <c r="X532" s="52"/>
      <c r="Y532" s="52"/>
      <c r="Z532" s="51"/>
      <c r="AA532" s="73"/>
      <c r="AB532" s="73"/>
      <c r="AC532" s="74"/>
      <c r="AD532" s="80" t="s">
        <v>7109</v>
      </c>
      <c r="AE532" s="85" t="s">
        <v>8306</v>
      </c>
      <c r="AF532" s="80">
        <v>1821</v>
      </c>
      <c r="AG532" s="80">
        <v>200</v>
      </c>
      <c r="AH532" s="80">
        <v>2094</v>
      </c>
      <c r="AI532" s="80">
        <v>4042</v>
      </c>
      <c r="AJ532" s="80"/>
      <c r="AK532" s="80" t="s">
        <v>9429</v>
      </c>
      <c r="AL532" s="80" t="s">
        <v>10378</v>
      </c>
      <c r="AM532" s="87" t="str">
        <f>HYPERLINK("https://t.co/BHNf7TWpZd")</f>
        <v>https://t.co/BHNf7TWpZd</v>
      </c>
      <c r="AN532" s="80"/>
      <c r="AO532" s="82">
        <v>41518.454606481479</v>
      </c>
      <c r="AP532" s="87" t="str">
        <f>HYPERLINK("https://pbs.twimg.com/profile_banners/1718616804/1438270415")</f>
        <v>https://pbs.twimg.com/profile_banners/1718616804/1438270415</v>
      </c>
      <c r="AQ532" s="80" t="b">
        <v>0</v>
      </c>
      <c r="AR532" s="80" t="b">
        <v>0</v>
      </c>
      <c r="AS532" s="80" t="b">
        <v>0</v>
      </c>
      <c r="AT532" s="80"/>
      <c r="AU532" s="80">
        <v>1</v>
      </c>
      <c r="AV532" s="87" t="str">
        <f>HYPERLINK("https://abs.twimg.com/images/themes/theme1/bg.png")</f>
        <v>https://abs.twimg.com/images/themes/theme1/bg.png</v>
      </c>
      <c r="AW532" s="80" t="b">
        <v>0</v>
      </c>
      <c r="AX532" s="80" t="s">
        <v>10746</v>
      </c>
      <c r="AY532" s="87" t="str">
        <f>HYPERLINK("https://twitter.com/cristykatt")</f>
        <v>https://twitter.com/cristykatt</v>
      </c>
      <c r="AZ532" s="80" t="s">
        <v>66</v>
      </c>
      <c r="BA532" s="2"/>
      <c r="BB532" s="3"/>
      <c r="BC532" s="3"/>
      <c r="BD532" s="3"/>
      <c r="BE532" s="3"/>
    </row>
    <row r="533" spans="1:57" x14ac:dyDescent="0.35">
      <c r="A533" s="66" t="s">
        <v>638</v>
      </c>
      <c r="B533" s="67"/>
      <c r="C533" s="67"/>
      <c r="D533" s="68"/>
      <c r="E533" s="70"/>
      <c r="F533" s="109" t="str">
        <f>HYPERLINK("https://pbs.twimg.com/profile_images/1386503163151208448/cExGSzhG_normal.jpg")</f>
        <v>https://pbs.twimg.com/profile_images/1386503163151208448/cExGSzhG_normal.jpg</v>
      </c>
      <c r="G533" s="67"/>
      <c r="H533" s="71"/>
      <c r="I533" s="72"/>
      <c r="J533" s="72"/>
      <c r="K533" s="71" t="s">
        <v>11276</v>
      </c>
      <c r="L533" s="75"/>
      <c r="M533" s="76"/>
      <c r="N533" s="76"/>
      <c r="O533" s="77"/>
      <c r="P533" s="78"/>
      <c r="Q533" s="78"/>
      <c r="R533" s="92"/>
      <c r="S533" s="92"/>
      <c r="T533" s="92"/>
      <c r="U533" s="92"/>
      <c r="V533" s="52"/>
      <c r="W533" s="52"/>
      <c r="X533" s="52"/>
      <c r="Y533" s="52"/>
      <c r="Z533" s="51"/>
      <c r="AA533" s="73"/>
      <c r="AB533" s="73"/>
      <c r="AC533" s="74"/>
      <c r="AD533" s="80" t="s">
        <v>7110</v>
      </c>
      <c r="AE533" s="85" t="s">
        <v>8307</v>
      </c>
      <c r="AF533" s="80">
        <v>749</v>
      </c>
      <c r="AG533" s="80">
        <v>426</v>
      </c>
      <c r="AH533" s="80">
        <v>24025</v>
      </c>
      <c r="AI533" s="80">
        <v>33</v>
      </c>
      <c r="AJ533" s="80"/>
      <c r="AK533" s="80" t="s">
        <v>9430</v>
      </c>
      <c r="AL533" s="80" t="s">
        <v>10139</v>
      </c>
      <c r="AM533" s="87" t="str">
        <f>HYPERLINK("https://t.co/FqbhKJ3s8F")</f>
        <v>https://t.co/FqbhKJ3s8F</v>
      </c>
      <c r="AN533" s="80"/>
      <c r="AO533" s="82">
        <v>40021.53806712963</v>
      </c>
      <c r="AP533" s="87" t="str">
        <f>HYPERLINK("https://pbs.twimg.com/profile_banners/60588628/1485865615")</f>
        <v>https://pbs.twimg.com/profile_banners/60588628/1485865615</v>
      </c>
      <c r="AQ533" s="80" t="b">
        <v>0</v>
      </c>
      <c r="AR533" s="80" t="b">
        <v>0</v>
      </c>
      <c r="AS533" s="80" t="b">
        <v>0</v>
      </c>
      <c r="AT533" s="80"/>
      <c r="AU533" s="80">
        <v>6</v>
      </c>
      <c r="AV533" s="87" t="str">
        <f>HYPERLINK("https://abs.twimg.com/images/themes/theme2/bg.gif")</f>
        <v>https://abs.twimg.com/images/themes/theme2/bg.gif</v>
      </c>
      <c r="AW533" s="80" t="b">
        <v>0</v>
      </c>
      <c r="AX533" s="80" t="s">
        <v>10746</v>
      </c>
      <c r="AY533" s="87" t="str">
        <f>HYPERLINK("https://twitter.com/alifpribadi")</f>
        <v>https://twitter.com/alifpribadi</v>
      </c>
      <c r="AZ533" s="80" t="s">
        <v>66</v>
      </c>
      <c r="BA533" s="2"/>
      <c r="BB533" s="3"/>
      <c r="BC533" s="3"/>
      <c r="BD533" s="3"/>
      <c r="BE533" s="3"/>
    </row>
    <row r="534" spans="1:57" x14ac:dyDescent="0.35">
      <c r="A534" s="66" t="s">
        <v>928</v>
      </c>
      <c r="B534" s="67"/>
      <c r="C534" s="67"/>
      <c r="D534" s="68"/>
      <c r="E534" s="70"/>
      <c r="F534" s="109" t="str">
        <f>HYPERLINK("https://pbs.twimg.com/profile_images/1278086872741240832/7QK9uMFO_normal.jpg")</f>
        <v>https://pbs.twimg.com/profile_images/1278086872741240832/7QK9uMFO_normal.jpg</v>
      </c>
      <c r="G534" s="67"/>
      <c r="H534" s="71"/>
      <c r="I534" s="72"/>
      <c r="J534" s="72"/>
      <c r="K534" s="71" t="s">
        <v>11277</v>
      </c>
      <c r="L534" s="75"/>
      <c r="M534" s="76"/>
      <c r="N534" s="76"/>
      <c r="O534" s="77"/>
      <c r="P534" s="78"/>
      <c r="Q534" s="78"/>
      <c r="R534" s="92"/>
      <c r="S534" s="92"/>
      <c r="T534" s="92"/>
      <c r="U534" s="92"/>
      <c r="V534" s="52"/>
      <c r="W534" s="52"/>
      <c r="X534" s="52"/>
      <c r="Y534" s="52"/>
      <c r="Z534" s="51"/>
      <c r="AA534" s="73"/>
      <c r="AB534" s="73"/>
      <c r="AC534" s="74"/>
      <c r="AD534" s="80" t="s">
        <v>7111</v>
      </c>
      <c r="AE534" s="85" t="s">
        <v>6334</v>
      </c>
      <c r="AF534" s="80">
        <v>76</v>
      </c>
      <c r="AG534" s="80">
        <v>310253</v>
      </c>
      <c r="AH534" s="80">
        <v>50084</v>
      </c>
      <c r="AI534" s="80">
        <v>2022</v>
      </c>
      <c r="AJ534" s="80"/>
      <c r="AK534" s="80" t="s">
        <v>9431</v>
      </c>
      <c r="AL534" s="80" t="s">
        <v>10379</v>
      </c>
      <c r="AM534" s="87" t="str">
        <f>HYPERLINK("https://t.co/laguctBEd1")</f>
        <v>https://t.co/laguctBEd1</v>
      </c>
      <c r="AN534" s="80"/>
      <c r="AO534" s="82">
        <v>41361.388807870368</v>
      </c>
      <c r="AP534" s="87" t="str">
        <f>HYPERLINK("https://pbs.twimg.com/profile_banners/1309959812/1632659404")</f>
        <v>https://pbs.twimg.com/profile_banners/1309959812/1632659404</v>
      </c>
      <c r="AQ534" s="80" t="b">
        <v>0</v>
      </c>
      <c r="AR534" s="80" t="b">
        <v>0</v>
      </c>
      <c r="AS534" s="80" t="b">
        <v>1</v>
      </c>
      <c r="AT534" s="80"/>
      <c r="AU534" s="80">
        <v>399</v>
      </c>
      <c r="AV534" s="87" t="str">
        <f>HYPERLINK("https://abs.twimg.com/images/themes/theme1/bg.png")</f>
        <v>https://abs.twimg.com/images/themes/theme1/bg.png</v>
      </c>
      <c r="AW534" s="80" t="b">
        <v>1</v>
      </c>
      <c r="AX534" s="80" t="s">
        <v>10746</v>
      </c>
      <c r="AY534" s="87" t="str">
        <f>HYPERLINK("https://twitter.com/juventusfcid")</f>
        <v>https://twitter.com/juventusfcid</v>
      </c>
      <c r="AZ534" s="80" t="s">
        <v>66</v>
      </c>
      <c r="BA534" s="2"/>
      <c r="BB534" s="3"/>
      <c r="BC534" s="3"/>
      <c r="BD534" s="3"/>
      <c r="BE534" s="3"/>
    </row>
    <row r="535" spans="1:57" x14ac:dyDescent="0.35">
      <c r="A535" s="66" t="s">
        <v>639</v>
      </c>
      <c r="B535" s="67"/>
      <c r="C535" s="67"/>
      <c r="D535" s="68"/>
      <c r="E535" s="70"/>
      <c r="F535" s="109" t="str">
        <f>HYPERLINK("https://pbs.twimg.com/profile_images/1424821713833889802/x2OevzwF_normal.jpg")</f>
        <v>https://pbs.twimg.com/profile_images/1424821713833889802/x2OevzwF_normal.jpg</v>
      </c>
      <c r="G535" s="67"/>
      <c r="H535" s="71"/>
      <c r="I535" s="72"/>
      <c r="J535" s="72"/>
      <c r="K535" s="71" t="s">
        <v>11278</v>
      </c>
      <c r="L535" s="75"/>
      <c r="M535" s="76"/>
      <c r="N535" s="76"/>
      <c r="O535" s="77"/>
      <c r="P535" s="78"/>
      <c r="Q535" s="78"/>
      <c r="R535" s="92"/>
      <c r="S535" s="92"/>
      <c r="T535" s="92"/>
      <c r="U535" s="92"/>
      <c r="V535" s="52"/>
      <c r="W535" s="52"/>
      <c r="X535" s="52"/>
      <c r="Y535" s="52"/>
      <c r="Z535" s="51"/>
      <c r="AA535" s="73"/>
      <c r="AB535" s="73"/>
      <c r="AC535" s="74"/>
      <c r="AD535" s="80" t="s">
        <v>7112</v>
      </c>
      <c r="AE535" s="85" t="s">
        <v>8308</v>
      </c>
      <c r="AF535" s="80">
        <v>120</v>
      </c>
      <c r="AG535" s="80">
        <v>266</v>
      </c>
      <c r="AH535" s="80">
        <v>24859</v>
      </c>
      <c r="AI535" s="80">
        <v>195</v>
      </c>
      <c r="AJ535" s="80"/>
      <c r="AK535" s="80" t="s">
        <v>9432</v>
      </c>
      <c r="AL535" s="80" t="s">
        <v>10380</v>
      </c>
      <c r="AM535" s="80"/>
      <c r="AN535" s="80"/>
      <c r="AO535" s="82">
        <v>40072.078912037039</v>
      </c>
      <c r="AP535" s="87" t="str">
        <f>HYPERLINK("https://pbs.twimg.com/profile_banners/74623349/1606022910")</f>
        <v>https://pbs.twimg.com/profile_banners/74623349/1606022910</v>
      </c>
      <c r="AQ535" s="80" t="b">
        <v>0</v>
      </c>
      <c r="AR535" s="80" t="b">
        <v>0</v>
      </c>
      <c r="AS535" s="80" t="b">
        <v>1</v>
      </c>
      <c r="AT535" s="80"/>
      <c r="AU535" s="80">
        <v>2</v>
      </c>
      <c r="AV535" s="87" t="str">
        <f>HYPERLINK("https://abs.twimg.com/images/themes/theme14/bg.gif")</f>
        <v>https://abs.twimg.com/images/themes/theme14/bg.gif</v>
      </c>
      <c r="AW535" s="80" t="b">
        <v>0</v>
      </c>
      <c r="AX535" s="80" t="s">
        <v>10746</v>
      </c>
      <c r="AY535" s="87" t="str">
        <f>HYPERLINK("https://twitter.com/pra_dypta")</f>
        <v>https://twitter.com/pra_dypta</v>
      </c>
      <c r="AZ535" s="80" t="s">
        <v>66</v>
      </c>
      <c r="BA535" s="2"/>
      <c r="BB535" s="3"/>
      <c r="BC535" s="3"/>
      <c r="BD535" s="3"/>
      <c r="BE535" s="3"/>
    </row>
    <row r="536" spans="1:57" x14ac:dyDescent="0.35">
      <c r="A536" s="66" t="s">
        <v>1370</v>
      </c>
      <c r="B536" s="67"/>
      <c r="C536" s="67"/>
      <c r="D536" s="68"/>
      <c r="E536" s="70"/>
      <c r="F536" s="109" t="str">
        <f>HYPERLINK("https://pbs.twimg.com/profile_images/977547763092217857/mWJXTPj__normal.jpg")</f>
        <v>https://pbs.twimg.com/profile_images/977547763092217857/mWJXTPj__normal.jpg</v>
      </c>
      <c r="G536" s="67"/>
      <c r="H536" s="71"/>
      <c r="I536" s="72"/>
      <c r="J536" s="72"/>
      <c r="K536" s="71" t="s">
        <v>11279</v>
      </c>
      <c r="L536" s="75"/>
      <c r="M536" s="76"/>
      <c r="N536" s="76"/>
      <c r="O536" s="77"/>
      <c r="P536" s="78"/>
      <c r="Q536" s="78"/>
      <c r="R536" s="92"/>
      <c r="S536" s="92"/>
      <c r="T536" s="92"/>
      <c r="U536" s="92"/>
      <c r="V536" s="52"/>
      <c r="W536" s="52"/>
      <c r="X536" s="52"/>
      <c r="Y536" s="52"/>
      <c r="Z536" s="51"/>
      <c r="AA536" s="73"/>
      <c r="AB536" s="73"/>
      <c r="AC536" s="74"/>
      <c r="AD536" s="80" t="s">
        <v>7113</v>
      </c>
      <c r="AE536" s="85" t="s">
        <v>8309</v>
      </c>
      <c r="AF536" s="80">
        <v>57</v>
      </c>
      <c r="AG536" s="80">
        <v>55477</v>
      </c>
      <c r="AH536" s="80">
        <v>5</v>
      </c>
      <c r="AI536" s="80">
        <v>10</v>
      </c>
      <c r="AJ536" s="80"/>
      <c r="AK536" s="80" t="s">
        <v>9433</v>
      </c>
      <c r="AL536" s="80" t="s">
        <v>10381</v>
      </c>
      <c r="AM536" s="80"/>
      <c r="AN536" s="80"/>
      <c r="AO536" s="82">
        <v>41625.58148148148</v>
      </c>
      <c r="AP536" s="87" t="str">
        <f>HYPERLINK("https://pbs.twimg.com/profile_banners/2230170215/1521900525")</f>
        <v>https://pbs.twimg.com/profile_banners/2230170215/1521900525</v>
      </c>
      <c r="AQ536" s="80" t="b">
        <v>1</v>
      </c>
      <c r="AR536" s="80" t="b">
        <v>0</v>
      </c>
      <c r="AS536" s="80" t="b">
        <v>0</v>
      </c>
      <c r="AT536" s="80"/>
      <c r="AU536" s="80">
        <v>192</v>
      </c>
      <c r="AV536" s="87" t="str">
        <f>HYPERLINK("https://abs.twimg.com/images/themes/theme1/bg.png")</f>
        <v>https://abs.twimg.com/images/themes/theme1/bg.png</v>
      </c>
      <c r="AW536" s="80" t="b">
        <v>0</v>
      </c>
      <c r="AX536" s="80" t="s">
        <v>10746</v>
      </c>
      <c r="AY536" s="87" t="str">
        <f>HYPERLINK("https://twitter.com/federicochiesa")</f>
        <v>https://twitter.com/federicochiesa</v>
      </c>
      <c r="AZ536" s="80" t="s">
        <v>65</v>
      </c>
      <c r="BA536" s="2"/>
      <c r="BB536" s="3"/>
      <c r="BC536" s="3"/>
      <c r="BD536" s="3"/>
      <c r="BE536" s="3"/>
    </row>
    <row r="537" spans="1:57" x14ac:dyDescent="0.35">
      <c r="A537" s="66" t="s">
        <v>1371</v>
      </c>
      <c r="B537" s="67"/>
      <c r="C537" s="67"/>
      <c r="D537" s="68"/>
      <c r="E537" s="70"/>
      <c r="F537" s="109" t="str">
        <f>HYPERLINK("https://pbs.twimg.com/profile_images/856797704860479488/FuSIvwm-_normal.jpg")</f>
        <v>https://pbs.twimg.com/profile_images/856797704860479488/FuSIvwm-_normal.jpg</v>
      </c>
      <c r="G537" s="67"/>
      <c r="H537" s="71"/>
      <c r="I537" s="72"/>
      <c r="J537" s="72"/>
      <c r="K537" s="71" t="s">
        <v>11280</v>
      </c>
      <c r="L537" s="75"/>
      <c r="M537" s="76"/>
      <c r="N537" s="76"/>
      <c r="O537" s="77"/>
      <c r="P537" s="78"/>
      <c r="Q537" s="78"/>
      <c r="R537" s="92"/>
      <c r="S537" s="92"/>
      <c r="T537" s="92"/>
      <c r="U537" s="92"/>
      <c r="V537" s="52"/>
      <c r="W537" s="52"/>
      <c r="X537" s="52"/>
      <c r="Y537" s="52"/>
      <c r="Z537" s="51"/>
      <c r="AA537" s="73"/>
      <c r="AB537" s="73"/>
      <c r="AC537" s="74"/>
      <c r="AD537" s="80" t="s">
        <v>7114</v>
      </c>
      <c r="AE537" s="85" t="s">
        <v>8310</v>
      </c>
      <c r="AF537" s="80">
        <v>56969</v>
      </c>
      <c r="AG537" s="80">
        <v>175389</v>
      </c>
      <c r="AH537" s="80">
        <v>958986</v>
      </c>
      <c r="AI537" s="80">
        <v>33</v>
      </c>
      <c r="AJ537" s="80"/>
      <c r="AK537" s="80" t="s">
        <v>9434</v>
      </c>
      <c r="AL537" s="80" t="s">
        <v>10134</v>
      </c>
      <c r="AM537" s="80"/>
      <c r="AN537" s="80"/>
      <c r="AO537" s="82">
        <v>41698.198634259257</v>
      </c>
      <c r="AP537" s="87" t="str">
        <f>HYPERLINK("https://pbs.twimg.com/profile_banners/2365077614/1451470512")</f>
        <v>https://pbs.twimg.com/profile_banners/2365077614/1451470512</v>
      </c>
      <c r="AQ537" s="80" t="b">
        <v>1</v>
      </c>
      <c r="AR537" s="80" t="b">
        <v>0</v>
      </c>
      <c r="AS537" s="80" t="b">
        <v>0</v>
      </c>
      <c r="AT537" s="80"/>
      <c r="AU537" s="80">
        <v>111</v>
      </c>
      <c r="AV537" s="87" t="str">
        <f>HYPERLINK("https://abs.twimg.com/images/themes/theme1/bg.png")</f>
        <v>https://abs.twimg.com/images/themes/theme1/bg.png</v>
      </c>
      <c r="AW537" s="80" t="b">
        <v>1</v>
      </c>
      <c r="AX537" s="80" t="s">
        <v>10746</v>
      </c>
      <c r="AY537" s="87" t="str">
        <f>HYPERLINK("https://twitter.com/jnecare")</f>
        <v>https://twitter.com/jnecare</v>
      </c>
      <c r="AZ537" s="80" t="s">
        <v>65</v>
      </c>
      <c r="BA537" s="2"/>
      <c r="BB537" s="3"/>
      <c r="BC537" s="3"/>
      <c r="BD537" s="3"/>
      <c r="BE537" s="3"/>
    </row>
    <row r="538" spans="1:57" x14ac:dyDescent="0.35">
      <c r="A538" s="66" t="s">
        <v>1372</v>
      </c>
      <c r="B538" s="67"/>
      <c r="C538" s="67"/>
      <c r="D538" s="68"/>
      <c r="E538" s="70"/>
      <c r="F538" s="109" t="str">
        <f>HYPERLINK("https://pbs.twimg.com/profile_images/1322716440546304001/C7I76d4f_normal.jpg")</f>
        <v>https://pbs.twimg.com/profile_images/1322716440546304001/C7I76d4f_normal.jpg</v>
      </c>
      <c r="G538" s="67"/>
      <c r="H538" s="71"/>
      <c r="I538" s="72"/>
      <c r="J538" s="72"/>
      <c r="K538" s="71" t="s">
        <v>11281</v>
      </c>
      <c r="L538" s="75"/>
      <c r="M538" s="76"/>
      <c r="N538" s="76"/>
      <c r="O538" s="77"/>
      <c r="P538" s="78"/>
      <c r="Q538" s="78"/>
      <c r="R538" s="92"/>
      <c r="S538" s="92"/>
      <c r="T538" s="92"/>
      <c r="U538" s="92"/>
      <c r="V538" s="52"/>
      <c r="W538" s="52"/>
      <c r="X538" s="52"/>
      <c r="Y538" s="52"/>
      <c r="Z538" s="51"/>
      <c r="AA538" s="73"/>
      <c r="AB538" s="73"/>
      <c r="AC538" s="74"/>
      <c r="AD538" s="80" t="s">
        <v>7115</v>
      </c>
      <c r="AE538" s="85" t="s">
        <v>8311</v>
      </c>
      <c r="AF538" s="80">
        <v>24</v>
      </c>
      <c r="AG538" s="80">
        <v>157438</v>
      </c>
      <c r="AH538" s="80">
        <v>70480</v>
      </c>
      <c r="AI538" s="80">
        <v>515</v>
      </c>
      <c r="AJ538" s="80"/>
      <c r="AK538" s="80" t="s">
        <v>9435</v>
      </c>
      <c r="AL538" s="80" t="s">
        <v>6543</v>
      </c>
      <c r="AM538" s="87" t="str">
        <f>HYPERLINK("https://t.co/A37EyVOQqf")</f>
        <v>https://t.co/A37EyVOQqf</v>
      </c>
      <c r="AN538" s="80"/>
      <c r="AO538" s="82">
        <v>40214.31753472222</v>
      </c>
      <c r="AP538" s="87" t="str">
        <f>HYPERLINK("https://pbs.twimg.com/profile_banners/111533124/1604195150")</f>
        <v>https://pbs.twimg.com/profile_banners/111533124/1604195150</v>
      </c>
      <c r="AQ538" s="80" t="b">
        <v>0</v>
      </c>
      <c r="AR538" s="80" t="b">
        <v>0</v>
      </c>
      <c r="AS538" s="80" t="b">
        <v>1</v>
      </c>
      <c r="AT538" s="80"/>
      <c r="AU538" s="80">
        <v>169</v>
      </c>
      <c r="AV538" s="87" t="str">
        <f>HYPERLINK("https://abs.twimg.com/images/themes/theme12/bg.gif")</f>
        <v>https://abs.twimg.com/images/themes/theme12/bg.gif</v>
      </c>
      <c r="AW538" s="80" t="b">
        <v>1</v>
      </c>
      <c r="AX538" s="80" t="s">
        <v>10746</v>
      </c>
      <c r="AY538" s="87" t="str">
        <f>HYPERLINK("https://twitter.com/jne_id")</f>
        <v>https://twitter.com/jne_id</v>
      </c>
      <c r="AZ538" s="80" t="s">
        <v>65</v>
      </c>
      <c r="BA538" s="2"/>
      <c r="BB538" s="3"/>
      <c r="BC538" s="3"/>
      <c r="BD538" s="3"/>
      <c r="BE538" s="3"/>
    </row>
    <row r="539" spans="1:57" x14ac:dyDescent="0.35">
      <c r="A539" s="66" t="s">
        <v>1373</v>
      </c>
      <c r="B539" s="67"/>
      <c r="C539" s="67"/>
      <c r="D539" s="68"/>
      <c r="E539" s="70"/>
      <c r="F539" s="109" t="str">
        <f>HYPERLINK("https://pbs.twimg.com/profile_images/941506255423545344/R9rj5qpj_normal.jpg")</f>
        <v>https://pbs.twimg.com/profile_images/941506255423545344/R9rj5qpj_normal.jpg</v>
      </c>
      <c r="G539" s="67"/>
      <c r="H539" s="71"/>
      <c r="I539" s="72"/>
      <c r="J539" s="72"/>
      <c r="K539" s="71" t="s">
        <v>11282</v>
      </c>
      <c r="L539" s="75"/>
      <c r="M539" s="76"/>
      <c r="N539" s="76"/>
      <c r="O539" s="77"/>
      <c r="P539" s="78"/>
      <c r="Q539" s="78"/>
      <c r="R539" s="92"/>
      <c r="S539" s="92"/>
      <c r="T539" s="92"/>
      <c r="U539" s="92"/>
      <c r="V539" s="52"/>
      <c r="W539" s="52"/>
      <c r="X539" s="52"/>
      <c r="Y539" s="52"/>
      <c r="Z539" s="51"/>
      <c r="AA539" s="73"/>
      <c r="AB539" s="73"/>
      <c r="AC539" s="74"/>
      <c r="AD539" s="80" t="s">
        <v>7116</v>
      </c>
      <c r="AE539" s="85" t="s">
        <v>8312</v>
      </c>
      <c r="AF539" s="80">
        <v>4</v>
      </c>
      <c r="AG539" s="80">
        <v>124348</v>
      </c>
      <c r="AH539" s="80">
        <v>77043</v>
      </c>
      <c r="AI539" s="80">
        <v>3843</v>
      </c>
      <c r="AJ539" s="80"/>
      <c r="AK539" s="80" t="s">
        <v>9436</v>
      </c>
      <c r="AL539" s="80" t="s">
        <v>6543</v>
      </c>
      <c r="AM539" s="87" t="str">
        <f>HYPERLINK("https://t.co/S8jXhgPCN1")</f>
        <v>https://t.co/S8jXhgPCN1</v>
      </c>
      <c r="AN539" s="80"/>
      <c r="AO539" s="82">
        <v>42178.326157407406</v>
      </c>
      <c r="AP539" s="87" t="str">
        <f>HYPERLINK("https://pbs.twimg.com/profile_banners/3253429832/1626840626")</f>
        <v>https://pbs.twimg.com/profile_banners/3253429832/1626840626</v>
      </c>
      <c r="AQ539" s="80" t="b">
        <v>0</v>
      </c>
      <c r="AR539" s="80" t="b">
        <v>0</v>
      </c>
      <c r="AS539" s="80" t="b">
        <v>1</v>
      </c>
      <c r="AT539" s="80"/>
      <c r="AU539" s="80">
        <v>41</v>
      </c>
      <c r="AV539" s="87" t="str">
        <f>HYPERLINK("https://abs.twimg.com/images/themes/theme1/bg.png")</f>
        <v>https://abs.twimg.com/images/themes/theme1/bg.png</v>
      </c>
      <c r="AW539" s="80" t="b">
        <v>1</v>
      </c>
      <c r="AX539" s="80" t="s">
        <v>10746</v>
      </c>
      <c r="AY539" s="87" t="str">
        <f>HYPERLINK("https://twitter.com/jntexpressid")</f>
        <v>https://twitter.com/jntexpressid</v>
      </c>
      <c r="AZ539" s="80" t="s">
        <v>65</v>
      </c>
      <c r="BA539" s="2"/>
      <c r="BB539" s="3"/>
      <c r="BC539" s="3"/>
      <c r="BD539" s="3"/>
      <c r="BE539" s="3"/>
    </row>
    <row r="540" spans="1:57" x14ac:dyDescent="0.35">
      <c r="A540" s="66" t="s">
        <v>640</v>
      </c>
      <c r="B540" s="67"/>
      <c r="C540" s="67"/>
      <c r="D540" s="68"/>
      <c r="E540" s="70"/>
      <c r="F540" s="109" t="str">
        <f>HYPERLINK("https://pbs.twimg.com/profile_images/1308588637068562433/5MIWGEpG_normal.jpg")</f>
        <v>https://pbs.twimg.com/profile_images/1308588637068562433/5MIWGEpG_normal.jpg</v>
      </c>
      <c r="G540" s="67"/>
      <c r="H540" s="71"/>
      <c r="I540" s="72"/>
      <c r="J540" s="72"/>
      <c r="K540" s="71" t="s">
        <v>11283</v>
      </c>
      <c r="L540" s="75"/>
      <c r="M540" s="76"/>
      <c r="N540" s="76"/>
      <c r="O540" s="77"/>
      <c r="P540" s="78"/>
      <c r="Q540" s="78"/>
      <c r="R540" s="92"/>
      <c r="S540" s="92"/>
      <c r="T540" s="92"/>
      <c r="U540" s="92"/>
      <c r="V540" s="52"/>
      <c r="W540" s="52"/>
      <c r="X540" s="52"/>
      <c r="Y540" s="52"/>
      <c r="Z540" s="51"/>
      <c r="AA540" s="73"/>
      <c r="AB540" s="73"/>
      <c r="AC540" s="74"/>
      <c r="AD540" s="80" t="s">
        <v>7117</v>
      </c>
      <c r="AE540" s="85" t="s">
        <v>8313</v>
      </c>
      <c r="AF540" s="80">
        <v>4067</v>
      </c>
      <c r="AG540" s="80">
        <v>577</v>
      </c>
      <c r="AH540" s="80">
        <v>29572</v>
      </c>
      <c r="AI540" s="80">
        <v>53119</v>
      </c>
      <c r="AJ540" s="80"/>
      <c r="AK540" s="87" t="str">
        <f>HYPERLINK("https://t.co/1qrvvJxvBx")</f>
        <v>https://t.co/1qrvvJxvBx</v>
      </c>
      <c r="AL540" s="80" t="s">
        <v>10315</v>
      </c>
      <c r="AM540" s="80"/>
      <c r="AN540" s="80"/>
      <c r="AO540" s="82">
        <v>43160.52071759259</v>
      </c>
      <c r="AP540" s="87" t="str">
        <f>HYPERLINK("https://pbs.twimg.com/profile_banners/969187957910290433/1519908069")</f>
        <v>https://pbs.twimg.com/profile_banners/969187957910290433/1519908069</v>
      </c>
      <c r="AQ540" s="80" t="b">
        <v>1</v>
      </c>
      <c r="AR540" s="80" t="b">
        <v>0</v>
      </c>
      <c r="AS540" s="80" t="b">
        <v>1</v>
      </c>
      <c r="AT540" s="80"/>
      <c r="AU540" s="80">
        <v>4</v>
      </c>
      <c r="AV540" s="80"/>
      <c r="AW540" s="80" t="b">
        <v>0</v>
      </c>
      <c r="AX540" s="80" t="s">
        <v>10746</v>
      </c>
      <c r="AY540" s="87" t="str">
        <f>HYPERLINK("https://twitter.com/junaidi_afif")</f>
        <v>https://twitter.com/junaidi_afif</v>
      </c>
      <c r="AZ540" s="80" t="s">
        <v>66</v>
      </c>
      <c r="BA540" s="2"/>
      <c r="BB540" s="3"/>
      <c r="BC540" s="3"/>
      <c r="BD540" s="3"/>
      <c r="BE540" s="3"/>
    </row>
    <row r="541" spans="1:57" x14ac:dyDescent="0.35">
      <c r="A541" s="66" t="s">
        <v>641</v>
      </c>
      <c r="B541" s="67"/>
      <c r="C541" s="67"/>
      <c r="D541" s="68"/>
      <c r="E541" s="70"/>
      <c r="F541" s="109" t="str">
        <f>HYPERLINK("https://pbs.twimg.com/profile_images/595033804575608833/l5qiODtC_normal.jpg")</f>
        <v>https://pbs.twimg.com/profile_images/595033804575608833/l5qiODtC_normal.jpg</v>
      </c>
      <c r="G541" s="67"/>
      <c r="H541" s="71"/>
      <c r="I541" s="72"/>
      <c r="J541" s="72"/>
      <c r="K541" s="71" t="s">
        <v>11284</v>
      </c>
      <c r="L541" s="75"/>
      <c r="M541" s="76"/>
      <c r="N541" s="76"/>
      <c r="O541" s="77"/>
      <c r="P541" s="78"/>
      <c r="Q541" s="78"/>
      <c r="R541" s="92"/>
      <c r="S541" s="92"/>
      <c r="T541" s="92"/>
      <c r="U541" s="92"/>
      <c r="V541" s="52"/>
      <c r="W541" s="52"/>
      <c r="X541" s="52"/>
      <c r="Y541" s="52"/>
      <c r="Z541" s="51"/>
      <c r="AA541" s="73"/>
      <c r="AB541" s="73"/>
      <c r="AC541" s="74"/>
      <c r="AD541" s="80" t="s">
        <v>7118</v>
      </c>
      <c r="AE541" s="85" t="s">
        <v>8314</v>
      </c>
      <c r="AF541" s="80">
        <v>136</v>
      </c>
      <c r="AG541" s="80">
        <v>219</v>
      </c>
      <c r="AH541" s="80">
        <v>40680</v>
      </c>
      <c r="AI541" s="80">
        <v>450</v>
      </c>
      <c r="AJ541" s="80"/>
      <c r="AK541" s="80" t="s">
        <v>9437</v>
      </c>
      <c r="AL541" s="80" t="s">
        <v>10382</v>
      </c>
      <c r="AM541" s="87" t="str">
        <f>HYPERLINK("https://t.co/UXTYW2zEbf")</f>
        <v>https://t.co/UXTYW2zEbf</v>
      </c>
      <c r="AN541" s="80"/>
      <c r="AO541" s="82">
        <v>40337.368981481479</v>
      </c>
      <c r="AP541" s="87" t="str">
        <f>HYPERLINK("https://pbs.twimg.com/profile_banners/153342617/1420578632")</f>
        <v>https://pbs.twimg.com/profile_banners/153342617/1420578632</v>
      </c>
      <c r="AQ541" s="80" t="b">
        <v>0</v>
      </c>
      <c r="AR541" s="80" t="b">
        <v>0</v>
      </c>
      <c r="AS541" s="80" t="b">
        <v>0</v>
      </c>
      <c r="AT541" s="80"/>
      <c r="AU541" s="80">
        <v>10</v>
      </c>
      <c r="AV541" s="87" t="str">
        <f>HYPERLINK("https://abs.twimg.com/images/themes/theme1/bg.png")</f>
        <v>https://abs.twimg.com/images/themes/theme1/bg.png</v>
      </c>
      <c r="AW541" s="80" t="b">
        <v>0</v>
      </c>
      <c r="AX541" s="80" t="s">
        <v>10746</v>
      </c>
      <c r="AY541" s="87" t="str">
        <f>HYPERLINK("https://twitter.com/muhammad_akbarr")</f>
        <v>https://twitter.com/muhammad_akbarr</v>
      </c>
      <c r="AZ541" s="80" t="s">
        <v>66</v>
      </c>
      <c r="BA541" s="2"/>
      <c r="BB541" s="3"/>
      <c r="BC541" s="3"/>
      <c r="BD541" s="3"/>
      <c r="BE541" s="3"/>
    </row>
    <row r="542" spans="1:57" x14ac:dyDescent="0.35">
      <c r="A542" s="66" t="s">
        <v>642</v>
      </c>
      <c r="B542" s="67"/>
      <c r="C542" s="67"/>
      <c r="D542" s="68"/>
      <c r="E542" s="70"/>
      <c r="F542" s="109" t="str">
        <f>HYPERLINK("https://pbs.twimg.com/profile_images/2914804997/1ac5d90282b3b9c8efa7b390d9a9a225_normal.jpeg")</f>
        <v>https://pbs.twimg.com/profile_images/2914804997/1ac5d90282b3b9c8efa7b390d9a9a225_normal.jpeg</v>
      </c>
      <c r="G542" s="67"/>
      <c r="H542" s="71"/>
      <c r="I542" s="72"/>
      <c r="J542" s="72"/>
      <c r="K542" s="71" t="s">
        <v>11285</v>
      </c>
      <c r="L542" s="75"/>
      <c r="M542" s="76"/>
      <c r="N542" s="76"/>
      <c r="O542" s="77"/>
      <c r="P542" s="78"/>
      <c r="Q542" s="78"/>
      <c r="R542" s="92"/>
      <c r="S542" s="92"/>
      <c r="T542" s="92"/>
      <c r="U542" s="92"/>
      <c r="V542" s="52"/>
      <c r="W542" s="52"/>
      <c r="X542" s="52"/>
      <c r="Y542" s="52"/>
      <c r="Z542" s="51"/>
      <c r="AA542" s="73"/>
      <c r="AB542" s="73"/>
      <c r="AC542" s="74"/>
      <c r="AD542" s="80" t="s">
        <v>7119</v>
      </c>
      <c r="AE542" s="85" t="s">
        <v>8315</v>
      </c>
      <c r="AF542" s="80">
        <v>227</v>
      </c>
      <c r="AG542" s="80">
        <v>252</v>
      </c>
      <c r="AH542" s="80">
        <v>16936</v>
      </c>
      <c r="AI542" s="80">
        <v>4263</v>
      </c>
      <c r="AJ542" s="80"/>
      <c r="AK542" s="80"/>
      <c r="AL542" s="80" t="s">
        <v>10134</v>
      </c>
      <c r="AM542" s="80"/>
      <c r="AN542" s="80"/>
      <c r="AO542" s="82">
        <v>40731.1250462963</v>
      </c>
      <c r="AP542" s="80"/>
      <c r="AQ542" s="80" t="b">
        <v>1</v>
      </c>
      <c r="AR542" s="80" t="b">
        <v>0</v>
      </c>
      <c r="AS542" s="80" t="b">
        <v>0</v>
      </c>
      <c r="AT542" s="80"/>
      <c r="AU542" s="80">
        <v>4</v>
      </c>
      <c r="AV542" s="87" t="str">
        <f>HYPERLINK("https://abs.twimg.com/images/themes/theme1/bg.png")</f>
        <v>https://abs.twimg.com/images/themes/theme1/bg.png</v>
      </c>
      <c r="AW542" s="80" t="b">
        <v>0</v>
      </c>
      <c r="AX542" s="80" t="s">
        <v>10746</v>
      </c>
      <c r="AY542" s="87" t="str">
        <f>HYPERLINK("https://twitter.com/riduch")</f>
        <v>https://twitter.com/riduch</v>
      </c>
      <c r="AZ542" s="80" t="s">
        <v>66</v>
      </c>
      <c r="BA542" s="2"/>
      <c r="BB542" s="3"/>
      <c r="BC542" s="3"/>
      <c r="BD542" s="3"/>
      <c r="BE542" s="3"/>
    </row>
    <row r="543" spans="1:57" x14ac:dyDescent="0.35">
      <c r="A543" s="66" t="s">
        <v>643</v>
      </c>
      <c r="B543" s="67"/>
      <c r="C543" s="67"/>
      <c r="D543" s="68"/>
      <c r="E543" s="70"/>
      <c r="F543" s="109" t="str">
        <f>HYPERLINK("https://pbs.twimg.com/profile_images/867410851569041408/mlaeCD59_normal.jpg")</f>
        <v>https://pbs.twimg.com/profile_images/867410851569041408/mlaeCD59_normal.jpg</v>
      </c>
      <c r="G543" s="67"/>
      <c r="H543" s="71"/>
      <c r="I543" s="72"/>
      <c r="J543" s="72"/>
      <c r="K543" s="71" t="s">
        <v>11286</v>
      </c>
      <c r="L543" s="75"/>
      <c r="M543" s="76"/>
      <c r="N543" s="76"/>
      <c r="O543" s="77"/>
      <c r="P543" s="78"/>
      <c r="Q543" s="78"/>
      <c r="R543" s="92"/>
      <c r="S543" s="92"/>
      <c r="T543" s="92"/>
      <c r="U543" s="92"/>
      <c r="V543" s="52"/>
      <c r="W543" s="52"/>
      <c r="X543" s="52"/>
      <c r="Y543" s="52"/>
      <c r="Z543" s="51"/>
      <c r="AA543" s="73"/>
      <c r="AB543" s="73"/>
      <c r="AC543" s="74"/>
      <c r="AD543" s="80" t="s">
        <v>7120</v>
      </c>
      <c r="AE543" s="85" t="s">
        <v>8316</v>
      </c>
      <c r="AF543" s="80">
        <v>147</v>
      </c>
      <c r="AG543" s="80">
        <v>224</v>
      </c>
      <c r="AH543" s="80">
        <v>10585</v>
      </c>
      <c r="AI543" s="80">
        <v>69</v>
      </c>
      <c r="AJ543" s="80"/>
      <c r="AK543" s="80" t="s">
        <v>9438</v>
      </c>
      <c r="AL543" s="80"/>
      <c r="AM543" s="80"/>
      <c r="AN543" s="80"/>
      <c r="AO543" s="82">
        <v>40011.498333333337</v>
      </c>
      <c r="AP543" s="87" t="str">
        <f>HYPERLINK("https://pbs.twimg.com/profile_banners/57623811/1471883388")</f>
        <v>https://pbs.twimg.com/profile_banners/57623811/1471883388</v>
      </c>
      <c r="AQ543" s="80" t="b">
        <v>1</v>
      </c>
      <c r="AR543" s="80" t="b">
        <v>0</v>
      </c>
      <c r="AS543" s="80" t="b">
        <v>0</v>
      </c>
      <c r="AT543" s="80"/>
      <c r="AU543" s="80">
        <v>2</v>
      </c>
      <c r="AV543" s="87" t="str">
        <f>HYPERLINK("https://abs.twimg.com/images/themes/theme1/bg.png")</f>
        <v>https://abs.twimg.com/images/themes/theme1/bg.png</v>
      </c>
      <c r="AW543" s="80" t="b">
        <v>0</v>
      </c>
      <c r="AX543" s="80" t="s">
        <v>10746</v>
      </c>
      <c r="AY543" s="87" t="str">
        <f>HYPERLINK("https://twitter.com/fajar_bdmn")</f>
        <v>https://twitter.com/fajar_bdmn</v>
      </c>
      <c r="AZ543" s="80" t="s">
        <v>66</v>
      </c>
      <c r="BA543" s="2"/>
      <c r="BB543" s="3"/>
      <c r="BC543" s="3"/>
      <c r="BD543" s="3"/>
      <c r="BE543" s="3"/>
    </row>
    <row r="544" spans="1:57" x14ac:dyDescent="0.35">
      <c r="A544" s="66" t="s">
        <v>644</v>
      </c>
      <c r="B544" s="67"/>
      <c r="C544" s="67"/>
      <c r="D544" s="68"/>
      <c r="E544" s="70"/>
      <c r="F544" s="109" t="str">
        <f>HYPERLINK("https://pbs.twimg.com/profile_images/1206652493628788736/2TQnx3Si_normal.jpg")</f>
        <v>https://pbs.twimg.com/profile_images/1206652493628788736/2TQnx3Si_normal.jpg</v>
      </c>
      <c r="G544" s="67"/>
      <c r="H544" s="71"/>
      <c r="I544" s="72"/>
      <c r="J544" s="72"/>
      <c r="K544" s="71" t="s">
        <v>11287</v>
      </c>
      <c r="L544" s="75"/>
      <c r="M544" s="76"/>
      <c r="N544" s="76"/>
      <c r="O544" s="77"/>
      <c r="P544" s="78"/>
      <c r="Q544" s="78"/>
      <c r="R544" s="92"/>
      <c r="S544" s="92"/>
      <c r="T544" s="92"/>
      <c r="U544" s="92"/>
      <c r="V544" s="52"/>
      <c r="W544" s="52"/>
      <c r="X544" s="52"/>
      <c r="Y544" s="52"/>
      <c r="Z544" s="51"/>
      <c r="AA544" s="73"/>
      <c r="AB544" s="73"/>
      <c r="AC544" s="74"/>
      <c r="AD544" s="80" t="s">
        <v>7121</v>
      </c>
      <c r="AE544" s="85" t="s">
        <v>8317</v>
      </c>
      <c r="AF544" s="80">
        <v>315</v>
      </c>
      <c r="AG544" s="80">
        <v>557</v>
      </c>
      <c r="AH544" s="80">
        <v>16624</v>
      </c>
      <c r="AI544" s="80">
        <v>441</v>
      </c>
      <c r="AJ544" s="80"/>
      <c r="AK544" s="80" t="s">
        <v>9439</v>
      </c>
      <c r="AL544" s="80" t="s">
        <v>10383</v>
      </c>
      <c r="AM544" s="80"/>
      <c r="AN544" s="80"/>
      <c r="AO544" s="82">
        <v>40893.071909722225</v>
      </c>
      <c r="AP544" s="87" t="str">
        <f>HYPERLINK("https://pbs.twimg.com/profile_banners/437968506/1576522343")</f>
        <v>https://pbs.twimg.com/profile_banners/437968506/1576522343</v>
      </c>
      <c r="AQ544" s="80" t="b">
        <v>0</v>
      </c>
      <c r="AR544" s="80" t="b">
        <v>0</v>
      </c>
      <c r="AS544" s="80" t="b">
        <v>1</v>
      </c>
      <c r="AT544" s="80"/>
      <c r="AU544" s="80">
        <v>1</v>
      </c>
      <c r="AV544" s="87" t="str">
        <f>HYPERLINK("https://abs.twimg.com/images/themes/theme1/bg.png")</f>
        <v>https://abs.twimg.com/images/themes/theme1/bg.png</v>
      </c>
      <c r="AW544" s="80" t="b">
        <v>0</v>
      </c>
      <c r="AX544" s="80" t="s">
        <v>10746</v>
      </c>
      <c r="AY544" s="87" t="str">
        <f>HYPERLINK("https://twitter.com/ahmaadzulfikar")</f>
        <v>https://twitter.com/ahmaadzulfikar</v>
      </c>
      <c r="AZ544" s="80" t="s">
        <v>66</v>
      </c>
      <c r="BA544" s="2"/>
      <c r="BB544" s="3"/>
      <c r="BC544" s="3"/>
      <c r="BD544" s="3"/>
      <c r="BE544" s="3"/>
    </row>
    <row r="545" spans="1:57" x14ac:dyDescent="0.35">
      <c r="A545" s="66" t="s">
        <v>645</v>
      </c>
      <c r="B545" s="67"/>
      <c r="C545" s="67"/>
      <c r="D545" s="68"/>
      <c r="E545" s="70"/>
      <c r="F545" s="109" t="str">
        <f>HYPERLINK("https://pbs.twimg.com/profile_images/1106387977297551360/UqZZB_5h_normal.jpg")</f>
        <v>https://pbs.twimg.com/profile_images/1106387977297551360/UqZZB_5h_normal.jpg</v>
      </c>
      <c r="G545" s="67"/>
      <c r="H545" s="71"/>
      <c r="I545" s="72"/>
      <c r="J545" s="72"/>
      <c r="K545" s="71" t="s">
        <v>11288</v>
      </c>
      <c r="L545" s="75"/>
      <c r="M545" s="76"/>
      <c r="N545" s="76"/>
      <c r="O545" s="77"/>
      <c r="P545" s="78"/>
      <c r="Q545" s="78"/>
      <c r="R545" s="92"/>
      <c r="S545" s="92"/>
      <c r="T545" s="92"/>
      <c r="U545" s="92"/>
      <c r="V545" s="52"/>
      <c r="W545" s="52"/>
      <c r="X545" s="52"/>
      <c r="Y545" s="52"/>
      <c r="Z545" s="51"/>
      <c r="AA545" s="73"/>
      <c r="AB545" s="73"/>
      <c r="AC545" s="74"/>
      <c r="AD545" s="80" t="s">
        <v>7122</v>
      </c>
      <c r="AE545" s="85" t="s">
        <v>8318</v>
      </c>
      <c r="AF545" s="80">
        <v>1017</v>
      </c>
      <c r="AG545" s="80">
        <v>144</v>
      </c>
      <c r="AH545" s="80">
        <v>16734</v>
      </c>
      <c r="AI545" s="80">
        <v>1202</v>
      </c>
      <c r="AJ545" s="80"/>
      <c r="AK545" s="80" t="s">
        <v>9440</v>
      </c>
      <c r="AL545" s="80" t="s">
        <v>10384</v>
      </c>
      <c r="AM545" s="87" t="str">
        <f>HYPERLINK("https://t.co/adLvCwt0Yw")</f>
        <v>https://t.co/adLvCwt0Yw</v>
      </c>
      <c r="AN545" s="80"/>
      <c r="AO545" s="82">
        <v>41103.055231481485</v>
      </c>
      <c r="AP545" s="87" t="str">
        <f>HYPERLINK("https://pbs.twimg.com/profile_banners/634267878/1361587457")</f>
        <v>https://pbs.twimg.com/profile_banners/634267878/1361587457</v>
      </c>
      <c r="AQ545" s="80" t="b">
        <v>0</v>
      </c>
      <c r="AR545" s="80" t="b">
        <v>0</v>
      </c>
      <c r="AS545" s="80" t="b">
        <v>1</v>
      </c>
      <c r="AT545" s="80"/>
      <c r="AU545" s="80">
        <v>7</v>
      </c>
      <c r="AV545" s="87" t="str">
        <f>HYPERLINK("https://abs.twimg.com/images/themes/theme1/bg.png")</f>
        <v>https://abs.twimg.com/images/themes/theme1/bg.png</v>
      </c>
      <c r="AW545" s="80" t="b">
        <v>0</v>
      </c>
      <c r="AX545" s="80" t="s">
        <v>10746</v>
      </c>
      <c r="AY545" s="87" t="str">
        <f>HYPERLINK("https://twitter.com/sarfd")</f>
        <v>https://twitter.com/sarfd</v>
      </c>
      <c r="AZ545" s="80" t="s">
        <v>66</v>
      </c>
      <c r="BA545" s="2"/>
      <c r="BB545" s="3"/>
      <c r="BC545" s="3"/>
      <c r="BD545" s="3"/>
      <c r="BE545" s="3"/>
    </row>
    <row r="546" spans="1:57" x14ac:dyDescent="0.35">
      <c r="A546" s="66" t="s">
        <v>646</v>
      </c>
      <c r="B546" s="67"/>
      <c r="C546" s="67"/>
      <c r="D546" s="68"/>
      <c r="E546" s="70"/>
      <c r="F546" s="109" t="str">
        <f>HYPERLINK("https://pbs.twimg.com/profile_images/469040761070026752/sys2kkGX_normal.jpeg")</f>
        <v>https://pbs.twimg.com/profile_images/469040761070026752/sys2kkGX_normal.jpeg</v>
      </c>
      <c r="G546" s="67"/>
      <c r="H546" s="71"/>
      <c r="I546" s="72"/>
      <c r="J546" s="72"/>
      <c r="K546" s="71" t="s">
        <v>11289</v>
      </c>
      <c r="L546" s="75"/>
      <c r="M546" s="76"/>
      <c r="N546" s="76"/>
      <c r="O546" s="77"/>
      <c r="P546" s="78"/>
      <c r="Q546" s="78"/>
      <c r="R546" s="92"/>
      <c r="S546" s="92"/>
      <c r="T546" s="92"/>
      <c r="U546" s="92"/>
      <c r="V546" s="52"/>
      <c r="W546" s="52"/>
      <c r="X546" s="52"/>
      <c r="Y546" s="52"/>
      <c r="Z546" s="51"/>
      <c r="AA546" s="73"/>
      <c r="AB546" s="73"/>
      <c r="AC546" s="74"/>
      <c r="AD546" s="80" t="s">
        <v>7123</v>
      </c>
      <c r="AE546" s="85" t="s">
        <v>8319</v>
      </c>
      <c r="AF546" s="80">
        <v>206</v>
      </c>
      <c r="AG546" s="80">
        <v>24</v>
      </c>
      <c r="AH546" s="80">
        <v>101</v>
      </c>
      <c r="AI546" s="80">
        <v>70</v>
      </c>
      <c r="AJ546" s="80"/>
      <c r="AK546" s="80"/>
      <c r="AL546" s="80"/>
      <c r="AM546" s="80"/>
      <c r="AN546" s="80"/>
      <c r="AO546" s="82">
        <v>41780.362453703703</v>
      </c>
      <c r="AP546" s="80"/>
      <c r="AQ546" s="80" t="b">
        <v>1</v>
      </c>
      <c r="AR546" s="80" t="b">
        <v>0</v>
      </c>
      <c r="AS546" s="80" t="b">
        <v>0</v>
      </c>
      <c r="AT546" s="80"/>
      <c r="AU546" s="80">
        <v>0</v>
      </c>
      <c r="AV546" s="87" t="str">
        <f>HYPERLINK("https://abs.twimg.com/images/themes/theme1/bg.png")</f>
        <v>https://abs.twimg.com/images/themes/theme1/bg.png</v>
      </c>
      <c r="AW546" s="80" t="b">
        <v>0</v>
      </c>
      <c r="AX546" s="80" t="s">
        <v>10746</v>
      </c>
      <c r="AY546" s="87" t="str">
        <f>HYPERLINK("https://twitter.com/robygessyromany")</f>
        <v>https://twitter.com/robygessyromany</v>
      </c>
      <c r="AZ546" s="80" t="s">
        <v>66</v>
      </c>
      <c r="BA546" s="2"/>
      <c r="BB546" s="3"/>
      <c r="BC546" s="3"/>
      <c r="BD546" s="3"/>
      <c r="BE546" s="3"/>
    </row>
    <row r="547" spans="1:57" x14ac:dyDescent="0.35">
      <c r="A547" s="66" t="s">
        <v>647</v>
      </c>
      <c r="B547" s="67"/>
      <c r="C547" s="67"/>
      <c r="D547" s="68"/>
      <c r="E547" s="70"/>
      <c r="F547" s="109" t="str">
        <f>HYPERLINK("https://pbs.twimg.com/profile_images/378800000319332131/9fac14e7adb37dcc922bf46c69edad0b_normal.jpeg")</f>
        <v>https://pbs.twimg.com/profile_images/378800000319332131/9fac14e7adb37dcc922bf46c69edad0b_normal.jpeg</v>
      </c>
      <c r="G547" s="67"/>
      <c r="H547" s="71"/>
      <c r="I547" s="72"/>
      <c r="J547" s="72"/>
      <c r="K547" s="71" t="s">
        <v>11290</v>
      </c>
      <c r="L547" s="75"/>
      <c r="M547" s="76"/>
      <c r="N547" s="76"/>
      <c r="O547" s="77"/>
      <c r="P547" s="78"/>
      <c r="Q547" s="78"/>
      <c r="R547" s="92"/>
      <c r="S547" s="92"/>
      <c r="T547" s="92"/>
      <c r="U547" s="92"/>
      <c r="V547" s="52"/>
      <c r="W547" s="52"/>
      <c r="X547" s="52"/>
      <c r="Y547" s="52"/>
      <c r="Z547" s="51"/>
      <c r="AA547" s="73"/>
      <c r="AB547" s="73"/>
      <c r="AC547" s="74"/>
      <c r="AD547" s="80" t="s">
        <v>7124</v>
      </c>
      <c r="AE547" s="85" t="s">
        <v>8320</v>
      </c>
      <c r="AF547" s="80">
        <v>498</v>
      </c>
      <c r="AG547" s="80">
        <v>245</v>
      </c>
      <c r="AH547" s="80">
        <v>30061</v>
      </c>
      <c r="AI547" s="80">
        <v>3953</v>
      </c>
      <c r="AJ547" s="80"/>
      <c r="AK547" s="80" t="s">
        <v>9441</v>
      </c>
      <c r="AL547" s="80" t="s">
        <v>10385</v>
      </c>
      <c r="AM547" s="80"/>
      <c r="AN547" s="80"/>
      <c r="AO547" s="82">
        <v>41379.382118055553</v>
      </c>
      <c r="AP547" s="87" t="str">
        <f>HYPERLINK("https://pbs.twimg.com/profile_banners/1353898646/1369272143")</f>
        <v>https://pbs.twimg.com/profile_banners/1353898646/1369272143</v>
      </c>
      <c r="AQ547" s="80" t="b">
        <v>0</v>
      </c>
      <c r="AR547" s="80" t="b">
        <v>0</v>
      </c>
      <c r="AS547" s="80" t="b">
        <v>1</v>
      </c>
      <c r="AT547" s="80"/>
      <c r="AU547" s="80">
        <v>3</v>
      </c>
      <c r="AV547" s="87" t="str">
        <f>HYPERLINK("https://abs.twimg.com/images/themes/theme1/bg.png")</f>
        <v>https://abs.twimg.com/images/themes/theme1/bg.png</v>
      </c>
      <c r="AW547" s="80" t="b">
        <v>0</v>
      </c>
      <c r="AX547" s="80" t="s">
        <v>10746</v>
      </c>
      <c r="AY547" s="87" t="str">
        <f>HYPERLINK("https://twitter.com/syarifiirvan")</f>
        <v>https://twitter.com/syarifiirvan</v>
      </c>
      <c r="AZ547" s="80" t="s">
        <v>66</v>
      </c>
      <c r="BA547" s="2"/>
      <c r="BB547" s="3"/>
      <c r="BC547" s="3"/>
      <c r="BD547" s="3"/>
      <c r="BE547" s="3"/>
    </row>
    <row r="548" spans="1:57" x14ac:dyDescent="0.35">
      <c r="A548" s="66" t="s">
        <v>648</v>
      </c>
      <c r="B548" s="67"/>
      <c r="C548" s="67"/>
      <c r="D548" s="68"/>
      <c r="E548" s="70"/>
      <c r="F548" s="109" t="str">
        <f>HYPERLINK("https://pbs.twimg.com/profile_images/933856770212093952/ezNSsKfX_normal.jpg")</f>
        <v>https://pbs.twimg.com/profile_images/933856770212093952/ezNSsKfX_normal.jpg</v>
      </c>
      <c r="G548" s="67"/>
      <c r="H548" s="71"/>
      <c r="I548" s="72"/>
      <c r="J548" s="72"/>
      <c r="K548" s="71" t="s">
        <v>11291</v>
      </c>
      <c r="L548" s="75"/>
      <c r="M548" s="76"/>
      <c r="N548" s="76"/>
      <c r="O548" s="77"/>
      <c r="P548" s="78"/>
      <c r="Q548" s="78"/>
      <c r="R548" s="92"/>
      <c r="S548" s="92"/>
      <c r="T548" s="92"/>
      <c r="U548" s="92"/>
      <c r="V548" s="52"/>
      <c r="W548" s="52"/>
      <c r="X548" s="52"/>
      <c r="Y548" s="52"/>
      <c r="Z548" s="51"/>
      <c r="AA548" s="73"/>
      <c r="AB548" s="73"/>
      <c r="AC548" s="74"/>
      <c r="AD548" s="80" t="s">
        <v>7125</v>
      </c>
      <c r="AE548" s="85" t="s">
        <v>8321</v>
      </c>
      <c r="AF548" s="80">
        <v>184</v>
      </c>
      <c r="AG548" s="80">
        <v>32</v>
      </c>
      <c r="AH548" s="80">
        <v>28680</v>
      </c>
      <c r="AI548" s="80">
        <v>576</v>
      </c>
      <c r="AJ548" s="80"/>
      <c r="AK548" s="80" t="s">
        <v>9442</v>
      </c>
      <c r="AL548" s="80" t="s">
        <v>10134</v>
      </c>
      <c r="AM548" s="80"/>
      <c r="AN548" s="80"/>
      <c r="AO548" s="82">
        <v>41635.880312499998</v>
      </c>
      <c r="AP548" s="87" t="str">
        <f>HYPERLINK("https://pbs.twimg.com/profile_banners/2264922342/1389501898")</f>
        <v>https://pbs.twimg.com/profile_banners/2264922342/1389501898</v>
      </c>
      <c r="AQ548" s="80" t="b">
        <v>1</v>
      </c>
      <c r="AR548" s="80" t="b">
        <v>0</v>
      </c>
      <c r="AS548" s="80" t="b">
        <v>0</v>
      </c>
      <c r="AT548" s="80"/>
      <c r="AU548" s="80">
        <v>2</v>
      </c>
      <c r="AV548" s="87" t="str">
        <f>HYPERLINK("https://abs.twimg.com/images/themes/theme1/bg.png")</f>
        <v>https://abs.twimg.com/images/themes/theme1/bg.png</v>
      </c>
      <c r="AW548" s="80" t="b">
        <v>0</v>
      </c>
      <c r="AX548" s="80" t="s">
        <v>10746</v>
      </c>
      <c r="AY548" s="87" t="str">
        <f>HYPERLINK("https://twitter.com/krisnapraditya2")</f>
        <v>https://twitter.com/krisnapraditya2</v>
      </c>
      <c r="AZ548" s="80" t="s">
        <v>66</v>
      </c>
      <c r="BA548" s="2"/>
      <c r="BB548" s="3"/>
      <c r="BC548" s="3"/>
      <c r="BD548" s="3"/>
      <c r="BE548" s="3"/>
    </row>
    <row r="549" spans="1:57" x14ac:dyDescent="0.35">
      <c r="A549" s="66" t="s">
        <v>649</v>
      </c>
      <c r="B549" s="67"/>
      <c r="C549" s="67"/>
      <c r="D549" s="68"/>
      <c r="E549" s="70"/>
      <c r="F549" s="109" t="str">
        <f>HYPERLINK("https://pbs.twimg.com/profile_images/1286263554966880260/pzkjfkdk_normal.jpg")</f>
        <v>https://pbs.twimg.com/profile_images/1286263554966880260/pzkjfkdk_normal.jpg</v>
      </c>
      <c r="G549" s="67"/>
      <c r="H549" s="71"/>
      <c r="I549" s="72"/>
      <c r="J549" s="72"/>
      <c r="K549" s="71" t="s">
        <v>11292</v>
      </c>
      <c r="L549" s="75"/>
      <c r="M549" s="76"/>
      <c r="N549" s="76"/>
      <c r="O549" s="77"/>
      <c r="P549" s="78"/>
      <c r="Q549" s="78"/>
      <c r="R549" s="92"/>
      <c r="S549" s="92"/>
      <c r="T549" s="92"/>
      <c r="U549" s="92"/>
      <c r="V549" s="52"/>
      <c r="W549" s="52"/>
      <c r="X549" s="52"/>
      <c r="Y549" s="52"/>
      <c r="Z549" s="51"/>
      <c r="AA549" s="73"/>
      <c r="AB549" s="73"/>
      <c r="AC549" s="74"/>
      <c r="AD549" s="80" t="s">
        <v>7126</v>
      </c>
      <c r="AE549" s="85" t="s">
        <v>8322</v>
      </c>
      <c r="AF549" s="80">
        <v>179</v>
      </c>
      <c r="AG549" s="80">
        <v>187</v>
      </c>
      <c r="AH549" s="80">
        <v>2386</v>
      </c>
      <c r="AI549" s="80">
        <v>32</v>
      </c>
      <c r="AJ549" s="80"/>
      <c r="AK549" s="80" t="s">
        <v>9443</v>
      </c>
      <c r="AL549" s="80" t="s">
        <v>10386</v>
      </c>
      <c r="AM549" s="80"/>
      <c r="AN549" s="80"/>
      <c r="AO549" s="82">
        <v>42014.645254629628</v>
      </c>
      <c r="AP549" s="87" t="str">
        <f>HYPERLINK("https://pbs.twimg.com/profile_banners/2972416837/1468926368")</f>
        <v>https://pbs.twimg.com/profile_banners/2972416837/1468926368</v>
      </c>
      <c r="AQ549" s="80" t="b">
        <v>0</v>
      </c>
      <c r="AR549" s="80" t="b">
        <v>0</v>
      </c>
      <c r="AS549" s="80" t="b">
        <v>1</v>
      </c>
      <c r="AT549" s="80"/>
      <c r="AU549" s="80">
        <v>0</v>
      </c>
      <c r="AV549" s="87" t="str">
        <f>HYPERLINK("https://abs.twimg.com/images/themes/theme6/bg.gif")</f>
        <v>https://abs.twimg.com/images/themes/theme6/bg.gif</v>
      </c>
      <c r="AW549" s="80" t="b">
        <v>0</v>
      </c>
      <c r="AX549" s="80" t="s">
        <v>10746</v>
      </c>
      <c r="AY549" s="87" t="str">
        <f>HYPERLINK("https://twitter.com/captainfaried")</f>
        <v>https://twitter.com/captainfaried</v>
      </c>
      <c r="AZ549" s="80" t="s">
        <v>66</v>
      </c>
      <c r="BA549" s="2"/>
      <c r="BB549" s="3"/>
      <c r="BC549" s="3"/>
      <c r="BD549" s="3"/>
      <c r="BE549" s="3"/>
    </row>
    <row r="550" spans="1:57" x14ac:dyDescent="0.35">
      <c r="A550" s="66" t="s">
        <v>650</v>
      </c>
      <c r="B550" s="67"/>
      <c r="C550" s="67"/>
      <c r="D550" s="68"/>
      <c r="E550" s="70"/>
      <c r="F550" s="109" t="str">
        <f>HYPERLINK("https://pbs.twimg.com/profile_images/1435398932968837122/bGVYz0Hu_normal.jpg")</f>
        <v>https://pbs.twimg.com/profile_images/1435398932968837122/bGVYz0Hu_normal.jpg</v>
      </c>
      <c r="G550" s="67"/>
      <c r="H550" s="71"/>
      <c r="I550" s="72"/>
      <c r="J550" s="72"/>
      <c r="K550" s="71" t="s">
        <v>11293</v>
      </c>
      <c r="L550" s="75"/>
      <c r="M550" s="76"/>
      <c r="N550" s="76"/>
      <c r="O550" s="77"/>
      <c r="P550" s="78"/>
      <c r="Q550" s="78"/>
      <c r="R550" s="92"/>
      <c r="S550" s="92"/>
      <c r="T550" s="92"/>
      <c r="U550" s="92"/>
      <c r="V550" s="52"/>
      <c r="W550" s="52"/>
      <c r="X550" s="52"/>
      <c r="Y550" s="52"/>
      <c r="Z550" s="51"/>
      <c r="AA550" s="73"/>
      <c r="AB550" s="73"/>
      <c r="AC550" s="74"/>
      <c r="AD550" s="80" t="s">
        <v>7127</v>
      </c>
      <c r="AE550" s="85" t="s">
        <v>8323</v>
      </c>
      <c r="AF550" s="80">
        <v>1244</v>
      </c>
      <c r="AG550" s="80">
        <v>380</v>
      </c>
      <c r="AH550" s="80">
        <v>53249</v>
      </c>
      <c r="AI550" s="80">
        <v>39013</v>
      </c>
      <c r="AJ550" s="80"/>
      <c r="AK550" s="80" t="s">
        <v>9444</v>
      </c>
      <c r="AL550" s="80"/>
      <c r="AM550" s="87" t="str">
        <f>HYPERLINK("https://t.co/kWMsNdy6e5")</f>
        <v>https://t.co/kWMsNdy6e5</v>
      </c>
      <c r="AN550" s="80"/>
      <c r="AO550" s="82">
        <v>41040.149965277778</v>
      </c>
      <c r="AP550" s="87" t="str">
        <f>HYPERLINK("https://pbs.twimg.com/profile_banners/576805085/1434644662")</f>
        <v>https://pbs.twimg.com/profile_banners/576805085/1434644662</v>
      </c>
      <c r="AQ550" s="80" t="b">
        <v>0</v>
      </c>
      <c r="AR550" s="80" t="b">
        <v>0</v>
      </c>
      <c r="AS550" s="80" t="b">
        <v>1</v>
      </c>
      <c r="AT550" s="80"/>
      <c r="AU550" s="80">
        <v>1</v>
      </c>
      <c r="AV550" s="87" t="str">
        <f>HYPERLINK("https://abs.twimg.com/images/themes/theme14/bg.gif")</f>
        <v>https://abs.twimg.com/images/themes/theme14/bg.gif</v>
      </c>
      <c r="AW550" s="80" t="b">
        <v>0</v>
      </c>
      <c r="AX550" s="80" t="s">
        <v>10746</v>
      </c>
      <c r="AY550" s="87" t="str">
        <f>HYPERLINK("https://twitter.com/sonnarutoluffy")</f>
        <v>https://twitter.com/sonnarutoluffy</v>
      </c>
      <c r="AZ550" s="80" t="s">
        <v>66</v>
      </c>
      <c r="BA550" s="2"/>
      <c r="BB550" s="3"/>
      <c r="BC550" s="3"/>
      <c r="BD550" s="3"/>
      <c r="BE550" s="3"/>
    </row>
    <row r="551" spans="1:57" x14ac:dyDescent="0.35">
      <c r="A551" s="66" t="s">
        <v>651</v>
      </c>
      <c r="B551" s="67"/>
      <c r="C551" s="67"/>
      <c r="D551" s="68"/>
      <c r="E551" s="70"/>
      <c r="F551" s="109" t="str">
        <f>HYPERLINK("https://pbs.twimg.com/profile_images/1435111312669831171/_JHlFoCH_normal.jpg")</f>
        <v>https://pbs.twimg.com/profile_images/1435111312669831171/_JHlFoCH_normal.jpg</v>
      </c>
      <c r="G551" s="67"/>
      <c r="H551" s="71"/>
      <c r="I551" s="72"/>
      <c r="J551" s="72"/>
      <c r="K551" s="71" t="s">
        <v>11294</v>
      </c>
      <c r="L551" s="75"/>
      <c r="M551" s="76"/>
      <c r="N551" s="76"/>
      <c r="O551" s="77"/>
      <c r="P551" s="78"/>
      <c r="Q551" s="78"/>
      <c r="R551" s="92"/>
      <c r="S551" s="92"/>
      <c r="T551" s="92"/>
      <c r="U551" s="92"/>
      <c r="V551" s="52"/>
      <c r="W551" s="52"/>
      <c r="X551" s="52"/>
      <c r="Y551" s="52"/>
      <c r="Z551" s="51"/>
      <c r="AA551" s="73"/>
      <c r="AB551" s="73"/>
      <c r="AC551" s="74"/>
      <c r="AD551" s="80" t="s">
        <v>7128</v>
      </c>
      <c r="AE551" s="85" t="s">
        <v>8324</v>
      </c>
      <c r="AF551" s="80">
        <v>552</v>
      </c>
      <c r="AG551" s="80">
        <v>716</v>
      </c>
      <c r="AH551" s="80">
        <v>41484</v>
      </c>
      <c r="AI551" s="80">
        <v>16046</v>
      </c>
      <c r="AJ551" s="80"/>
      <c r="AK551" s="80" t="s">
        <v>9445</v>
      </c>
      <c r="AL551" s="80"/>
      <c r="AM551" s="80"/>
      <c r="AN551" s="80"/>
      <c r="AO551" s="82">
        <v>43673.340312499997</v>
      </c>
      <c r="AP551" s="87" t="str">
        <f>HYPERLINK("https://pbs.twimg.com/profile_banners/1155027555923054592/1629147093")</f>
        <v>https://pbs.twimg.com/profile_banners/1155027555923054592/1629147093</v>
      </c>
      <c r="AQ551" s="80" t="b">
        <v>1</v>
      </c>
      <c r="AR551" s="80" t="b">
        <v>0</v>
      </c>
      <c r="AS551" s="80" t="b">
        <v>0</v>
      </c>
      <c r="AT551" s="80"/>
      <c r="AU551" s="80">
        <v>0</v>
      </c>
      <c r="AV551" s="80"/>
      <c r="AW551" s="80" t="b">
        <v>0</v>
      </c>
      <c r="AX551" s="80" t="s">
        <v>10746</v>
      </c>
      <c r="AY551" s="87" t="str">
        <f>HYPERLINK("https://twitter.com/cindercells")</f>
        <v>https://twitter.com/cindercells</v>
      </c>
      <c r="AZ551" s="80" t="s">
        <v>66</v>
      </c>
      <c r="BA551" s="2"/>
      <c r="BB551" s="3"/>
      <c r="BC551" s="3"/>
      <c r="BD551" s="3"/>
      <c r="BE551" s="3"/>
    </row>
    <row r="552" spans="1:57" x14ac:dyDescent="0.35">
      <c r="A552" s="66" t="s">
        <v>652</v>
      </c>
      <c r="B552" s="67"/>
      <c r="C552" s="67"/>
      <c r="D552" s="68"/>
      <c r="E552" s="70"/>
      <c r="F552" s="109" t="str">
        <f>HYPERLINK("https://pbs.twimg.com/profile_images/1234164153029279745/p5SsZP_t_normal.jpg")</f>
        <v>https://pbs.twimg.com/profile_images/1234164153029279745/p5SsZP_t_normal.jpg</v>
      </c>
      <c r="G552" s="67"/>
      <c r="H552" s="71"/>
      <c r="I552" s="72"/>
      <c r="J552" s="72"/>
      <c r="K552" s="71" t="s">
        <v>11295</v>
      </c>
      <c r="L552" s="75"/>
      <c r="M552" s="76"/>
      <c r="N552" s="76"/>
      <c r="O552" s="77"/>
      <c r="P552" s="78"/>
      <c r="Q552" s="78"/>
      <c r="R552" s="92"/>
      <c r="S552" s="92"/>
      <c r="T552" s="92"/>
      <c r="U552" s="92"/>
      <c r="V552" s="52"/>
      <c r="W552" s="52"/>
      <c r="X552" s="52"/>
      <c r="Y552" s="52"/>
      <c r="Z552" s="51"/>
      <c r="AA552" s="73"/>
      <c r="AB552" s="73"/>
      <c r="AC552" s="74"/>
      <c r="AD552" s="80" t="s">
        <v>7129</v>
      </c>
      <c r="AE552" s="85" t="s">
        <v>8325</v>
      </c>
      <c r="AF552" s="80">
        <v>212</v>
      </c>
      <c r="AG552" s="80">
        <v>463</v>
      </c>
      <c r="AH552" s="80">
        <v>43027</v>
      </c>
      <c r="AI552" s="80">
        <v>1603</v>
      </c>
      <c r="AJ552" s="80"/>
      <c r="AK552" s="80" t="s">
        <v>9446</v>
      </c>
      <c r="AL552" s="80" t="s">
        <v>10387</v>
      </c>
      <c r="AM552" s="87" t="str">
        <f>HYPERLINK("https://t.co/hoAIZU3uZ8")</f>
        <v>https://t.co/hoAIZU3uZ8</v>
      </c>
      <c r="AN552" s="80"/>
      <c r="AO552" s="82">
        <v>40051.731134259258</v>
      </c>
      <c r="AP552" s="87" t="str">
        <f>HYPERLINK("https://pbs.twimg.com/profile_banners/69041955/1486222045")</f>
        <v>https://pbs.twimg.com/profile_banners/69041955/1486222045</v>
      </c>
      <c r="AQ552" s="80" t="b">
        <v>0</v>
      </c>
      <c r="AR552" s="80" t="b">
        <v>0</v>
      </c>
      <c r="AS552" s="80" t="b">
        <v>1</v>
      </c>
      <c r="AT552" s="80"/>
      <c r="AU552" s="80">
        <v>5</v>
      </c>
      <c r="AV552" s="87" t="str">
        <f>HYPERLINK("https://abs.twimg.com/images/themes/theme19/bg.gif")</f>
        <v>https://abs.twimg.com/images/themes/theme19/bg.gif</v>
      </c>
      <c r="AW552" s="80" t="b">
        <v>0</v>
      </c>
      <c r="AX552" s="80" t="s">
        <v>10746</v>
      </c>
      <c r="AY552" s="87" t="str">
        <f>HYPERLINK("https://twitter.com/pojhur")</f>
        <v>https://twitter.com/pojhur</v>
      </c>
      <c r="AZ552" s="80" t="s">
        <v>66</v>
      </c>
      <c r="BA552" s="2"/>
      <c r="BB552" s="3"/>
      <c r="BC552" s="3"/>
      <c r="BD552" s="3"/>
      <c r="BE552" s="3"/>
    </row>
    <row r="553" spans="1:57" x14ac:dyDescent="0.35">
      <c r="A553" s="66" t="s">
        <v>653</v>
      </c>
      <c r="B553" s="67"/>
      <c r="C553" s="67"/>
      <c r="D553" s="68"/>
      <c r="E553" s="70"/>
      <c r="F553" s="109" t="str">
        <f>HYPERLINK("https://pbs.twimg.com/profile_images/1302433727335677953/nU4CD8qa_normal.jpg")</f>
        <v>https://pbs.twimg.com/profile_images/1302433727335677953/nU4CD8qa_normal.jpg</v>
      </c>
      <c r="G553" s="67"/>
      <c r="H553" s="71"/>
      <c r="I553" s="72"/>
      <c r="J553" s="72"/>
      <c r="K553" s="71" t="s">
        <v>11296</v>
      </c>
      <c r="L553" s="75"/>
      <c r="M553" s="76"/>
      <c r="N553" s="76"/>
      <c r="O553" s="77"/>
      <c r="P553" s="78"/>
      <c r="Q553" s="78"/>
      <c r="R553" s="92"/>
      <c r="S553" s="92"/>
      <c r="T553" s="92"/>
      <c r="U553" s="92"/>
      <c r="V553" s="52"/>
      <c r="W553" s="52"/>
      <c r="X553" s="52"/>
      <c r="Y553" s="52"/>
      <c r="Z553" s="51"/>
      <c r="AA553" s="73"/>
      <c r="AB553" s="73"/>
      <c r="AC553" s="74"/>
      <c r="AD553" s="80" t="s">
        <v>7130</v>
      </c>
      <c r="AE553" s="85" t="s">
        <v>8326</v>
      </c>
      <c r="AF553" s="80">
        <v>296</v>
      </c>
      <c r="AG553" s="80">
        <v>424</v>
      </c>
      <c r="AH553" s="80">
        <v>14778</v>
      </c>
      <c r="AI553" s="80">
        <v>2161</v>
      </c>
      <c r="AJ553" s="80"/>
      <c r="AK553" s="80" t="s">
        <v>9447</v>
      </c>
      <c r="AL553" s="80" t="s">
        <v>10388</v>
      </c>
      <c r="AM553" s="87" t="str">
        <f>HYPERLINK("https://t.co/1vystTAQkz")</f>
        <v>https://t.co/1vystTAQkz</v>
      </c>
      <c r="AN553" s="80"/>
      <c r="AO553" s="82">
        <v>40418.523414351854</v>
      </c>
      <c r="AP553" s="87" t="str">
        <f>HYPERLINK("https://pbs.twimg.com/profile_banners/183999355/1612605786")</f>
        <v>https://pbs.twimg.com/profile_banners/183999355/1612605786</v>
      </c>
      <c r="AQ553" s="80" t="b">
        <v>0</v>
      </c>
      <c r="AR553" s="80" t="b">
        <v>0</v>
      </c>
      <c r="AS553" s="80" t="b">
        <v>0</v>
      </c>
      <c r="AT553" s="80"/>
      <c r="AU553" s="80">
        <v>0</v>
      </c>
      <c r="AV553" s="87" t="str">
        <f>HYPERLINK("https://abs.twimg.com/images/themes/theme1/bg.png")</f>
        <v>https://abs.twimg.com/images/themes/theme1/bg.png</v>
      </c>
      <c r="AW553" s="80" t="b">
        <v>0</v>
      </c>
      <c r="AX553" s="80" t="s">
        <v>10746</v>
      </c>
      <c r="AY553" s="87" t="str">
        <f>HYPERLINK("https://twitter.com/dawifezi2")</f>
        <v>https://twitter.com/dawifezi2</v>
      </c>
      <c r="AZ553" s="80" t="s">
        <v>66</v>
      </c>
      <c r="BA553" s="2"/>
      <c r="BB553" s="3"/>
      <c r="BC553" s="3"/>
      <c r="BD553" s="3"/>
      <c r="BE553" s="3"/>
    </row>
    <row r="554" spans="1:57" x14ac:dyDescent="0.35">
      <c r="A554" s="66" t="s">
        <v>655</v>
      </c>
      <c r="B554" s="67"/>
      <c r="C554" s="67"/>
      <c r="D554" s="68"/>
      <c r="E554" s="70"/>
      <c r="F554" s="109" t="str">
        <f>HYPERLINK("https://pbs.twimg.com/profile_images/1144319780616228865/qCalbska_normal.jpg")</f>
        <v>https://pbs.twimg.com/profile_images/1144319780616228865/qCalbska_normal.jpg</v>
      </c>
      <c r="G554" s="67"/>
      <c r="H554" s="71"/>
      <c r="I554" s="72"/>
      <c r="J554" s="72"/>
      <c r="K554" s="71" t="s">
        <v>11297</v>
      </c>
      <c r="L554" s="75"/>
      <c r="M554" s="76"/>
      <c r="N554" s="76"/>
      <c r="O554" s="77"/>
      <c r="P554" s="78"/>
      <c r="Q554" s="78"/>
      <c r="R554" s="92"/>
      <c r="S554" s="92"/>
      <c r="T554" s="92"/>
      <c r="U554" s="92"/>
      <c r="V554" s="52"/>
      <c r="W554" s="52"/>
      <c r="X554" s="52"/>
      <c r="Y554" s="52"/>
      <c r="Z554" s="51"/>
      <c r="AA554" s="73"/>
      <c r="AB554" s="73"/>
      <c r="AC554" s="74"/>
      <c r="AD554" s="80" t="s">
        <v>7131</v>
      </c>
      <c r="AE554" s="85" t="s">
        <v>8327</v>
      </c>
      <c r="AF554" s="80">
        <v>1233</v>
      </c>
      <c r="AG554" s="80">
        <v>218</v>
      </c>
      <c r="AH554" s="80">
        <v>4284</v>
      </c>
      <c r="AI554" s="80">
        <v>34261</v>
      </c>
      <c r="AJ554" s="80"/>
      <c r="AK554" s="80" t="s">
        <v>9448</v>
      </c>
      <c r="AL554" s="80" t="s">
        <v>10159</v>
      </c>
      <c r="AM554" s="80"/>
      <c r="AN554" s="80"/>
      <c r="AO554" s="82">
        <v>40970.680358796293</v>
      </c>
      <c r="AP554" s="87" t="str">
        <f>HYPERLINK("https://pbs.twimg.com/profile_banners/512135525/1545235629")</f>
        <v>https://pbs.twimg.com/profile_banners/512135525/1545235629</v>
      </c>
      <c r="AQ554" s="80" t="b">
        <v>1</v>
      </c>
      <c r="AR554" s="80" t="b">
        <v>0</v>
      </c>
      <c r="AS554" s="80" t="b">
        <v>0</v>
      </c>
      <c r="AT554" s="80"/>
      <c r="AU554" s="80">
        <v>0</v>
      </c>
      <c r="AV554" s="87" t="str">
        <f>HYPERLINK("https://abs.twimg.com/images/themes/theme1/bg.png")</f>
        <v>https://abs.twimg.com/images/themes/theme1/bg.png</v>
      </c>
      <c r="AW554" s="80" t="b">
        <v>0</v>
      </c>
      <c r="AX554" s="80" t="s">
        <v>10746</v>
      </c>
      <c r="AY554" s="87" t="str">
        <f>HYPERLINK("https://twitter.com/_iansyah")</f>
        <v>https://twitter.com/_iansyah</v>
      </c>
      <c r="AZ554" s="80" t="s">
        <v>66</v>
      </c>
      <c r="BA554" s="2"/>
      <c r="BB554" s="3"/>
      <c r="BC554" s="3"/>
      <c r="BD554" s="3"/>
      <c r="BE554" s="3"/>
    </row>
    <row r="555" spans="1:57" x14ac:dyDescent="0.35">
      <c r="A555" s="66" t="s">
        <v>656</v>
      </c>
      <c r="B555" s="67"/>
      <c r="C555" s="67"/>
      <c r="D555" s="68"/>
      <c r="E555" s="70"/>
      <c r="F555" s="109" t="str">
        <f>HYPERLINK("https://pbs.twimg.com/profile_images/1307789042075926528/OvaVFm-o_normal.jpg")</f>
        <v>https://pbs.twimg.com/profile_images/1307789042075926528/OvaVFm-o_normal.jpg</v>
      </c>
      <c r="G555" s="67"/>
      <c r="H555" s="71"/>
      <c r="I555" s="72"/>
      <c r="J555" s="72"/>
      <c r="K555" s="71" t="s">
        <v>11298</v>
      </c>
      <c r="L555" s="75"/>
      <c r="M555" s="76"/>
      <c r="N555" s="76"/>
      <c r="O555" s="77"/>
      <c r="P555" s="78"/>
      <c r="Q555" s="78"/>
      <c r="R555" s="92"/>
      <c r="S555" s="92"/>
      <c r="T555" s="92"/>
      <c r="U555" s="92"/>
      <c r="V555" s="52"/>
      <c r="W555" s="52"/>
      <c r="X555" s="52"/>
      <c r="Y555" s="52"/>
      <c r="Z555" s="51"/>
      <c r="AA555" s="73"/>
      <c r="AB555" s="73"/>
      <c r="AC555" s="74"/>
      <c r="AD555" s="80" t="s">
        <v>7132</v>
      </c>
      <c r="AE555" s="85" t="s">
        <v>8328</v>
      </c>
      <c r="AF555" s="80">
        <v>591</v>
      </c>
      <c r="AG555" s="80">
        <v>72</v>
      </c>
      <c r="AH555" s="80">
        <v>7162</v>
      </c>
      <c r="AI555" s="80">
        <v>3395</v>
      </c>
      <c r="AJ555" s="80"/>
      <c r="AK555" s="80" t="s">
        <v>9449</v>
      </c>
      <c r="AL555" s="80" t="s">
        <v>10389</v>
      </c>
      <c r="AM555" s="87" t="str">
        <f>HYPERLINK("https://t.co/geZJxJjEgK")</f>
        <v>https://t.co/geZJxJjEgK</v>
      </c>
      <c r="AN555" s="80"/>
      <c r="AO555" s="82">
        <v>42275.551307870373</v>
      </c>
      <c r="AP555" s="87" t="str">
        <f>HYPERLINK("https://pbs.twimg.com/profile_banners/3714991514/1595800245")</f>
        <v>https://pbs.twimg.com/profile_banners/3714991514/1595800245</v>
      </c>
      <c r="AQ555" s="80" t="b">
        <v>1</v>
      </c>
      <c r="AR555" s="80" t="b">
        <v>0</v>
      </c>
      <c r="AS555" s="80" t="b">
        <v>0</v>
      </c>
      <c r="AT555" s="80"/>
      <c r="AU555" s="80">
        <v>3</v>
      </c>
      <c r="AV555" s="87" t="str">
        <f>HYPERLINK("https://abs.twimg.com/images/themes/theme1/bg.png")</f>
        <v>https://abs.twimg.com/images/themes/theme1/bg.png</v>
      </c>
      <c r="AW555" s="80" t="b">
        <v>0</v>
      </c>
      <c r="AX555" s="80" t="s">
        <v>10746</v>
      </c>
      <c r="AY555" s="87" t="str">
        <f>HYPERLINK("https://twitter.com/sosistdamn1")</f>
        <v>https://twitter.com/sosistdamn1</v>
      </c>
      <c r="AZ555" s="80" t="s">
        <v>66</v>
      </c>
      <c r="BA555" s="2"/>
      <c r="BB555" s="3"/>
      <c r="BC555" s="3"/>
      <c r="BD555" s="3"/>
      <c r="BE555" s="3"/>
    </row>
    <row r="556" spans="1:57" x14ac:dyDescent="0.35">
      <c r="A556" s="66" t="s">
        <v>657</v>
      </c>
      <c r="B556" s="67"/>
      <c r="C556" s="67"/>
      <c r="D556" s="68"/>
      <c r="E556" s="70"/>
      <c r="F556" s="109" t="str">
        <f>HYPERLINK("https://pbs.twimg.com/profile_images/1441513120061530114/rMLU2mT__normal.jpg")</f>
        <v>https://pbs.twimg.com/profile_images/1441513120061530114/rMLU2mT__normal.jpg</v>
      </c>
      <c r="G556" s="67"/>
      <c r="H556" s="71"/>
      <c r="I556" s="72"/>
      <c r="J556" s="72"/>
      <c r="K556" s="71" t="s">
        <v>11299</v>
      </c>
      <c r="L556" s="75"/>
      <c r="M556" s="76"/>
      <c r="N556" s="76"/>
      <c r="O556" s="77"/>
      <c r="P556" s="78"/>
      <c r="Q556" s="78"/>
      <c r="R556" s="92"/>
      <c r="S556" s="92"/>
      <c r="T556" s="92"/>
      <c r="U556" s="92"/>
      <c r="V556" s="52"/>
      <c r="W556" s="52"/>
      <c r="X556" s="52"/>
      <c r="Y556" s="52"/>
      <c r="Z556" s="51"/>
      <c r="AA556" s="73"/>
      <c r="AB556" s="73"/>
      <c r="AC556" s="74"/>
      <c r="AD556" s="80" t="s">
        <v>7133</v>
      </c>
      <c r="AE556" s="85" t="s">
        <v>8329</v>
      </c>
      <c r="AF556" s="80">
        <v>579</v>
      </c>
      <c r="AG556" s="80">
        <v>649</v>
      </c>
      <c r="AH556" s="80">
        <v>6274</v>
      </c>
      <c r="AI556" s="80">
        <v>98</v>
      </c>
      <c r="AJ556" s="80"/>
      <c r="AK556" s="80" t="s">
        <v>9450</v>
      </c>
      <c r="AL556" s="80" t="s">
        <v>10390</v>
      </c>
      <c r="AM556" s="80"/>
      <c r="AN556" s="80"/>
      <c r="AO556" s="82">
        <v>43745.053368055553</v>
      </c>
      <c r="AP556" s="87" t="str">
        <f>HYPERLINK("https://pbs.twimg.com/profile_banners/1181015408075128832/1623149347")</f>
        <v>https://pbs.twimg.com/profile_banners/1181015408075128832/1623149347</v>
      </c>
      <c r="AQ556" s="80" t="b">
        <v>1</v>
      </c>
      <c r="AR556" s="80" t="b">
        <v>0</v>
      </c>
      <c r="AS556" s="80" t="b">
        <v>0</v>
      </c>
      <c r="AT556" s="80"/>
      <c r="AU556" s="80">
        <v>1</v>
      </c>
      <c r="AV556" s="80"/>
      <c r="AW556" s="80" t="b">
        <v>0</v>
      </c>
      <c r="AX556" s="80" t="s">
        <v>10746</v>
      </c>
      <c r="AY556" s="87" t="str">
        <f>HYPERLINK("https://twitter.com/titanjerami")</f>
        <v>https://twitter.com/titanjerami</v>
      </c>
      <c r="AZ556" s="80" t="s">
        <v>66</v>
      </c>
      <c r="BA556" s="2"/>
      <c r="BB556" s="3"/>
      <c r="BC556" s="3"/>
      <c r="BD556" s="3"/>
      <c r="BE556" s="3"/>
    </row>
    <row r="557" spans="1:57" x14ac:dyDescent="0.35">
      <c r="A557" s="66" t="s">
        <v>658</v>
      </c>
      <c r="B557" s="67"/>
      <c r="C557" s="67"/>
      <c r="D557" s="68"/>
      <c r="E557" s="70"/>
      <c r="F557" s="109" t="str">
        <f>HYPERLINK("https://pbs.twimg.com/profile_images/1368205679345815558/jU1DxWw8_normal.jpg")</f>
        <v>https://pbs.twimg.com/profile_images/1368205679345815558/jU1DxWw8_normal.jpg</v>
      </c>
      <c r="G557" s="67"/>
      <c r="H557" s="71"/>
      <c r="I557" s="72"/>
      <c r="J557" s="72"/>
      <c r="K557" s="71" t="s">
        <v>11300</v>
      </c>
      <c r="L557" s="75"/>
      <c r="M557" s="76"/>
      <c r="N557" s="76"/>
      <c r="O557" s="77"/>
      <c r="P557" s="78"/>
      <c r="Q557" s="78"/>
      <c r="R557" s="92"/>
      <c r="S557" s="92"/>
      <c r="T557" s="92"/>
      <c r="U557" s="92"/>
      <c r="V557" s="52"/>
      <c r="W557" s="52"/>
      <c r="X557" s="52"/>
      <c r="Y557" s="52"/>
      <c r="Z557" s="51"/>
      <c r="AA557" s="73"/>
      <c r="AB557" s="73"/>
      <c r="AC557" s="74"/>
      <c r="AD557" s="80" t="s">
        <v>7134</v>
      </c>
      <c r="AE557" s="85" t="s">
        <v>8330</v>
      </c>
      <c r="AF557" s="80">
        <v>397</v>
      </c>
      <c r="AG557" s="80">
        <v>271</v>
      </c>
      <c r="AH557" s="80">
        <v>24410</v>
      </c>
      <c r="AI557" s="80">
        <v>9790</v>
      </c>
      <c r="AJ557" s="80"/>
      <c r="AK557" s="80" t="s">
        <v>9451</v>
      </c>
      <c r="AL557" s="80" t="s">
        <v>10391</v>
      </c>
      <c r="AM557" s="80"/>
      <c r="AN557" s="80"/>
      <c r="AO557" s="82">
        <v>41035.685752314814</v>
      </c>
      <c r="AP557" s="80"/>
      <c r="AQ557" s="80" t="b">
        <v>0</v>
      </c>
      <c r="AR557" s="80" t="b">
        <v>0</v>
      </c>
      <c r="AS557" s="80" t="b">
        <v>1</v>
      </c>
      <c r="AT557" s="80"/>
      <c r="AU557" s="80">
        <v>3</v>
      </c>
      <c r="AV557" s="87" t="str">
        <f>HYPERLINK("https://abs.twimg.com/images/themes/theme14/bg.gif")</f>
        <v>https://abs.twimg.com/images/themes/theme14/bg.gif</v>
      </c>
      <c r="AW557" s="80" t="b">
        <v>0</v>
      </c>
      <c r="AX557" s="80" t="s">
        <v>10746</v>
      </c>
      <c r="AY557" s="87" t="str">
        <f>HYPERLINK("https://twitter.com/rian2290")</f>
        <v>https://twitter.com/rian2290</v>
      </c>
      <c r="AZ557" s="80" t="s">
        <v>66</v>
      </c>
      <c r="BA557" s="2"/>
      <c r="BB557" s="3"/>
      <c r="BC557" s="3"/>
      <c r="BD557" s="3"/>
      <c r="BE557" s="3"/>
    </row>
    <row r="558" spans="1:57" x14ac:dyDescent="0.35">
      <c r="A558" s="66" t="s">
        <v>659</v>
      </c>
      <c r="B558" s="67"/>
      <c r="C558" s="67"/>
      <c r="D558" s="68"/>
      <c r="E558" s="70"/>
      <c r="F558" s="109" t="str">
        <f>HYPERLINK("https://pbs.twimg.com/profile_images/1365653056273014789/1zZxFBHn_normal.jpg")</f>
        <v>https://pbs.twimg.com/profile_images/1365653056273014789/1zZxFBHn_normal.jpg</v>
      </c>
      <c r="G558" s="67"/>
      <c r="H558" s="71"/>
      <c r="I558" s="72"/>
      <c r="J558" s="72"/>
      <c r="K558" s="71" t="s">
        <v>11301</v>
      </c>
      <c r="L558" s="75"/>
      <c r="M558" s="76"/>
      <c r="N558" s="76"/>
      <c r="O558" s="77"/>
      <c r="P558" s="78"/>
      <c r="Q558" s="78"/>
      <c r="R558" s="92"/>
      <c r="S558" s="92"/>
      <c r="T558" s="92"/>
      <c r="U558" s="92"/>
      <c r="V558" s="52"/>
      <c r="W558" s="52"/>
      <c r="X558" s="52"/>
      <c r="Y558" s="52"/>
      <c r="Z558" s="51"/>
      <c r="AA558" s="73"/>
      <c r="AB558" s="73"/>
      <c r="AC558" s="74"/>
      <c r="AD558" s="80" t="s">
        <v>7135</v>
      </c>
      <c r="AE558" s="85" t="s">
        <v>8331</v>
      </c>
      <c r="AF558" s="80">
        <v>316</v>
      </c>
      <c r="AG558" s="80">
        <v>324</v>
      </c>
      <c r="AH558" s="80">
        <v>23186</v>
      </c>
      <c r="AI558" s="80">
        <v>85</v>
      </c>
      <c r="AJ558" s="80"/>
      <c r="AK558" s="80" t="s">
        <v>9452</v>
      </c>
      <c r="AL558" s="80" t="s">
        <v>10392</v>
      </c>
      <c r="AM558" s="87" t="str">
        <f>HYPERLINK("https://t.co/loE2JV9RV8")</f>
        <v>https://t.co/loE2JV9RV8</v>
      </c>
      <c r="AN558" s="80"/>
      <c r="AO558" s="82">
        <v>40083.346122685187</v>
      </c>
      <c r="AP558" s="87" t="str">
        <f>HYPERLINK("https://pbs.twimg.com/profile_banners/77692425/1433697614")</f>
        <v>https://pbs.twimg.com/profile_banners/77692425/1433697614</v>
      </c>
      <c r="AQ558" s="80" t="b">
        <v>0</v>
      </c>
      <c r="AR558" s="80" t="b">
        <v>0</v>
      </c>
      <c r="AS558" s="80" t="b">
        <v>1</v>
      </c>
      <c r="AT558" s="80"/>
      <c r="AU558" s="80">
        <v>15</v>
      </c>
      <c r="AV558" s="87" t="str">
        <f>HYPERLINK("https://abs.twimg.com/images/themes/theme1/bg.png")</f>
        <v>https://abs.twimg.com/images/themes/theme1/bg.png</v>
      </c>
      <c r="AW558" s="80" t="b">
        <v>0</v>
      </c>
      <c r="AX558" s="80" t="s">
        <v>10746</v>
      </c>
      <c r="AY558" s="87" t="str">
        <f>HYPERLINK("https://twitter.com/ndhan_rom")</f>
        <v>https://twitter.com/ndhan_rom</v>
      </c>
      <c r="AZ558" s="80" t="s">
        <v>66</v>
      </c>
      <c r="BA558" s="2"/>
      <c r="BB558" s="3"/>
      <c r="BC558" s="3"/>
      <c r="BD558" s="3"/>
      <c r="BE558" s="3"/>
    </row>
    <row r="559" spans="1:57" x14ac:dyDescent="0.35">
      <c r="A559" s="66" t="s">
        <v>660</v>
      </c>
      <c r="B559" s="67"/>
      <c r="C559" s="67"/>
      <c r="D559" s="68"/>
      <c r="E559" s="70"/>
      <c r="F559" s="109" t="str">
        <f>HYPERLINK("https://pbs.twimg.com/profile_images/939175314088792064/SG580CG5_normal.jpg")</f>
        <v>https://pbs.twimg.com/profile_images/939175314088792064/SG580CG5_normal.jpg</v>
      </c>
      <c r="G559" s="67"/>
      <c r="H559" s="71"/>
      <c r="I559" s="72"/>
      <c r="J559" s="72"/>
      <c r="K559" s="71" t="s">
        <v>11302</v>
      </c>
      <c r="L559" s="75"/>
      <c r="M559" s="76"/>
      <c r="N559" s="76"/>
      <c r="O559" s="77"/>
      <c r="P559" s="78"/>
      <c r="Q559" s="78"/>
      <c r="R559" s="92"/>
      <c r="S559" s="92"/>
      <c r="T559" s="92"/>
      <c r="U559" s="92"/>
      <c r="V559" s="52"/>
      <c r="W559" s="52"/>
      <c r="X559" s="52"/>
      <c r="Y559" s="52"/>
      <c r="Z559" s="51"/>
      <c r="AA559" s="73"/>
      <c r="AB559" s="73"/>
      <c r="AC559" s="74"/>
      <c r="AD559" s="80" t="s">
        <v>7136</v>
      </c>
      <c r="AE559" s="85" t="s">
        <v>8332</v>
      </c>
      <c r="AF559" s="80">
        <v>528</v>
      </c>
      <c r="AG559" s="80">
        <v>453</v>
      </c>
      <c r="AH559" s="80">
        <v>16385</v>
      </c>
      <c r="AI559" s="80">
        <v>122</v>
      </c>
      <c r="AJ559" s="80"/>
      <c r="AK559" s="80" t="s">
        <v>9453</v>
      </c>
      <c r="AL559" s="80" t="s">
        <v>6543</v>
      </c>
      <c r="AM559" s="80"/>
      <c r="AN559" s="80"/>
      <c r="AO559" s="82">
        <v>40879.278101851851</v>
      </c>
      <c r="AP559" s="87" t="str">
        <f>HYPERLINK("https://pbs.twimg.com/profile_banners/426420834/1350105465")</f>
        <v>https://pbs.twimg.com/profile_banners/426420834/1350105465</v>
      </c>
      <c r="AQ559" s="80" t="b">
        <v>0</v>
      </c>
      <c r="AR559" s="80" t="b">
        <v>0</v>
      </c>
      <c r="AS559" s="80" t="b">
        <v>1</v>
      </c>
      <c r="AT559" s="80"/>
      <c r="AU559" s="80">
        <v>0</v>
      </c>
      <c r="AV559" s="87" t="str">
        <f>HYPERLINK("https://abs.twimg.com/images/themes/theme1/bg.png")</f>
        <v>https://abs.twimg.com/images/themes/theme1/bg.png</v>
      </c>
      <c r="AW559" s="80" t="b">
        <v>0</v>
      </c>
      <c r="AX559" s="80" t="s">
        <v>10746</v>
      </c>
      <c r="AY559" s="87" t="str">
        <f>HYPERLINK("https://twitter.com/kharisma_juve")</f>
        <v>https://twitter.com/kharisma_juve</v>
      </c>
      <c r="AZ559" s="80" t="s">
        <v>66</v>
      </c>
      <c r="BA559" s="2"/>
      <c r="BB559" s="3"/>
      <c r="BC559" s="3"/>
      <c r="BD559" s="3"/>
      <c r="BE559" s="3"/>
    </row>
    <row r="560" spans="1:57" x14ac:dyDescent="0.35">
      <c r="A560" s="66" t="s">
        <v>661</v>
      </c>
      <c r="B560" s="67"/>
      <c r="C560" s="67"/>
      <c r="D560" s="68"/>
      <c r="E560" s="70"/>
      <c r="F560" s="109" t="str">
        <f>HYPERLINK("https://pbs.twimg.com/profile_images/1357793061401620481/JCjduUgh_normal.jpg")</f>
        <v>https://pbs.twimg.com/profile_images/1357793061401620481/JCjduUgh_normal.jpg</v>
      </c>
      <c r="G560" s="67"/>
      <c r="H560" s="71"/>
      <c r="I560" s="72"/>
      <c r="J560" s="72"/>
      <c r="K560" s="71" t="s">
        <v>11303</v>
      </c>
      <c r="L560" s="75"/>
      <c r="M560" s="76"/>
      <c r="N560" s="76"/>
      <c r="O560" s="77"/>
      <c r="P560" s="78"/>
      <c r="Q560" s="78"/>
      <c r="R560" s="92"/>
      <c r="S560" s="92"/>
      <c r="T560" s="92"/>
      <c r="U560" s="92"/>
      <c r="V560" s="52"/>
      <c r="W560" s="52"/>
      <c r="X560" s="52"/>
      <c r="Y560" s="52"/>
      <c r="Z560" s="51"/>
      <c r="AA560" s="73"/>
      <c r="AB560" s="73"/>
      <c r="AC560" s="74"/>
      <c r="AD560" s="80" t="s">
        <v>7137</v>
      </c>
      <c r="AE560" s="85" t="s">
        <v>8333</v>
      </c>
      <c r="AF560" s="80">
        <v>155</v>
      </c>
      <c r="AG560" s="80">
        <v>50</v>
      </c>
      <c r="AH560" s="80">
        <v>8234</v>
      </c>
      <c r="AI560" s="80">
        <v>1849</v>
      </c>
      <c r="AJ560" s="80"/>
      <c r="AK560" s="80" t="s">
        <v>9454</v>
      </c>
      <c r="AL560" s="80" t="s">
        <v>10393</v>
      </c>
      <c r="AM560" s="80"/>
      <c r="AN560" s="80"/>
      <c r="AO560" s="82">
        <v>42078.477407407408</v>
      </c>
      <c r="AP560" s="87" t="str">
        <f>HYPERLINK("https://pbs.twimg.com/profile_banners/3084789350/1452772029")</f>
        <v>https://pbs.twimg.com/profile_banners/3084789350/1452772029</v>
      </c>
      <c r="AQ560" s="80" t="b">
        <v>1</v>
      </c>
      <c r="AR560" s="80" t="b">
        <v>0</v>
      </c>
      <c r="AS560" s="80" t="b">
        <v>1</v>
      </c>
      <c r="AT560" s="80"/>
      <c r="AU560" s="80">
        <v>1</v>
      </c>
      <c r="AV560" s="87" t="str">
        <f>HYPERLINK("https://abs.twimg.com/images/themes/theme1/bg.png")</f>
        <v>https://abs.twimg.com/images/themes/theme1/bg.png</v>
      </c>
      <c r="AW560" s="80" t="b">
        <v>0</v>
      </c>
      <c r="AX560" s="80" t="s">
        <v>10746</v>
      </c>
      <c r="AY560" s="87" t="str">
        <f>HYPERLINK("https://twitter.com/sandiagnelli")</f>
        <v>https://twitter.com/sandiagnelli</v>
      </c>
      <c r="AZ560" s="80" t="s">
        <v>66</v>
      </c>
      <c r="BA560" s="2"/>
      <c r="BB560" s="3"/>
      <c r="BC560" s="3"/>
      <c r="BD560" s="3"/>
      <c r="BE560" s="3"/>
    </row>
    <row r="561" spans="1:57" x14ac:dyDescent="0.35">
      <c r="A561" s="66" t="s">
        <v>662</v>
      </c>
      <c r="B561" s="67"/>
      <c r="C561" s="67"/>
      <c r="D561" s="68"/>
      <c r="E561" s="70"/>
      <c r="F561" s="109" t="str">
        <f>HYPERLINK("https://pbs.twimg.com/profile_images/1441709129869901838/et2qJZ-J_normal.jpg")</f>
        <v>https://pbs.twimg.com/profile_images/1441709129869901838/et2qJZ-J_normal.jpg</v>
      </c>
      <c r="G561" s="67"/>
      <c r="H561" s="71"/>
      <c r="I561" s="72"/>
      <c r="J561" s="72"/>
      <c r="K561" s="71" t="s">
        <v>11304</v>
      </c>
      <c r="L561" s="75"/>
      <c r="M561" s="76"/>
      <c r="N561" s="76"/>
      <c r="O561" s="77"/>
      <c r="P561" s="78"/>
      <c r="Q561" s="78"/>
      <c r="R561" s="92"/>
      <c r="S561" s="92"/>
      <c r="T561" s="92"/>
      <c r="U561" s="92"/>
      <c r="V561" s="52"/>
      <c r="W561" s="52"/>
      <c r="X561" s="52"/>
      <c r="Y561" s="52"/>
      <c r="Z561" s="51"/>
      <c r="AA561" s="73"/>
      <c r="AB561" s="73"/>
      <c r="AC561" s="74"/>
      <c r="AD561" s="80" t="s">
        <v>7138</v>
      </c>
      <c r="AE561" s="85" t="s">
        <v>8334</v>
      </c>
      <c r="AF561" s="80">
        <v>199</v>
      </c>
      <c r="AG561" s="80">
        <v>102</v>
      </c>
      <c r="AH561" s="80">
        <v>4509</v>
      </c>
      <c r="AI561" s="80">
        <v>609</v>
      </c>
      <c r="AJ561" s="80"/>
      <c r="AK561" s="80" t="s">
        <v>9455</v>
      </c>
      <c r="AL561" s="80" t="s">
        <v>10394</v>
      </c>
      <c r="AM561" s="80"/>
      <c r="AN561" s="80"/>
      <c r="AO561" s="82">
        <v>43839.608865740738</v>
      </c>
      <c r="AP561" s="87" t="str">
        <f>HYPERLINK("https://pbs.twimg.com/profile_banners/1215281206394122240/1631409874")</f>
        <v>https://pbs.twimg.com/profile_banners/1215281206394122240/1631409874</v>
      </c>
      <c r="AQ561" s="80" t="b">
        <v>1</v>
      </c>
      <c r="AR561" s="80" t="b">
        <v>0</v>
      </c>
      <c r="AS561" s="80" t="b">
        <v>0</v>
      </c>
      <c r="AT561" s="80"/>
      <c r="AU561" s="80">
        <v>1</v>
      </c>
      <c r="AV561" s="80"/>
      <c r="AW561" s="80" t="b">
        <v>0</v>
      </c>
      <c r="AX561" s="80" t="s">
        <v>10746</v>
      </c>
      <c r="AY561" s="87" t="str">
        <f>HYPERLINK("https://twitter.com/hcnaramas_")</f>
        <v>https://twitter.com/hcnaramas_</v>
      </c>
      <c r="AZ561" s="80" t="s">
        <v>66</v>
      </c>
      <c r="BA561" s="2"/>
      <c r="BB561" s="3"/>
      <c r="BC561" s="3"/>
      <c r="BD561" s="3"/>
      <c r="BE561" s="3"/>
    </row>
    <row r="562" spans="1:57" x14ac:dyDescent="0.35">
      <c r="A562" s="66" t="s">
        <v>663</v>
      </c>
      <c r="B562" s="67"/>
      <c r="C562" s="67"/>
      <c r="D562" s="68"/>
      <c r="E562" s="70"/>
      <c r="F562" s="109" t="str">
        <f>HYPERLINK("https://pbs.twimg.com/profile_images/1432271291130679300/ZvCBtGAc_normal.jpg")</f>
        <v>https://pbs.twimg.com/profile_images/1432271291130679300/ZvCBtGAc_normal.jpg</v>
      </c>
      <c r="G562" s="67"/>
      <c r="H562" s="71"/>
      <c r="I562" s="72"/>
      <c r="J562" s="72"/>
      <c r="K562" s="71" t="s">
        <v>11305</v>
      </c>
      <c r="L562" s="75"/>
      <c r="M562" s="76"/>
      <c r="N562" s="76"/>
      <c r="O562" s="77"/>
      <c r="P562" s="78"/>
      <c r="Q562" s="78"/>
      <c r="R562" s="92"/>
      <c r="S562" s="92"/>
      <c r="T562" s="92"/>
      <c r="U562" s="92"/>
      <c r="V562" s="52"/>
      <c r="W562" s="52"/>
      <c r="X562" s="52"/>
      <c r="Y562" s="52"/>
      <c r="Z562" s="51"/>
      <c r="AA562" s="73"/>
      <c r="AB562" s="73"/>
      <c r="AC562" s="74"/>
      <c r="AD562" s="80" t="s">
        <v>7139</v>
      </c>
      <c r="AE562" s="85" t="s">
        <v>8335</v>
      </c>
      <c r="AF562" s="80">
        <v>527</v>
      </c>
      <c r="AG562" s="80">
        <v>460</v>
      </c>
      <c r="AH562" s="80">
        <v>26477</v>
      </c>
      <c r="AI562" s="80">
        <v>18625</v>
      </c>
      <c r="AJ562" s="80"/>
      <c r="AK562" s="80" t="s">
        <v>9456</v>
      </c>
      <c r="AL562" s="80" t="s">
        <v>10395</v>
      </c>
      <c r="AM562" s="80"/>
      <c r="AN562" s="80"/>
      <c r="AO562" s="82">
        <v>41657.52103009259</v>
      </c>
      <c r="AP562" s="87" t="str">
        <f>HYPERLINK("https://pbs.twimg.com/profile_banners/2297816790/1623168580")</f>
        <v>https://pbs.twimg.com/profile_banners/2297816790/1623168580</v>
      </c>
      <c r="AQ562" s="80" t="b">
        <v>1</v>
      </c>
      <c r="AR562" s="80" t="b">
        <v>0</v>
      </c>
      <c r="AS562" s="80" t="b">
        <v>1</v>
      </c>
      <c r="AT562" s="80"/>
      <c r="AU562" s="80">
        <v>6</v>
      </c>
      <c r="AV562" s="87" t="str">
        <f>HYPERLINK("https://abs.twimg.com/images/themes/theme1/bg.png")</f>
        <v>https://abs.twimg.com/images/themes/theme1/bg.png</v>
      </c>
      <c r="AW562" s="80" t="b">
        <v>0</v>
      </c>
      <c r="AX562" s="80" t="s">
        <v>10746</v>
      </c>
      <c r="AY562" s="87" t="str">
        <f>HYPERLINK("https://twitter.com/danuarya_p")</f>
        <v>https://twitter.com/danuarya_p</v>
      </c>
      <c r="AZ562" s="80" t="s">
        <v>66</v>
      </c>
      <c r="BA562" s="2"/>
      <c r="BB562" s="3"/>
      <c r="BC562" s="3"/>
      <c r="BD562" s="3"/>
      <c r="BE562" s="3"/>
    </row>
    <row r="563" spans="1:57" x14ac:dyDescent="0.35">
      <c r="A563" s="66" t="s">
        <v>664</v>
      </c>
      <c r="B563" s="67"/>
      <c r="C563" s="67"/>
      <c r="D563" s="68"/>
      <c r="E563" s="70"/>
      <c r="F563" s="109" t="str">
        <f>HYPERLINK("https://pbs.twimg.com/profile_images/1168397907847827457/4K1XvWZA_normal.jpg")</f>
        <v>https://pbs.twimg.com/profile_images/1168397907847827457/4K1XvWZA_normal.jpg</v>
      </c>
      <c r="G563" s="67"/>
      <c r="H563" s="71"/>
      <c r="I563" s="72"/>
      <c r="J563" s="72"/>
      <c r="K563" s="71" t="s">
        <v>11306</v>
      </c>
      <c r="L563" s="75"/>
      <c r="M563" s="76"/>
      <c r="N563" s="76"/>
      <c r="O563" s="77"/>
      <c r="P563" s="78"/>
      <c r="Q563" s="78"/>
      <c r="R563" s="92"/>
      <c r="S563" s="92"/>
      <c r="T563" s="92"/>
      <c r="U563" s="92"/>
      <c r="V563" s="52"/>
      <c r="W563" s="52"/>
      <c r="X563" s="52"/>
      <c r="Y563" s="52"/>
      <c r="Z563" s="51"/>
      <c r="AA563" s="73"/>
      <c r="AB563" s="73"/>
      <c r="AC563" s="74"/>
      <c r="AD563" s="80" t="s">
        <v>7140</v>
      </c>
      <c r="AE563" s="85" t="s">
        <v>8336</v>
      </c>
      <c r="AF563" s="80">
        <v>643</v>
      </c>
      <c r="AG563" s="80">
        <v>357</v>
      </c>
      <c r="AH563" s="80">
        <v>58878</v>
      </c>
      <c r="AI563" s="80">
        <v>106767</v>
      </c>
      <c r="AJ563" s="80"/>
      <c r="AK563" s="80" t="s">
        <v>9457</v>
      </c>
      <c r="AL563" s="80"/>
      <c r="AM563" s="80"/>
      <c r="AN563" s="80"/>
      <c r="AO563" s="82">
        <v>43710.234699074077</v>
      </c>
      <c r="AP563" s="87" t="str">
        <f>HYPERLINK("https://pbs.twimg.com/profile_banners/1168396790426566656/1567403510")</f>
        <v>https://pbs.twimg.com/profile_banners/1168396790426566656/1567403510</v>
      </c>
      <c r="AQ563" s="80" t="b">
        <v>1</v>
      </c>
      <c r="AR563" s="80" t="b">
        <v>0</v>
      </c>
      <c r="AS563" s="80" t="b">
        <v>0</v>
      </c>
      <c r="AT563" s="80"/>
      <c r="AU563" s="80">
        <v>2</v>
      </c>
      <c r="AV563" s="80"/>
      <c r="AW563" s="80" t="b">
        <v>0</v>
      </c>
      <c r="AX563" s="80" t="s">
        <v>10746</v>
      </c>
      <c r="AY563" s="87" t="str">
        <f>HYPERLINK("https://twitter.com/mfajriyansyah")</f>
        <v>https://twitter.com/mfajriyansyah</v>
      </c>
      <c r="AZ563" s="80" t="s">
        <v>66</v>
      </c>
      <c r="BA563" s="2"/>
      <c r="BB563" s="3"/>
      <c r="BC563" s="3"/>
      <c r="BD563" s="3"/>
      <c r="BE563" s="3"/>
    </row>
    <row r="564" spans="1:57" x14ac:dyDescent="0.35">
      <c r="A564" s="66" t="s">
        <v>665</v>
      </c>
      <c r="B564" s="67"/>
      <c r="C564" s="67"/>
      <c r="D564" s="68"/>
      <c r="E564" s="70"/>
      <c r="F564" s="109" t="str">
        <f>HYPERLINK("https://pbs.twimg.com/profile_images/1053403530462195713/XSQjY3rD_normal.jpg")</f>
        <v>https://pbs.twimg.com/profile_images/1053403530462195713/XSQjY3rD_normal.jpg</v>
      </c>
      <c r="G564" s="67"/>
      <c r="H564" s="71"/>
      <c r="I564" s="72"/>
      <c r="J564" s="72"/>
      <c r="K564" s="71" t="s">
        <v>11307</v>
      </c>
      <c r="L564" s="75"/>
      <c r="M564" s="76"/>
      <c r="N564" s="76"/>
      <c r="O564" s="77"/>
      <c r="P564" s="78"/>
      <c r="Q564" s="78"/>
      <c r="R564" s="92"/>
      <c r="S564" s="92"/>
      <c r="T564" s="92"/>
      <c r="U564" s="92"/>
      <c r="V564" s="52"/>
      <c r="W564" s="52"/>
      <c r="X564" s="52"/>
      <c r="Y564" s="52"/>
      <c r="Z564" s="51"/>
      <c r="AA564" s="73"/>
      <c r="AB564" s="73"/>
      <c r="AC564" s="74"/>
      <c r="AD564" s="80" t="s">
        <v>7141</v>
      </c>
      <c r="AE564" s="85" t="s">
        <v>8337</v>
      </c>
      <c r="AF564" s="80">
        <v>3077</v>
      </c>
      <c r="AG564" s="80">
        <v>2923</v>
      </c>
      <c r="AH564" s="80">
        <v>83303</v>
      </c>
      <c r="AI564" s="80">
        <v>83903</v>
      </c>
      <c r="AJ564" s="80"/>
      <c r="AK564" s="80" t="s">
        <v>9458</v>
      </c>
      <c r="AL564" s="80" t="s">
        <v>10396</v>
      </c>
      <c r="AM564" s="80"/>
      <c r="AN564" s="80"/>
      <c r="AO564" s="82">
        <v>40745.620381944442</v>
      </c>
      <c r="AP564" s="87" t="str">
        <f>HYPERLINK("https://pbs.twimg.com/profile_banners/339711736/1605050036")</f>
        <v>https://pbs.twimg.com/profile_banners/339711736/1605050036</v>
      </c>
      <c r="AQ564" s="80" t="b">
        <v>0</v>
      </c>
      <c r="AR564" s="80" t="b">
        <v>0</v>
      </c>
      <c r="AS564" s="80" t="b">
        <v>1</v>
      </c>
      <c r="AT564" s="80"/>
      <c r="AU564" s="80">
        <v>2</v>
      </c>
      <c r="AV564" s="87" t="str">
        <f>HYPERLINK("https://abs.twimg.com/images/themes/theme8/bg.gif")</f>
        <v>https://abs.twimg.com/images/themes/theme8/bg.gif</v>
      </c>
      <c r="AW564" s="80" t="b">
        <v>0</v>
      </c>
      <c r="AX564" s="80" t="s">
        <v>10746</v>
      </c>
      <c r="AY564" s="87" t="str">
        <f>HYPERLINK("https://twitter.com/__elbeh")</f>
        <v>https://twitter.com/__elbeh</v>
      </c>
      <c r="AZ564" s="80" t="s">
        <v>66</v>
      </c>
      <c r="BA564" s="2"/>
      <c r="BB564" s="3"/>
      <c r="BC564" s="3"/>
      <c r="BD564" s="3"/>
      <c r="BE564" s="3"/>
    </row>
    <row r="565" spans="1:57" x14ac:dyDescent="0.35">
      <c r="A565" s="66" t="s">
        <v>666</v>
      </c>
      <c r="B565" s="67"/>
      <c r="C565" s="67"/>
      <c r="D565" s="68"/>
      <c r="E565" s="70"/>
      <c r="F565" s="109" t="str">
        <f>HYPERLINK("https://pbs.twimg.com/profile_images/1372368872414748672/n4RmeSoJ_normal.jpg")</f>
        <v>https://pbs.twimg.com/profile_images/1372368872414748672/n4RmeSoJ_normal.jpg</v>
      </c>
      <c r="G565" s="67"/>
      <c r="H565" s="71"/>
      <c r="I565" s="72"/>
      <c r="J565" s="72"/>
      <c r="K565" s="71" t="s">
        <v>11308</v>
      </c>
      <c r="L565" s="75"/>
      <c r="M565" s="76"/>
      <c r="N565" s="76"/>
      <c r="O565" s="77"/>
      <c r="P565" s="78"/>
      <c r="Q565" s="78"/>
      <c r="R565" s="92"/>
      <c r="S565" s="92"/>
      <c r="T565" s="92"/>
      <c r="U565" s="92"/>
      <c r="V565" s="52"/>
      <c r="W565" s="52"/>
      <c r="X565" s="52"/>
      <c r="Y565" s="52"/>
      <c r="Z565" s="51"/>
      <c r="AA565" s="73"/>
      <c r="AB565" s="73"/>
      <c r="AC565" s="74"/>
      <c r="AD565" s="80" t="s">
        <v>7142</v>
      </c>
      <c r="AE565" s="85" t="s">
        <v>8338</v>
      </c>
      <c r="AF565" s="80">
        <v>578</v>
      </c>
      <c r="AG565" s="80">
        <v>1329</v>
      </c>
      <c r="AH565" s="80">
        <v>64169</v>
      </c>
      <c r="AI565" s="80">
        <v>1702</v>
      </c>
      <c r="AJ565" s="80"/>
      <c r="AK565" s="80" t="s">
        <v>9459</v>
      </c>
      <c r="AL565" s="80" t="s">
        <v>10397</v>
      </c>
      <c r="AM565" s="80"/>
      <c r="AN565" s="80"/>
      <c r="AO565" s="82">
        <v>40305.301249999997</v>
      </c>
      <c r="AP565" s="87" t="str">
        <f>HYPERLINK("https://pbs.twimg.com/profile_banners/141124653/1591229201")</f>
        <v>https://pbs.twimg.com/profile_banners/141124653/1591229201</v>
      </c>
      <c r="AQ565" s="80" t="b">
        <v>0</v>
      </c>
      <c r="AR565" s="80" t="b">
        <v>0</v>
      </c>
      <c r="AS565" s="80" t="b">
        <v>1</v>
      </c>
      <c r="AT565" s="80"/>
      <c r="AU565" s="80">
        <v>4</v>
      </c>
      <c r="AV565" s="87" t="str">
        <f>HYPERLINK("https://abs.twimg.com/images/themes/theme1/bg.png")</f>
        <v>https://abs.twimg.com/images/themes/theme1/bg.png</v>
      </c>
      <c r="AW565" s="80" t="b">
        <v>0</v>
      </c>
      <c r="AX565" s="80" t="s">
        <v>10746</v>
      </c>
      <c r="AY565" s="87" t="str">
        <f>HYPERLINK("https://twitter.com/yourbabetonight")</f>
        <v>https://twitter.com/yourbabetonight</v>
      </c>
      <c r="AZ565" s="80" t="s">
        <v>66</v>
      </c>
      <c r="BA565" s="2"/>
      <c r="BB565" s="3"/>
      <c r="BC565" s="3"/>
      <c r="BD565" s="3"/>
      <c r="BE565" s="3"/>
    </row>
    <row r="566" spans="1:57" x14ac:dyDescent="0.35">
      <c r="A566" s="66" t="s">
        <v>667</v>
      </c>
      <c r="B566" s="67"/>
      <c r="C566" s="67"/>
      <c r="D566" s="68"/>
      <c r="E566" s="70"/>
      <c r="F566" s="109" t="str">
        <f>HYPERLINK("https://pbs.twimg.com/profile_images/1437943571877826563/b68ib-IB_normal.jpg")</f>
        <v>https://pbs.twimg.com/profile_images/1437943571877826563/b68ib-IB_normal.jpg</v>
      </c>
      <c r="G566" s="67"/>
      <c r="H566" s="71"/>
      <c r="I566" s="72"/>
      <c r="J566" s="72"/>
      <c r="K566" s="71" t="s">
        <v>11309</v>
      </c>
      <c r="L566" s="75"/>
      <c r="M566" s="76"/>
      <c r="N566" s="76"/>
      <c r="O566" s="77"/>
      <c r="P566" s="78"/>
      <c r="Q566" s="78"/>
      <c r="R566" s="92"/>
      <c r="S566" s="92"/>
      <c r="T566" s="92"/>
      <c r="U566" s="92"/>
      <c r="V566" s="52"/>
      <c r="W566" s="52"/>
      <c r="X566" s="52"/>
      <c r="Y566" s="52"/>
      <c r="Z566" s="51"/>
      <c r="AA566" s="73"/>
      <c r="AB566" s="73"/>
      <c r="AC566" s="74"/>
      <c r="AD566" s="80" t="s">
        <v>7143</v>
      </c>
      <c r="AE566" s="85" t="s">
        <v>8339</v>
      </c>
      <c r="AF566" s="80">
        <v>1050</v>
      </c>
      <c r="AG566" s="80">
        <v>641</v>
      </c>
      <c r="AH566" s="80">
        <v>1505</v>
      </c>
      <c r="AI566" s="80">
        <v>4474</v>
      </c>
      <c r="AJ566" s="80"/>
      <c r="AK566" s="80" t="s">
        <v>9460</v>
      </c>
      <c r="AL566" s="80" t="s">
        <v>10398</v>
      </c>
      <c r="AM566" s="87" t="str">
        <f>HYPERLINK("https://t.co/NopGmltPer")</f>
        <v>https://t.co/NopGmltPer</v>
      </c>
      <c r="AN566" s="80"/>
      <c r="AO566" s="82">
        <v>43993.205185185187</v>
      </c>
      <c r="AP566" s="87" t="str">
        <f>HYPERLINK("https://pbs.twimg.com/profile_banners/1270942514329997312/1612769749")</f>
        <v>https://pbs.twimg.com/profile_banners/1270942514329997312/1612769749</v>
      </c>
      <c r="AQ566" s="80" t="b">
        <v>1</v>
      </c>
      <c r="AR566" s="80" t="b">
        <v>0</v>
      </c>
      <c r="AS566" s="80" t="b">
        <v>0</v>
      </c>
      <c r="AT566" s="80"/>
      <c r="AU566" s="80">
        <v>1</v>
      </c>
      <c r="AV566" s="80"/>
      <c r="AW566" s="80" t="b">
        <v>0</v>
      </c>
      <c r="AX566" s="80" t="s">
        <v>10746</v>
      </c>
      <c r="AY566" s="87" t="str">
        <f>HYPERLINK("https://twitter.com/25yuyun")</f>
        <v>https://twitter.com/25yuyun</v>
      </c>
      <c r="AZ566" s="80" t="s">
        <v>66</v>
      </c>
      <c r="BA566" s="2"/>
      <c r="BB566" s="3"/>
      <c r="BC566" s="3"/>
      <c r="BD566" s="3"/>
      <c r="BE566" s="3"/>
    </row>
    <row r="567" spans="1:57" x14ac:dyDescent="0.35">
      <c r="A567" s="66" t="s">
        <v>668</v>
      </c>
      <c r="B567" s="67"/>
      <c r="C567" s="67"/>
      <c r="D567" s="68"/>
      <c r="E567" s="70"/>
      <c r="F567" s="109" t="str">
        <f>HYPERLINK("https://pbs.twimg.com/profile_images/502810037668958208/cIUq7G_3_normal.jpeg")</f>
        <v>https://pbs.twimg.com/profile_images/502810037668958208/cIUq7G_3_normal.jpeg</v>
      </c>
      <c r="G567" s="67"/>
      <c r="H567" s="71"/>
      <c r="I567" s="72"/>
      <c r="J567" s="72"/>
      <c r="K567" s="71" t="s">
        <v>11310</v>
      </c>
      <c r="L567" s="75"/>
      <c r="M567" s="76"/>
      <c r="N567" s="76"/>
      <c r="O567" s="77"/>
      <c r="P567" s="78"/>
      <c r="Q567" s="78"/>
      <c r="R567" s="92"/>
      <c r="S567" s="92"/>
      <c r="T567" s="92"/>
      <c r="U567" s="92"/>
      <c r="V567" s="52"/>
      <c r="W567" s="52"/>
      <c r="X567" s="52"/>
      <c r="Y567" s="52"/>
      <c r="Z567" s="51"/>
      <c r="AA567" s="73"/>
      <c r="AB567" s="73"/>
      <c r="AC567" s="74"/>
      <c r="AD567" s="80" t="s">
        <v>7144</v>
      </c>
      <c r="AE567" s="85" t="s">
        <v>8340</v>
      </c>
      <c r="AF567" s="80">
        <v>292</v>
      </c>
      <c r="AG567" s="80">
        <v>220</v>
      </c>
      <c r="AH567" s="80">
        <v>11957</v>
      </c>
      <c r="AI567" s="80">
        <v>68</v>
      </c>
      <c r="AJ567" s="80"/>
      <c r="AK567" s="80" t="s">
        <v>9461</v>
      </c>
      <c r="AL567" s="80" t="s">
        <v>10399</v>
      </c>
      <c r="AM567" s="87" t="str">
        <f>HYPERLINK("https://t.co/7T9QCvpDXQ")</f>
        <v>https://t.co/7T9QCvpDXQ</v>
      </c>
      <c r="AN567" s="80"/>
      <c r="AO567" s="82">
        <v>40197.296840277777</v>
      </c>
      <c r="AP567" s="87" t="str">
        <f>HYPERLINK("https://pbs.twimg.com/profile_banners/106340184/1558207665")</f>
        <v>https://pbs.twimg.com/profile_banners/106340184/1558207665</v>
      </c>
      <c r="AQ567" s="80" t="b">
        <v>0</v>
      </c>
      <c r="AR567" s="80" t="b">
        <v>0</v>
      </c>
      <c r="AS567" s="80" t="b">
        <v>1</v>
      </c>
      <c r="AT567" s="80"/>
      <c r="AU567" s="80">
        <v>1</v>
      </c>
      <c r="AV567" s="87" t="str">
        <f>HYPERLINK("https://abs.twimg.com/images/themes/theme1/bg.png")</f>
        <v>https://abs.twimg.com/images/themes/theme1/bg.png</v>
      </c>
      <c r="AW567" s="80" t="b">
        <v>0</v>
      </c>
      <c r="AX567" s="80" t="s">
        <v>10746</v>
      </c>
      <c r="AY567" s="87" t="str">
        <f>HYPERLINK("https://twitter.com/gandalah")</f>
        <v>https://twitter.com/gandalah</v>
      </c>
      <c r="AZ567" s="80" t="s">
        <v>66</v>
      </c>
      <c r="BA567" s="2"/>
      <c r="BB567" s="3"/>
      <c r="BC567" s="3"/>
      <c r="BD567" s="3"/>
      <c r="BE567" s="3"/>
    </row>
    <row r="568" spans="1:57" x14ac:dyDescent="0.35">
      <c r="A568" s="66" t="s">
        <v>669</v>
      </c>
      <c r="B568" s="67"/>
      <c r="C568" s="67"/>
      <c r="D568" s="68"/>
      <c r="E568" s="70"/>
      <c r="F568" s="109" t="str">
        <f>HYPERLINK("https://pbs.twimg.com/profile_images/587838660298452992/Pnmp9fW__normal.jpg")</f>
        <v>https://pbs.twimg.com/profile_images/587838660298452992/Pnmp9fW__normal.jpg</v>
      </c>
      <c r="G568" s="67"/>
      <c r="H568" s="71"/>
      <c r="I568" s="72"/>
      <c r="J568" s="72"/>
      <c r="K568" s="71" t="s">
        <v>11311</v>
      </c>
      <c r="L568" s="75"/>
      <c r="M568" s="76"/>
      <c r="N568" s="76"/>
      <c r="O568" s="77"/>
      <c r="P568" s="78"/>
      <c r="Q568" s="78"/>
      <c r="R568" s="92"/>
      <c r="S568" s="92"/>
      <c r="T568" s="92"/>
      <c r="U568" s="92"/>
      <c r="V568" s="52"/>
      <c r="W568" s="52"/>
      <c r="X568" s="52"/>
      <c r="Y568" s="52"/>
      <c r="Z568" s="51"/>
      <c r="AA568" s="73"/>
      <c r="AB568" s="73"/>
      <c r="AC568" s="74"/>
      <c r="AD568" s="80" t="s">
        <v>7145</v>
      </c>
      <c r="AE568" s="85" t="s">
        <v>8341</v>
      </c>
      <c r="AF568" s="80">
        <v>1761</v>
      </c>
      <c r="AG568" s="80">
        <v>180</v>
      </c>
      <c r="AH568" s="80">
        <v>201417</v>
      </c>
      <c r="AI568" s="80">
        <v>2880</v>
      </c>
      <c r="AJ568" s="80"/>
      <c r="AK568" s="80" t="s">
        <v>9462</v>
      </c>
      <c r="AL568" s="80" t="s">
        <v>10400</v>
      </c>
      <c r="AM568" s="87" t="str">
        <f>HYPERLINK("https://t.co/fyJCHV7ELZ")</f>
        <v>https://t.co/fyJCHV7ELZ</v>
      </c>
      <c r="AN568" s="80"/>
      <c r="AO568" s="82">
        <v>40962.227777777778</v>
      </c>
      <c r="AP568" s="87" t="str">
        <f>HYPERLINK("https://pbs.twimg.com/profile_banners/500481355/1456736620")</f>
        <v>https://pbs.twimg.com/profile_banners/500481355/1456736620</v>
      </c>
      <c r="AQ568" s="80" t="b">
        <v>0</v>
      </c>
      <c r="AR568" s="80" t="b">
        <v>0</v>
      </c>
      <c r="AS568" s="80" t="b">
        <v>0</v>
      </c>
      <c r="AT568" s="80"/>
      <c r="AU568" s="80">
        <v>4</v>
      </c>
      <c r="AV568" s="87" t="str">
        <f>HYPERLINK("https://abs.twimg.com/images/themes/theme1/bg.png")</f>
        <v>https://abs.twimg.com/images/themes/theme1/bg.png</v>
      </c>
      <c r="AW568" s="80" t="b">
        <v>0</v>
      </c>
      <c r="AX568" s="80" t="s">
        <v>10746</v>
      </c>
      <c r="AY568" s="87" t="str">
        <f>HYPERLINK("https://twitter.com/zanpaqu07")</f>
        <v>https://twitter.com/zanpaqu07</v>
      </c>
      <c r="AZ568" s="80" t="s">
        <v>66</v>
      </c>
      <c r="BA568" s="2"/>
      <c r="BB568" s="3"/>
      <c r="BC568" s="3"/>
      <c r="BD568" s="3"/>
      <c r="BE568" s="3"/>
    </row>
    <row r="569" spans="1:57" x14ac:dyDescent="0.35">
      <c r="A569" s="66" t="s">
        <v>670</v>
      </c>
      <c r="B569" s="67"/>
      <c r="C569" s="67"/>
      <c r="D569" s="68"/>
      <c r="E569" s="70"/>
      <c r="F569" s="109" t="str">
        <f>HYPERLINK("https://pbs.twimg.com/profile_images/1399569591781642247/n_6fYsA8_normal.jpg")</f>
        <v>https://pbs.twimg.com/profile_images/1399569591781642247/n_6fYsA8_normal.jpg</v>
      </c>
      <c r="G569" s="67"/>
      <c r="H569" s="71"/>
      <c r="I569" s="72"/>
      <c r="J569" s="72"/>
      <c r="K569" s="71" t="s">
        <v>11312</v>
      </c>
      <c r="L569" s="75"/>
      <c r="M569" s="76"/>
      <c r="N569" s="76"/>
      <c r="O569" s="77"/>
      <c r="P569" s="78"/>
      <c r="Q569" s="78"/>
      <c r="R569" s="92"/>
      <c r="S569" s="92"/>
      <c r="T569" s="92"/>
      <c r="U569" s="92"/>
      <c r="V569" s="52"/>
      <c r="W569" s="52"/>
      <c r="X569" s="52"/>
      <c r="Y569" s="52"/>
      <c r="Z569" s="51"/>
      <c r="AA569" s="73"/>
      <c r="AB569" s="73"/>
      <c r="AC569" s="74"/>
      <c r="AD569" s="80" t="s">
        <v>7146</v>
      </c>
      <c r="AE569" s="85" t="s">
        <v>8342</v>
      </c>
      <c r="AF569" s="80">
        <v>207</v>
      </c>
      <c r="AG569" s="80">
        <v>15</v>
      </c>
      <c r="AH569" s="80">
        <v>1832</v>
      </c>
      <c r="AI569" s="80">
        <v>1711</v>
      </c>
      <c r="AJ569" s="80"/>
      <c r="AK569" s="80" t="s">
        <v>9463</v>
      </c>
      <c r="AL569" s="80"/>
      <c r="AM569" s="80"/>
      <c r="AN569" s="80"/>
      <c r="AO569" s="82">
        <v>44073.483657407407</v>
      </c>
      <c r="AP569" s="80"/>
      <c r="AQ569" s="80" t="b">
        <v>1</v>
      </c>
      <c r="AR569" s="80" t="b">
        <v>0</v>
      </c>
      <c r="AS569" s="80" t="b">
        <v>0</v>
      </c>
      <c r="AT569" s="80"/>
      <c r="AU569" s="80">
        <v>0</v>
      </c>
      <c r="AV569" s="80"/>
      <c r="AW569" s="80" t="b">
        <v>0</v>
      </c>
      <c r="AX569" s="80" t="s">
        <v>10746</v>
      </c>
      <c r="AY569" s="87" t="str">
        <f>HYPERLINK("https://twitter.com/artshs10")</f>
        <v>https://twitter.com/artshs10</v>
      </c>
      <c r="AZ569" s="80" t="s">
        <v>66</v>
      </c>
      <c r="BA569" s="2"/>
      <c r="BB569" s="3"/>
      <c r="BC569" s="3"/>
      <c r="BD569" s="3"/>
      <c r="BE569" s="3"/>
    </row>
    <row r="570" spans="1:57" x14ac:dyDescent="0.35">
      <c r="A570" s="66" t="s">
        <v>671</v>
      </c>
      <c r="B570" s="67"/>
      <c r="C570" s="67"/>
      <c r="D570" s="68"/>
      <c r="E570" s="70"/>
      <c r="F570" s="109" t="str">
        <f>HYPERLINK("https://pbs.twimg.com/profile_images/1404697264644247553/_EnVwXUZ_normal.jpg")</f>
        <v>https://pbs.twimg.com/profile_images/1404697264644247553/_EnVwXUZ_normal.jpg</v>
      </c>
      <c r="G570" s="67"/>
      <c r="H570" s="71"/>
      <c r="I570" s="72"/>
      <c r="J570" s="72"/>
      <c r="K570" s="71" t="s">
        <v>11313</v>
      </c>
      <c r="L570" s="75"/>
      <c r="M570" s="76"/>
      <c r="N570" s="76"/>
      <c r="O570" s="77"/>
      <c r="P570" s="78"/>
      <c r="Q570" s="78"/>
      <c r="R570" s="92"/>
      <c r="S570" s="92"/>
      <c r="T570" s="92"/>
      <c r="U570" s="92"/>
      <c r="V570" s="52"/>
      <c r="W570" s="52"/>
      <c r="X570" s="52"/>
      <c r="Y570" s="52"/>
      <c r="Z570" s="51"/>
      <c r="AA570" s="73"/>
      <c r="AB570" s="73"/>
      <c r="AC570" s="74"/>
      <c r="AD570" s="80" t="s">
        <v>7147</v>
      </c>
      <c r="AE570" s="85" t="s">
        <v>8343</v>
      </c>
      <c r="AF570" s="80">
        <v>0</v>
      </c>
      <c r="AG570" s="80">
        <v>0</v>
      </c>
      <c r="AH570" s="80">
        <v>58</v>
      </c>
      <c r="AI570" s="80">
        <v>0</v>
      </c>
      <c r="AJ570" s="80"/>
      <c r="AK570" s="80" t="s">
        <v>9464</v>
      </c>
      <c r="AL570" s="87" t="str">
        <f>HYPERLINK("https://goo.gl/maps/nde8PpKb8x")</f>
        <v>https://goo.gl/maps/nde8PpKb8x</v>
      </c>
      <c r="AM570" s="87" t="str">
        <f>HYPERLINK("https://t.co/8tRMLeMVub")</f>
        <v>https://t.co/8tRMLeMVub</v>
      </c>
      <c r="AN570" s="80"/>
      <c r="AO570" s="82">
        <v>44362.297199074077</v>
      </c>
      <c r="AP570" s="87" t="str">
        <f>HYPERLINK("https://pbs.twimg.com/profile_banners/1404697089330745345/1623742484")</f>
        <v>https://pbs.twimg.com/profile_banners/1404697089330745345/1623742484</v>
      </c>
      <c r="AQ570" s="80" t="b">
        <v>1</v>
      </c>
      <c r="AR570" s="80" t="b">
        <v>0</v>
      </c>
      <c r="AS570" s="80" t="b">
        <v>0</v>
      </c>
      <c r="AT570" s="80"/>
      <c r="AU570" s="80">
        <v>0</v>
      </c>
      <c r="AV570" s="80"/>
      <c r="AW570" s="80" t="b">
        <v>0</v>
      </c>
      <c r="AX570" s="80" t="s">
        <v>10746</v>
      </c>
      <c r="AY570" s="87" t="str">
        <f>HYPERLINK("https://twitter.com/hadirdinsos")</f>
        <v>https://twitter.com/hadirdinsos</v>
      </c>
      <c r="AZ570" s="80" t="s">
        <v>66</v>
      </c>
      <c r="BA570" s="2"/>
      <c r="BB570" s="3"/>
      <c r="BC570" s="3"/>
      <c r="BD570" s="3"/>
      <c r="BE570" s="3"/>
    </row>
    <row r="571" spans="1:57" x14ac:dyDescent="0.35">
      <c r="A571" s="66" t="s">
        <v>672</v>
      </c>
      <c r="B571" s="67"/>
      <c r="C571" s="67"/>
      <c r="D571" s="68"/>
      <c r="E571" s="70"/>
      <c r="F571" s="109" t="str">
        <f>HYPERLINK("https://pbs.twimg.com/profile_images/1421706136764379136/4zhMMjZ-_normal.jpg")</f>
        <v>https://pbs.twimg.com/profile_images/1421706136764379136/4zhMMjZ-_normal.jpg</v>
      </c>
      <c r="G571" s="67"/>
      <c r="H571" s="71"/>
      <c r="I571" s="72"/>
      <c r="J571" s="72"/>
      <c r="K571" s="71" t="s">
        <v>11314</v>
      </c>
      <c r="L571" s="75"/>
      <c r="M571" s="76"/>
      <c r="N571" s="76"/>
      <c r="O571" s="77"/>
      <c r="P571" s="78"/>
      <c r="Q571" s="78"/>
      <c r="R571" s="92"/>
      <c r="S571" s="92"/>
      <c r="T571" s="92"/>
      <c r="U571" s="92"/>
      <c r="V571" s="52"/>
      <c r="W571" s="52"/>
      <c r="X571" s="52"/>
      <c r="Y571" s="52"/>
      <c r="Z571" s="51"/>
      <c r="AA571" s="73"/>
      <c r="AB571" s="73"/>
      <c r="AC571" s="74"/>
      <c r="AD571" s="80" t="s">
        <v>7148</v>
      </c>
      <c r="AE571" s="85" t="s">
        <v>8344</v>
      </c>
      <c r="AF571" s="80">
        <v>396</v>
      </c>
      <c r="AG571" s="80">
        <v>189</v>
      </c>
      <c r="AH571" s="80">
        <v>82254</v>
      </c>
      <c r="AI571" s="80">
        <v>311</v>
      </c>
      <c r="AJ571" s="80"/>
      <c r="AK571" s="80" t="s">
        <v>9465</v>
      </c>
      <c r="AL571" s="80">
        <v>6271</v>
      </c>
      <c r="AM571" s="80"/>
      <c r="AN571" s="80"/>
      <c r="AO571" s="82">
        <v>40703.592152777775</v>
      </c>
      <c r="AP571" s="87" t="str">
        <f>HYPERLINK("https://pbs.twimg.com/profile_banners/313969059/1586257761")</f>
        <v>https://pbs.twimg.com/profile_banners/313969059/1586257761</v>
      </c>
      <c r="AQ571" s="80" t="b">
        <v>0</v>
      </c>
      <c r="AR571" s="80" t="b">
        <v>0</v>
      </c>
      <c r="AS571" s="80" t="b">
        <v>1</v>
      </c>
      <c r="AT571" s="80"/>
      <c r="AU571" s="80">
        <v>3</v>
      </c>
      <c r="AV571" s="87" t="str">
        <f>HYPERLINK("https://abs.twimg.com/images/themes/theme1/bg.png")</f>
        <v>https://abs.twimg.com/images/themes/theme1/bg.png</v>
      </c>
      <c r="AW571" s="80" t="b">
        <v>0</v>
      </c>
      <c r="AX571" s="80" t="s">
        <v>10746</v>
      </c>
      <c r="AY571" s="87" t="str">
        <f>HYPERLINK("https://twitter.com/akbartigabelas")</f>
        <v>https://twitter.com/akbartigabelas</v>
      </c>
      <c r="AZ571" s="80" t="s">
        <v>66</v>
      </c>
      <c r="BA571" s="2"/>
      <c r="BB571" s="3"/>
      <c r="BC571" s="3"/>
      <c r="BD571" s="3"/>
      <c r="BE571" s="3"/>
    </row>
    <row r="572" spans="1:57" x14ac:dyDescent="0.35">
      <c r="A572" s="66" t="s">
        <v>673</v>
      </c>
      <c r="B572" s="67"/>
      <c r="C572" s="67"/>
      <c r="D572" s="68"/>
      <c r="E572" s="70"/>
      <c r="F572" s="109" t="str">
        <f>HYPERLINK("https://pbs.twimg.com/profile_images/1441326394743476234/w7KiDXih_normal.jpg")</f>
        <v>https://pbs.twimg.com/profile_images/1441326394743476234/w7KiDXih_normal.jpg</v>
      </c>
      <c r="G572" s="67"/>
      <c r="H572" s="71"/>
      <c r="I572" s="72"/>
      <c r="J572" s="72"/>
      <c r="K572" s="71" t="s">
        <v>11315</v>
      </c>
      <c r="L572" s="75"/>
      <c r="M572" s="76"/>
      <c r="N572" s="76"/>
      <c r="O572" s="77"/>
      <c r="P572" s="78"/>
      <c r="Q572" s="78"/>
      <c r="R572" s="92"/>
      <c r="S572" s="92"/>
      <c r="T572" s="92"/>
      <c r="U572" s="92"/>
      <c r="V572" s="52"/>
      <c r="W572" s="52"/>
      <c r="X572" s="52"/>
      <c r="Y572" s="52"/>
      <c r="Z572" s="51"/>
      <c r="AA572" s="73"/>
      <c r="AB572" s="73"/>
      <c r="AC572" s="74"/>
      <c r="AD572" s="80" t="s">
        <v>7149</v>
      </c>
      <c r="AE572" s="85" t="s">
        <v>8345</v>
      </c>
      <c r="AF572" s="80">
        <v>221</v>
      </c>
      <c r="AG572" s="80">
        <v>33</v>
      </c>
      <c r="AH572" s="80">
        <v>11493</v>
      </c>
      <c r="AI572" s="80">
        <v>1834</v>
      </c>
      <c r="AJ572" s="80"/>
      <c r="AK572" s="80" t="s">
        <v>9466</v>
      </c>
      <c r="AL572" s="80"/>
      <c r="AM572" s="87" t="str">
        <f>HYPERLINK("https://t.co/NvFfjOlYsB")</f>
        <v>https://t.co/NvFfjOlYsB</v>
      </c>
      <c r="AN572" s="80"/>
      <c r="AO572" s="82">
        <v>43645.307939814818</v>
      </c>
      <c r="AP572" s="87" t="str">
        <f>HYPERLINK("https://pbs.twimg.com/profile_banners/1144868963160952833/1631336115")</f>
        <v>https://pbs.twimg.com/profile_banners/1144868963160952833/1631336115</v>
      </c>
      <c r="AQ572" s="80" t="b">
        <v>1</v>
      </c>
      <c r="AR572" s="80" t="b">
        <v>0</v>
      </c>
      <c r="AS572" s="80" t="b">
        <v>1</v>
      </c>
      <c r="AT572" s="80"/>
      <c r="AU572" s="80">
        <v>0</v>
      </c>
      <c r="AV572" s="80"/>
      <c r="AW572" s="80" t="b">
        <v>0</v>
      </c>
      <c r="AX572" s="80" t="s">
        <v>10746</v>
      </c>
      <c r="AY572" s="87" t="str">
        <f>HYPERLINK("https://twitter.com/asfarinaaaa_")</f>
        <v>https://twitter.com/asfarinaaaa_</v>
      </c>
      <c r="AZ572" s="80" t="s">
        <v>66</v>
      </c>
      <c r="BA572" s="2"/>
      <c r="BB572" s="3"/>
      <c r="BC572" s="3"/>
      <c r="BD572" s="3"/>
      <c r="BE572" s="3"/>
    </row>
    <row r="573" spans="1:57" x14ac:dyDescent="0.35">
      <c r="A573" s="66" t="s">
        <v>674</v>
      </c>
      <c r="B573" s="67"/>
      <c r="C573" s="67"/>
      <c r="D573" s="68"/>
      <c r="E573" s="70"/>
      <c r="F573" s="109" t="str">
        <f>HYPERLINK("https://pbs.twimg.com/profile_images/1420656168528089089/E0MTJQ3I_normal.jpg")</f>
        <v>https://pbs.twimg.com/profile_images/1420656168528089089/E0MTJQ3I_normal.jpg</v>
      </c>
      <c r="G573" s="67"/>
      <c r="H573" s="71"/>
      <c r="I573" s="72"/>
      <c r="J573" s="72"/>
      <c r="K573" s="71" t="s">
        <v>11316</v>
      </c>
      <c r="L573" s="75"/>
      <c r="M573" s="76"/>
      <c r="N573" s="76"/>
      <c r="O573" s="77"/>
      <c r="P573" s="78"/>
      <c r="Q573" s="78"/>
      <c r="R573" s="92"/>
      <c r="S573" s="92"/>
      <c r="T573" s="92"/>
      <c r="U573" s="92"/>
      <c r="V573" s="52"/>
      <c r="W573" s="52"/>
      <c r="X573" s="52"/>
      <c r="Y573" s="52"/>
      <c r="Z573" s="51"/>
      <c r="AA573" s="73"/>
      <c r="AB573" s="73"/>
      <c r="AC573" s="74"/>
      <c r="AD573" s="80" t="s">
        <v>7150</v>
      </c>
      <c r="AE573" s="85" t="s">
        <v>8346</v>
      </c>
      <c r="AF573" s="80">
        <v>178</v>
      </c>
      <c r="AG573" s="80">
        <v>93</v>
      </c>
      <c r="AH573" s="80">
        <v>9501</v>
      </c>
      <c r="AI573" s="80">
        <v>729</v>
      </c>
      <c r="AJ573" s="80"/>
      <c r="AK573" s="80" t="s">
        <v>9467</v>
      </c>
      <c r="AL573" s="80"/>
      <c r="AM573" s="80"/>
      <c r="AN573" s="80"/>
      <c r="AO573" s="82">
        <v>41563.330972222226</v>
      </c>
      <c r="AP573" s="87" t="str">
        <f>HYPERLINK("https://pbs.twimg.com/profile_banners/1964299519/1596518644")</f>
        <v>https://pbs.twimg.com/profile_banners/1964299519/1596518644</v>
      </c>
      <c r="AQ573" s="80" t="b">
        <v>0</v>
      </c>
      <c r="AR573" s="80" t="b">
        <v>0</v>
      </c>
      <c r="AS573" s="80" t="b">
        <v>0</v>
      </c>
      <c r="AT573" s="80"/>
      <c r="AU573" s="80">
        <v>1</v>
      </c>
      <c r="AV573" s="87" t="str">
        <f>HYPERLINK("https://abs.twimg.com/images/themes/theme18/bg.gif")</f>
        <v>https://abs.twimg.com/images/themes/theme18/bg.gif</v>
      </c>
      <c r="AW573" s="80" t="b">
        <v>0</v>
      </c>
      <c r="AX573" s="80" t="s">
        <v>10746</v>
      </c>
      <c r="AY573" s="87" t="str">
        <f>HYPERLINK("https://twitter.com/ardiez1897")</f>
        <v>https://twitter.com/ardiez1897</v>
      </c>
      <c r="AZ573" s="80" t="s">
        <v>66</v>
      </c>
      <c r="BA573" s="2"/>
      <c r="BB573" s="3"/>
      <c r="BC573" s="3"/>
      <c r="BD573" s="3"/>
      <c r="BE573" s="3"/>
    </row>
    <row r="574" spans="1:57" x14ac:dyDescent="0.35">
      <c r="A574" s="66" t="s">
        <v>675</v>
      </c>
      <c r="B574" s="67"/>
      <c r="C574" s="67"/>
      <c r="D574" s="68"/>
      <c r="E574" s="70"/>
      <c r="F574" s="109" t="str">
        <f>HYPERLINK("https://pbs.twimg.com/profile_images/1400117451916922881/XWwVm8ca_normal.jpg")</f>
        <v>https://pbs.twimg.com/profile_images/1400117451916922881/XWwVm8ca_normal.jpg</v>
      </c>
      <c r="G574" s="67"/>
      <c r="H574" s="71"/>
      <c r="I574" s="72"/>
      <c r="J574" s="72"/>
      <c r="K574" s="71" t="s">
        <v>11317</v>
      </c>
      <c r="L574" s="75"/>
      <c r="M574" s="76"/>
      <c r="N574" s="76"/>
      <c r="O574" s="77"/>
      <c r="P574" s="78"/>
      <c r="Q574" s="78"/>
      <c r="R574" s="92"/>
      <c r="S574" s="92"/>
      <c r="T574" s="92"/>
      <c r="U574" s="92"/>
      <c r="V574" s="52"/>
      <c r="W574" s="52"/>
      <c r="X574" s="52"/>
      <c r="Y574" s="52"/>
      <c r="Z574" s="51"/>
      <c r="AA574" s="73"/>
      <c r="AB574" s="73"/>
      <c r="AC574" s="74"/>
      <c r="AD574" s="80" t="s">
        <v>7151</v>
      </c>
      <c r="AE574" s="85" t="s">
        <v>8347</v>
      </c>
      <c r="AF574" s="80">
        <v>75</v>
      </c>
      <c r="AG574" s="80">
        <v>229</v>
      </c>
      <c r="AH574" s="80">
        <v>11708</v>
      </c>
      <c r="AI574" s="80">
        <v>37</v>
      </c>
      <c r="AJ574" s="80"/>
      <c r="AK574" s="80" t="s">
        <v>9468</v>
      </c>
      <c r="AL574" s="80" t="s">
        <v>10401</v>
      </c>
      <c r="AM574" s="80"/>
      <c r="AN574" s="80"/>
      <c r="AO574" s="82">
        <v>42348.20208333333</v>
      </c>
      <c r="AP574" s="87" t="str">
        <f>HYPERLINK("https://pbs.twimg.com/profile_banners/4433983277/1480987246")</f>
        <v>https://pbs.twimg.com/profile_banners/4433983277/1480987246</v>
      </c>
      <c r="AQ574" s="80" t="b">
        <v>0</v>
      </c>
      <c r="AR574" s="80" t="b">
        <v>0</v>
      </c>
      <c r="AS574" s="80" t="b">
        <v>1</v>
      </c>
      <c r="AT574" s="80"/>
      <c r="AU574" s="80">
        <v>5</v>
      </c>
      <c r="AV574" s="87" t="str">
        <f>HYPERLINK("https://abs.twimg.com/images/themes/theme1/bg.png")</f>
        <v>https://abs.twimg.com/images/themes/theme1/bg.png</v>
      </c>
      <c r="AW574" s="80" t="b">
        <v>0</v>
      </c>
      <c r="AX574" s="80" t="s">
        <v>10746</v>
      </c>
      <c r="AY574" s="87" t="str">
        <f>HYPERLINK("https://twitter.com/ekodwiee")</f>
        <v>https://twitter.com/ekodwiee</v>
      </c>
      <c r="AZ574" s="80" t="s">
        <v>66</v>
      </c>
      <c r="BA574" s="2"/>
      <c r="BB574" s="3"/>
      <c r="BC574" s="3"/>
      <c r="BD574" s="3"/>
      <c r="BE574" s="3"/>
    </row>
    <row r="575" spans="1:57" x14ac:dyDescent="0.35">
      <c r="A575" s="66" t="s">
        <v>676</v>
      </c>
      <c r="B575" s="67"/>
      <c r="C575" s="67"/>
      <c r="D575" s="68"/>
      <c r="E575" s="70"/>
      <c r="F575" s="109" t="str">
        <f>HYPERLINK("https://pbs.twimg.com/profile_images/1437929497815240709/PUsZGYVg_normal.jpg")</f>
        <v>https://pbs.twimg.com/profile_images/1437929497815240709/PUsZGYVg_normal.jpg</v>
      </c>
      <c r="G575" s="67"/>
      <c r="H575" s="71"/>
      <c r="I575" s="72"/>
      <c r="J575" s="72"/>
      <c r="K575" s="71" t="s">
        <v>11318</v>
      </c>
      <c r="L575" s="75"/>
      <c r="M575" s="76"/>
      <c r="N575" s="76"/>
      <c r="O575" s="77"/>
      <c r="P575" s="78"/>
      <c r="Q575" s="78"/>
      <c r="R575" s="92"/>
      <c r="S575" s="92"/>
      <c r="T575" s="92"/>
      <c r="U575" s="92"/>
      <c r="V575" s="52"/>
      <c r="W575" s="52"/>
      <c r="X575" s="52"/>
      <c r="Y575" s="52"/>
      <c r="Z575" s="51"/>
      <c r="AA575" s="73"/>
      <c r="AB575" s="73"/>
      <c r="AC575" s="74"/>
      <c r="AD575" s="80" t="s">
        <v>7152</v>
      </c>
      <c r="AE575" s="85" t="s">
        <v>8348</v>
      </c>
      <c r="AF575" s="80">
        <v>2246</v>
      </c>
      <c r="AG575" s="80">
        <v>3996</v>
      </c>
      <c r="AH575" s="80">
        <v>185343</v>
      </c>
      <c r="AI575" s="80">
        <v>5708</v>
      </c>
      <c r="AJ575" s="80"/>
      <c r="AK575" s="80" t="s">
        <v>9469</v>
      </c>
      <c r="AL575" s="80" t="s">
        <v>10139</v>
      </c>
      <c r="AM575" s="87" t="str">
        <f>HYPERLINK("https://t.co/5shPBgN9CV")</f>
        <v>https://t.co/5shPBgN9CV</v>
      </c>
      <c r="AN575" s="80"/>
      <c r="AO575" s="82">
        <v>40318.123935185184</v>
      </c>
      <c r="AP575" s="87" t="str">
        <f>HYPERLINK("https://pbs.twimg.com/profile_banners/145878495/1588585581")</f>
        <v>https://pbs.twimg.com/profile_banners/145878495/1588585581</v>
      </c>
      <c r="AQ575" s="80" t="b">
        <v>0</v>
      </c>
      <c r="AR575" s="80" t="b">
        <v>0</v>
      </c>
      <c r="AS575" s="80" t="b">
        <v>1</v>
      </c>
      <c r="AT575" s="80"/>
      <c r="AU575" s="80">
        <v>27</v>
      </c>
      <c r="AV575" s="87" t="str">
        <f>HYPERLINK("https://abs.twimg.com/images/themes/theme4/bg.gif")</f>
        <v>https://abs.twimg.com/images/themes/theme4/bg.gif</v>
      </c>
      <c r="AW575" s="80" t="b">
        <v>0</v>
      </c>
      <c r="AX575" s="80" t="s">
        <v>10746</v>
      </c>
      <c r="AY575" s="87" t="str">
        <f>HYPERLINK("https://twitter.com/nuytarigan")</f>
        <v>https://twitter.com/nuytarigan</v>
      </c>
      <c r="AZ575" s="80" t="s">
        <v>66</v>
      </c>
      <c r="BA575" s="2"/>
      <c r="BB575" s="3"/>
      <c r="BC575" s="3"/>
      <c r="BD575" s="3"/>
      <c r="BE575" s="3"/>
    </row>
    <row r="576" spans="1:57" x14ac:dyDescent="0.35">
      <c r="A576" s="66" t="s">
        <v>677</v>
      </c>
      <c r="B576" s="67"/>
      <c r="C576" s="67"/>
      <c r="D576" s="68"/>
      <c r="E576" s="70"/>
      <c r="F576" s="109" t="str">
        <f>HYPERLINK("https://pbs.twimg.com/profile_images/1442704888786407426/_vFoPfdC_normal.jpg")</f>
        <v>https://pbs.twimg.com/profile_images/1442704888786407426/_vFoPfdC_normal.jpg</v>
      </c>
      <c r="G576" s="67"/>
      <c r="H576" s="71"/>
      <c r="I576" s="72"/>
      <c r="J576" s="72"/>
      <c r="K576" s="71" t="s">
        <v>11319</v>
      </c>
      <c r="L576" s="75"/>
      <c r="M576" s="76"/>
      <c r="N576" s="76"/>
      <c r="O576" s="77"/>
      <c r="P576" s="78"/>
      <c r="Q576" s="78"/>
      <c r="R576" s="92"/>
      <c r="S576" s="92"/>
      <c r="T576" s="92"/>
      <c r="U576" s="92"/>
      <c r="V576" s="52"/>
      <c r="W576" s="52"/>
      <c r="X576" s="52"/>
      <c r="Y576" s="52"/>
      <c r="Z576" s="51"/>
      <c r="AA576" s="73"/>
      <c r="AB576" s="73"/>
      <c r="AC576" s="74"/>
      <c r="AD576" s="80" t="s">
        <v>7153</v>
      </c>
      <c r="AE576" s="85" t="s">
        <v>8349</v>
      </c>
      <c r="AF576" s="80">
        <v>279</v>
      </c>
      <c r="AG576" s="80">
        <v>446</v>
      </c>
      <c r="AH576" s="80">
        <v>20021</v>
      </c>
      <c r="AI576" s="80">
        <v>4388</v>
      </c>
      <c r="AJ576" s="80"/>
      <c r="AK576" s="80" t="s">
        <v>9470</v>
      </c>
      <c r="AL576" s="80" t="s">
        <v>10402</v>
      </c>
      <c r="AM576" s="87" t="str">
        <f>HYPERLINK("https://t.co/vZua6jNtay")</f>
        <v>https://t.co/vZua6jNtay</v>
      </c>
      <c r="AN576" s="80"/>
      <c r="AO576" s="82">
        <v>40011.531701388885</v>
      </c>
      <c r="AP576" s="87" t="str">
        <f>HYPERLINK("https://pbs.twimg.com/profile_banners/57633045/1632802625")</f>
        <v>https://pbs.twimg.com/profile_banners/57633045/1632802625</v>
      </c>
      <c r="AQ576" s="80" t="b">
        <v>0</v>
      </c>
      <c r="AR576" s="80" t="b">
        <v>0</v>
      </c>
      <c r="AS576" s="80" t="b">
        <v>0</v>
      </c>
      <c r="AT576" s="80"/>
      <c r="AU576" s="80">
        <v>7</v>
      </c>
      <c r="AV576" s="87" t="str">
        <f>HYPERLINK("https://abs.twimg.com/images/themes/theme11/bg.gif")</f>
        <v>https://abs.twimg.com/images/themes/theme11/bg.gif</v>
      </c>
      <c r="AW576" s="80" t="b">
        <v>0</v>
      </c>
      <c r="AX576" s="80" t="s">
        <v>10746</v>
      </c>
      <c r="AY576" s="87" t="str">
        <f>HYPERLINK("https://twitter.com/oecsik")</f>
        <v>https://twitter.com/oecsik</v>
      </c>
      <c r="AZ576" s="80" t="s">
        <v>66</v>
      </c>
      <c r="BA576" s="2"/>
      <c r="BB576" s="3"/>
      <c r="BC576" s="3"/>
      <c r="BD576" s="3"/>
      <c r="BE576" s="3"/>
    </row>
    <row r="577" spans="1:57" x14ac:dyDescent="0.35">
      <c r="A577" s="66" t="s">
        <v>678</v>
      </c>
      <c r="B577" s="67"/>
      <c r="C577" s="67"/>
      <c r="D577" s="68"/>
      <c r="E577" s="70"/>
      <c r="F577" s="109" t="str">
        <f>HYPERLINK("https://pbs.twimg.com/profile_images/1156386347348721664/mfxnwC6y_normal.jpg")</f>
        <v>https://pbs.twimg.com/profile_images/1156386347348721664/mfxnwC6y_normal.jpg</v>
      </c>
      <c r="G577" s="67"/>
      <c r="H577" s="71"/>
      <c r="I577" s="72"/>
      <c r="J577" s="72"/>
      <c r="K577" s="71" t="s">
        <v>11320</v>
      </c>
      <c r="L577" s="75"/>
      <c r="M577" s="76"/>
      <c r="N577" s="76"/>
      <c r="O577" s="77"/>
      <c r="P577" s="78"/>
      <c r="Q577" s="78"/>
      <c r="R577" s="92"/>
      <c r="S577" s="92"/>
      <c r="T577" s="92"/>
      <c r="U577" s="92"/>
      <c r="V577" s="52"/>
      <c r="W577" s="52"/>
      <c r="X577" s="52"/>
      <c r="Y577" s="52"/>
      <c r="Z577" s="51"/>
      <c r="AA577" s="73"/>
      <c r="AB577" s="73"/>
      <c r="AC577" s="74"/>
      <c r="AD577" s="80" t="s">
        <v>7154</v>
      </c>
      <c r="AE577" s="85" t="s">
        <v>8350</v>
      </c>
      <c r="AF577" s="80">
        <v>475</v>
      </c>
      <c r="AG577" s="80">
        <v>363</v>
      </c>
      <c r="AH577" s="80">
        <v>16547</v>
      </c>
      <c r="AI577" s="80">
        <v>17181</v>
      </c>
      <c r="AJ577" s="80"/>
      <c r="AK577" s="80"/>
      <c r="AL577" s="80"/>
      <c r="AM577" s="80"/>
      <c r="AN577" s="80"/>
      <c r="AO577" s="82">
        <v>42685.344560185185</v>
      </c>
      <c r="AP577" s="80"/>
      <c r="AQ577" s="80" t="b">
        <v>1</v>
      </c>
      <c r="AR577" s="80" t="b">
        <v>0</v>
      </c>
      <c r="AS577" s="80" t="b">
        <v>0</v>
      </c>
      <c r="AT577" s="80"/>
      <c r="AU577" s="80">
        <v>0</v>
      </c>
      <c r="AV577" s="80"/>
      <c r="AW577" s="80" t="b">
        <v>0</v>
      </c>
      <c r="AX577" s="80" t="s">
        <v>10746</v>
      </c>
      <c r="AY577" s="87" t="str">
        <f>HYPERLINK("https://twitter.com/prabhusindewa")</f>
        <v>https://twitter.com/prabhusindewa</v>
      </c>
      <c r="AZ577" s="80" t="s">
        <v>66</v>
      </c>
      <c r="BA577" s="2"/>
      <c r="BB577" s="3"/>
      <c r="BC577" s="3"/>
      <c r="BD577" s="3"/>
      <c r="BE577" s="3"/>
    </row>
    <row r="578" spans="1:57" x14ac:dyDescent="0.35">
      <c r="A578" s="66" t="s">
        <v>679</v>
      </c>
      <c r="B578" s="67"/>
      <c r="C578" s="67"/>
      <c r="D578" s="68"/>
      <c r="E578" s="70"/>
      <c r="F578" s="109" t="str">
        <f>HYPERLINK("https://pbs.twimg.com/profile_images/1377308890719682561/GnPscxd__normal.jpg")</f>
        <v>https://pbs.twimg.com/profile_images/1377308890719682561/GnPscxd__normal.jpg</v>
      </c>
      <c r="G578" s="67"/>
      <c r="H578" s="71"/>
      <c r="I578" s="72"/>
      <c r="J578" s="72"/>
      <c r="K578" s="71" t="s">
        <v>11321</v>
      </c>
      <c r="L578" s="75"/>
      <c r="M578" s="76"/>
      <c r="N578" s="76"/>
      <c r="O578" s="77"/>
      <c r="P578" s="78"/>
      <c r="Q578" s="78"/>
      <c r="R578" s="92"/>
      <c r="S578" s="92"/>
      <c r="T578" s="92"/>
      <c r="U578" s="92"/>
      <c r="V578" s="52"/>
      <c r="W578" s="52"/>
      <c r="X578" s="52"/>
      <c r="Y578" s="52"/>
      <c r="Z578" s="51"/>
      <c r="AA578" s="73"/>
      <c r="AB578" s="73"/>
      <c r="AC578" s="74"/>
      <c r="AD578" s="80" t="s">
        <v>7155</v>
      </c>
      <c r="AE578" s="85" t="s">
        <v>8351</v>
      </c>
      <c r="AF578" s="80">
        <v>338</v>
      </c>
      <c r="AG578" s="80">
        <v>333</v>
      </c>
      <c r="AH578" s="80">
        <v>17027</v>
      </c>
      <c r="AI578" s="80">
        <v>1093</v>
      </c>
      <c r="AJ578" s="80"/>
      <c r="AK578" s="80"/>
      <c r="AL578" s="80" t="s">
        <v>10165</v>
      </c>
      <c r="AM578" s="80"/>
      <c r="AN578" s="80"/>
      <c r="AO578" s="82">
        <v>40442.781226851854</v>
      </c>
      <c r="AP578" s="87" t="str">
        <f>HYPERLINK("https://pbs.twimg.com/profile_banners/193402036/1617211109")</f>
        <v>https://pbs.twimg.com/profile_banners/193402036/1617211109</v>
      </c>
      <c r="AQ578" s="80" t="b">
        <v>0</v>
      </c>
      <c r="AR578" s="80" t="b">
        <v>0</v>
      </c>
      <c r="AS578" s="80" t="b">
        <v>1</v>
      </c>
      <c r="AT578" s="80"/>
      <c r="AU578" s="80">
        <v>2</v>
      </c>
      <c r="AV578" s="87" t="str">
        <f>HYPERLINK("https://abs.twimg.com/images/themes/theme1/bg.png")</f>
        <v>https://abs.twimg.com/images/themes/theme1/bg.png</v>
      </c>
      <c r="AW578" s="80" t="b">
        <v>0</v>
      </c>
      <c r="AX578" s="80" t="s">
        <v>10746</v>
      </c>
      <c r="AY578" s="87" t="str">
        <f>HYPERLINK("https://twitter.com/faridfadhil14")</f>
        <v>https://twitter.com/faridfadhil14</v>
      </c>
      <c r="AZ578" s="80" t="s">
        <v>66</v>
      </c>
      <c r="BA578" s="2"/>
      <c r="BB578" s="3"/>
      <c r="BC578" s="3"/>
      <c r="BD578" s="3"/>
      <c r="BE578" s="3"/>
    </row>
    <row r="579" spans="1:57" x14ac:dyDescent="0.35">
      <c r="A579" s="66" t="s">
        <v>680</v>
      </c>
      <c r="B579" s="67"/>
      <c r="C579" s="67"/>
      <c r="D579" s="68"/>
      <c r="E579" s="70"/>
      <c r="F579" s="109" t="str">
        <f>HYPERLINK("https://pbs.twimg.com/profile_images/939515320875737088/LUuc-sWE_normal.jpg")</f>
        <v>https://pbs.twimg.com/profile_images/939515320875737088/LUuc-sWE_normal.jpg</v>
      </c>
      <c r="G579" s="67"/>
      <c r="H579" s="71"/>
      <c r="I579" s="72"/>
      <c r="J579" s="72"/>
      <c r="K579" s="71" t="s">
        <v>11322</v>
      </c>
      <c r="L579" s="75"/>
      <c r="M579" s="76"/>
      <c r="N579" s="76"/>
      <c r="O579" s="77"/>
      <c r="P579" s="78"/>
      <c r="Q579" s="78"/>
      <c r="R579" s="92"/>
      <c r="S579" s="92"/>
      <c r="T579" s="92"/>
      <c r="U579" s="92"/>
      <c r="V579" s="52"/>
      <c r="W579" s="52"/>
      <c r="X579" s="52"/>
      <c r="Y579" s="52"/>
      <c r="Z579" s="51"/>
      <c r="AA579" s="73"/>
      <c r="AB579" s="73"/>
      <c r="AC579" s="74"/>
      <c r="AD579" s="80" t="s">
        <v>7156</v>
      </c>
      <c r="AE579" s="85" t="s">
        <v>8352</v>
      </c>
      <c r="AF579" s="80">
        <v>478</v>
      </c>
      <c r="AG579" s="80">
        <v>340</v>
      </c>
      <c r="AH579" s="80">
        <v>112690</v>
      </c>
      <c r="AI579" s="80">
        <v>276</v>
      </c>
      <c r="AJ579" s="80"/>
      <c r="AK579" s="80" t="s">
        <v>9471</v>
      </c>
      <c r="AL579" s="80"/>
      <c r="AM579" s="80"/>
      <c r="AN579" s="80"/>
      <c r="AO579" s="82">
        <v>40017.564988425926</v>
      </c>
      <c r="AP579" s="87" t="str">
        <f>HYPERLINK("https://pbs.twimg.com/profile_banners/59462557/1491148552")</f>
        <v>https://pbs.twimg.com/profile_banners/59462557/1491148552</v>
      </c>
      <c r="AQ579" s="80" t="b">
        <v>1</v>
      </c>
      <c r="AR579" s="80" t="b">
        <v>0</v>
      </c>
      <c r="AS579" s="80" t="b">
        <v>1</v>
      </c>
      <c r="AT579" s="80"/>
      <c r="AU579" s="80">
        <v>9</v>
      </c>
      <c r="AV579" s="87" t="str">
        <f>HYPERLINK("https://abs.twimg.com/images/themes/theme1/bg.png")</f>
        <v>https://abs.twimg.com/images/themes/theme1/bg.png</v>
      </c>
      <c r="AW579" s="80" t="b">
        <v>0</v>
      </c>
      <c r="AX579" s="80" t="s">
        <v>10746</v>
      </c>
      <c r="AY579" s="87" t="str">
        <f>HYPERLINK("https://twitter.com/henry_ogi")</f>
        <v>https://twitter.com/henry_ogi</v>
      </c>
      <c r="AZ579" s="80" t="s">
        <v>66</v>
      </c>
      <c r="BA579" s="2"/>
      <c r="BB579" s="3"/>
      <c r="BC579" s="3"/>
      <c r="BD579" s="3"/>
      <c r="BE579" s="3"/>
    </row>
    <row r="580" spans="1:57" x14ac:dyDescent="0.35">
      <c r="A580" s="66" t="s">
        <v>681</v>
      </c>
      <c r="B580" s="67"/>
      <c r="C580" s="67"/>
      <c r="D580" s="68"/>
      <c r="E580" s="70"/>
      <c r="F580" s="109" t="str">
        <f>HYPERLINK("https://pbs.twimg.com/profile_images/1437233735938633733/66eonO69_normal.jpg")</f>
        <v>https://pbs.twimg.com/profile_images/1437233735938633733/66eonO69_normal.jpg</v>
      </c>
      <c r="G580" s="67"/>
      <c r="H580" s="71"/>
      <c r="I580" s="72"/>
      <c r="J580" s="72"/>
      <c r="K580" s="71" t="s">
        <v>11323</v>
      </c>
      <c r="L580" s="75"/>
      <c r="M580" s="76"/>
      <c r="N580" s="76"/>
      <c r="O580" s="77"/>
      <c r="P580" s="78"/>
      <c r="Q580" s="78"/>
      <c r="R580" s="92"/>
      <c r="S580" s="92"/>
      <c r="T580" s="92"/>
      <c r="U580" s="92"/>
      <c r="V580" s="52"/>
      <c r="W580" s="52"/>
      <c r="X580" s="52"/>
      <c r="Y580" s="52"/>
      <c r="Z580" s="51"/>
      <c r="AA580" s="73"/>
      <c r="AB580" s="73"/>
      <c r="AC580" s="74"/>
      <c r="AD580" s="80" t="s">
        <v>7157</v>
      </c>
      <c r="AE580" s="85" t="s">
        <v>8353</v>
      </c>
      <c r="AF580" s="80">
        <v>381</v>
      </c>
      <c r="AG580" s="80">
        <v>324</v>
      </c>
      <c r="AH580" s="80">
        <v>32359</v>
      </c>
      <c r="AI580" s="80">
        <v>38369</v>
      </c>
      <c r="AJ580" s="80"/>
      <c r="AK580" s="80" t="s">
        <v>9472</v>
      </c>
      <c r="AL580" s="80" t="s">
        <v>10403</v>
      </c>
      <c r="AM580" s="87" t="str">
        <f>HYPERLINK("https://t.co/sLlBrVP8rJ")</f>
        <v>https://t.co/sLlBrVP8rJ</v>
      </c>
      <c r="AN580" s="80"/>
      <c r="AO580" s="82">
        <v>40265.072858796295</v>
      </c>
      <c r="AP580" s="87" t="str">
        <f>HYPERLINK("https://pbs.twimg.com/profile_banners/127096284/1564879003")</f>
        <v>https://pbs.twimg.com/profile_banners/127096284/1564879003</v>
      </c>
      <c r="AQ580" s="80" t="b">
        <v>0</v>
      </c>
      <c r="AR580" s="80" t="b">
        <v>0</v>
      </c>
      <c r="AS580" s="80" t="b">
        <v>1</v>
      </c>
      <c r="AT580" s="80"/>
      <c r="AU580" s="80">
        <v>1</v>
      </c>
      <c r="AV580" s="87" t="str">
        <f>HYPERLINK("https://abs.twimg.com/images/themes/theme1/bg.png")</f>
        <v>https://abs.twimg.com/images/themes/theme1/bg.png</v>
      </c>
      <c r="AW580" s="80" t="b">
        <v>0</v>
      </c>
      <c r="AX580" s="80" t="s">
        <v>10746</v>
      </c>
      <c r="AY580" s="87" t="str">
        <f>HYPERLINK("https://twitter.com/_afaz")</f>
        <v>https://twitter.com/_afaz</v>
      </c>
      <c r="AZ580" s="80" t="s">
        <v>66</v>
      </c>
      <c r="BA580" s="2"/>
      <c r="BB580" s="3"/>
      <c r="BC580" s="3"/>
      <c r="BD580" s="3"/>
      <c r="BE580" s="3"/>
    </row>
    <row r="581" spans="1:57" x14ac:dyDescent="0.35">
      <c r="A581" s="66" t="s">
        <v>682</v>
      </c>
      <c r="B581" s="67"/>
      <c r="C581" s="67"/>
      <c r="D581" s="68"/>
      <c r="E581" s="70"/>
      <c r="F581" s="109" t="str">
        <f>HYPERLINK("https://pbs.twimg.com/profile_images/1369451267743830016/E2n2WB_E_normal.jpg")</f>
        <v>https://pbs.twimg.com/profile_images/1369451267743830016/E2n2WB_E_normal.jpg</v>
      </c>
      <c r="G581" s="67"/>
      <c r="H581" s="71"/>
      <c r="I581" s="72"/>
      <c r="J581" s="72"/>
      <c r="K581" s="71" t="s">
        <v>11324</v>
      </c>
      <c r="L581" s="75"/>
      <c r="M581" s="76"/>
      <c r="N581" s="76"/>
      <c r="O581" s="77"/>
      <c r="P581" s="78"/>
      <c r="Q581" s="78"/>
      <c r="R581" s="92"/>
      <c r="S581" s="92"/>
      <c r="T581" s="92"/>
      <c r="U581" s="92"/>
      <c r="V581" s="52"/>
      <c r="W581" s="52"/>
      <c r="X581" s="52"/>
      <c r="Y581" s="52"/>
      <c r="Z581" s="51"/>
      <c r="AA581" s="73"/>
      <c r="AB581" s="73"/>
      <c r="AC581" s="74"/>
      <c r="AD581" s="80" t="s">
        <v>7158</v>
      </c>
      <c r="AE581" s="85" t="s">
        <v>8354</v>
      </c>
      <c r="AF581" s="80">
        <v>363</v>
      </c>
      <c r="AG581" s="80">
        <v>265</v>
      </c>
      <c r="AH581" s="80">
        <v>14731</v>
      </c>
      <c r="AI581" s="80">
        <v>5892</v>
      </c>
      <c r="AJ581" s="80"/>
      <c r="AK581" s="80" t="s">
        <v>9473</v>
      </c>
      <c r="AL581" s="80" t="s">
        <v>10404</v>
      </c>
      <c r="AM581" s="80"/>
      <c r="AN581" s="80"/>
      <c r="AO581" s="82">
        <v>39989.294085648151</v>
      </c>
      <c r="AP581" s="87" t="str">
        <f>HYPERLINK("https://pbs.twimg.com/profile_banners/50577283/1558562382")</f>
        <v>https://pbs.twimg.com/profile_banners/50577283/1558562382</v>
      </c>
      <c r="AQ581" s="80" t="b">
        <v>0</v>
      </c>
      <c r="AR581" s="80" t="b">
        <v>0</v>
      </c>
      <c r="AS581" s="80" t="b">
        <v>1</v>
      </c>
      <c r="AT581" s="80"/>
      <c r="AU581" s="80">
        <v>3</v>
      </c>
      <c r="AV581" s="87" t="str">
        <f>HYPERLINK("https://abs.twimg.com/images/themes/theme1/bg.png")</f>
        <v>https://abs.twimg.com/images/themes/theme1/bg.png</v>
      </c>
      <c r="AW581" s="80" t="b">
        <v>0</v>
      </c>
      <c r="AX581" s="80" t="s">
        <v>10746</v>
      </c>
      <c r="AY581" s="87" t="str">
        <f>HYPERLINK("https://twitter.com/eldayato")</f>
        <v>https://twitter.com/eldayato</v>
      </c>
      <c r="AZ581" s="80" t="s">
        <v>66</v>
      </c>
      <c r="BA581" s="2"/>
      <c r="BB581" s="3"/>
      <c r="BC581" s="3"/>
      <c r="BD581" s="3"/>
      <c r="BE581" s="3"/>
    </row>
    <row r="582" spans="1:57" x14ac:dyDescent="0.35">
      <c r="A582" s="66" t="s">
        <v>683</v>
      </c>
      <c r="B582" s="67"/>
      <c r="C582" s="67"/>
      <c r="D582" s="68"/>
      <c r="E582" s="70"/>
      <c r="F582" s="109" t="str">
        <f>HYPERLINK("https://pbs.twimg.com/profile_images/1130158535990423552/9zuGAtlY_normal.jpg")</f>
        <v>https://pbs.twimg.com/profile_images/1130158535990423552/9zuGAtlY_normal.jpg</v>
      </c>
      <c r="G582" s="67"/>
      <c r="H582" s="71"/>
      <c r="I582" s="72"/>
      <c r="J582" s="72"/>
      <c r="K582" s="71" t="s">
        <v>11325</v>
      </c>
      <c r="L582" s="75"/>
      <c r="M582" s="76"/>
      <c r="N582" s="76"/>
      <c r="O582" s="77"/>
      <c r="P582" s="78"/>
      <c r="Q582" s="78"/>
      <c r="R582" s="92"/>
      <c r="S582" s="92"/>
      <c r="T582" s="92"/>
      <c r="U582" s="92"/>
      <c r="V582" s="52"/>
      <c r="W582" s="52"/>
      <c r="X582" s="52"/>
      <c r="Y582" s="52"/>
      <c r="Z582" s="51"/>
      <c r="AA582" s="73"/>
      <c r="AB582" s="73"/>
      <c r="AC582" s="74"/>
      <c r="AD582" s="80" t="s">
        <v>7159</v>
      </c>
      <c r="AE582" s="85" t="s">
        <v>8355</v>
      </c>
      <c r="AF582" s="80">
        <v>103</v>
      </c>
      <c r="AG582" s="80">
        <v>309</v>
      </c>
      <c r="AH582" s="80">
        <v>13090</v>
      </c>
      <c r="AI582" s="80">
        <v>37</v>
      </c>
      <c r="AJ582" s="80"/>
      <c r="AK582" s="80" t="s">
        <v>9474</v>
      </c>
      <c r="AL582" s="80" t="s">
        <v>10405</v>
      </c>
      <c r="AM582" s="87" t="str">
        <f>HYPERLINK("http://t.co/lD74iQUg6n")</f>
        <v>http://t.co/lD74iQUg6n</v>
      </c>
      <c r="AN582" s="80"/>
      <c r="AO582" s="82">
        <v>40680.449918981481</v>
      </c>
      <c r="AP582" s="87" t="str">
        <f>HYPERLINK("https://pbs.twimg.com/profile_banners/300189137/1370345974")</f>
        <v>https://pbs.twimg.com/profile_banners/300189137/1370345974</v>
      </c>
      <c r="AQ582" s="80" t="b">
        <v>0</v>
      </c>
      <c r="AR582" s="80" t="b">
        <v>0</v>
      </c>
      <c r="AS582" s="80" t="b">
        <v>0</v>
      </c>
      <c r="AT582" s="80"/>
      <c r="AU582" s="80">
        <v>1</v>
      </c>
      <c r="AV582" s="87" t="str">
        <f>HYPERLINK("https://abs.twimg.com/images/themes/theme1/bg.png")</f>
        <v>https://abs.twimg.com/images/themes/theme1/bg.png</v>
      </c>
      <c r="AW582" s="80" t="b">
        <v>0</v>
      </c>
      <c r="AX582" s="80" t="s">
        <v>10746</v>
      </c>
      <c r="AY582" s="87" t="str">
        <f>HYPERLINK("https://twitter.com/achmadsreza")</f>
        <v>https://twitter.com/achmadsreza</v>
      </c>
      <c r="AZ582" s="80" t="s">
        <v>66</v>
      </c>
      <c r="BA582" s="2"/>
      <c r="BB582" s="3"/>
      <c r="BC582" s="3"/>
      <c r="BD582" s="3"/>
      <c r="BE582" s="3"/>
    </row>
    <row r="583" spans="1:57" x14ac:dyDescent="0.35">
      <c r="A583" s="66" t="s">
        <v>684</v>
      </c>
      <c r="B583" s="67"/>
      <c r="C583" s="67"/>
      <c r="D583" s="68"/>
      <c r="E583" s="70"/>
      <c r="F583" s="109" t="str">
        <f>HYPERLINK("https://pbs.twimg.com/profile_images/1440933793464930304/4VAn4UnM_normal.jpg")</f>
        <v>https://pbs.twimg.com/profile_images/1440933793464930304/4VAn4UnM_normal.jpg</v>
      </c>
      <c r="G583" s="67"/>
      <c r="H583" s="71"/>
      <c r="I583" s="72"/>
      <c r="J583" s="72"/>
      <c r="K583" s="71" t="s">
        <v>11326</v>
      </c>
      <c r="L583" s="75"/>
      <c r="M583" s="76"/>
      <c r="N583" s="76"/>
      <c r="O583" s="77"/>
      <c r="P583" s="78"/>
      <c r="Q583" s="78"/>
      <c r="R583" s="92"/>
      <c r="S583" s="92"/>
      <c r="T583" s="92"/>
      <c r="U583" s="92"/>
      <c r="V583" s="52"/>
      <c r="W583" s="52"/>
      <c r="X583" s="52"/>
      <c r="Y583" s="52"/>
      <c r="Z583" s="51"/>
      <c r="AA583" s="73"/>
      <c r="AB583" s="73"/>
      <c r="AC583" s="74"/>
      <c r="AD583" s="80" t="s">
        <v>7160</v>
      </c>
      <c r="AE583" s="85" t="s">
        <v>8356</v>
      </c>
      <c r="AF583" s="80">
        <v>163</v>
      </c>
      <c r="AG583" s="80">
        <v>45</v>
      </c>
      <c r="AH583" s="80">
        <v>1553</v>
      </c>
      <c r="AI583" s="80">
        <v>364</v>
      </c>
      <c r="AJ583" s="80"/>
      <c r="AK583" s="80" t="s">
        <v>9475</v>
      </c>
      <c r="AL583" s="80" t="s">
        <v>10406</v>
      </c>
      <c r="AM583" s="80"/>
      <c r="AN583" s="80"/>
      <c r="AO583" s="82">
        <v>41565.449456018519</v>
      </c>
      <c r="AP583" s="87" t="str">
        <f>HYPERLINK("https://pbs.twimg.com/profile_banners/1968665593/1589491492")</f>
        <v>https://pbs.twimg.com/profile_banners/1968665593/1589491492</v>
      </c>
      <c r="AQ583" s="80" t="b">
        <v>1</v>
      </c>
      <c r="AR583" s="80" t="b">
        <v>0</v>
      </c>
      <c r="AS583" s="80" t="b">
        <v>0</v>
      </c>
      <c r="AT583" s="80"/>
      <c r="AU583" s="80">
        <v>0</v>
      </c>
      <c r="AV583" s="87" t="str">
        <f>HYPERLINK("https://abs.twimg.com/images/themes/theme1/bg.png")</f>
        <v>https://abs.twimg.com/images/themes/theme1/bg.png</v>
      </c>
      <c r="AW583" s="80" t="b">
        <v>0</v>
      </c>
      <c r="AX583" s="80" t="s">
        <v>10746</v>
      </c>
      <c r="AY583" s="87" t="str">
        <f>HYPERLINK("https://twitter.com/tirkapoor")</f>
        <v>https://twitter.com/tirkapoor</v>
      </c>
      <c r="AZ583" s="80" t="s">
        <v>66</v>
      </c>
      <c r="BA583" s="2"/>
      <c r="BB583" s="3"/>
      <c r="BC583" s="3"/>
      <c r="BD583" s="3"/>
      <c r="BE583" s="3"/>
    </row>
    <row r="584" spans="1:57" x14ac:dyDescent="0.35">
      <c r="A584" s="66" t="s">
        <v>685</v>
      </c>
      <c r="B584" s="67"/>
      <c r="C584" s="67"/>
      <c r="D584" s="68"/>
      <c r="E584" s="70"/>
      <c r="F584" s="109" t="str">
        <f>HYPERLINK("https://pbs.twimg.com/profile_images/1016700176281452545/XKQj0ujs_normal.jpg")</f>
        <v>https://pbs.twimg.com/profile_images/1016700176281452545/XKQj0ujs_normal.jpg</v>
      </c>
      <c r="G584" s="67"/>
      <c r="H584" s="71"/>
      <c r="I584" s="72"/>
      <c r="J584" s="72"/>
      <c r="K584" s="71" t="s">
        <v>11327</v>
      </c>
      <c r="L584" s="75"/>
      <c r="M584" s="76"/>
      <c r="N584" s="76"/>
      <c r="O584" s="77"/>
      <c r="P584" s="78"/>
      <c r="Q584" s="78"/>
      <c r="R584" s="92"/>
      <c r="S584" s="92"/>
      <c r="T584" s="92"/>
      <c r="U584" s="92"/>
      <c r="V584" s="52"/>
      <c r="W584" s="52"/>
      <c r="X584" s="52"/>
      <c r="Y584" s="52"/>
      <c r="Z584" s="51"/>
      <c r="AA584" s="73"/>
      <c r="AB584" s="73"/>
      <c r="AC584" s="74"/>
      <c r="AD584" s="80" t="s">
        <v>7161</v>
      </c>
      <c r="AE584" s="85" t="s">
        <v>8357</v>
      </c>
      <c r="AF584" s="80">
        <v>13</v>
      </c>
      <c r="AG584" s="80">
        <v>246</v>
      </c>
      <c r="AH584" s="80">
        <v>4997</v>
      </c>
      <c r="AI584" s="80">
        <v>19</v>
      </c>
      <c r="AJ584" s="80"/>
      <c r="AK584" s="80"/>
      <c r="AL584" s="80" t="s">
        <v>10407</v>
      </c>
      <c r="AM584" s="87" t="str">
        <f>HYPERLINK("https://t.co/2e1OKwVSG8")</f>
        <v>https://t.co/2e1OKwVSG8</v>
      </c>
      <c r="AN584" s="80"/>
      <c r="AO584" s="82">
        <v>40484.157789351855</v>
      </c>
      <c r="AP584" s="87" t="str">
        <f>HYPERLINK("https://pbs.twimg.com/profile_banners/211039817/1531235186")</f>
        <v>https://pbs.twimg.com/profile_banners/211039817/1531235186</v>
      </c>
      <c r="AQ584" s="80" t="b">
        <v>1</v>
      </c>
      <c r="AR584" s="80" t="b">
        <v>0</v>
      </c>
      <c r="AS584" s="80" t="b">
        <v>0</v>
      </c>
      <c r="AT584" s="80"/>
      <c r="AU584" s="80">
        <v>1</v>
      </c>
      <c r="AV584" s="87" t="str">
        <f>HYPERLINK("https://abs.twimg.com/images/themes/theme1/bg.png")</f>
        <v>https://abs.twimg.com/images/themes/theme1/bg.png</v>
      </c>
      <c r="AW584" s="80" t="b">
        <v>0</v>
      </c>
      <c r="AX584" s="80" t="s">
        <v>10746</v>
      </c>
      <c r="AY584" s="87" t="str">
        <f>HYPERLINK("https://twitter.com/satlantas_ds")</f>
        <v>https://twitter.com/satlantas_ds</v>
      </c>
      <c r="AZ584" s="80" t="s">
        <v>66</v>
      </c>
      <c r="BA584" s="2"/>
      <c r="BB584" s="3"/>
      <c r="BC584" s="3"/>
      <c r="BD584" s="3"/>
      <c r="BE584" s="3"/>
    </row>
    <row r="585" spans="1:57" x14ac:dyDescent="0.35">
      <c r="A585" s="66" t="s">
        <v>686</v>
      </c>
      <c r="B585" s="67"/>
      <c r="C585" s="67"/>
      <c r="D585" s="68"/>
      <c r="E585" s="70"/>
      <c r="F585" s="109" t="str">
        <f>HYPERLINK("https://pbs.twimg.com/profile_images/1440524505206558724/jcKy0hA2_normal.jpg")</f>
        <v>https://pbs.twimg.com/profile_images/1440524505206558724/jcKy0hA2_normal.jpg</v>
      </c>
      <c r="G585" s="67"/>
      <c r="H585" s="71"/>
      <c r="I585" s="72"/>
      <c r="J585" s="72"/>
      <c r="K585" s="71" t="s">
        <v>11328</v>
      </c>
      <c r="L585" s="75"/>
      <c r="M585" s="76"/>
      <c r="N585" s="76"/>
      <c r="O585" s="77"/>
      <c r="P585" s="78"/>
      <c r="Q585" s="78"/>
      <c r="R585" s="92"/>
      <c r="S585" s="92"/>
      <c r="T585" s="92"/>
      <c r="U585" s="92"/>
      <c r="V585" s="52"/>
      <c r="W585" s="52"/>
      <c r="X585" s="52"/>
      <c r="Y585" s="52"/>
      <c r="Z585" s="51"/>
      <c r="AA585" s="73"/>
      <c r="AB585" s="73"/>
      <c r="AC585" s="74"/>
      <c r="AD585" s="80" t="s">
        <v>7162</v>
      </c>
      <c r="AE585" s="85" t="s">
        <v>8358</v>
      </c>
      <c r="AF585" s="80">
        <v>3</v>
      </c>
      <c r="AG585" s="80">
        <v>2</v>
      </c>
      <c r="AH585" s="80">
        <v>93</v>
      </c>
      <c r="AI585" s="80">
        <v>5</v>
      </c>
      <c r="AJ585" s="80"/>
      <c r="AK585" s="80" t="s">
        <v>9476</v>
      </c>
      <c r="AL585" s="80" t="s">
        <v>10408</v>
      </c>
      <c r="AM585" s="80"/>
      <c r="AN585" s="80"/>
      <c r="AO585" s="82">
        <v>44461.159189814818</v>
      </c>
      <c r="AP585" s="87" t="str">
        <f>HYPERLINK("https://pbs.twimg.com/profile_banners/1440523520258150404/1632282879")</f>
        <v>https://pbs.twimg.com/profile_banners/1440523520258150404/1632282879</v>
      </c>
      <c r="AQ585" s="80" t="b">
        <v>1</v>
      </c>
      <c r="AR585" s="80" t="b">
        <v>0</v>
      </c>
      <c r="AS585" s="80" t="b">
        <v>0</v>
      </c>
      <c r="AT585" s="80"/>
      <c r="AU585" s="80">
        <v>0</v>
      </c>
      <c r="AV585" s="80"/>
      <c r="AW585" s="80" t="b">
        <v>0</v>
      </c>
      <c r="AX585" s="80" t="s">
        <v>10746</v>
      </c>
      <c r="AY585" s="87" t="str">
        <f>HYPERLINK("https://twitter.com/seellacc")</f>
        <v>https://twitter.com/seellacc</v>
      </c>
      <c r="AZ585" s="80" t="s">
        <v>66</v>
      </c>
      <c r="BA585" s="2"/>
      <c r="BB585" s="3"/>
      <c r="BC585" s="3"/>
      <c r="BD585" s="3"/>
      <c r="BE585" s="3"/>
    </row>
    <row r="586" spans="1:57" x14ac:dyDescent="0.35">
      <c r="A586" s="66" t="s">
        <v>687</v>
      </c>
      <c r="B586" s="67"/>
      <c r="C586" s="67"/>
      <c r="D586" s="68"/>
      <c r="E586" s="70"/>
      <c r="F586" s="109" t="str">
        <f>HYPERLINK("https://pbs.twimg.com/profile_images/1425469704504635393/VLY5d0Sl_normal.jpg")</f>
        <v>https://pbs.twimg.com/profile_images/1425469704504635393/VLY5d0Sl_normal.jpg</v>
      </c>
      <c r="G586" s="67"/>
      <c r="H586" s="71"/>
      <c r="I586" s="72"/>
      <c r="J586" s="72"/>
      <c r="K586" s="71" t="s">
        <v>11329</v>
      </c>
      <c r="L586" s="75"/>
      <c r="M586" s="76"/>
      <c r="N586" s="76"/>
      <c r="O586" s="77"/>
      <c r="P586" s="78"/>
      <c r="Q586" s="78"/>
      <c r="R586" s="92"/>
      <c r="S586" s="92"/>
      <c r="T586" s="92"/>
      <c r="U586" s="92"/>
      <c r="V586" s="52"/>
      <c r="W586" s="52"/>
      <c r="X586" s="52"/>
      <c r="Y586" s="52"/>
      <c r="Z586" s="51"/>
      <c r="AA586" s="73"/>
      <c r="AB586" s="73"/>
      <c r="AC586" s="74"/>
      <c r="AD586" s="80" t="s">
        <v>7163</v>
      </c>
      <c r="AE586" s="85" t="s">
        <v>8359</v>
      </c>
      <c r="AF586" s="80">
        <v>84</v>
      </c>
      <c r="AG586" s="80">
        <v>41</v>
      </c>
      <c r="AH586" s="80">
        <v>9164</v>
      </c>
      <c r="AI586" s="80">
        <v>6477</v>
      </c>
      <c r="AJ586" s="80"/>
      <c r="AK586" s="80" t="s">
        <v>9477</v>
      </c>
      <c r="AL586" s="80" t="s">
        <v>10195</v>
      </c>
      <c r="AM586" s="80"/>
      <c r="AN586" s="80"/>
      <c r="AO586" s="82">
        <v>43501.034456018519</v>
      </c>
      <c r="AP586" s="87" t="str">
        <f>HYPERLINK("https://pbs.twimg.com/profile_banners/1092586006467899392/1575614891")</f>
        <v>https://pbs.twimg.com/profile_banners/1092586006467899392/1575614891</v>
      </c>
      <c r="AQ586" s="80" t="b">
        <v>1</v>
      </c>
      <c r="AR586" s="80" t="b">
        <v>0</v>
      </c>
      <c r="AS586" s="80" t="b">
        <v>0</v>
      </c>
      <c r="AT586" s="80"/>
      <c r="AU586" s="80">
        <v>0</v>
      </c>
      <c r="AV586" s="80"/>
      <c r="AW586" s="80" t="b">
        <v>0</v>
      </c>
      <c r="AX586" s="80" t="s">
        <v>10746</v>
      </c>
      <c r="AY586" s="87" t="str">
        <f>HYPERLINK("https://twitter.com/peeloffsmile")</f>
        <v>https://twitter.com/peeloffsmile</v>
      </c>
      <c r="AZ586" s="80" t="s">
        <v>66</v>
      </c>
      <c r="BA586" s="2"/>
      <c r="BB586" s="3"/>
      <c r="BC586" s="3"/>
      <c r="BD586" s="3"/>
      <c r="BE586" s="3"/>
    </row>
    <row r="587" spans="1:57" x14ac:dyDescent="0.35">
      <c r="A587" s="66" t="s">
        <v>688</v>
      </c>
      <c r="B587" s="67"/>
      <c r="C587" s="67"/>
      <c r="D587" s="68"/>
      <c r="E587" s="70"/>
      <c r="F587" s="109" t="str">
        <f>HYPERLINK("https://pbs.twimg.com/profile_images/1436563360728846336/k2_-C4_Z_normal.jpg")</f>
        <v>https://pbs.twimg.com/profile_images/1436563360728846336/k2_-C4_Z_normal.jpg</v>
      </c>
      <c r="G587" s="67"/>
      <c r="H587" s="71"/>
      <c r="I587" s="72"/>
      <c r="J587" s="72"/>
      <c r="K587" s="71" t="s">
        <v>11330</v>
      </c>
      <c r="L587" s="75"/>
      <c r="M587" s="76"/>
      <c r="N587" s="76"/>
      <c r="O587" s="77"/>
      <c r="P587" s="78"/>
      <c r="Q587" s="78"/>
      <c r="R587" s="92"/>
      <c r="S587" s="92"/>
      <c r="T587" s="92"/>
      <c r="U587" s="92"/>
      <c r="V587" s="52"/>
      <c r="W587" s="52"/>
      <c r="X587" s="52"/>
      <c r="Y587" s="52"/>
      <c r="Z587" s="51"/>
      <c r="AA587" s="73"/>
      <c r="AB587" s="73"/>
      <c r="AC587" s="74"/>
      <c r="AD587" s="80" t="s">
        <v>7164</v>
      </c>
      <c r="AE587" s="85" t="s">
        <v>8360</v>
      </c>
      <c r="AF587" s="80">
        <v>970</v>
      </c>
      <c r="AG587" s="80">
        <v>957</v>
      </c>
      <c r="AH587" s="80">
        <v>53666</v>
      </c>
      <c r="AI587" s="80">
        <v>96514</v>
      </c>
      <c r="AJ587" s="80"/>
      <c r="AK587" s="80" t="s">
        <v>9478</v>
      </c>
      <c r="AL587" s="80"/>
      <c r="AM587" s="87" t="str">
        <f>HYPERLINK("https://t.co/RT7K4G8UIo")</f>
        <v>https://t.co/RT7K4G8UIo</v>
      </c>
      <c r="AN587" s="80"/>
      <c r="AO587" s="82">
        <v>42482.471851851849</v>
      </c>
      <c r="AP587" s="87" t="str">
        <f>HYPERLINK("https://pbs.twimg.com/profile_banners/723471277076283392/1599812609")</f>
        <v>https://pbs.twimg.com/profile_banners/723471277076283392/1599812609</v>
      </c>
      <c r="AQ587" s="80" t="b">
        <v>1</v>
      </c>
      <c r="AR587" s="80" t="b">
        <v>0</v>
      </c>
      <c r="AS587" s="80" t="b">
        <v>1</v>
      </c>
      <c r="AT587" s="80"/>
      <c r="AU587" s="80">
        <v>4</v>
      </c>
      <c r="AV587" s="80"/>
      <c r="AW587" s="80" t="b">
        <v>0</v>
      </c>
      <c r="AX587" s="80" t="s">
        <v>10746</v>
      </c>
      <c r="AY587" s="87" t="str">
        <f>HYPERLINK("https://twitter.com/namujoon__")</f>
        <v>https://twitter.com/namujoon__</v>
      </c>
      <c r="AZ587" s="80" t="s">
        <v>66</v>
      </c>
      <c r="BA587" s="2"/>
      <c r="BB587" s="3"/>
      <c r="BC587" s="3"/>
      <c r="BD587" s="3"/>
      <c r="BE587" s="3"/>
    </row>
    <row r="588" spans="1:57" x14ac:dyDescent="0.35">
      <c r="A588" s="66" t="s">
        <v>689</v>
      </c>
      <c r="B588" s="67"/>
      <c r="C588" s="67"/>
      <c r="D588" s="68"/>
      <c r="E588" s="70"/>
      <c r="F588" s="109" t="str">
        <f>HYPERLINK("https://pbs.twimg.com/profile_images/1391083518734659586/7NytZdqo_normal.jpg")</f>
        <v>https://pbs.twimg.com/profile_images/1391083518734659586/7NytZdqo_normal.jpg</v>
      </c>
      <c r="G588" s="67"/>
      <c r="H588" s="71"/>
      <c r="I588" s="72"/>
      <c r="J588" s="72"/>
      <c r="K588" s="71" t="s">
        <v>11331</v>
      </c>
      <c r="L588" s="75"/>
      <c r="M588" s="76"/>
      <c r="N588" s="76"/>
      <c r="O588" s="77"/>
      <c r="P588" s="78"/>
      <c r="Q588" s="78"/>
      <c r="R588" s="92"/>
      <c r="S588" s="92"/>
      <c r="T588" s="92"/>
      <c r="U588" s="92"/>
      <c r="V588" s="52"/>
      <c r="W588" s="52"/>
      <c r="X588" s="52"/>
      <c r="Y588" s="52"/>
      <c r="Z588" s="51"/>
      <c r="AA588" s="73"/>
      <c r="AB588" s="73"/>
      <c r="AC588" s="74"/>
      <c r="AD588" s="80" t="s">
        <v>7165</v>
      </c>
      <c r="AE588" s="85" t="s">
        <v>8361</v>
      </c>
      <c r="AF588" s="80">
        <v>214</v>
      </c>
      <c r="AG588" s="80">
        <v>222</v>
      </c>
      <c r="AH588" s="80">
        <v>8937</v>
      </c>
      <c r="AI588" s="80">
        <v>859</v>
      </c>
      <c r="AJ588" s="80"/>
      <c r="AK588" s="80" t="s">
        <v>9479</v>
      </c>
      <c r="AL588" s="80" t="s">
        <v>10409</v>
      </c>
      <c r="AM588" s="80"/>
      <c r="AN588" s="80"/>
      <c r="AO588" s="82">
        <v>40519.163124999999</v>
      </c>
      <c r="AP588" s="87" t="str">
        <f>HYPERLINK("https://pbs.twimg.com/profile_banners/223713504/1552431558")</f>
        <v>https://pbs.twimg.com/profile_banners/223713504/1552431558</v>
      </c>
      <c r="AQ588" s="80" t="b">
        <v>0</v>
      </c>
      <c r="AR588" s="80" t="b">
        <v>0</v>
      </c>
      <c r="AS588" s="80" t="b">
        <v>1</v>
      </c>
      <c r="AT588" s="80"/>
      <c r="AU588" s="80">
        <v>3</v>
      </c>
      <c r="AV588" s="87" t="str">
        <f>HYPERLINK("https://abs.twimg.com/images/themes/theme14/bg.gif")</f>
        <v>https://abs.twimg.com/images/themes/theme14/bg.gif</v>
      </c>
      <c r="AW588" s="80" t="b">
        <v>0</v>
      </c>
      <c r="AX588" s="80" t="s">
        <v>10746</v>
      </c>
      <c r="AY588" s="87" t="str">
        <f>HYPERLINK("https://twitter.com/ridzki_ss")</f>
        <v>https://twitter.com/ridzki_ss</v>
      </c>
      <c r="AZ588" s="80" t="s">
        <v>66</v>
      </c>
      <c r="BA588" s="2"/>
      <c r="BB588" s="3"/>
      <c r="BC588" s="3"/>
      <c r="BD588" s="3"/>
      <c r="BE588" s="3"/>
    </row>
    <row r="589" spans="1:57" x14ac:dyDescent="0.35">
      <c r="A589" s="66" t="s">
        <v>690</v>
      </c>
      <c r="B589" s="67"/>
      <c r="C589" s="67"/>
      <c r="D589" s="68"/>
      <c r="E589" s="70"/>
      <c r="F589" s="109" t="str">
        <f>HYPERLINK("https://pbs.twimg.com/profile_images/1410577900290527234/SSb8u6Zm_normal.jpg")</f>
        <v>https://pbs.twimg.com/profile_images/1410577900290527234/SSb8u6Zm_normal.jpg</v>
      </c>
      <c r="G589" s="67"/>
      <c r="H589" s="71"/>
      <c r="I589" s="72"/>
      <c r="J589" s="72"/>
      <c r="K589" s="71" t="s">
        <v>11332</v>
      </c>
      <c r="L589" s="75"/>
      <c r="M589" s="76"/>
      <c r="N589" s="76"/>
      <c r="O589" s="77"/>
      <c r="P589" s="78"/>
      <c r="Q589" s="78"/>
      <c r="R589" s="92"/>
      <c r="S589" s="92"/>
      <c r="T589" s="92"/>
      <c r="U589" s="92"/>
      <c r="V589" s="52"/>
      <c r="W589" s="52"/>
      <c r="X589" s="52"/>
      <c r="Y589" s="52"/>
      <c r="Z589" s="51"/>
      <c r="AA589" s="73"/>
      <c r="AB589" s="73"/>
      <c r="AC589" s="74"/>
      <c r="AD589" s="80" t="s">
        <v>7166</v>
      </c>
      <c r="AE589" s="85" t="s">
        <v>8362</v>
      </c>
      <c r="AF589" s="80">
        <v>722</v>
      </c>
      <c r="AG589" s="80">
        <v>731</v>
      </c>
      <c r="AH589" s="80">
        <v>27358</v>
      </c>
      <c r="AI589" s="80">
        <v>7554</v>
      </c>
      <c r="AJ589" s="80"/>
      <c r="AK589" s="80" t="s">
        <v>9480</v>
      </c>
      <c r="AL589" s="80" t="s">
        <v>10410</v>
      </c>
      <c r="AM589" s="80"/>
      <c r="AN589" s="80"/>
      <c r="AO589" s="82">
        <v>40951.218391203707</v>
      </c>
      <c r="AP589" s="87" t="str">
        <f>HYPERLINK("https://pbs.twimg.com/profile_banners/490049226/1630850128")</f>
        <v>https://pbs.twimg.com/profile_banners/490049226/1630850128</v>
      </c>
      <c r="AQ589" s="80" t="b">
        <v>0</v>
      </c>
      <c r="AR589" s="80" t="b">
        <v>0</v>
      </c>
      <c r="AS589" s="80" t="b">
        <v>1</v>
      </c>
      <c r="AT589" s="80"/>
      <c r="AU589" s="80">
        <v>2</v>
      </c>
      <c r="AV589" s="87" t="str">
        <f>HYPERLINK("https://abs.twimg.com/images/themes/theme14/bg.gif")</f>
        <v>https://abs.twimg.com/images/themes/theme14/bg.gif</v>
      </c>
      <c r="AW589" s="80" t="b">
        <v>0</v>
      </c>
      <c r="AX589" s="80" t="s">
        <v>10746</v>
      </c>
      <c r="AY589" s="87" t="str">
        <f>HYPERLINK("https://twitter.com/hanifinho")</f>
        <v>https://twitter.com/hanifinho</v>
      </c>
      <c r="AZ589" s="80" t="s">
        <v>66</v>
      </c>
      <c r="BA589" s="2"/>
      <c r="BB589" s="3"/>
      <c r="BC589" s="3"/>
      <c r="BD589" s="3"/>
      <c r="BE589" s="3"/>
    </row>
    <row r="590" spans="1:57" x14ac:dyDescent="0.35">
      <c r="A590" s="66" t="s">
        <v>691</v>
      </c>
      <c r="B590" s="67"/>
      <c r="C590" s="67"/>
      <c r="D590" s="68"/>
      <c r="E590" s="70"/>
      <c r="F590" s="109" t="str">
        <f>HYPERLINK("https://pbs.twimg.com/profile_images/1435618512983113728/tCkEZd7O_normal.jpg")</f>
        <v>https://pbs.twimg.com/profile_images/1435618512983113728/tCkEZd7O_normal.jpg</v>
      </c>
      <c r="G590" s="67"/>
      <c r="H590" s="71"/>
      <c r="I590" s="72"/>
      <c r="J590" s="72"/>
      <c r="K590" s="71" t="s">
        <v>11333</v>
      </c>
      <c r="L590" s="75"/>
      <c r="M590" s="76"/>
      <c r="N590" s="76"/>
      <c r="O590" s="77"/>
      <c r="P590" s="78"/>
      <c r="Q590" s="78"/>
      <c r="R590" s="92"/>
      <c r="S590" s="92"/>
      <c r="T590" s="92"/>
      <c r="U590" s="92"/>
      <c r="V590" s="52"/>
      <c r="W590" s="52"/>
      <c r="X590" s="52"/>
      <c r="Y590" s="52"/>
      <c r="Z590" s="51"/>
      <c r="AA590" s="73"/>
      <c r="AB590" s="73"/>
      <c r="AC590" s="74"/>
      <c r="AD590" s="80" t="s">
        <v>7167</v>
      </c>
      <c r="AE590" s="85" t="s">
        <v>8363</v>
      </c>
      <c r="AF590" s="80">
        <v>553</v>
      </c>
      <c r="AG590" s="80">
        <v>266</v>
      </c>
      <c r="AH590" s="80">
        <v>46629</v>
      </c>
      <c r="AI590" s="80">
        <v>5187</v>
      </c>
      <c r="AJ590" s="80"/>
      <c r="AK590" s="80" t="s">
        <v>9481</v>
      </c>
      <c r="AL590" s="80" t="s">
        <v>10411</v>
      </c>
      <c r="AM590" s="87" t="str">
        <f>HYPERLINK("https://t.co/QwYbz5Drct")</f>
        <v>https://t.co/QwYbz5Drct</v>
      </c>
      <c r="AN590" s="80"/>
      <c r="AO590" s="82">
        <v>40729.39234953704</v>
      </c>
      <c r="AP590" s="87" t="str">
        <f>HYPERLINK("https://pbs.twimg.com/profile_banners/329578031/1529261339")</f>
        <v>https://pbs.twimg.com/profile_banners/329578031/1529261339</v>
      </c>
      <c r="AQ590" s="80" t="b">
        <v>0</v>
      </c>
      <c r="AR590" s="80" t="b">
        <v>0</v>
      </c>
      <c r="AS590" s="80" t="b">
        <v>1</v>
      </c>
      <c r="AT590" s="80"/>
      <c r="AU590" s="80">
        <v>2</v>
      </c>
      <c r="AV590" s="87" t="str">
        <f>HYPERLINK("https://abs.twimg.com/images/themes/theme15/bg.png")</f>
        <v>https://abs.twimg.com/images/themes/theme15/bg.png</v>
      </c>
      <c r="AW590" s="80" t="b">
        <v>0</v>
      </c>
      <c r="AX590" s="80" t="s">
        <v>10746</v>
      </c>
      <c r="AY590" s="87" t="str">
        <f>HYPERLINK("https://twitter.com/kaptenupil")</f>
        <v>https://twitter.com/kaptenupil</v>
      </c>
      <c r="AZ590" s="80" t="s">
        <v>66</v>
      </c>
      <c r="BA590" s="2"/>
      <c r="BB590" s="3"/>
      <c r="BC590" s="3"/>
      <c r="BD590" s="3"/>
      <c r="BE590" s="3"/>
    </row>
    <row r="591" spans="1:57" x14ac:dyDescent="0.35">
      <c r="A591" s="66" t="s">
        <v>692</v>
      </c>
      <c r="B591" s="67"/>
      <c r="C591" s="67"/>
      <c r="D591" s="68"/>
      <c r="E591" s="70"/>
      <c r="F591" s="109" t="str">
        <f>HYPERLINK("https://pbs.twimg.com/profile_images/1442057981965725703/YLrRty0P_normal.png")</f>
        <v>https://pbs.twimg.com/profile_images/1442057981965725703/YLrRty0P_normal.png</v>
      </c>
      <c r="G591" s="67"/>
      <c r="H591" s="71"/>
      <c r="I591" s="72"/>
      <c r="J591" s="72"/>
      <c r="K591" s="71" t="s">
        <v>11334</v>
      </c>
      <c r="L591" s="75"/>
      <c r="M591" s="76"/>
      <c r="N591" s="76"/>
      <c r="O591" s="77"/>
      <c r="P591" s="78"/>
      <c r="Q591" s="78"/>
      <c r="R591" s="92"/>
      <c r="S591" s="92"/>
      <c r="T591" s="92"/>
      <c r="U591" s="92"/>
      <c r="V591" s="52"/>
      <c r="W591" s="52"/>
      <c r="X591" s="52"/>
      <c r="Y591" s="52"/>
      <c r="Z591" s="51"/>
      <c r="AA591" s="73"/>
      <c r="AB591" s="73"/>
      <c r="AC591" s="74"/>
      <c r="AD591" s="80" t="s">
        <v>7168</v>
      </c>
      <c r="AE591" s="85" t="s">
        <v>8364</v>
      </c>
      <c r="AF591" s="80">
        <v>2231</v>
      </c>
      <c r="AG591" s="80">
        <v>2112</v>
      </c>
      <c r="AH591" s="80">
        <v>12069</v>
      </c>
      <c r="AI591" s="80">
        <v>23438</v>
      </c>
      <c r="AJ591" s="80"/>
      <c r="AK591" s="80" t="s">
        <v>9482</v>
      </c>
      <c r="AL591" s="80" t="s">
        <v>10412</v>
      </c>
      <c r="AM591" s="80"/>
      <c r="AN591" s="80"/>
      <c r="AO591" s="82">
        <v>44262.86005787037</v>
      </c>
      <c r="AP591" s="87" t="str">
        <f>HYPERLINK("https://pbs.twimg.com/profile_banners/1368662315223056384/1632648437")</f>
        <v>https://pbs.twimg.com/profile_banners/1368662315223056384/1632648437</v>
      </c>
      <c r="AQ591" s="80" t="b">
        <v>1</v>
      </c>
      <c r="AR591" s="80" t="b">
        <v>0</v>
      </c>
      <c r="AS591" s="80" t="b">
        <v>0</v>
      </c>
      <c r="AT591" s="80"/>
      <c r="AU591" s="80">
        <v>5</v>
      </c>
      <c r="AV591" s="80"/>
      <c r="AW591" s="80" t="b">
        <v>0</v>
      </c>
      <c r="AX591" s="80" t="s">
        <v>10746</v>
      </c>
      <c r="AY591" s="87" t="str">
        <f>HYPERLINK("https://twitter.com/faayyyh")</f>
        <v>https://twitter.com/faayyyh</v>
      </c>
      <c r="AZ591" s="80" t="s">
        <v>66</v>
      </c>
      <c r="BA591" s="2"/>
      <c r="BB591" s="3"/>
      <c r="BC591" s="3"/>
      <c r="BD591" s="3"/>
      <c r="BE591" s="3"/>
    </row>
    <row r="592" spans="1:57" x14ac:dyDescent="0.35">
      <c r="A592" s="66" t="s">
        <v>858</v>
      </c>
      <c r="B592" s="67"/>
      <c r="C592" s="67"/>
      <c r="D592" s="68"/>
      <c r="E592" s="70"/>
      <c r="F592" s="109" t="str">
        <f>HYPERLINK("https://pbs.twimg.com/profile_images/1433114088960245761/iNOJ69k6_normal.jpg")</f>
        <v>https://pbs.twimg.com/profile_images/1433114088960245761/iNOJ69k6_normal.jpg</v>
      </c>
      <c r="G592" s="67"/>
      <c r="H592" s="71"/>
      <c r="I592" s="72"/>
      <c r="J592" s="72"/>
      <c r="K592" s="71" t="s">
        <v>11335</v>
      </c>
      <c r="L592" s="75"/>
      <c r="M592" s="76"/>
      <c r="N592" s="76"/>
      <c r="O592" s="77"/>
      <c r="P592" s="78"/>
      <c r="Q592" s="78"/>
      <c r="R592" s="92"/>
      <c r="S592" s="92"/>
      <c r="T592" s="92"/>
      <c r="U592" s="92"/>
      <c r="V592" s="52"/>
      <c r="W592" s="52"/>
      <c r="X592" s="52"/>
      <c r="Y592" s="52"/>
      <c r="Z592" s="51"/>
      <c r="AA592" s="73"/>
      <c r="AB592" s="73"/>
      <c r="AC592" s="74"/>
      <c r="AD592" s="80" t="s">
        <v>7169</v>
      </c>
      <c r="AE592" s="85" t="s">
        <v>8365</v>
      </c>
      <c r="AF592" s="80">
        <v>1821</v>
      </c>
      <c r="AG592" s="80">
        <v>2970</v>
      </c>
      <c r="AH592" s="80">
        <v>1760</v>
      </c>
      <c r="AI592" s="80">
        <v>1425</v>
      </c>
      <c r="AJ592" s="80"/>
      <c r="AK592" s="80" t="s">
        <v>9483</v>
      </c>
      <c r="AL592" s="80"/>
      <c r="AM592" s="80"/>
      <c r="AN592" s="80"/>
      <c r="AO592" s="82">
        <v>44353.154849537037</v>
      </c>
      <c r="AP592" s="87" t="str">
        <f>HYPERLINK("https://pbs.twimg.com/profile_banners/1401384025269305344/1629258137")</f>
        <v>https://pbs.twimg.com/profile_banners/1401384025269305344/1629258137</v>
      </c>
      <c r="AQ592" s="80" t="b">
        <v>1</v>
      </c>
      <c r="AR592" s="80" t="b">
        <v>0</v>
      </c>
      <c r="AS592" s="80" t="b">
        <v>0</v>
      </c>
      <c r="AT592" s="80"/>
      <c r="AU592" s="80">
        <v>1</v>
      </c>
      <c r="AV592" s="80"/>
      <c r="AW592" s="80" t="b">
        <v>0</v>
      </c>
      <c r="AX592" s="80" t="s">
        <v>10746</v>
      </c>
      <c r="AY592" s="87" t="str">
        <f>HYPERLINK("https://twitter.com/cococheezy")</f>
        <v>https://twitter.com/cococheezy</v>
      </c>
      <c r="AZ592" s="80" t="s">
        <v>66</v>
      </c>
      <c r="BA592" s="2"/>
      <c r="BB592" s="3"/>
      <c r="BC592" s="3"/>
      <c r="BD592" s="3"/>
      <c r="BE592" s="3"/>
    </row>
    <row r="593" spans="1:57" x14ac:dyDescent="0.35">
      <c r="A593" s="66" t="s">
        <v>693</v>
      </c>
      <c r="B593" s="67"/>
      <c r="C593" s="67"/>
      <c r="D593" s="68"/>
      <c r="E593" s="70"/>
      <c r="F593" s="109" t="str">
        <f>HYPERLINK("https://pbs.twimg.com/profile_images/1438896010399416332/KVy5M-3X_normal.jpg")</f>
        <v>https://pbs.twimg.com/profile_images/1438896010399416332/KVy5M-3X_normal.jpg</v>
      </c>
      <c r="G593" s="67"/>
      <c r="H593" s="71"/>
      <c r="I593" s="72"/>
      <c r="J593" s="72"/>
      <c r="K593" s="71" t="s">
        <v>11336</v>
      </c>
      <c r="L593" s="75"/>
      <c r="M593" s="76"/>
      <c r="N593" s="76"/>
      <c r="O593" s="77"/>
      <c r="P593" s="78"/>
      <c r="Q593" s="78"/>
      <c r="R593" s="92"/>
      <c r="S593" s="92"/>
      <c r="T593" s="92"/>
      <c r="U593" s="92"/>
      <c r="V593" s="52"/>
      <c r="W593" s="52"/>
      <c r="X593" s="52"/>
      <c r="Y593" s="52"/>
      <c r="Z593" s="51"/>
      <c r="AA593" s="73"/>
      <c r="AB593" s="73"/>
      <c r="AC593" s="74"/>
      <c r="AD593" s="80" t="s">
        <v>7170</v>
      </c>
      <c r="AE593" s="85" t="s">
        <v>8366</v>
      </c>
      <c r="AF593" s="80">
        <v>89</v>
      </c>
      <c r="AG593" s="80">
        <v>476</v>
      </c>
      <c r="AH593" s="80">
        <v>91835</v>
      </c>
      <c r="AI593" s="80">
        <v>83472</v>
      </c>
      <c r="AJ593" s="80"/>
      <c r="AK593" s="80" t="s">
        <v>9484</v>
      </c>
      <c r="AL593" s="80" t="s">
        <v>10413</v>
      </c>
      <c r="AM593" s="80"/>
      <c r="AN593" s="80"/>
      <c r="AO593" s="82">
        <v>42238.429131944446</v>
      </c>
      <c r="AP593" s="87" t="str">
        <f>HYPERLINK("https://pbs.twimg.com/profile_banners/3323900718/1630317873")</f>
        <v>https://pbs.twimg.com/profile_banners/3323900718/1630317873</v>
      </c>
      <c r="AQ593" s="80" t="b">
        <v>1</v>
      </c>
      <c r="AR593" s="80" t="b">
        <v>0</v>
      </c>
      <c r="AS593" s="80" t="b">
        <v>1</v>
      </c>
      <c r="AT593" s="80"/>
      <c r="AU593" s="80">
        <v>2</v>
      </c>
      <c r="AV593" s="87" t="str">
        <f>HYPERLINK("https://abs.twimg.com/images/themes/theme1/bg.png")</f>
        <v>https://abs.twimg.com/images/themes/theme1/bg.png</v>
      </c>
      <c r="AW593" s="80" t="b">
        <v>0</v>
      </c>
      <c r="AX593" s="80" t="s">
        <v>10746</v>
      </c>
      <c r="AY593" s="87" t="str">
        <f>HYPERLINK("https://twitter.com/aidilzulkefli_")</f>
        <v>https://twitter.com/aidilzulkefli_</v>
      </c>
      <c r="AZ593" s="80" t="s">
        <v>66</v>
      </c>
      <c r="BA593" s="2"/>
      <c r="BB593" s="3"/>
      <c r="BC593" s="3"/>
      <c r="BD593" s="3"/>
      <c r="BE593" s="3"/>
    </row>
    <row r="594" spans="1:57" x14ac:dyDescent="0.35">
      <c r="A594" s="66" t="s">
        <v>694</v>
      </c>
      <c r="B594" s="67"/>
      <c r="C594" s="67"/>
      <c r="D594" s="68"/>
      <c r="E594" s="70"/>
      <c r="F594" s="109" t="str">
        <f>HYPERLINK("https://pbs.twimg.com/profile_images/1329491151431159809/UEfMhM8I_normal.jpg")</f>
        <v>https://pbs.twimg.com/profile_images/1329491151431159809/UEfMhM8I_normal.jpg</v>
      </c>
      <c r="G594" s="67"/>
      <c r="H594" s="71"/>
      <c r="I594" s="72"/>
      <c r="J594" s="72"/>
      <c r="K594" s="71" t="s">
        <v>11337</v>
      </c>
      <c r="L594" s="75"/>
      <c r="M594" s="76"/>
      <c r="N594" s="76"/>
      <c r="O594" s="77"/>
      <c r="P594" s="78"/>
      <c r="Q594" s="78"/>
      <c r="R594" s="92"/>
      <c r="S594" s="92"/>
      <c r="T594" s="92"/>
      <c r="U594" s="92"/>
      <c r="V594" s="52"/>
      <c r="W594" s="52"/>
      <c r="X594" s="52"/>
      <c r="Y594" s="52"/>
      <c r="Z594" s="51"/>
      <c r="AA594" s="73"/>
      <c r="AB594" s="73"/>
      <c r="AC594" s="74"/>
      <c r="AD594" s="80" t="s">
        <v>7171</v>
      </c>
      <c r="AE594" s="85" t="s">
        <v>8367</v>
      </c>
      <c r="AF594" s="80">
        <v>456</v>
      </c>
      <c r="AG594" s="80">
        <v>9427</v>
      </c>
      <c r="AH594" s="80">
        <v>29161</v>
      </c>
      <c r="AI594" s="80">
        <v>123</v>
      </c>
      <c r="AJ594" s="80"/>
      <c r="AK594" s="80" t="s">
        <v>9485</v>
      </c>
      <c r="AL594" s="80" t="s">
        <v>10414</v>
      </c>
      <c r="AM594" s="80"/>
      <c r="AN594" s="80"/>
      <c r="AO594" s="82">
        <v>41635.57203703704</v>
      </c>
      <c r="AP594" s="87" t="str">
        <f>HYPERLINK("https://pbs.twimg.com/profile_banners/2264369726/1548532582")</f>
        <v>https://pbs.twimg.com/profile_banners/2264369726/1548532582</v>
      </c>
      <c r="AQ594" s="80" t="b">
        <v>0</v>
      </c>
      <c r="AR594" s="80" t="b">
        <v>0</v>
      </c>
      <c r="AS594" s="80" t="b">
        <v>0</v>
      </c>
      <c r="AT594" s="80"/>
      <c r="AU594" s="80">
        <v>14</v>
      </c>
      <c r="AV594" s="87" t="str">
        <f>HYPERLINK("https://abs.twimg.com/images/themes/theme1/bg.png")</f>
        <v>https://abs.twimg.com/images/themes/theme1/bg.png</v>
      </c>
      <c r="AW594" s="80" t="b">
        <v>0</v>
      </c>
      <c r="AX594" s="80" t="s">
        <v>10746</v>
      </c>
      <c r="AY594" s="87" t="str">
        <f>HYPERLINK("https://twitter.com/thisisfair99")</f>
        <v>https://twitter.com/thisisfair99</v>
      </c>
      <c r="AZ594" s="80" t="s">
        <v>66</v>
      </c>
      <c r="BA594" s="2"/>
      <c r="BB594" s="3"/>
      <c r="BC594" s="3"/>
      <c r="BD594" s="3"/>
      <c r="BE594" s="3"/>
    </row>
    <row r="595" spans="1:57" x14ac:dyDescent="0.35">
      <c r="A595" s="66" t="s">
        <v>695</v>
      </c>
      <c r="B595" s="67"/>
      <c r="C595" s="67"/>
      <c r="D595" s="68"/>
      <c r="E595" s="70"/>
      <c r="F595" s="109" t="str">
        <f>HYPERLINK("https://pbs.twimg.com/profile_images/1421788815547506691/60v4aOuj_normal.jpg")</f>
        <v>https://pbs.twimg.com/profile_images/1421788815547506691/60v4aOuj_normal.jpg</v>
      </c>
      <c r="G595" s="67"/>
      <c r="H595" s="71"/>
      <c r="I595" s="72"/>
      <c r="J595" s="72"/>
      <c r="K595" s="71" t="s">
        <v>11338</v>
      </c>
      <c r="L595" s="75"/>
      <c r="M595" s="76"/>
      <c r="N595" s="76"/>
      <c r="O595" s="77"/>
      <c r="P595" s="78"/>
      <c r="Q595" s="78"/>
      <c r="R595" s="92"/>
      <c r="S595" s="92"/>
      <c r="T595" s="92"/>
      <c r="U595" s="92"/>
      <c r="V595" s="52"/>
      <c r="W595" s="52"/>
      <c r="X595" s="52"/>
      <c r="Y595" s="52"/>
      <c r="Z595" s="51"/>
      <c r="AA595" s="73"/>
      <c r="AB595" s="73"/>
      <c r="AC595" s="74"/>
      <c r="AD595" s="80" t="s">
        <v>7172</v>
      </c>
      <c r="AE595" s="85" t="s">
        <v>8368</v>
      </c>
      <c r="AF595" s="80">
        <v>58</v>
      </c>
      <c r="AG595" s="80">
        <v>121</v>
      </c>
      <c r="AH595" s="80">
        <v>10154</v>
      </c>
      <c r="AI595" s="80">
        <v>3154</v>
      </c>
      <c r="AJ595" s="80"/>
      <c r="AK595" s="80" t="s">
        <v>9486</v>
      </c>
      <c r="AL595" s="80" t="s">
        <v>10415</v>
      </c>
      <c r="AM595" s="87" t="str">
        <f>HYPERLINK("https://t.co/4frsHEwF1h")</f>
        <v>https://t.co/4frsHEwF1h</v>
      </c>
      <c r="AN595" s="80"/>
      <c r="AO595" s="82">
        <v>40499.453668981485</v>
      </c>
      <c r="AP595" s="87" t="str">
        <f>HYPERLINK("https://pbs.twimg.com/profile_banners/216652520/1362920511")</f>
        <v>https://pbs.twimg.com/profile_banners/216652520/1362920511</v>
      </c>
      <c r="AQ595" s="80" t="b">
        <v>0</v>
      </c>
      <c r="AR595" s="80" t="b">
        <v>0</v>
      </c>
      <c r="AS595" s="80" t="b">
        <v>1</v>
      </c>
      <c r="AT595" s="80"/>
      <c r="AU595" s="80">
        <v>2</v>
      </c>
      <c r="AV595" s="87" t="str">
        <f>HYPERLINK("https://abs.twimg.com/images/themes/theme1/bg.png")</f>
        <v>https://abs.twimg.com/images/themes/theme1/bg.png</v>
      </c>
      <c r="AW595" s="80" t="b">
        <v>0</v>
      </c>
      <c r="AX595" s="80" t="s">
        <v>10746</v>
      </c>
      <c r="AY595" s="87" t="str">
        <f>HYPERLINK("https://twitter.com/fredsepra")</f>
        <v>https://twitter.com/fredsepra</v>
      </c>
      <c r="AZ595" s="80" t="s">
        <v>66</v>
      </c>
      <c r="BA595" s="2"/>
      <c r="BB595" s="3"/>
      <c r="BC595" s="3"/>
      <c r="BD595" s="3"/>
      <c r="BE595" s="3"/>
    </row>
    <row r="596" spans="1:57" x14ac:dyDescent="0.35">
      <c r="A596" s="66" t="s">
        <v>696</v>
      </c>
      <c r="B596" s="67"/>
      <c r="C596" s="67"/>
      <c r="D596" s="68"/>
      <c r="E596" s="70"/>
      <c r="F596" s="109" t="str">
        <f>HYPERLINK("https://pbs.twimg.com/profile_images/1377846024987758593/b7SeOq73_normal.jpg")</f>
        <v>https://pbs.twimg.com/profile_images/1377846024987758593/b7SeOq73_normal.jpg</v>
      </c>
      <c r="G596" s="67"/>
      <c r="H596" s="71"/>
      <c r="I596" s="72"/>
      <c r="J596" s="72"/>
      <c r="K596" s="71" t="s">
        <v>11339</v>
      </c>
      <c r="L596" s="75"/>
      <c r="M596" s="76"/>
      <c r="N596" s="76"/>
      <c r="O596" s="77"/>
      <c r="P596" s="78"/>
      <c r="Q596" s="78"/>
      <c r="R596" s="92"/>
      <c r="S596" s="92"/>
      <c r="T596" s="92"/>
      <c r="U596" s="92"/>
      <c r="V596" s="52"/>
      <c r="W596" s="52"/>
      <c r="X596" s="52"/>
      <c r="Y596" s="52"/>
      <c r="Z596" s="51"/>
      <c r="AA596" s="73"/>
      <c r="AB596" s="73"/>
      <c r="AC596" s="74"/>
      <c r="AD596" s="80" t="s">
        <v>7173</v>
      </c>
      <c r="AE596" s="85" t="s">
        <v>8369</v>
      </c>
      <c r="AF596" s="80">
        <v>47</v>
      </c>
      <c r="AG596" s="80">
        <v>982</v>
      </c>
      <c r="AH596" s="80">
        <v>2113</v>
      </c>
      <c r="AI596" s="80">
        <v>1323</v>
      </c>
      <c r="AJ596" s="80"/>
      <c r="AK596" s="80" t="s">
        <v>9487</v>
      </c>
      <c r="AL596" s="80" t="s">
        <v>10325</v>
      </c>
      <c r="AM596" s="87" t="str">
        <f>HYPERLINK("https://t.co/UGQEzAWBwK")</f>
        <v>https://t.co/UGQEzAWBwK</v>
      </c>
      <c r="AN596" s="80"/>
      <c r="AO596" s="82">
        <v>43999.130590277775</v>
      </c>
      <c r="AP596" s="87" t="str">
        <f>HYPERLINK("https://pbs.twimg.com/profile_banners/1273089900179382273/1619321143")</f>
        <v>https://pbs.twimg.com/profile_banners/1273089900179382273/1619321143</v>
      </c>
      <c r="AQ596" s="80" t="b">
        <v>1</v>
      </c>
      <c r="AR596" s="80" t="b">
        <v>0</v>
      </c>
      <c r="AS596" s="80" t="b">
        <v>0</v>
      </c>
      <c r="AT596" s="80"/>
      <c r="AU596" s="80">
        <v>9</v>
      </c>
      <c r="AV596" s="80"/>
      <c r="AW596" s="80" t="b">
        <v>0</v>
      </c>
      <c r="AX596" s="80" t="s">
        <v>10746</v>
      </c>
      <c r="AY596" s="87" t="str">
        <f>HYPERLINK("https://twitter.com/keychushoppu")</f>
        <v>https://twitter.com/keychushoppu</v>
      </c>
      <c r="AZ596" s="80" t="s">
        <v>66</v>
      </c>
      <c r="BA596" s="2"/>
      <c r="BB596" s="3"/>
      <c r="BC596" s="3"/>
      <c r="BD596" s="3"/>
      <c r="BE596" s="3"/>
    </row>
    <row r="597" spans="1:57" x14ac:dyDescent="0.35">
      <c r="A597" s="66" t="s">
        <v>1374</v>
      </c>
      <c r="B597" s="67"/>
      <c r="C597" s="67"/>
      <c r="D597" s="68"/>
      <c r="E597" s="70"/>
      <c r="F597" s="109" t="str">
        <f>HYPERLINK("https://pbs.twimg.com/profile_images/1377783952023244802/iexFRxEk_normal.jpg")</f>
        <v>https://pbs.twimg.com/profile_images/1377783952023244802/iexFRxEk_normal.jpg</v>
      </c>
      <c r="G597" s="67"/>
      <c r="H597" s="71"/>
      <c r="I597" s="72"/>
      <c r="J597" s="72"/>
      <c r="K597" s="71" t="s">
        <v>11340</v>
      </c>
      <c r="L597" s="75"/>
      <c r="M597" s="76"/>
      <c r="N597" s="76"/>
      <c r="O597" s="77"/>
      <c r="P597" s="78"/>
      <c r="Q597" s="78"/>
      <c r="R597" s="92"/>
      <c r="S597" s="92"/>
      <c r="T597" s="92"/>
      <c r="U597" s="92"/>
      <c r="V597" s="52"/>
      <c r="W597" s="52"/>
      <c r="X597" s="52"/>
      <c r="Y597" s="52"/>
      <c r="Z597" s="51"/>
      <c r="AA597" s="73"/>
      <c r="AB597" s="73"/>
      <c r="AC597" s="74"/>
      <c r="AD597" s="80" t="s">
        <v>7174</v>
      </c>
      <c r="AE597" s="85" t="s">
        <v>6335</v>
      </c>
      <c r="AF597" s="80">
        <v>2499</v>
      </c>
      <c r="AG597" s="80">
        <v>14513</v>
      </c>
      <c r="AH597" s="80">
        <v>149808</v>
      </c>
      <c r="AI597" s="80">
        <v>2277</v>
      </c>
      <c r="AJ597" s="80"/>
      <c r="AK597" s="80" t="s">
        <v>9488</v>
      </c>
      <c r="AL597" s="80" t="s">
        <v>10416</v>
      </c>
      <c r="AM597" s="87" t="str">
        <f>HYPERLINK("https://t.co/6AfWWF3wlz")</f>
        <v>https://t.co/6AfWWF3wlz</v>
      </c>
      <c r="AN597" s="80"/>
      <c r="AO597" s="82">
        <v>44062.212858796294</v>
      </c>
      <c r="AP597" s="87" t="str">
        <f>HYPERLINK("https://pbs.twimg.com/profile_banners/1295950213199273984/1628787355")</f>
        <v>https://pbs.twimg.com/profile_banners/1295950213199273984/1628787355</v>
      </c>
      <c r="AQ597" s="80" t="b">
        <v>1</v>
      </c>
      <c r="AR597" s="80" t="b">
        <v>0</v>
      </c>
      <c r="AS597" s="80" t="b">
        <v>0</v>
      </c>
      <c r="AT597" s="80"/>
      <c r="AU597" s="80">
        <v>127</v>
      </c>
      <c r="AV597" s="80"/>
      <c r="AW597" s="80" t="b">
        <v>0</v>
      </c>
      <c r="AX597" s="80" t="s">
        <v>10746</v>
      </c>
      <c r="AY597" s="87" t="str">
        <f>HYPERLINK("https://twitter.com/japanmerchfess")</f>
        <v>https://twitter.com/japanmerchfess</v>
      </c>
      <c r="AZ597" s="80" t="s">
        <v>65</v>
      </c>
      <c r="BA597" s="2"/>
      <c r="BB597" s="3"/>
      <c r="BC597" s="3"/>
      <c r="BD597" s="3"/>
      <c r="BE597" s="3"/>
    </row>
    <row r="598" spans="1:57" x14ac:dyDescent="0.35">
      <c r="A598" s="66" t="s">
        <v>697</v>
      </c>
      <c r="B598" s="67"/>
      <c r="C598" s="67"/>
      <c r="D598" s="68"/>
      <c r="E598" s="70"/>
      <c r="F598" s="109" t="str">
        <f>HYPERLINK("https://pbs.twimg.com/profile_images/1428401131605037059/r-BcOCMB_normal.jpg")</f>
        <v>https://pbs.twimg.com/profile_images/1428401131605037059/r-BcOCMB_normal.jpg</v>
      </c>
      <c r="G598" s="67"/>
      <c r="H598" s="71"/>
      <c r="I598" s="72"/>
      <c r="J598" s="72"/>
      <c r="K598" s="71" t="s">
        <v>11341</v>
      </c>
      <c r="L598" s="75"/>
      <c r="M598" s="76"/>
      <c r="N598" s="76"/>
      <c r="O598" s="77"/>
      <c r="P598" s="78"/>
      <c r="Q598" s="78"/>
      <c r="R598" s="92"/>
      <c r="S598" s="92"/>
      <c r="T598" s="92"/>
      <c r="U598" s="92"/>
      <c r="V598" s="52"/>
      <c r="W598" s="52"/>
      <c r="X598" s="52"/>
      <c r="Y598" s="52"/>
      <c r="Z598" s="51"/>
      <c r="AA598" s="73"/>
      <c r="AB598" s="73"/>
      <c r="AC598" s="74"/>
      <c r="AD598" s="80" t="s">
        <v>7175</v>
      </c>
      <c r="AE598" s="85" t="s">
        <v>8370</v>
      </c>
      <c r="AF598" s="80">
        <v>599</v>
      </c>
      <c r="AG598" s="80">
        <v>874</v>
      </c>
      <c r="AH598" s="80">
        <v>33756</v>
      </c>
      <c r="AI598" s="80">
        <v>6115</v>
      </c>
      <c r="AJ598" s="80"/>
      <c r="AK598" s="80" t="s">
        <v>9489</v>
      </c>
      <c r="AL598" s="80" t="s">
        <v>10417</v>
      </c>
      <c r="AM598" s="80"/>
      <c r="AN598" s="80"/>
      <c r="AO598" s="82">
        <v>41429.382222222222</v>
      </c>
      <c r="AP598" s="87" t="str">
        <f>HYPERLINK("https://pbs.twimg.com/profile_banners/1481768214/1614005173")</f>
        <v>https://pbs.twimg.com/profile_banners/1481768214/1614005173</v>
      </c>
      <c r="AQ598" s="80" t="b">
        <v>1</v>
      </c>
      <c r="AR598" s="80" t="b">
        <v>0</v>
      </c>
      <c r="AS598" s="80" t="b">
        <v>1</v>
      </c>
      <c r="AT598" s="80"/>
      <c r="AU598" s="80">
        <v>0</v>
      </c>
      <c r="AV598" s="87" t="str">
        <f>HYPERLINK("https://abs.twimg.com/images/themes/theme1/bg.png")</f>
        <v>https://abs.twimg.com/images/themes/theme1/bg.png</v>
      </c>
      <c r="AW598" s="80" t="b">
        <v>0</v>
      </c>
      <c r="AX598" s="80" t="s">
        <v>10746</v>
      </c>
      <c r="AY598" s="87" t="str">
        <f>HYPERLINK("https://twitter.com/ayraayrong")</f>
        <v>https://twitter.com/ayraayrong</v>
      </c>
      <c r="AZ598" s="80" t="s">
        <v>66</v>
      </c>
      <c r="BA598" s="2"/>
      <c r="BB598" s="3"/>
      <c r="BC598" s="3"/>
      <c r="BD598" s="3"/>
      <c r="BE598" s="3"/>
    </row>
    <row r="599" spans="1:57" x14ac:dyDescent="0.35">
      <c r="A599" s="66" t="s">
        <v>1375</v>
      </c>
      <c r="B599" s="67"/>
      <c r="C599" s="67"/>
      <c r="D599" s="68"/>
      <c r="E599" s="70"/>
      <c r="F599" s="109" t="str">
        <f>HYPERLINK("https://pbs.twimg.com/profile_images/1422902722257248259/DGIKPTt8_normal.jpg")</f>
        <v>https://pbs.twimg.com/profile_images/1422902722257248259/DGIKPTt8_normal.jpg</v>
      </c>
      <c r="G599" s="67"/>
      <c r="H599" s="71"/>
      <c r="I599" s="72"/>
      <c r="J599" s="72"/>
      <c r="K599" s="71" t="s">
        <v>11342</v>
      </c>
      <c r="L599" s="75"/>
      <c r="M599" s="76"/>
      <c r="N599" s="76"/>
      <c r="O599" s="77"/>
      <c r="P599" s="78"/>
      <c r="Q599" s="78"/>
      <c r="R599" s="92"/>
      <c r="S599" s="92"/>
      <c r="T599" s="92"/>
      <c r="U599" s="92"/>
      <c r="V599" s="52"/>
      <c r="W599" s="52"/>
      <c r="X599" s="52"/>
      <c r="Y599" s="52"/>
      <c r="Z599" s="51"/>
      <c r="AA599" s="73"/>
      <c r="AB599" s="73"/>
      <c r="AC599" s="74"/>
      <c r="AD599" s="80" t="s">
        <v>7176</v>
      </c>
      <c r="AE599" s="85" t="s">
        <v>6336</v>
      </c>
      <c r="AF599" s="80">
        <v>5345</v>
      </c>
      <c r="AG599" s="80">
        <v>20918</v>
      </c>
      <c r="AH599" s="80">
        <v>235491</v>
      </c>
      <c r="AI599" s="80">
        <v>349</v>
      </c>
      <c r="AJ599" s="80"/>
      <c r="AK599" s="80" t="s">
        <v>9490</v>
      </c>
      <c r="AL599" s="80" t="s">
        <v>10417</v>
      </c>
      <c r="AM599" s="87" t="str">
        <f>HYPERLINK("https://t.co/9j0lkDIsg8")</f>
        <v>https://t.co/9j0lkDIsg8</v>
      </c>
      <c r="AN599" s="80"/>
      <c r="AO599" s="82">
        <v>41244.282754629632</v>
      </c>
      <c r="AP599" s="87" t="str">
        <f>HYPERLINK("https://pbs.twimg.com/profile_banners/981988393/1628081418")</f>
        <v>https://pbs.twimg.com/profile_banners/981988393/1628081418</v>
      </c>
      <c r="AQ599" s="80" t="b">
        <v>0</v>
      </c>
      <c r="AR599" s="80" t="b">
        <v>0</v>
      </c>
      <c r="AS599" s="80" t="b">
        <v>1</v>
      </c>
      <c r="AT599" s="80"/>
      <c r="AU599" s="80">
        <v>149</v>
      </c>
      <c r="AV599" s="87" t="str">
        <f>HYPERLINK("https://abs.twimg.com/images/themes/theme1/bg.png")</f>
        <v>https://abs.twimg.com/images/themes/theme1/bg.png</v>
      </c>
      <c r="AW599" s="80" t="b">
        <v>0</v>
      </c>
      <c r="AX599" s="80" t="s">
        <v>10746</v>
      </c>
      <c r="AY599" s="87" t="str">
        <f>HYPERLINK("https://twitter.com/banjarbase")</f>
        <v>https://twitter.com/banjarbase</v>
      </c>
      <c r="AZ599" s="80" t="s">
        <v>65</v>
      </c>
      <c r="BA599" s="2"/>
      <c r="BB599" s="3"/>
      <c r="BC599" s="3"/>
      <c r="BD599" s="3"/>
      <c r="BE599" s="3"/>
    </row>
    <row r="600" spans="1:57" x14ac:dyDescent="0.35">
      <c r="A600" s="66" t="s">
        <v>698</v>
      </c>
      <c r="B600" s="67"/>
      <c r="C600" s="67"/>
      <c r="D600" s="68"/>
      <c r="E600" s="70"/>
      <c r="F600" s="109" t="str">
        <f>HYPERLINK("https://pbs.twimg.com/profile_images/1442482588510081031/ab6oSVh6_normal.jpg")</f>
        <v>https://pbs.twimg.com/profile_images/1442482588510081031/ab6oSVh6_normal.jpg</v>
      </c>
      <c r="G600" s="67"/>
      <c r="H600" s="71"/>
      <c r="I600" s="72"/>
      <c r="J600" s="72"/>
      <c r="K600" s="71" t="s">
        <v>11343</v>
      </c>
      <c r="L600" s="75"/>
      <c r="M600" s="76"/>
      <c r="N600" s="76"/>
      <c r="O600" s="77"/>
      <c r="P600" s="78"/>
      <c r="Q600" s="78"/>
      <c r="R600" s="92"/>
      <c r="S600" s="92"/>
      <c r="T600" s="92"/>
      <c r="U600" s="92"/>
      <c r="V600" s="52"/>
      <c r="W600" s="52"/>
      <c r="X600" s="52"/>
      <c r="Y600" s="52"/>
      <c r="Z600" s="51"/>
      <c r="AA600" s="73"/>
      <c r="AB600" s="73"/>
      <c r="AC600" s="74"/>
      <c r="AD600" s="80" t="s">
        <v>7177</v>
      </c>
      <c r="AE600" s="85" t="s">
        <v>8371</v>
      </c>
      <c r="AF600" s="80">
        <v>321</v>
      </c>
      <c r="AG600" s="80">
        <v>965</v>
      </c>
      <c r="AH600" s="80">
        <v>112178</v>
      </c>
      <c r="AI600" s="80">
        <v>981</v>
      </c>
      <c r="AJ600" s="80"/>
      <c r="AK600" s="80" t="s">
        <v>9491</v>
      </c>
      <c r="AL600" s="80" t="s">
        <v>10418</v>
      </c>
      <c r="AM600" s="87" t="str">
        <f>HYPERLINK("https://t.co/GauZLPDxXr")</f>
        <v>https://t.co/GauZLPDxXr</v>
      </c>
      <c r="AN600" s="80"/>
      <c r="AO600" s="82">
        <v>40192.291608796295</v>
      </c>
      <c r="AP600" s="87" t="str">
        <f>HYPERLINK("https://pbs.twimg.com/profile_banners/104738527/1618932906")</f>
        <v>https://pbs.twimg.com/profile_banners/104738527/1618932906</v>
      </c>
      <c r="AQ600" s="80" t="b">
        <v>0</v>
      </c>
      <c r="AR600" s="80" t="b">
        <v>0</v>
      </c>
      <c r="AS600" s="80" t="b">
        <v>1</v>
      </c>
      <c r="AT600" s="80"/>
      <c r="AU600" s="80">
        <v>6</v>
      </c>
      <c r="AV600" s="87" t="str">
        <f>HYPERLINK("https://abs.twimg.com/images/themes/theme1/bg.png")</f>
        <v>https://abs.twimg.com/images/themes/theme1/bg.png</v>
      </c>
      <c r="AW600" s="80" t="b">
        <v>0</v>
      </c>
      <c r="AX600" s="80" t="s">
        <v>10746</v>
      </c>
      <c r="AY600" s="87" t="str">
        <f>HYPERLINK("https://twitter.com/areizaldy")</f>
        <v>https://twitter.com/areizaldy</v>
      </c>
      <c r="AZ600" s="80" t="s">
        <v>66</v>
      </c>
      <c r="BA600" s="2"/>
      <c r="BB600" s="3"/>
      <c r="BC600" s="3"/>
      <c r="BD600" s="3"/>
      <c r="BE600" s="3"/>
    </row>
    <row r="601" spans="1:57" x14ac:dyDescent="0.35">
      <c r="A601" s="66" t="s">
        <v>699</v>
      </c>
      <c r="B601" s="67"/>
      <c r="C601" s="67"/>
      <c r="D601" s="68"/>
      <c r="E601" s="70"/>
      <c r="F601" s="109" t="str">
        <f>HYPERLINK("https://pbs.twimg.com/profile_images/1426934720076546062/K57ohcQp_normal.jpg")</f>
        <v>https://pbs.twimg.com/profile_images/1426934720076546062/K57ohcQp_normal.jpg</v>
      </c>
      <c r="G601" s="67"/>
      <c r="H601" s="71"/>
      <c r="I601" s="72"/>
      <c r="J601" s="72"/>
      <c r="K601" s="71" t="s">
        <v>11344</v>
      </c>
      <c r="L601" s="75"/>
      <c r="M601" s="76"/>
      <c r="N601" s="76"/>
      <c r="O601" s="77"/>
      <c r="P601" s="78"/>
      <c r="Q601" s="78"/>
      <c r="R601" s="92"/>
      <c r="S601" s="92"/>
      <c r="T601" s="92"/>
      <c r="U601" s="92"/>
      <c r="V601" s="52"/>
      <c r="W601" s="52"/>
      <c r="X601" s="52"/>
      <c r="Y601" s="52"/>
      <c r="Z601" s="51"/>
      <c r="AA601" s="73"/>
      <c r="AB601" s="73"/>
      <c r="AC601" s="74"/>
      <c r="AD601" s="80" t="s">
        <v>7178</v>
      </c>
      <c r="AE601" s="85" t="s">
        <v>8372</v>
      </c>
      <c r="AF601" s="80">
        <v>1121</v>
      </c>
      <c r="AG601" s="80">
        <v>448</v>
      </c>
      <c r="AH601" s="80">
        <v>40633</v>
      </c>
      <c r="AI601" s="80">
        <v>36248</v>
      </c>
      <c r="AJ601" s="80"/>
      <c r="AK601" s="80" t="s">
        <v>9492</v>
      </c>
      <c r="AL601" s="80" t="s">
        <v>10419</v>
      </c>
      <c r="AM601" s="87" t="str">
        <f>HYPERLINK("https://t.co/CnFsJwxDxm")</f>
        <v>https://t.co/CnFsJwxDxm</v>
      </c>
      <c r="AN601" s="80"/>
      <c r="AO601" s="82">
        <v>40563.606527777774</v>
      </c>
      <c r="AP601" s="87" t="str">
        <f>HYPERLINK("https://pbs.twimg.com/profile_banners/240693553/1625828028")</f>
        <v>https://pbs.twimg.com/profile_banners/240693553/1625828028</v>
      </c>
      <c r="AQ601" s="80" t="b">
        <v>0</v>
      </c>
      <c r="AR601" s="80" t="b">
        <v>0</v>
      </c>
      <c r="AS601" s="80" t="b">
        <v>1</v>
      </c>
      <c r="AT601" s="80"/>
      <c r="AU601" s="80">
        <v>5</v>
      </c>
      <c r="AV601" s="87" t="str">
        <f>HYPERLINK("https://abs.twimg.com/images/themes/theme1/bg.png")</f>
        <v>https://abs.twimg.com/images/themes/theme1/bg.png</v>
      </c>
      <c r="AW601" s="80" t="b">
        <v>0</v>
      </c>
      <c r="AX601" s="80" t="s">
        <v>10746</v>
      </c>
      <c r="AY601" s="87" t="str">
        <f>HYPERLINK("https://twitter.com/zkrhm")</f>
        <v>https://twitter.com/zkrhm</v>
      </c>
      <c r="AZ601" s="80" t="s">
        <v>66</v>
      </c>
      <c r="BA601" s="2"/>
      <c r="BB601" s="3"/>
      <c r="BC601" s="3"/>
      <c r="BD601" s="3"/>
      <c r="BE601" s="3"/>
    </row>
    <row r="602" spans="1:57" x14ac:dyDescent="0.35">
      <c r="A602" s="66" t="s">
        <v>700</v>
      </c>
      <c r="B602" s="67"/>
      <c r="C602" s="67"/>
      <c r="D602" s="68"/>
      <c r="E602" s="70"/>
      <c r="F602" s="109" t="str">
        <f>HYPERLINK("https://pbs.twimg.com/profile_images/378800000068594766/06f5923c46f755b5e87f2d7db79d0f7a_normal.jpeg")</f>
        <v>https://pbs.twimg.com/profile_images/378800000068594766/06f5923c46f755b5e87f2d7db79d0f7a_normal.jpeg</v>
      </c>
      <c r="G602" s="67"/>
      <c r="H602" s="71"/>
      <c r="I602" s="72"/>
      <c r="J602" s="72"/>
      <c r="K602" s="71" t="s">
        <v>11345</v>
      </c>
      <c r="L602" s="75"/>
      <c r="M602" s="76"/>
      <c r="N602" s="76"/>
      <c r="O602" s="77"/>
      <c r="P602" s="78"/>
      <c r="Q602" s="78"/>
      <c r="R602" s="92"/>
      <c r="S602" s="92"/>
      <c r="T602" s="92"/>
      <c r="U602" s="92"/>
      <c r="V602" s="52"/>
      <c r="W602" s="52"/>
      <c r="X602" s="52"/>
      <c r="Y602" s="52"/>
      <c r="Z602" s="51"/>
      <c r="AA602" s="73"/>
      <c r="AB602" s="73"/>
      <c r="AC602" s="74"/>
      <c r="AD602" s="80" t="s">
        <v>7179</v>
      </c>
      <c r="AE602" s="85" t="s">
        <v>8373</v>
      </c>
      <c r="AF602" s="80">
        <v>37</v>
      </c>
      <c r="AG602" s="80">
        <v>31</v>
      </c>
      <c r="AH602" s="80">
        <v>480</v>
      </c>
      <c r="AI602" s="80">
        <v>7</v>
      </c>
      <c r="AJ602" s="80"/>
      <c r="AK602" s="80" t="s">
        <v>9493</v>
      </c>
      <c r="AL602" s="80" t="s">
        <v>10420</v>
      </c>
      <c r="AM602" s="80"/>
      <c r="AN602" s="80"/>
      <c r="AO602" s="82">
        <v>40709.134618055556</v>
      </c>
      <c r="AP602" s="87" t="str">
        <f>HYPERLINK("https://pbs.twimg.com/profile_banners/317554050/1609596212")</f>
        <v>https://pbs.twimg.com/profile_banners/317554050/1609596212</v>
      </c>
      <c r="AQ602" s="80" t="b">
        <v>1</v>
      </c>
      <c r="AR602" s="80" t="b">
        <v>0</v>
      </c>
      <c r="AS602" s="80" t="b">
        <v>0</v>
      </c>
      <c r="AT602" s="80"/>
      <c r="AU602" s="80">
        <v>0</v>
      </c>
      <c r="AV602" s="87" t="str">
        <f>HYPERLINK("https://abs.twimg.com/images/themes/theme1/bg.png")</f>
        <v>https://abs.twimg.com/images/themes/theme1/bg.png</v>
      </c>
      <c r="AW602" s="80" t="b">
        <v>0</v>
      </c>
      <c r="AX602" s="80" t="s">
        <v>10746</v>
      </c>
      <c r="AY602" s="87" t="str">
        <f>HYPERLINK("https://twitter.com/abdullah_s3eed_")</f>
        <v>https://twitter.com/abdullah_s3eed_</v>
      </c>
      <c r="AZ602" s="80" t="s">
        <v>66</v>
      </c>
      <c r="BA602" s="2"/>
      <c r="BB602" s="3"/>
      <c r="BC602" s="3"/>
      <c r="BD602" s="3"/>
      <c r="BE602" s="3"/>
    </row>
    <row r="603" spans="1:57" x14ac:dyDescent="0.35">
      <c r="A603" s="66" t="s">
        <v>701</v>
      </c>
      <c r="B603" s="67"/>
      <c r="C603" s="67"/>
      <c r="D603" s="68"/>
      <c r="E603" s="70"/>
      <c r="F603" s="109" t="str">
        <f>HYPERLINK("https://pbs.twimg.com/profile_images/552538750098501632/zK2ipLwC_normal.jpeg")</f>
        <v>https://pbs.twimg.com/profile_images/552538750098501632/zK2ipLwC_normal.jpeg</v>
      </c>
      <c r="G603" s="67"/>
      <c r="H603" s="71"/>
      <c r="I603" s="72"/>
      <c r="J603" s="72"/>
      <c r="K603" s="71" t="s">
        <v>11346</v>
      </c>
      <c r="L603" s="75"/>
      <c r="M603" s="76"/>
      <c r="N603" s="76"/>
      <c r="O603" s="77"/>
      <c r="P603" s="78"/>
      <c r="Q603" s="78"/>
      <c r="R603" s="92"/>
      <c r="S603" s="92"/>
      <c r="T603" s="92"/>
      <c r="U603" s="92"/>
      <c r="V603" s="52"/>
      <c r="W603" s="52"/>
      <c r="X603" s="52"/>
      <c r="Y603" s="52"/>
      <c r="Z603" s="51"/>
      <c r="AA603" s="73"/>
      <c r="AB603" s="73"/>
      <c r="AC603" s="74"/>
      <c r="AD603" s="80" t="s">
        <v>7180</v>
      </c>
      <c r="AE603" s="85" t="s">
        <v>8374</v>
      </c>
      <c r="AF603" s="80">
        <v>286</v>
      </c>
      <c r="AG603" s="80">
        <v>344</v>
      </c>
      <c r="AH603" s="80">
        <v>34464</v>
      </c>
      <c r="AI603" s="80">
        <v>30</v>
      </c>
      <c r="AJ603" s="80"/>
      <c r="AK603" s="80" t="s">
        <v>9494</v>
      </c>
      <c r="AL603" s="80"/>
      <c r="AM603" s="80"/>
      <c r="AN603" s="80"/>
      <c r="AO603" s="82">
        <v>40524.198287037034</v>
      </c>
      <c r="AP603" s="87" t="str">
        <f>HYPERLINK("https://pbs.twimg.com/profile_banners/225671838/1408807049")</f>
        <v>https://pbs.twimg.com/profile_banners/225671838/1408807049</v>
      </c>
      <c r="AQ603" s="80" t="b">
        <v>0</v>
      </c>
      <c r="AR603" s="80" t="b">
        <v>0</v>
      </c>
      <c r="AS603" s="80" t="b">
        <v>0</v>
      </c>
      <c r="AT603" s="80"/>
      <c r="AU603" s="80">
        <v>2</v>
      </c>
      <c r="AV603" s="87" t="str">
        <f>HYPERLINK("https://abs.twimg.com/images/themes/theme9/bg.gif")</f>
        <v>https://abs.twimg.com/images/themes/theme9/bg.gif</v>
      </c>
      <c r="AW603" s="80" t="b">
        <v>0</v>
      </c>
      <c r="AX603" s="80" t="s">
        <v>10746</v>
      </c>
      <c r="AY603" s="87" t="str">
        <f>HYPERLINK("https://twitter.com/kuyaaglaya")</f>
        <v>https://twitter.com/kuyaaglaya</v>
      </c>
      <c r="AZ603" s="80" t="s">
        <v>66</v>
      </c>
      <c r="BA603" s="2"/>
      <c r="BB603" s="3"/>
      <c r="BC603" s="3"/>
      <c r="BD603" s="3"/>
      <c r="BE603" s="3"/>
    </row>
    <row r="604" spans="1:57" x14ac:dyDescent="0.35">
      <c r="A604" s="66" t="s">
        <v>702</v>
      </c>
      <c r="B604" s="67"/>
      <c r="C604" s="67"/>
      <c r="D604" s="68"/>
      <c r="E604" s="70"/>
      <c r="F604" s="109" t="str">
        <f>HYPERLINK("https://pbs.twimg.com/profile_images/1438085096569901058/xMxKofZ7_normal.jpg")</f>
        <v>https://pbs.twimg.com/profile_images/1438085096569901058/xMxKofZ7_normal.jpg</v>
      </c>
      <c r="G604" s="67"/>
      <c r="H604" s="71"/>
      <c r="I604" s="72"/>
      <c r="J604" s="72"/>
      <c r="K604" s="71" t="s">
        <v>11347</v>
      </c>
      <c r="L604" s="75"/>
      <c r="M604" s="76"/>
      <c r="N604" s="76"/>
      <c r="O604" s="77"/>
      <c r="P604" s="78"/>
      <c r="Q604" s="78"/>
      <c r="R604" s="92"/>
      <c r="S604" s="92"/>
      <c r="T604" s="92"/>
      <c r="U604" s="92"/>
      <c r="V604" s="52"/>
      <c r="W604" s="52"/>
      <c r="X604" s="52"/>
      <c r="Y604" s="52"/>
      <c r="Z604" s="51"/>
      <c r="AA604" s="73"/>
      <c r="AB604" s="73"/>
      <c r="AC604" s="74"/>
      <c r="AD604" s="80" t="s">
        <v>7181</v>
      </c>
      <c r="AE604" s="85" t="s">
        <v>8375</v>
      </c>
      <c r="AF604" s="80">
        <v>108</v>
      </c>
      <c r="AG604" s="80">
        <v>25099</v>
      </c>
      <c r="AH604" s="80">
        <v>13292</v>
      </c>
      <c r="AI604" s="80">
        <v>33291</v>
      </c>
      <c r="AJ604" s="80"/>
      <c r="AK604" s="80" t="s">
        <v>9495</v>
      </c>
      <c r="AL604" s="80" t="s">
        <v>6543</v>
      </c>
      <c r="AM604" s="87" t="str">
        <f>HYPERLINK("https://t.co/dkbW7qi9Qi")</f>
        <v>https://t.co/dkbW7qi9Qi</v>
      </c>
      <c r="AN604" s="80"/>
      <c r="AO604" s="82">
        <v>44019.240208333336</v>
      </c>
      <c r="AP604" s="87" t="str">
        <f>HYPERLINK("https://pbs.twimg.com/profile_banners/1280377426598490112/1631700197")</f>
        <v>https://pbs.twimg.com/profile_banners/1280377426598490112/1631700197</v>
      </c>
      <c r="AQ604" s="80" t="b">
        <v>1</v>
      </c>
      <c r="AR604" s="80" t="b">
        <v>0</v>
      </c>
      <c r="AS604" s="80" t="b">
        <v>0</v>
      </c>
      <c r="AT604" s="80"/>
      <c r="AU604" s="80">
        <v>337</v>
      </c>
      <c r="AV604" s="80"/>
      <c r="AW604" s="80" t="b">
        <v>0</v>
      </c>
      <c r="AX604" s="80" t="s">
        <v>10746</v>
      </c>
      <c r="AY604" s="87" t="str">
        <f>HYPERLINK("https://twitter.com/btstreamingid")</f>
        <v>https://twitter.com/btstreamingid</v>
      </c>
      <c r="AZ604" s="80" t="s">
        <v>66</v>
      </c>
      <c r="BA604" s="2"/>
      <c r="BB604" s="3"/>
      <c r="BC604" s="3"/>
      <c r="BD604" s="3"/>
      <c r="BE604" s="3"/>
    </row>
    <row r="605" spans="1:57" x14ac:dyDescent="0.35">
      <c r="A605" s="66" t="s">
        <v>1376</v>
      </c>
      <c r="B605" s="67"/>
      <c r="C605" s="67"/>
      <c r="D605" s="68"/>
      <c r="E605" s="70"/>
      <c r="F605" s="109" t="str">
        <f>HYPERLINK("https://pbs.twimg.com/profile_images/1392417773565870080/xX0RjcJU_normal.jpg")</f>
        <v>https://pbs.twimg.com/profile_images/1392417773565870080/xX0RjcJU_normal.jpg</v>
      </c>
      <c r="G605" s="67"/>
      <c r="H605" s="71"/>
      <c r="I605" s="72"/>
      <c r="J605" s="72"/>
      <c r="K605" s="71" t="s">
        <v>11348</v>
      </c>
      <c r="L605" s="75"/>
      <c r="M605" s="76"/>
      <c r="N605" s="76"/>
      <c r="O605" s="77"/>
      <c r="P605" s="78"/>
      <c r="Q605" s="78"/>
      <c r="R605" s="92"/>
      <c r="S605" s="92"/>
      <c r="T605" s="92"/>
      <c r="U605" s="92"/>
      <c r="V605" s="52"/>
      <c r="W605" s="52"/>
      <c r="X605" s="52"/>
      <c r="Y605" s="52"/>
      <c r="Z605" s="51"/>
      <c r="AA605" s="73"/>
      <c r="AB605" s="73"/>
      <c r="AC605" s="74"/>
      <c r="AD605" s="80" t="s">
        <v>7182</v>
      </c>
      <c r="AE605" s="85" t="s">
        <v>8376</v>
      </c>
      <c r="AF605" s="80">
        <v>101</v>
      </c>
      <c r="AG605" s="80">
        <v>6460</v>
      </c>
      <c r="AH605" s="80">
        <v>12051</v>
      </c>
      <c r="AI605" s="80">
        <v>4927</v>
      </c>
      <c r="AJ605" s="80"/>
      <c r="AK605" s="80" t="s">
        <v>9496</v>
      </c>
      <c r="AL605" s="80" t="s">
        <v>10421</v>
      </c>
      <c r="AM605" s="87" t="str">
        <f>HYPERLINK("https://t.co/Fngtd1KDb5")</f>
        <v>https://t.co/Fngtd1KDb5</v>
      </c>
      <c r="AN605" s="80"/>
      <c r="AO605" s="82">
        <v>41013.123530092591</v>
      </c>
      <c r="AP605" s="87" t="str">
        <f>HYPERLINK("https://pbs.twimg.com/profile_banners/553195963/1400976161")</f>
        <v>https://pbs.twimg.com/profile_banners/553195963/1400976161</v>
      </c>
      <c r="AQ605" s="80" t="b">
        <v>0</v>
      </c>
      <c r="AR605" s="80" t="b">
        <v>0</v>
      </c>
      <c r="AS605" s="80" t="b">
        <v>1</v>
      </c>
      <c r="AT605" s="80"/>
      <c r="AU605" s="80">
        <v>10</v>
      </c>
      <c r="AV605" s="87" t="str">
        <f>HYPERLINK("https://abs.twimg.com/images/themes/theme1/bg.png")</f>
        <v>https://abs.twimg.com/images/themes/theme1/bg.png</v>
      </c>
      <c r="AW605" s="80" t="b">
        <v>0</v>
      </c>
      <c r="AX605" s="80" t="s">
        <v>10746</v>
      </c>
      <c r="AY605" s="87" t="str">
        <f>HYPERLINK("https://twitter.com/idwantscoldplay")</f>
        <v>https://twitter.com/idwantscoldplay</v>
      </c>
      <c r="AZ605" s="80" t="s">
        <v>65</v>
      </c>
      <c r="BA605" s="2"/>
      <c r="BB605" s="3"/>
      <c r="BC605" s="3"/>
      <c r="BD605" s="3"/>
      <c r="BE605" s="3"/>
    </row>
    <row r="606" spans="1:57" x14ac:dyDescent="0.35">
      <c r="A606" s="66" t="s">
        <v>703</v>
      </c>
      <c r="B606" s="67"/>
      <c r="C606" s="67"/>
      <c r="D606" s="68"/>
      <c r="E606" s="70"/>
      <c r="F606" s="109" t="str">
        <f>HYPERLINK("https://pbs.twimg.com/profile_images/1437620706737414154/Dey8EhJs_normal.jpg")</f>
        <v>https://pbs.twimg.com/profile_images/1437620706737414154/Dey8EhJs_normal.jpg</v>
      </c>
      <c r="G606" s="67"/>
      <c r="H606" s="71"/>
      <c r="I606" s="72"/>
      <c r="J606" s="72"/>
      <c r="K606" s="71" t="s">
        <v>11349</v>
      </c>
      <c r="L606" s="75"/>
      <c r="M606" s="76"/>
      <c r="N606" s="76"/>
      <c r="O606" s="77"/>
      <c r="P606" s="78"/>
      <c r="Q606" s="78"/>
      <c r="R606" s="92"/>
      <c r="S606" s="92"/>
      <c r="T606" s="92"/>
      <c r="U606" s="92"/>
      <c r="V606" s="52"/>
      <c r="W606" s="52"/>
      <c r="X606" s="52"/>
      <c r="Y606" s="52"/>
      <c r="Z606" s="51"/>
      <c r="AA606" s="73"/>
      <c r="AB606" s="73"/>
      <c r="AC606" s="74"/>
      <c r="AD606" s="80" t="s">
        <v>7183</v>
      </c>
      <c r="AE606" s="85" t="s">
        <v>8377</v>
      </c>
      <c r="AF606" s="80">
        <v>95</v>
      </c>
      <c r="AG606" s="80">
        <v>11174</v>
      </c>
      <c r="AH606" s="80">
        <v>22414</v>
      </c>
      <c r="AI606" s="80">
        <v>50855</v>
      </c>
      <c r="AJ606" s="80"/>
      <c r="AK606" s="80" t="s">
        <v>9497</v>
      </c>
      <c r="AL606" s="80" t="s">
        <v>10422</v>
      </c>
      <c r="AM606" s="87" t="str">
        <f>HYPERLINK("https://t.co/GMYgjj6Fmo")</f>
        <v>https://t.co/GMYgjj6Fmo</v>
      </c>
      <c r="AN606" s="80"/>
      <c r="AO606" s="82">
        <v>43847.526539351849</v>
      </c>
      <c r="AP606" s="87" t="str">
        <f>HYPERLINK("https://pbs.twimg.com/profile_banners/1218150274734231554/1631590536")</f>
        <v>https://pbs.twimg.com/profile_banners/1218150274734231554/1631590536</v>
      </c>
      <c r="AQ606" s="80" t="b">
        <v>1</v>
      </c>
      <c r="AR606" s="80" t="b">
        <v>0</v>
      </c>
      <c r="AS606" s="80" t="b">
        <v>0</v>
      </c>
      <c r="AT606" s="80"/>
      <c r="AU606" s="80">
        <v>134</v>
      </c>
      <c r="AV606" s="80"/>
      <c r="AW606" s="80" t="b">
        <v>0</v>
      </c>
      <c r="AX606" s="80" t="s">
        <v>10746</v>
      </c>
      <c r="AY606" s="87" t="str">
        <f>HYPERLINK("https://twitter.com/jhope_indonesia")</f>
        <v>https://twitter.com/jhope_indonesia</v>
      </c>
      <c r="AZ606" s="80" t="s">
        <v>66</v>
      </c>
      <c r="BA606" s="2"/>
      <c r="BB606" s="3"/>
      <c r="BC606" s="3"/>
      <c r="BD606" s="3"/>
      <c r="BE606" s="3"/>
    </row>
    <row r="607" spans="1:57" x14ac:dyDescent="0.35">
      <c r="A607" s="66" t="s">
        <v>704</v>
      </c>
      <c r="B607" s="67"/>
      <c r="C607" s="67"/>
      <c r="D607" s="68"/>
      <c r="E607" s="70"/>
      <c r="F607" s="109" t="str">
        <f>HYPERLINK("https://pbs.twimg.com/profile_images/1431485031566897154/JqH9xZtg_normal.jpg")</f>
        <v>https://pbs.twimg.com/profile_images/1431485031566897154/JqH9xZtg_normal.jpg</v>
      </c>
      <c r="G607" s="67"/>
      <c r="H607" s="71"/>
      <c r="I607" s="72"/>
      <c r="J607" s="72"/>
      <c r="K607" s="71" t="s">
        <v>11350</v>
      </c>
      <c r="L607" s="75"/>
      <c r="M607" s="76"/>
      <c r="N607" s="76"/>
      <c r="O607" s="77"/>
      <c r="P607" s="78"/>
      <c r="Q607" s="78"/>
      <c r="R607" s="92"/>
      <c r="S607" s="92"/>
      <c r="T607" s="92"/>
      <c r="U607" s="92"/>
      <c r="V607" s="52"/>
      <c r="W607" s="52"/>
      <c r="X607" s="52"/>
      <c r="Y607" s="52"/>
      <c r="Z607" s="51"/>
      <c r="AA607" s="73"/>
      <c r="AB607" s="73"/>
      <c r="AC607" s="74"/>
      <c r="AD607" s="80" t="s">
        <v>7184</v>
      </c>
      <c r="AE607" s="85" t="s">
        <v>8378</v>
      </c>
      <c r="AF607" s="80">
        <v>375</v>
      </c>
      <c r="AG607" s="80">
        <v>172</v>
      </c>
      <c r="AH607" s="80">
        <v>5924</v>
      </c>
      <c r="AI607" s="80">
        <v>9793</v>
      </c>
      <c r="AJ607" s="80"/>
      <c r="AK607" s="80" t="s">
        <v>9498</v>
      </c>
      <c r="AL607" s="80"/>
      <c r="AM607" s="80"/>
      <c r="AN607" s="80"/>
      <c r="AO607" s="82">
        <v>44331.090879629628</v>
      </c>
      <c r="AP607" s="87" t="str">
        <f>HYPERLINK("https://pbs.twimg.com/profile_banners/1393388324753088512/1630127603")</f>
        <v>https://pbs.twimg.com/profile_banners/1393388324753088512/1630127603</v>
      </c>
      <c r="AQ607" s="80" t="b">
        <v>1</v>
      </c>
      <c r="AR607" s="80" t="b">
        <v>0</v>
      </c>
      <c r="AS607" s="80" t="b">
        <v>0</v>
      </c>
      <c r="AT607" s="80"/>
      <c r="AU607" s="80">
        <v>0</v>
      </c>
      <c r="AV607" s="80"/>
      <c r="AW607" s="80" t="b">
        <v>0</v>
      </c>
      <c r="AX607" s="80" t="s">
        <v>10746</v>
      </c>
      <c r="AY607" s="87" t="str">
        <f>HYPERLINK("https://twitter.com/dvisyyy_")</f>
        <v>https://twitter.com/dvisyyy_</v>
      </c>
      <c r="AZ607" s="80" t="s">
        <v>66</v>
      </c>
      <c r="BA607" s="2"/>
      <c r="BB607" s="3"/>
      <c r="BC607" s="3"/>
      <c r="BD607" s="3"/>
      <c r="BE607" s="3"/>
    </row>
    <row r="608" spans="1:57" x14ac:dyDescent="0.35">
      <c r="A608" s="66" t="s">
        <v>705</v>
      </c>
      <c r="B608" s="67"/>
      <c r="C608" s="67"/>
      <c r="D608" s="68"/>
      <c r="E608" s="70"/>
      <c r="F608" s="109" t="str">
        <f>HYPERLINK("https://pbs.twimg.com/profile_images/1431860857953153024/eIcgD_f7_normal.jpg")</f>
        <v>https://pbs.twimg.com/profile_images/1431860857953153024/eIcgD_f7_normal.jpg</v>
      </c>
      <c r="G608" s="67"/>
      <c r="H608" s="71"/>
      <c r="I608" s="72"/>
      <c r="J608" s="72"/>
      <c r="K608" s="71" t="s">
        <v>11351</v>
      </c>
      <c r="L608" s="75"/>
      <c r="M608" s="76"/>
      <c r="N608" s="76"/>
      <c r="O608" s="77"/>
      <c r="P608" s="78"/>
      <c r="Q608" s="78"/>
      <c r="R608" s="92"/>
      <c r="S608" s="92"/>
      <c r="T608" s="92"/>
      <c r="U608" s="92"/>
      <c r="V608" s="52"/>
      <c r="W608" s="52"/>
      <c r="X608" s="52"/>
      <c r="Y608" s="52"/>
      <c r="Z608" s="51"/>
      <c r="AA608" s="73"/>
      <c r="AB608" s="73"/>
      <c r="AC608" s="74"/>
      <c r="AD608" s="80" t="s">
        <v>7185</v>
      </c>
      <c r="AE608" s="85" t="s">
        <v>8379</v>
      </c>
      <c r="AF608" s="80">
        <v>1192</v>
      </c>
      <c r="AG608" s="80">
        <v>992</v>
      </c>
      <c r="AH608" s="80">
        <v>23088</v>
      </c>
      <c r="AI608" s="80">
        <v>36343</v>
      </c>
      <c r="AJ608" s="80"/>
      <c r="AK608" s="80" t="s">
        <v>9499</v>
      </c>
      <c r="AL608" s="80" t="s">
        <v>10423</v>
      </c>
      <c r="AM608" s="80"/>
      <c r="AN608" s="80"/>
      <c r="AO608" s="82">
        <v>42480.177268518521</v>
      </c>
      <c r="AP608" s="87" t="str">
        <f>HYPERLINK("https://pbs.twimg.com/profile_banners/722639745898176513/1630390949")</f>
        <v>https://pbs.twimg.com/profile_banners/722639745898176513/1630390949</v>
      </c>
      <c r="AQ608" s="80" t="b">
        <v>1</v>
      </c>
      <c r="AR608" s="80" t="b">
        <v>0</v>
      </c>
      <c r="AS608" s="80" t="b">
        <v>1</v>
      </c>
      <c r="AT608" s="80"/>
      <c r="AU608" s="80">
        <v>3</v>
      </c>
      <c r="AV608" s="80"/>
      <c r="AW608" s="80" t="b">
        <v>0</v>
      </c>
      <c r="AX608" s="80" t="s">
        <v>10746</v>
      </c>
      <c r="AY608" s="87" t="str">
        <f>HYPERLINK("https://twitter.com/rrenle00")</f>
        <v>https://twitter.com/rrenle00</v>
      </c>
      <c r="AZ608" s="80" t="s">
        <v>66</v>
      </c>
      <c r="BA608" s="2"/>
      <c r="BB608" s="3"/>
      <c r="BC608" s="3"/>
      <c r="BD608" s="3"/>
      <c r="BE608" s="3"/>
    </row>
    <row r="609" spans="1:57" x14ac:dyDescent="0.35">
      <c r="A609" s="66" t="s">
        <v>706</v>
      </c>
      <c r="B609" s="67"/>
      <c r="C609" s="67"/>
      <c r="D609" s="68"/>
      <c r="E609" s="70"/>
      <c r="F609" s="109" t="str">
        <f>HYPERLINK("https://pbs.twimg.com/profile_images/1123950360043905031/DB08dUFz_normal.jpg")</f>
        <v>https://pbs.twimg.com/profile_images/1123950360043905031/DB08dUFz_normal.jpg</v>
      </c>
      <c r="G609" s="67"/>
      <c r="H609" s="71"/>
      <c r="I609" s="72"/>
      <c r="J609" s="72"/>
      <c r="K609" s="71" t="s">
        <v>11352</v>
      </c>
      <c r="L609" s="75"/>
      <c r="M609" s="76"/>
      <c r="N609" s="76"/>
      <c r="O609" s="77"/>
      <c r="P609" s="78"/>
      <c r="Q609" s="78"/>
      <c r="R609" s="92"/>
      <c r="S609" s="92"/>
      <c r="T609" s="92"/>
      <c r="U609" s="92"/>
      <c r="V609" s="52"/>
      <c r="W609" s="52"/>
      <c r="X609" s="52"/>
      <c r="Y609" s="52"/>
      <c r="Z609" s="51"/>
      <c r="AA609" s="73"/>
      <c r="AB609" s="73"/>
      <c r="AC609" s="74"/>
      <c r="AD609" s="80" t="s">
        <v>7186</v>
      </c>
      <c r="AE609" s="85" t="s">
        <v>8380</v>
      </c>
      <c r="AF609" s="80">
        <v>491</v>
      </c>
      <c r="AG609" s="80">
        <v>1149</v>
      </c>
      <c r="AH609" s="80">
        <v>24224</v>
      </c>
      <c r="AI609" s="80">
        <v>2376</v>
      </c>
      <c r="AJ609" s="80"/>
      <c r="AK609" s="80" t="s">
        <v>9500</v>
      </c>
      <c r="AL609" s="80" t="s">
        <v>10152</v>
      </c>
      <c r="AM609" s="87" t="str">
        <f>HYPERLINK("https://t.co/DwwcY3HZHw")</f>
        <v>https://t.co/DwwcY3HZHw</v>
      </c>
      <c r="AN609" s="80"/>
      <c r="AO609" s="82">
        <v>39962.615752314814</v>
      </c>
      <c r="AP609" s="87" t="str">
        <f>HYPERLINK("https://pbs.twimg.com/profile_banners/43342264/1604902850")</f>
        <v>https://pbs.twimg.com/profile_banners/43342264/1604902850</v>
      </c>
      <c r="AQ609" s="80" t="b">
        <v>0</v>
      </c>
      <c r="AR609" s="80" t="b">
        <v>0</v>
      </c>
      <c r="AS609" s="80" t="b">
        <v>0</v>
      </c>
      <c r="AT609" s="80"/>
      <c r="AU609" s="80">
        <v>224</v>
      </c>
      <c r="AV609" s="87" t="str">
        <f>HYPERLINK("https://abs.twimg.com/images/themes/theme9/bg.gif")</f>
        <v>https://abs.twimg.com/images/themes/theme9/bg.gif</v>
      </c>
      <c r="AW609" s="80" t="b">
        <v>0</v>
      </c>
      <c r="AX609" s="80" t="s">
        <v>10746</v>
      </c>
      <c r="AY609" s="87" t="str">
        <f>HYPERLINK("https://twitter.com/kakayy")</f>
        <v>https://twitter.com/kakayy</v>
      </c>
      <c r="AZ609" s="80" t="s">
        <v>66</v>
      </c>
      <c r="BA609" s="2"/>
      <c r="BB609" s="3"/>
      <c r="BC609" s="3"/>
      <c r="BD609" s="3"/>
      <c r="BE609" s="3"/>
    </row>
    <row r="610" spans="1:57" x14ac:dyDescent="0.35">
      <c r="A610" s="66" t="s">
        <v>1377</v>
      </c>
      <c r="B610" s="67"/>
      <c r="C610" s="67"/>
      <c r="D610" s="68"/>
      <c r="E610" s="70"/>
      <c r="F610" s="109" t="str">
        <f>HYPERLINK("https://pbs.twimg.com/profile_images/1318910353938378752/OFa-ehrh_normal.jpg")</f>
        <v>https://pbs.twimg.com/profile_images/1318910353938378752/OFa-ehrh_normal.jpg</v>
      </c>
      <c r="G610" s="67"/>
      <c r="H610" s="71"/>
      <c r="I610" s="72"/>
      <c r="J610" s="72"/>
      <c r="K610" s="71" t="s">
        <v>11353</v>
      </c>
      <c r="L610" s="75"/>
      <c r="M610" s="76"/>
      <c r="N610" s="76"/>
      <c r="O610" s="77"/>
      <c r="P610" s="78"/>
      <c r="Q610" s="78"/>
      <c r="R610" s="92"/>
      <c r="S610" s="92"/>
      <c r="T610" s="92"/>
      <c r="U610" s="92"/>
      <c r="V610" s="52"/>
      <c r="W610" s="52"/>
      <c r="X610" s="52"/>
      <c r="Y610" s="52"/>
      <c r="Z610" s="51"/>
      <c r="AA610" s="73"/>
      <c r="AB610" s="73"/>
      <c r="AC610" s="74"/>
      <c r="AD610" s="80" t="s">
        <v>7187</v>
      </c>
      <c r="AE610" s="85" t="s">
        <v>8381</v>
      </c>
      <c r="AF610" s="80">
        <v>37</v>
      </c>
      <c r="AG610" s="80">
        <v>41910</v>
      </c>
      <c r="AH610" s="80">
        <v>9768</v>
      </c>
      <c r="AI610" s="80">
        <v>1631</v>
      </c>
      <c r="AJ610" s="80"/>
      <c r="AK610" s="80" t="s">
        <v>9501</v>
      </c>
      <c r="AL610" s="80" t="s">
        <v>10424</v>
      </c>
      <c r="AM610" s="87" t="str">
        <f>HYPERLINK("https://t.co/oTTtjSrwJ4")</f>
        <v>https://t.co/oTTtjSrwJ4</v>
      </c>
      <c r="AN610" s="80"/>
      <c r="AO610" s="82">
        <v>42542.306134259263</v>
      </c>
      <c r="AP610" s="87" t="str">
        <f>HYPERLINK("https://pbs.twimg.com/profile_banners/745154493818372102/1617770525")</f>
        <v>https://pbs.twimg.com/profile_banners/745154493818372102/1617770525</v>
      </c>
      <c r="AQ610" s="80" t="b">
        <v>0</v>
      </c>
      <c r="AR610" s="80" t="b">
        <v>0</v>
      </c>
      <c r="AS610" s="80" t="b">
        <v>0</v>
      </c>
      <c r="AT610" s="80"/>
      <c r="AU610" s="80">
        <v>411</v>
      </c>
      <c r="AV610" s="87" t="str">
        <f>HYPERLINK("https://abs.twimg.com/images/themes/theme1/bg.png")</f>
        <v>https://abs.twimg.com/images/themes/theme1/bg.png</v>
      </c>
      <c r="AW610" s="80" t="b">
        <v>1</v>
      </c>
      <c r="AX610" s="80" t="s">
        <v>10746</v>
      </c>
      <c r="AY610" s="87" t="str">
        <f>HYPERLINK("https://twitter.com/thekenweb")</f>
        <v>https://twitter.com/thekenweb</v>
      </c>
      <c r="AZ610" s="80" t="s">
        <v>65</v>
      </c>
      <c r="BA610" s="2"/>
      <c r="BB610" s="3"/>
      <c r="BC610" s="3"/>
      <c r="BD610" s="3"/>
      <c r="BE610" s="3"/>
    </row>
    <row r="611" spans="1:57" x14ac:dyDescent="0.35">
      <c r="A611" s="66" t="s">
        <v>707</v>
      </c>
      <c r="B611" s="67"/>
      <c r="C611" s="67"/>
      <c r="D611" s="68"/>
      <c r="E611" s="70"/>
      <c r="F611" s="109" t="str">
        <f>HYPERLINK("https://pbs.twimg.com/profile_images/794545496576536576/6b4UeCSt_normal.jpg")</f>
        <v>https://pbs.twimg.com/profile_images/794545496576536576/6b4UeCSt_normal.jpg</v>
      </c>
      <c r="G611" s="67"/>
      <c r="H611" s="71"/>
      <c r="I611" s="72"/>
      <c r="J611" s="72"/>
      <c r="K611" s="71" t="s">
        <v>11354</v>
      </c>
      <c r="L611" s="75"/>
      <c r="M611" s="76"/>
      <c r="N611" s="76"/>
      <c r="O611" s="77"/>
      <c r="P611" s="78"/>
      <c r="Q611" s="78"/>
      <c r="R611" s="92"/>
      <c r="S611" s="92"/>
      <c r="T611" s="92"/>
      <c r="U611" s="92"/>
      <c r="V611" s="52"/>
      <c r="W611" s="52"/>
      <c r="X611" s="52"/>
      <c r="Y611" s="52"/>
      <c r="Z611" s="51"/>
      <c r="AA611" s="73"/>
      <c r="AB611" s="73"/>
      <c r="AC611" s="74"/>
      <c r="AD611" s="80" t="s">
        <v>7188</v>
      </c>
      <c r="AE611" s="85" t="s">
        <v>8382</v>
      </c>
      <c r="AF611" s="80">
        <v>2053</v>
      </c>
      <c r="AG611" s="80">
        <v>30372</v>
      </c>
      <c r="AH611" s="80">
        <v>89273</v>
      </c>
      <c r="AI611" s="80">
        <v>40151</v>
      </c>
      <c r="AJ611" s="80"/>
      <c r="AK611" s="80" t="s">
        <v>9502</v>
      </c>
      <c r="AL611" s="80" t="s">
        <v>10425</v>
      </c>
      <c r="AM611" s="87" t="str">
        <f>HYPERLINK("https://t.co/3casJOoWGl")</f>
        <v>https://t.co/3casJOoWGl</v>
      </c>
      <c r="AN611" s="80"/>
      <c r="AO611" s="82">
        <v>39220.369710648149</v>
      </c>
      <c r="AP611" s="87" t="str">
        <f>HYPERLINK("https://pbs.twimg.com/profile_banners/6132422/1598956449")</f>
        <v>https://pbs.twimg.com/profile_banners/6132422/1598956449</v>
      </c>
      <c r="AQ611" s="80" t="b">
        <v>0</v>
      </c>
      <c r="AR611" s="80" t="b">
        <v>0</v>
      </c>
      <c r="AS611" s="80" t="b">
        <v>1</v>
      </c>
      <c r="AT611" s="80"/>
      <c r="AU611" s="80">
        <v>1515</v>
      </c>
      <c r="AV611" s="87" t="str">
        <f>HYPERLINK("https://abs.twimg.com/images/themes/theme1/bg.png")</f>
        <v>https://abs.twimg.com/images/themes/theme1/bg.png</v>
      </c>
      <c r="AW611" s="80" t="b">
        <v>1</v>
      </c>
      <c r="AX611" s="80" t="s">
        <v>10746</v>
      </c>
      <c r="AY611" s="87" t="str">
        <f>HYPERLINK("https://twitter.com/jonrussell")</f>
        <v>https://twitter.com/jonrussell</v>
      </c>
      <c r="AZ611" s="80" t="s">
        <v>66</v>
      </c>
      <c r="BA611" s="2"/>
      <c r="BB611" s="3"/>
      <c r="BC611" s="3"/>
      <c r="BD611" s="3"/>
      <c r="BE611" s="3"/>
    </row>
    <row r="612" spans="1:57" x14ac:dyDescent="0.35">
      <c r="A612" s="66" t="s">
        <v>1378</v>
      </c>
      <c r="B612" s="67"/>
      <c r="C612" s="67"/>
      <c r="D612" s="68"/>
      <c r="E612" s="70"/>
      <c r="F612" s="109" t="str">
        <f>HYPERLINK("https://pbs.twimg.com/profile_images/1200806522147622912/YaFC0s9h_normal.jpg")</f>
        <v>https://pbs.twimg.com/profile_images/1200806522147622912/YaFC0s9h_normal.jpg</v>
      </c>
      <c r="G612" s="67"/>
      <c r="H612" s="71"/>
      <c r="I612" s="72"/>
      <c r="J612" s="72"/>
      <c r="K612" s="71" t="s">
        <v>11355</v>
      </c>
      <c r="L612" s="75"/>
      <c r="M612" s="76"/>
      <c r="N612" s="76"/>
      <c r="O612" s="77"/>
      <c r="P612" s="78"/>
      <c r="Q612" s="78"/>
      <c r="R612" s="92"/>
      <c r="S612" s="92"/>
      <c r="T612" s="92"/>
      <c r="U612" s="92"/>
      <c r="V612" s="52"/>
      <c r="W612" s="52"/>
      <c r="X612" s="52"/>
      <c r="Y612" s="52"/>
      <c r="Z612" s="51"/>
      <c r="AA612" s="73"/>
      <c r="AB612" s="73"/>
      <c r="AC612" s="74"/>
      <c r="AD612" s="80" t="s">
        <v>7189</v>
      </c>
      <c r="AE612" s="85" t="s">
        <v>8383</v>
      </c>
      <c r="AF612" s="80">
        <v>1872</v>
      </c>
      <c r="AG612" s="80">
        <v>4650</v>
      </c>
      <c r="AH612" s="80">
        <v>12546</v>
      </c>
      <c r="AI612" s="80">
        <v>10214</v>
      </c>
      <c r="AJ612" s="80"/>
      <c r="AK612" s="80" t="s">
        <v>9503</v>
      </c>
      <c r="AL612" s="80"/>
      <c r="AM612" s="87" t="str">
        <f>HYPERLINK("https://t.co/oTTtjSrwJ4")</f>
        <v>https://t.co/oTTtjSrwJ4</v>
      </c>
      <c r="AN612" s="80"/>
      <c r="AO612" s="82">
        <v>39539.39203703704</v>
      </c>
      <c r="AP612" s="87" t="str">
        <f>HYPERLINK("https://pbs.twimg.com/profile_banners/14273520/1557070313")</f>
        <v>https://pbs.twimg.com/profile_banners/14273520/1557070313</v>
      </c>
      <c r="AQ612" s="80" t="b">
        <v>0</v>
      </c>
      <c r="AR612" s="80" t="b">
        <v>0</v>
      </c>
      <c r="AS612" s="80" t="b">
        <v>1</v>
      </c>
      <c r="AT612" s="80"/>
      <c r="AU612" s="80">
        <v>133</v>
      </c>
      <c r="AV612" s="87" t="str">
        <f>HYPERLINK("https://abs.twimg.com/images/themes/theme1/bg.png")</f>
        <v>https://abs.twimg.com/images/themes/theme1/bg.png</v>
      </c>
      <c r="AW612" s="80" t="b">
        <v>0</v>
      </c>
      <c r="AX612" s="80" t="s">
        <v>10746</v>
      </c>
      <c r="AY612" s="87" t="str">
        <f>HYPERLINK("https://twitter.com/nfreischlad")</f>
        <v>https://twitter.com/nfreischlad</v>
      </c>
      <c r="AZ612" s="80" t="s">
        <v>65</v>
      </c>
      <c r="BA612" s="2"/>
      <c r="BB612" s="3"/>
      <c r="BC612" s="3"/>
      <c r="BD612" s="3"/>
      <c r="BE612" s="3"/>
    </row>
    <row r="613" spans="1:57" x14ac:dyDescent="0.35">
      <c r="A613" s="66" t="s">
        <v>708</v>
      </c>
      <c r="B613" s="67"/>
      <c r="C613" s="67"/>
      <c r="D613" s="68"/>
      <c r="E613" s="70"/>
      <c r="F613" s="109" t="str">
        <f>HYPERLINK("https://pbs.twimg.com/profile_images/735831597493014528/w8Roh54g_normal.jpg")</f>
        <v>https://pbs.twimg.com/profile_images/735831597493014528/w8Roh54g_normal.jpg</v>
      </c>
      <c r="G613" s="67"/>
      <c r="H613" s="71"/>
      <c r="I613" s="72"/>
      <c r="J613" s="72"/>
      <c r="K613" s="71" t="s">
        <v>11356</v>
      </c>
      <c r="L613" s="75"/>
      <c r="M613" s="76"/>
      <c r="N613" s="76"/>
      <c r="O613" s="77"/>
      <c r="P613" s="78"/>
      <c r="Q613" s="78"/>
      <c r="R613" s="92"/>
      <c r="S613" s="92"/>
      <c r="T613" s="92"/>
      <c r="U613" s="92"/>
      <c r="V613" s="52"/>
      <c r="W613" s="52"/>
      <c r="X613" s="52"/>
      <c r="Y613" s="52"/>
      <c r="Z613" s="51"/>
      <c r="AA613" s="73"/>
      <c r="AB613" s="73"/>
      <c r="AC613" s="74"/>
      <c r="AD613" s="80" t="s">
        <v>7190</v>
      </c>
      <c r="AE613" s="85" t="s">
        <v>8384</v>
      </c>
      <c r="AF613" s="80">
        <v>73</v>
      </c>
      <c r="AG613" s="80">
        <v>347</v>
      </c>
      <c r="AH613" s="80">
        <v>53200</v>
      </c>
      <c r="AI613" s="80">
        <v>110</v>
      </c>
      <c r="AJ613" s="80"/>
      <c r="AK613" s="80" t="s">
        <v>9504</v>
      </c>
      <c r="AL613" s="80" t="s">
        <v>10426</v>
      </c>
      <c r="AM613" s="87" t="str">
        <f>HYPERLINK("https://t.co/j56d4BqFGB")</f>
        <v>https://t.co/j56d4BqFGB</v>
      </c>
      <c r="AN613" s="80"/>
      <c r="AO613" s="82">
        <v>40341.251134259262</v>
      </c>
      <c r="AP613" s="87" t="str">
        <f>HYPERLINK("https://pbs.twimg.com/profile_banners/154791544/1523727364")</f>
        <v>https://pbs.twimg.com/profile_banners/154791544/1523727364</v>
      </c>
      <c r="AQ613" s="80" t="b">
        <v>0</v>
      </c>
      <c r="AR613" s="80" t="b">
        <v>0</v>
      </c>
      <c r="AS613" s="80" t="b">
        <v>1</v>
      </c>
      <c r="AT613" s="80"/>
      <c r="AU613" s="80">
        <v>7</v>
      </c>
      <c r="AV613" s="87" t="str">
        <f>HYPERLINK("https://abs.twimg.com/images/themes/theme1/bg.png")</f>
        <v>https://abs.twimg.com/images/themes/theme1/bg.png</v>
      </c>
      <c r="AW613" s="80" t="b">
        <v>0</v>
      </c>
      <c r="AX613" s="80" t="s">
        <v>10746</v>
      </c>
      <c r="AY613" s="87" t="str">
        <f>HYPERLINK("https://twitter.com/ahmadyasiin")</f>
        <v>https://twitter.com/ahmadyasiin</v>
      </c>
      <c r="AZ613" s="80" t="s">
        <v>66</v>
      </c>
      <c r="BA613" s="2"/>
      <c r="BB613" s="3"/>
      <c r="BC613" s="3"/>
      <c r="BD613" s="3"/>
      <c r="BE613" s="3"/>
    </row>
    <row r="614" spans="1:57" x14ac:dyDescent="0.35">
      <c r="A614" s="66" t="s">
        <v>709</v>
      </c>
      <c r="B614" s="67"/>
      <c r="C614" s="67"/>
      <c r="D614" s="68"/>
      <c r="E614" s="70"/>
      <c r="F614" s="109" t="str">
        <f>HYPERLINK("https://abs.twimg.com/sticky/default_profile_images/default_profile_normal.png")</f>
        <v>https://abs.twimg.com/sticky/default_profile_images/default_profile_normal.png</v>
      </c>
      <c r="G614" s="67"/>
      <c r="H614" s="71"/>
      <c r="I614" s="72"/>
      <c r="J614" s="72"/>
      <c r="K614" s="71" t="s">
        <v>11357</v>
      </c>
      <c r="L614" s="75"/>
      <c r="M614" s="76"/>
      <c r="N614" s="76"/>
      <c r="O614" s="77"/>
      <c r="P614" s="78"/>
      <c r="Q614" s="78"/>
      <c r="R614" s="92"/>
      <c r="S614" s="92"/>
      <c r="T614" s="92"/>
      <c r="U614" s="92"/>
      <c r="V614" s="52"/>
      <c r="W614" s="52"/>
      <c r="X614" s="52"/>
      <c r="Y614" s="52"/>
      <c r="Z614" s="51"/>
      <c r="AA614" s="73"/>
      <c r="AB614" s="73"/>
      <c r="AC614" s="74"/>
      <c r="AD614" s="80" t="s">
        <v>7191</v>
      </c>
      <c r="AE614" s="85" t="s">
        <v>8385</v>
      </c>
      <c r="AF614" s="80">
        <v>75</v>
      </c>
      <c r="AG614" s="80">
        <v>0</v>
      </c>
      <c r="AH614" s="80">
        <v>626</v>
      </c>
      <c r="AI614" s="80">
        <v>6</v>
      </c>
      <c r="AJ614" s="80"/>
      <c r="AK614" s="80"/>
      <c r="AL614" s="80"/>
      <c r="AM614" s="80"/>
      <c r="AN614" s="80"/>
      <c r="AO614" s="82">
        <v>44205.375717592593</v>
      </c>
      <c r="AP614" s="80"/>
      <c r="AQ614" s="80" t="b">
        <v>1</v>
      </c>
      <c r="AR614" s="80" t="b">
        <v>1</v>
      </c>
      <c r="AS614" s="80" t="b">
        <v>0</v>
      </c>
      <c r="AT614" s="80"/>
      <c r="AU614" s="80">
        <v>0</v>
      </c>
      <c r="AV614" s="80"/>
      <c r="AW614" s="80" t="b">
        <v>0</v>
      </c>
      <c r="AX614" s="80" t="s">
        <v>10746</v>
      </c>
      <c r="AY614" s="87" t="str">
        <f>HYPERLINK("https://twitter.com/gio40351985")</f>
        <v>https://twitter.com/gio40351985</v>
      </c>
      <c r="AZ614" s="80" t="s">
        <v>66</v>
      </c>
      <c r="BA614" s="2"/>
      <c r="BB614" s="3"/>
      <c r="BC614" s="3"/>
      <c r="BD614" s="3"/>
      <c r="BE614" s="3"/>
    </row>
    <row r="615" spans="1:57" x14ac:dyDescent="0.35">
      <c r="A615" s="66" t="s">
        <v>710</v>
      </c>
      <c r="B615" s="67"/>
      <c r="C615" s="67"/>
      <c r="D615" s="68"/>
      <c r="E615" s="70"/>
      <c r="F615" s="109" t="str">
        <f>HYPERLINK("https://pbs.twimg.com/profile_images/1439767324379136007/jklWuMKI_normal.jpg")</f>
        <v>https://pbs.twimg.com/profile_images/1439767324379136007/jklWuMKI_normal.jpg</v>
      </c>
      <c r="G615" s="67"/>
      <c r="H615" s="71"/>
      <c r="I615" s="72"/>
      <c r="J615" s="72"/>
      <c r="K615" s="71" t="s">
        <v>11358</v>
      </c>
      <c r="L615" s="75"/>
      <c r="M615" s="76"/>
      <c r="N615" s="76"/>
      <c r="O615" s="77"/>
      <c r="P615" s="78"/>
      <c r="Q615" s="78"/>
      <c r="R615" s="92"/>
      <c r="S615" s="92"/>
      <c r="T615" s="92"/>
      <c r="U615" s="92"/>
      <c r="V615" s="52"/>
      <c r="W615" s="52"/>
      <c r="X615" s="52"/>
      <c r="Y615" s="52"/>
      <c r="Z615" s="51"/>
      <c r="AA615" s="73"/>
      <c r="AB615" s="73"/>
      <c r="AC615" s="74"/>
      <c r="AD615" s="80" t="s">
        <v>7192</v>
      </c>
      <c r="AE615" s="85" t="s">
        <v>8386</v>
      </c>
      <c r="AF615" s="80">
        <v>724</v>
      </c>
      <c r="AG615" s="80">
        <v>162</v>
      </c>
      <c r="AH615" s="80">
        <v>6590</v>
      </c>
      <c r="AI615" s="80">
        <v>10670</v>
      </c>
      <c r="AJ615" s="80"/>
      <c r="AK615" s="80" t="s">
        <v>9505</v>
      </c>
      <c r="AL615" s="80"/>
      <c r="AM615" s="80"/>
      <c r="AN615" s="80"/>
      <c r="AO615" s="82">
        <v>44361.518946759257</v>
      </c>
      <c r="AP615" s="87" t="str">
        <f>HYPERLINK("https://pbs.twimg.com/profile_banners/1404415085343170561/1630923734")</f>
        <v>https://pbs.twimg.com/profile_banners/1404415085343170561/1630923734</v>
      </c>
      <c r="AQ615" s="80" t="b">
        <v>1</v>
      </c>
      <c r="AR615" s="80" t="b">
        <v>0</v>
      </c>
      <c r="AS615" s="80" t="b">
        <v>1</v>
      </c>
      <c r="AT615" s="80"/>
      <c r="AU615" s="80">
        <v>3</v>
      </c>
      <c r="AV615" s="80"/>
      <c r="AW615" s="80" t="b">
        <v>0</v>
      </c>
      <c r="AX615" s="80" t="s">
        <v>10746</v>
      </c>
      <c r="AY615" s="87" t="str">
        <f>HYPERLINK("https://twitter.com/ashataee")</f>
        <v>https://twitter.com/ashataee</v>
      </c>
      <c r="AZ615" s="80" t="s">
        <v>66</v>
      </c>
      <c r="BA615" s="2"/>
      <c r="BB615" s="3"/>
      <c r="BC615" s="3"/>
      <c r="BD615" s="3"/>
      <c r="BE615" s="3"/>
    </row>
    <row r="616" spans="1:57" x14ac:dyDescent="0.35">
      <c r="A616" s="66" t="s">
        <v>711</v>
      </c>
      <c r="B616" s="67"/>
      <c r="C616" s="67"/>
      <c r="D616" s="68"/>
      <c r="E616" s="70"/>
      <c r="F616" s="109" t="str">
        <f>HYPERLINK("https://pbs.twimg.com/profile_images/1442311888138690560/K9XOIXzb_normal.jpg")</f>
        <v>https://pbs.twimg.com/profile_images/1442311888138690560/K9XOIXzb_normal.jpg</v>
      </c>
      <c r="G616" s="67"/>
      <c r="H616" s="71"/>
      <c r="I616" s="72"/>
      <c r="J616" s="72"/>
      <c r="K616" s="71" t="s">
        <v>11359</v>
      </c>
      <c r="L616" s="75"/>
      <c r="M616" s="76"/>
      <c r="N616" s="76"/>
      <c r="O616" s="77"/>
      <c r="P616" s="78"/>
      <c r="Q616" s="78"/>
      <c r="R616" s="92"/>
      <c r="S616" s="92"/>
      <c r="T616" s="92"/>
      <c r="U616" s="92"/>
      <c r="V616" s="52"/>
      <c r="W616" s="52"/>
      <c r="X616" s="52"/>
      <c r="Y616" s="52"/>
      <c r="Z616" s="51"/>
      <c r="AA616" s="73"/>
      <c r="AB616" s="73"/>
      <c r="AC616" s="74"/>
      <c r="AD616" s="80" t="s">
        <v>7193</v>
      </c>
      <c r="AE616" s="85" t="s">
        <v>8387</v>
      </c>
      <c r="AF616" s="80">
        <v>1529</v>
      </c>
      <c r="AG616" s="80">
        <v>1666</v>
      </c>
      <c r="AH616" s="80">
        <v>18657</v>
      </c>
      <c r="AI616" s="80">
        <v>6052</v>
      </c>
      <c r="AJ616" s="80"/>
      <c r="AK616" s="80" t="s">
        <v>9506</v>
      </c>
      <c r="AL616" s="80" t="s">
        <v>10427</v>
      </c>
      <c r="AM616" s="87" t="str">
        <f>HYPERLINK("https://t.co/3KRhocZeEd")</f>
        <v>https://t.co/3KRhocZeEd</v>
      </c>
      <c r="AN616" s="80"/>
      <c r="AO616" s="82">
        <v>44344.450601851851</v>
      </c>
      <c r="AP616" s="87" t="str">
        <f>HYPERLINK("https://pbs.twimg.com/profile_banners/1398229744991105031/1632708965")</f>
        <v>https://pbs.twimg.com/profile_banners/1398229744991105031/1632708965</v>
      </c>
      <c r="AQ616" s="80" t="b">
        <v>1</v>
      </c>
      <c r="AR616" s="80" t="b">
        <v>0</v>
      </c>
      <c r="AS616" s="80" t="b">
        <v>0</v>
      </c>
      <c r="AT616" s="80"/>
      <c r="AU616" s="80">
        <v>11</v>
      </c>
      <c r="AV616" s="80"/>
      <c r="AW616" s="80" t="b">
        <v>0</v>
      </c>
      <c r="AX616" s="80" t="s">
        <v>10746</v>
      </c>
      <c r="AY616" s="87" t="str">
        <f>HYPERLINK("https://twitter.com/jngwoozeus")</f>
        <v>https://twitter.com/jngwoozeus</v>
      </c>
      <c r="AZ616" s="80" t="s">
        <v>66</v>
      </c>
      <c r="BA616" s="2"/>
      <c r="BB616" s="3"/>
      <c r="BC616" s="3"/>
      <c r="BD616" s="3"/>
      <c r="BE616" s="3"/>
    </row>
    <row r="617" spans="1:57" x14ac:dyDescent="0.35">
      <c r="A617" s="66" t="s">
        <v>713</v>
      </c>
      <c r="B617" s="67"/>
      <c r="C617" s="67"/>
      <c r="D617" s="68"/>
      <c r="E617" s="70"/>
      <c r="F617" s="109" t="str">
        <f>HYPERLINK("https://pbs.twimg.com/profile_images/1436964143853031424/8dk0DA20_normal.jpg")</f>
        <v>https://pbs.twimg.com/profile_images/1436964143853031424/8dk0DA20_normal.jpg</v>
      </c>
      <c r="G617" s="67"/>
      <c r="H617" s="71"/>
      <c r="I617" s="72"/>
      <c r="J617" s="72"/>
      <c r="K617" s="71" t="s">
        <v>11360</v>
      </c>
      <c r="L617" s="75"/>
      <c r="M617" s="76"/>
      <c r="N617" s="76"/>
      <c r="O617" s="77"/>
      <c r="P617" s="78"/>
      <c r="Q617" s="78"/>
      <c r="R617" s="92"/>
      <c r="S617" s="92"/>
      <c r="T617" s="92"/>
      <c r="U617" s="92"/>
      <c r="V617" s="52"/>
      <c r="W617" s="52"/>
      <c r="X617" s="52"/>
      <c r="Y617" s="52"/>
      <c r="Z617" s="51"/>
      <c r="AA617" s="73"/>
      <c r="AB617" s="73"/>
      <c r="AC617" s="74"/>
      <c r="AD617" s="80" t="s">
        <v>7194</v>
      </c>
      <c r="AE617" s="85" t="s">
        <v>8388</v>
      </c>
      <c r="AF617" s="80">
        <v>13</v>
      </c>
      <c r="AG617" s="80">
        <v>136</v>
      </c>
      <c r="AH617" s="80">
        <v>1824</v>
      </c>
      <c r="AI617" s="80">
        <v>1</v>
      </c>
      <c r="AJ617" s="80"/>
      <c r="AK617" s="80" t="s">
        <v>9507</v>
      </c>
      <c r="AL617" s="80"/>
      <c r="AM617" s="80"/>
      <c r="AN617" s="80"/>
      <c r="AO617" s="82">
        <v>44352.562650462962</v>
      </c>
      <c r="AP617" s="87" t="str">
        <f>HYPERLINK("https://pbs.twimg.com/profile_banners/1401169391371259909/1625493132")</f>
        <v>https://pbs.twimg.com/profile_banners/1401169391371259909/1625493132</v>
      </c>
      <c r="AQ617" s="80" t="b">
        <v>1</v>
      </c>
      <c r="AR617" s="80" t="b">
        <v>0</v>
      </c>
      <c r="AS617" s="80" t="b">
        <v>0</v>
      </c>
      <c r="AT617" s="80"/>
      <c r="AU617" s="80">
        <v>0</v>
      </c>
      <c r="AV617" s="80"/>
      <c r="AW617" s="80" t="b">
        <v>0</v>
      </c>
      <c r="AX617" s="80" t="s">
        <v>10746</v>
      </c>
      <c r="AY617" s="87" t="str">
        <f>HYPERLINK("https://twitter.com/psrnctrt")</f>
        <v>https://twitter.com/psrnctrt</v>
      </c>
      <c r="AZ617" s="80" t="s">
        <v>66</v>
      </c>
      <c r="BA617" s="2"/>
      <c r="BB617" s="3"/>
      <c r="BC617" s="3"/>
      <c r="BD617" s="3"/>
      <c r="BE617" s="3"/>
    </row>
    <row r="618" spans="1:57" x14ac:dyDescent="0.35">
      <c r="A618" s="66" t="s">
        <v>714</v>
      </c>
      <c r="B618" s="67"/>
      <c r="C618" s="67"/>
      <c r="D618" s="68"/>
      <c r="E618" s="70"/>
      <c r="F618" s="109" t="str">
        <f>HYPERLINK("https://pbs.twimg.com/profile_images/1349548461146836992/5RIUMoAh_normal.jpg")</f>
        <v>https://pbs.twimg.com/profile_images/1349548461146836992/5RIUMoAh_normal.jpg</v>
      </c>
      <c r="G618" s="67"/>
      <c r="H618" s="71"/>
      <c r="I618" s="72"/>
      <c r="J618" s="72"/>
      <c r="K618" s="71" t="s">
        <v>11361</v>
      </c>
      <c r="L618" s="75"/>
      <c r="M618" s="76"/>
      <c r="N618" s="76"/>
      <c r="O618" s="77"/>
      <c r="P618" s="78"/>
      <c r="Q618" s="78"/>
      <c r="R618" s="92"/>
      <c r="S618" s="92"/>
      <c r="T618" s="92"/>
      <c r="U618" s="92"/>
      <c r="V618" s="52"/>
      <c r="W618" s="52"/>
      <c r="X618" s="52"/>
      <c r="Y618" s="52"/>
      <c r="Z618" s="51"/>
      <c r="AA618" s="73"/>
      <c r="AB618" s="73"/>
      <c r="AC618" s="74"/>
      <c r="AD618" s="80" t="s">
        <v>7195</v>
      </c>
      <c r="AE618" s="85" t="s">
        <v>8389</v>
      </c>
      <c r="AF618" s="80">
        <v>127</v>
      </c>
      <c r="AG618" s="80">
        <v>217</v>
      </c>
      <c r="AH618" s="80">
        <v>425</v>
      </c>
      <c r="AI618" s="80">
        <v>34</v>
      </c>
      <c r="AJ618" s="80"/>
      <c r="AK618" s="80" t="s">
        <v>9508</v>
      </c>
      <c r="AL618" s="80" t="s">
        <v>10428</v>
      </c>
      <c r="AM618" s="87" t="str">
        <f>HYPERLINK("https://t.co/bU0WE8v9GS")</f>
        <v>https://t.co/bU0WE8v9GS</v>
      </c>
      <c r="AN618" s="80"/>
      <c r="AO618" s="82">
        <v>44210.115069444444</v>
      </c>
      <c r="AP618" s="80"/>
      <c r="AQ618" s="80" t="b">
        <v>1</v>
      </c>
      <c r="AR618" s="80" t="b">
        <v>0</v>
      </c>
      <c r="AS618" s="80" t="b">
        <v>1</v>
      </c>
      <c r="AT618" s="80"/>
      <c r="AU618" s="80">
        <v>0</v>
      </c>
      <c r="AV618" s="80"/>
      <c r="AW618" s="80" t="b">
        <v>0</v>
      </c>
      <c r="AX618" s="80" t="s">
        <v>10746</v>
      </c>
      <c r="AY618" s="87" t="str">
        <f>HYPERLINK("https://twitter.com/bnnk_info")</f>
        <v>https://twitter.com/bnnk_info</v>
      </c>
      <c r="AZ618" s="80" t="s">
        <v>66</v>
      </c>
      <c r="BA618" s="2"/>
      <c r="BB618" s="3"/>
      <c r="BC618" s="3"/>
      <c r="BD618" s="3"/>
      <c r="BE618" s="3"/>
    </row>
    <row r="619" spans="1:57" x14ac:dyDescent="0.35">
      <c r="A619" s="66" t="s">
        <v>1379</v>
      </c>
      <c r="B619" s="67"/>
      <c r="C619" s="67"/>
      <c r="D619" s="68"/>
      <c r="E619" s="70"/>
      <c r="F619" s="109" t="str">
        <f>HYPERLINK("https://pbs.twimg.com/profile_images/1274794391677231104/N6Mhg1k5_normal.jpg")</f>
        <v>https://pbs.twimg.com/profile_images/1274794391677231104/N6Mhg1k5_normal.jpg</v>
      </c>
      <c r="G619" s="67"/>
      <c r="H619" s="71"/>
      <c r="I619" s="72"/>
      <c r="J619" s="72"/>
      <c r="K619" s="71" t="s">
        <v>11362</v>
      </c>
      <c r="L619" s="75"/>
      <c r="M619" s="76"/>
      <c r="N619" s="76"/>
      <c r="O619" s="77"/>
      <c r="P619" s="78"/>
      <c r="Q619" s="78"/>
      <c r="R619" s="92"/>
      <c r="S619" s="92"/>
      <c r="T619" s="92"/>
      <c r="U619" s="92"/>
      <c r="V619" s="52"/>
      <c r="W619" s="52"/>
      <c r="X619" s="52"/>
      <c r="Y619" s="52"/>
      <c r="Z619" s="51"/>
      <c r="AA619" s="73"/>
      <c r="AB619" s="73"/>
      <c r="AC619" s="74"/>
      <c r="AD619" s="80" t="s">
        <v>7196</v>
      </c>
      <c r="AE619" s="85" t="s">
        <v>8390</v>
      </c>
      <c r="AF619" s="80">
        <v>145</v>
      </c>
      <c r="AG619" s="80">
        <v>381</v>
      </c>
      <c r="AH619" s="80">
        <v>1141</v>
      </c>
      <c r="AI619" s="80">
        <v>68</v>
      </c>
      <c r="AJ619" s="80"/>
      <c r="AK619" s="80" t="s">
        <v>9509</v>
      </c>
      <c r="AL619" s="80" t="s">
        <v>10429</v>
      </c>
      <c r="AM619" s="87" t="str">
        <f>HYPERLINK("https://t.co/Oivttjn1n9")</f>
        <v>https://t.co/Oivttjn1n9</v>
      </c>
      <c r="AN619" s="80"/>
      <c r="AO619" s="82">
        <v>40904.47215277778</v>
      </c>
      <c r="AP619" s="87" t="str">
        <f>HYPERLINK("https://pbs.twimg.com/profile_banners/447892043/1435156224")</f>
        <v>https://pbs.twimg.com/profile_banners/447892043/1435156224</v>
      </c>
      <c r="AQ619" s="80" t="b">
        <v>0</v>
      </c>
      <c r="AR619" s="80" t="b">
        <v>0</v>
      </c>
      <c r="AS619" s="80" t="b">
        <v>1</v>
      </c>
      <c r="AT619" s="80"/>
      <c r="AU619" s="80">
        <v>2</v>
      </c>
      <c r="AV619" s="87" t="str">
        <f>HYPERLINK("https://abs.twimg.com/images/themes/theme4/bg.gif")</f>
        <v>https://abs.twimg.com/images/themes/theme4/bg.gif</v>
      </c>
      <c r="AW619" s="80" t="b">
        <v>0</v>
      </c>
      <c r="AX619" s="80" t="s">
        <v>10746</v>
      </c>
      <c r="AY619" s="87" t="str">
        <f>HYPERLINK("https://twitter.com/baleayuresto")</f>
        <v>https://twitter.com/baleayuresto</v>
      </c>
      <c r="AZ619" s="80" t="s">
        <v>65</v>
      </c>
      <c r="BA619" s="2"/>
      <c r="BB619" s="3"/>
      <c r="BC619" s="3"/>
      <c r="BD619" s="3"/>
      <c r="BE619" s="3"/>
    </row>
    <row r="620" spans="1:57" x14ac:dyDescent="0.35">
      <c r="A620" s="66" t="s">
        <v>1380</v>
      </c>
      <c r="B620" s="67"/>
      <c r="C620" s="67"/>
      <c r="D620" s="68"/>
      <c r="E620" s="70"/>
      <c r="F620" s="109" t="str">
        <f>HYPERLINK("https://pbs.twimg.com/profile_images/1238372172/room_exe_ROS_IN_normal.jpg")</f>
        <v>https://pbs.twimg.com/profile_images/1238372172/room_exe_ROS_IN_normal.jpg</v>
      </c>
      <c r="G620" s="67"/>
      <c r="H620" s="71"/>
      <c r="I620" s="72"/>
      <c r="J620" s="72"/>
      <c r="K620" s="71" t="s">
        <v>11363</v>
      </c>
      <c r="L620" s="75"/>
      <c r="M620" s="76"/>
      <c r="N620" s="76"/>
      <c r="O620" s="77"/>
      <c r="P620" s="78"/>
      <c r="Q620" s="78"/>
      <c r="R620" s="92"/>
      <c r="S620" s="92"/>
      <c r="T620" s="92"/>
      <c r="U620" s="92"/>
      <c r="V620" s="52"/>
      <c r="W620" s="52"/>
      <c r="X620" s="52"/>
      <c r="Y620" s="52"/>
      <c r="Z620" s="51"/>
      <c r="AA620" s="73"/>
      <c r="AB620" s="73"/>
      <c r="AC620" s="74"/>
      <c r="AD620" s="80" t="s">
        <v>1380</v>
      </c>
      <c r="AE620" s="85" t="s">
        <v>8391</v>
      </c>
      <c r="AF620" s="80">
        <v>27</v>
      </c>
      <c r="AG620" s="80">
        <v>13</v>
      </c>
      <c r="AH620" s="80">
        <v>28</v>
      </c>
      <c r="AI620" s="80">
        <v>0</v>
      </c>
      <c r="AJ620" s="80"/>
      <c r="AK620" s="80" t="s">
        <v>9510</v>
      </c>
      <c r="AL620" s="80" t="s">
        <v>6547</v>
      </c>
      <c r="AM620" s="87" t="str">
        <f>HYPERLINK("http://t.co/shV8pRh57D")</f>
        <v>http://t.co/shV8pRh57D</v>
      </c>
      <c r="AN620" s="80"/>
      <c r="AO620" s="82">
        <v>40582.568171296298</v>
      </c>
      <c r="AP620" s="80"/>
      <c r="AQ620" s="80" t="b">
        <v>0</v>
      </c>
      <c r="AR620" s="80" t="b">
        <v>0</v>
      </c>
      <c r="AS620" s="80" t="b">
        <v>1</v>
      </c>
      <c r="AT620" s="80"/>
      <c r="AU620" s="80">
        <v>0</v>
      </c>
      <c r="AV620" s="87" t="str">
        <f>HYPERLINK("https://abs.twimg.com/images/themes/theme1/bg.png")</f>
        <v>https://abs.twimg.com/images/themes/theme1/bg.png</v>
      </c>
      <c r="AW620" s="80" t="b">
        <v>0</v>
      </c>
      <c r="AX620" s="80" t="s">
        <v>10746</v>
      </c>
      <c r="AY620" s="87" t="str">
        <f>HYPERLINK("https://twitter.com/rosinhoteljogja")</f>
        <v>https://twitter.com/rosinhoteljogja</v>
      </c>
      <c r="AZ620" s="80" t="s">
        <v>65</v>
      </c>
      <c r="BA620" s="2"/>
      <c r="BB620" s="3"/>
      <c r="BC620" s="3"/>
      <c r="BD620" s="3"/>
      <c r="BE620" s="3"/>
    </row>
    <row r="621" spans="1:57" x14ac:dyDescent="0.35">
      <c r="A621" s="66" t="s">
        <v>1381</v>
      </c>
      <c r="B621" s="67"/>
      <c r="C621" s="67"/>
      <c r="D621" s="68"/>
      <c r="E621" s="70"/>
      <c r="F621" s="109" t="str">
        <f>HYPERLINK("https://pbs.twimg.com/profile_images/642228041477853184/d3KwlMZS_normal.jpg")</f>
        <v>https://pbs.twimg.com/profile_images/642228041477853184/d3KwlMZS_normal.jpg</v>
      </c>
      <c r="G621" s="67"/>
      <c r="H621" s="71"/>
      <c r="I621" s="72"/>
      <c r="J621" s="72"/>
      <c r="K621" s="71" t="s">
        <v>11364</v>
      </c>
      <c r="L621" s="75"/>
      <c r="M621" s="76"/>
      <c r="N621" s="76"/>
      <c r="O621" s="77"/>
      <c r="P621" s="78"/>
      <c r="Q621" s="78"/>
      <c r="R621" s="92"/>
      <c r="S621" s="92"/>
      <c r="T621" s="92"/>
      <c r="U621" s="92"/>
      <c r="V621" s="52"/>
      <c r="W621" s="52"/>
      <c r="X621" s="52"/>
      <c r="Y621" s="52"/>
      <c r="Z621" s="51"/>
      <c r="AA621" s="73"/>
      <c r="AB621" s="73"/>
      <c r="AC621" s="74"/>
      <c r="AD621" s="80" t="s">
        <v>7197</v>
      </c>
      <c r="AE621" s="85" t="s">
        <v>8392</v>
      </c>
      <c r="AF621" s="80">
        <v>136</v>
      </c>
      <c r="AG621" s="80">
        <v>136</v>
      </c>
      <c r="AH621" s="80">
        <v>999</v>
      </c>
      <c r="AI621" s="80">
        <v>7</v>
      </c>
      <c r="AJ621" s="80"/>
      <c r="AK621" s="80" t="s">
        <v>9511</v>
      </c>
      <c r="AL621" s="80" t="s">
        <v>10430</v>
      </c>
      <c r="AM621" s="87" t="str">
        <f>HYPERLINK("https://t.co/ekJw5h3zXL")</f>
        <v>https://t.co/ekJw5h3zXL</v>
      </c>
      <c r="AN621" s="80"/>
      <c r="AO621" s="82">
        <v>42258.275127314817</v>
      </c>
      <c r="AP621" s="87" t="str">
        <f>HYPERLINK("https://pbs.twimg.com/profile_banners/3523801518/1441954010")</f>
        <v>https://pbs.twimg.com/profile_banners/3523801518/1441954010</v>
      </c>
      <c r="AQ621" s="80" t="b">
        <v>1</v>
      </c>
      <c r="AR621" s="80" t="b">
        <v>0</v>
      </c>
      <c r="AS621" s="80" t="b">
        <v>0</v>
      </c>
      <c r="AT621" s="80"/>
      <c r="AU621" s="80">
        <v>2</v>
      </c>
      <c r="AV621" s="87" t="str">
        <f>HYPERLINK("https://abs.twimg.com/images/themes/theme1/bg.png")</f>
        <v>https://abs.twimg.com/images/themes/theme1/bg.png</v>
      </c>
      <c r="AW621" s="80" t="b">
        <v>0</v>
      </c>
      <c r="AX621" s="80" t="s">
        <v>10746</v>
      </c>
      <c r="AY621" s="87" t="str">
        <f>HYPERLINK("https://twitter.com/pitabiruadv")</f>
        <v>https://twitter.com/pitabiruadv</v>
      </c>
      <c r="AZ621" s="80" t="s">
        <v>65</v>
      </c>
      <c r="BA621" s="2"/>
      <c r="BB621" s="3"/>
      <c r="BC621" s="3"/>
      <c r="BD621" s="3"/>
      <c r="BE621" s="3"/>
    </row>
    <row r="622" spans="1:57" x14ac:dyDescent="0.35">
      <c r="A622" s="66" t="s">
        <v>1382</v>
      </c>
      <c r="B622" s="67"/>
      <c r="C622" s="67"/>
      <c r="D622" s="68"/>
      <c r="E622" s="70"/>
      <c r="F622" s="109" t="str">
        <f>HYPERLINK("https://abs.twimg.com/sticky/default_profile_images/default_profile_normal.png")</f>
        <v>https://abs.twimg.com/sticky/default_profile_images/default_profile_normal.png</v>
      </c>
      <c r="G622" s="67"/>
      <c r="H622" s="71"/>
      <c r="I622" s="72"/>
      <c r="J622" s="72"/>
      <c r="K622" s="71" t="s">
        <v>11365</v>
      </c>
      <c r="L622" s="75"/>
      <c r="M622" s="76"/>
      <c r="N622" s="76"/>
      <c r="O622" s="77"/>
      <c r="P622" s="78"/>
      <c r="Q622" s="78"/>
      <c r="R622" s="92"/>
      <c r="S622" s="92"/>
      <c r="T622" s="92"/>
      <c r="U622" s="92"/>
      <c r="V622" s="52"/>
      <c r="W622" s="52"/>
      <c r="X622" s="52"/>
      <c r="Y622" s="52"/>
      <c r="Z622" s="51"/>
      <c r="AA622" s="73"/>
      <c r="AB622" s="73"/>
      <c r="AC622" s="74"/>
      <c r="AD622" s="80" t="s">
        <v>7198</v>
      </c>
      <c r="AE622" s="85" t="s">
        <v>8393</v>
      </c>
      <c r="AF622" s="80">
        <v>0</v>
      </c>
      <c r="AG622" s="80">
        <v>25</v>
      </c>
      <c r="AH622" s="80">
        <v>0</v>
      </c>
      <c r="AI622" s="80">
        <v>0</v>
      </c>
      <c r="AJ622" s="80"/>
      <c r="AK622" s="80"/>
      <c r="AL622" s="80"/>
      <c r="AM622" s="80"/>
      <c r="AN622" s="80"/>
      <c r="AO622" s="82">
        <v>40920.416319444441</v>
      </c>
      <c r="AP622" s="80"/>
      <c r="AQ622" s="80" t="b">
        <v>1</v>
      </c>
      <c r="AR622" s="80" t="b">
        <v>1</v>
      </c>
      <c r="AS622" s="80" t="b">
        <v>0</v>
      </c>
      <c r="AT622" s="80"/>
      <c r="AU622" s="80">
        <v>0</v>
      </c>
      <c r="AV622" s="87" t="str">
        <f>HYPERLINK("https://abs.twimg.com/images/themes/theme1/bg.png")</f>
        <v>https://abs.twimg.com/images/themes/theme1/bg.png</v>
      </c>
      <c r="AW622" s="80" t="b">
        <v>0</v>
      </c>
      <c r="AX622" s="80" t="s">
        <v>10746</v>
      </c>
      <c r="AY622" s="87" t="str">
        <f>HYPERLINK("https://twitter.com/sicepat")</f>
        <v>https://twitter.com/sicepat</v>
      </c>
      <c r="AZ622" s="80" t="s">
        <v>65</v>
      </c>
      <c r="BA622" s="2"/>
      <c r="BB622" s="3"/>
      <c r="BC622" s="3"/>
      <c r="BD622" s="3"/>
      <c r="BE622" s="3"/>
    </row>
    <row r="623" spans="1:57" x14ac:dyDescent="0.35">
      <c r="A623" s="66" t="s">
        <v>1383</v>
      </c>
      <c r="B623" s="67"/>
      <c r="C623" s="67"/>
      <c r="D623" s="68"/>
      <c r="E623" s="70"/>
      <c r="F623" s="109" t="str">
        <f>HYPERLINK("https://pbs.twimg.com/profile_images/926855697144451076/0z5_rNhx_normal.jpg")</f>
        <v>https://pbs.twimg.com/profile_images/926855697144451076/0z5_rNhx_normal.jpg</v>
      </c>
      <c r="G623" s="67"/>
      <c r="H623" s="71"/>
      <c r="I623" s="72"/>
      <c r="J623" s="72"/>
      <c r="K623" s="71" t="s">
        <v>11366</v>
      </c>
      <c r="L623" s="75"/>
      <c r="M623" s="76"/>
      <c r="N623" s="76"/>
      <c r="O623" s="77"/>
      <c r="P623" s="78"/>
      <c r="Q623" s="78"/>
      <c r="R623" s="92"/>
      <c r="S623" s="92"/>
      <c r="T623" s="92"/>
      <c r="U623" s="92"/>
      <c r="V623" s="52"/>
      <c r="W623" s="52"/>
      <c r="X623" s="52"/>
      <c r="Y623" s="52"/>
      <c r="Z623" s="51"/>
      <c r="AA623" s="73"/>
      <c r="AB623" s="73"/>
      <c r="AC623" s="74"/>
      <c r="AD623" s="80" t="s">
        <v>7199</v>
      </c>
      <c r="AE623" s="85" t="s">
        <v>8394</v>
      </c>
      <c r="AF623" s="80">
        <v>432</v>
      </c>
      <c r="AG623" s="80">
        <v>769</v>
      </c>
      <c r="AH623" s="80">
        <v>5186</v>
      </c>
      <c r="AI623" s="80">
        <v>2930</v>
      </c>
      <c r="AJ623" s="80"/>
      <c r="AK623" s="80" t="s">
        <v>9512</v>
      </c>
      <c r="AL623" s="80" t="s">
        <v>10431</v>
      </c>
      <c r="AM623" s="87" t="str">
        <f>HYPERLINK("https://t.co/00VCmlZI6r")</f>
        <v>https://t.co/00VCmlZI6r</v>
      </c>
      <c r="AN623" s="80"/>
      <c r="AO623" s="82">
        <v>39247.429340277777</v>
      </c>
      <c r="AP623" s="87" t="str">
        <f>HYPERLINK("https://pbs.twimg.com/profile_banners/6809202/1576077681")</f>
        <v>https://pbs.twimg.com/profile_banners/6809202/1576077681</v>
      </c>
      <c r="AQ623" s="80" t="b">
        <v>0</v>
      </c>
      <c r="AR623" s="80" t="b">
        <v>0</v>
      </c>
      <c r="AS623" s="80" t="b">
        <v>1</v>
      </c>
      <c r="AT623" s="80"/>
      <c r="AU623" s="80">
        <v>52</v>
      </c>
      <c r="AV623" s="87" t="str">
        <f>HYPERLINK("https://abs.twimg.com/images/themes/theme15/bg.png")</f>
        <v>https://abs.twimg.com/images/themes/theme15/bg.png</v>
      </c>
      <c r="AW623" s="80" t="b">
        <v>0</v>
      </c>
      <c r="AX623" s="80" t="s">
        <v>10746</v>
      </c>
      <c r="AY623" s="87" t="str">
        <f>HYPERLINK("https://twitter.com/jne")</f>
        <v>https://twitter.com/jne</v>
      </c>
      <c r="AZ623" s="80" t="s">
        <v>65</v>
      </c>
      <c r="BA623" s="2"/>
      <c r="BB623" s="3"/>
      <c r="BC623" s="3"/>
      <c r="BD623" s="3"/>
      <c r="BE623" s="3"/>
    </row>
    <row r="624" spans="1:57" x14ac:dyDescent="0.35">
      <c r="A624" s="66" t="s">
        <v>1384</v>
      </c>
      <c r="B624" s="67"/>
      <c r="C624" s="67"/>
      <c r="D624" s="68"/>
      <c r="E624" s="70"/>
      <c r="F624" s="109" t="str">
        <f>HYPERLINK("https://pbs.twimg.com/profile_images/2339903846/kn0wuepa41rp6dw101p2_normal.jpeg")</f>
        <v>https://pbs.twimg.com/profile_images/2339903846/kn0wuepa41rp6dw101p2_normal.jpeg</v>
      </c>
      <c r="G624" s="67"/>
      <c r="H624" s="71"/>
      <c r="I624" s="72"/>
      <c r="J624" s="72"/>
      <c r="K624" s="71" t="s">
        <v>11367</v>
      </c>
      <c r="L624" s="75"/>
      <c r="M624" s="76"/>
      <c r="N624" s="76"/>
      <c r="O624" s="77"/>
      <c r="P624" s="78"/>
      <c r="Q624" s="78"/>
      <c r="R624" s="92"/>
      <c r="S624" s="92"/>
      <c r="T624" s="92"/>
      <c r="U624" s="92"/>
      <c r="V624" s="52"/>
      <c r="W624" s="52"/>
      <c r="X624" s="52"/>
      <c r="Y624" s="52"/>
      <c r="Z624" s="51"/>
      <c r="AA624" s="73"/>
      <c r="AB624" s="73"/>
      <c r="AC624" s="74"/>
      <c r="AD624" s="80" t="s">
        <v>7200</v>
      </c>
      <c r="AE624" s="85" t="s">
        <v>8395</v>
      </c>
      <c r="AF624" s="80">
        <v>108</v>
      </c>
      <c r="AG624" s="80">
        <v>267</v>
      </c>
      <c r="AH624" s="80">
        <v>460</v>
      </c>
      <c r="AI624" s="80">
        <v>0</v>
      </c>
      <c r="AJ624" s="80"/>
      <c r="AK624" s="80" t="s">
        <v>9513</v>
      </c>
      <c r="AL624" s="80" t="s">
        <v>10432</v>
      </c>
      <c r="AM624" s="87" t="str">
        <f>HYPERLINK("http://t.co/Mx3KR4pcNG")</f>
        <v>http://t.co/Mx3KR4pcNG</v>
      </c>
      <c r="AN624" s="80"/>
      <c r="AO624" s="82">
        <v>41085.606435185182</v>
      </c>
      <c r="AP624" s="80"/>
      <c r="AQ624" s="80" t="b">
        <v>0</v>
      </c>
      <c r="AR624" s="80" t="b">
        <v>0</v>
      </c>
      <c r="AS624" s="80" t="b">
        <v>0</v>
      </c>
      <c r="AT624" s="80"/>
      <c r="AU624" s="80">
        <v>0</v>
      </c>
      <c r="AV624" s="87" t="str">
        <f>HYPERLINK("https://abs.twimg.com/images/themes/theme1/bg.png")</f>
        <v>https://abs.twimg.com/images/themes/theme1/bg.png</v>
      </c>
      <c r="AW624" s="80" t="b">
        <v>0</v>
      </c>
      <c r="AX624" s="80" t="s">
        <v>10746</v>
      </c>
      <c r="AY624" s="87" t="str">
        <f>HYPERLINK("https://twitter.com/hipmibantul")</f>
        <v>https://twitter.com/hipmibantul</v>
      </c>
      <c r="AZ624" s="80" t="s">
        <v>65</v>
      </c>
      <c r="BA624" s="2"/>
      <c r="BB624" s="3"/>
      <c r="BC624" s="3"/>
      <c r="BD624" s="3"/>
      <c r="BE624" s="3"/>
    </row>
    <row r="625" spans="1:57" x14ac:dyDescent="0.35">
      <c r="A625" s="66" t="s">
        <v>1385</v>
      </c>
      <c r="B625" s="67"/>
      <c r="C625" s="67"/>
      <c r="D625" s="68"/>
      <c r="E625" s="70"/>
      <c r="F625" s="109" t="str">
        <f>HYPERLINK("https://pbs.twimg.com/profile_images/1335106114610839552/sF4s4MMz_normal.jpg")</f>
        <v>https://pbs.twimg.com/profile_images/1335106114610839552/sF4s4MMz_normal.jpg</v>
      </c>
      <c r="G625" s="67"/>
      <c r="H625" s="71"/>
      <c r="I625" s="72"/>
      <c r="J625" s="72"/>
      <c r="K625" s="71" t="s">
        <v>11368</v>
      </c>
      <c r="L625" s="75"/>
      <c r="M625" s="76"/>
      <c r="N625" s="76"/>
      <c r="O625" s="77"/>
      <c r="P625" s="78"/>
      <c r="Q625" s="78"/>
      <c r="R625" s="92"/>
      <c r="S625" s="92"/>
      <c r="T625" s="92"/>
      <c r="U625" s="92"/>
      <c r="V625" s="52"/>
      <c r="W625" s="52"/>
      <c r="X625" s="52"/>
      <c r="Y625" s="52"/>
      <c r="Z625" s="51"/>
      <c r="AA625" s="73"/>
      <c r="AB625" s="73"/>
      <c r="AC625" s="74"/>
      <c r="AD625" s="80" t="s">
        <v>7201</v>
      </c>
      <c r="AE625" s="85" t="s">
        <v>8396</v>
      </c>
      <c r="AF625" s="80">
        <v>68459</v>
      </c>
      <c r="AG625" s="80">
        <v>993442</v>
      </c>
      <c r="AH625" s="80">
        <v>502180</v>
      </c>
      <c r="AI625" s="80">
        <v>3767</v>
      </c>
      <c r="AJ625" s="80"/>
      <c r="AK625" s="80" t="s">
        <v>9514</v>
      </c>
      <c r="AL625" s="80" t="s">
        <v>10139</v>
      </c>
      <c r="AM625" s="87" t="str">
        <f>HYPERLINK("https://t.co/WaJSGwslCB")</f>
        <v>https://t.co/WaJSGwslCB</v>
      </c>
      <c r="AN625" s="80"/>
      <c r="AO625" s="82">
        <v>40526.322800925926</v>
      </c>
      <c r="AP625" s="87" t="str">
        <f>HYPERLINK("https://pbs.twimg.com/profile_banners/226481275/1563768109")</f>
        <v>https://pbs.twimg.com/profile_banners/226481275/1563768109</v>
      </c>
      <c r="AQ625" s="80" t="b">
        <v>0</v>
      </c>
      <c r="AR625" s="80" t="b">
        <v>0</v>
      </c>
      <c r="AS625" s="80" t="b">
        <v>1</v>
      </c>
      <c r="AT625" s="80"/>
      <c r="AU625" s="80">
        <v>502</v>
      </c>
      <c r="AV625" s="87" t="str">
        <f>HYPERLINK("https://abs.twimg.com/images/themes/theme1/bg.png")</f>
        <v>https://abs.twimg.com/images/themes/theme1/bg.png</v>
      </c>
      <c r="AW625" s="80" t="b">
        <v>1</v>
      </c>
      <c r="AX625" s="80" t="s">
        <v>10746</v>
      </c>
      <c r="AY625" s="87" t="str">
        <f>HYPERLINK("https://twitter.com/gojekindonesia")</f>
        <v>https://twitter.com/gojekindonesia</v>
      </c>
      <c r="AZ625" s="80" t="s">
        <v>65</v>
      </c>
      <c r="BA625" s="2"/>
      <c r="BB625" s="3"/>
      <c r="BC625" s="3"/>
      <c r="BD625" s="3"/>
      <c r="BE625" s="3"/>
    </row>
    <row r="626" spans="1:57" x14ac:dyDescent="0.35">
      <c r="A626" s="66" t="s">
        <v>1386</v>
      </c>
      <c r="B626" s="67"/>
      <c r="C626" s="67"/>
      <c r="D626" s="68"/>
      <c r="E626" s="70"/>
      <c r="F626" s="109" t="str">
        <f>HYPERLINK("https://pbs.twimg.com/profile_images/1076277190835257346/7UHQRX0Z_normal.jpg")</f>
        <v>https://pbs.twimg.com/profile_images/1076277190835257346/7UHQRX0Z_normal.jpg</v>
      </c>
      <c r="G626" s="67"/>
      <c r="H626" s="71"/>
      <c r="I626" s="72"/>
      <c r="J626" s="72"/>
      <c r="K626" s="71" t="s">
        <v>11369</v>
      </c>
      <c r="L626" s="75"/>
      <c r="M626" s="76"/>
      <c r="N626" s="76"/>
      <c r="O626" s="77"/>
      <c r="P626" s="78"/>
      <c r="Q626" s="78"/>
      <c r="R626" s="92"/>
      <c r="S626" s="92"/>
      <c r="T626" s="92"/>
      <c r="U626" s="92"/>
      <c r="V626" s="52"/>
      <c r="W626" s="52"/>
      <c r="X626" s="52"/>
      <c r="Y626" s="52"/>
      <c r="Z626" s="51"/>
      <c r="AA626" s="73"/>
      <c r="AB626" s="73"/>
      <c r="AC626" s="74"/>
      <c r="AD626" s="80" t="s">
        <v>7202</v>
      </c>
      <c r="AE626" s="85" t="s">
        <v>8397</v>
      </c>
      <c r="AF626" s="80">
        <v>1</v>
      </c>
      <c r="AG626" s="80">
        <v>0</v>
      </c>
      <c r="AH626" s="80">
        <v>20</v>
      </c>
      <c r="AI626" s="80">
        <v>29</v>
      </c>
      <c r="AJ626" s="80"/>
      <c r="AK626" s="80" t="s">
        <v>9515</v>
      </c>
      <c r="AL626" s="80"/>
      <c r="AM626" s="80"/>
      <c r="AN626" s="80"/>
      <c r="AO626" s="82">
        <v>43277.594166666669</v>
      </c>
      <c r="AP626" s="87" t="str">
        <f>HYPERLINK("https://pbs.twimg.com/profile_banners/1011613955368865792/1545439454")</f>
        <v>https://pbs.twimg.com/profile_banners/1011613955368865792/1545439454</v>
      </c>
      <c r="AQ626" s="80" t="b">
        <v>1</v>
      </c>
      <c r="AR626" s="80" t="b">
        <v>0</v>
      </c>
      <c r="AS626" s="80" t="b">
        <v>0</v>
      </c>
      <c r="AT626" s="80"/>
      <c r="AU626" s="80">
        <v>0</v>
      </c>
      <c r="AV626" s="80"/>
      <c r="AW626" s="80" t="b">
        <v>0</v>
      </c>
      <c r="AX626" s="80" t="s">
        <v>10746</v>
      </c>
      <c r="AY626" s="87" t="str">
        <f>HYPERLINK("https://twitter.com/logiccoffee")</f>
        <v>https://twitter.com/logiccoffee</v>
      </c>
      <c r="AZ626" s="80" t="s">
        <v>65</v>
      </c>
      <c r="BA626" s="2"/>
      <c r="BB626" s="3"/>
      <c r="BC626" s="3"/>
      <c r="BD626" s="3"/>
      <c r="BE626" s="3"/>
    </row>
    <row r="627" spans="1:57" x14ac:dyDescent="0.35">
      <c r="A627" s="66" t="s">
        <v>715</v>
      </c>
      <c r="B627" s="67"/>
      <c r="C627" s="67"/>
      <c r="D627" s="68"/>
      <c r="E627" s="70"/>
      <c r="F627" s="109" t="str">
        <f>HYPERLINK("https://pbs.twimg.com/profile_images/1277237524352528387/ICT6kFpA_normal.jpg")</f>
        <v>https://pbs.twimg.com/profile_images/1277237524352528387/ICT6kFpA_normal.jpg</v>
      </c>
      <c r="G627" s="67"/>
      <c r="H627" s="71"/>
      <c r="I627" s="72"/>
      <c r="J627" s="72"/>
      <c r="K627" s="71" t="s">
        <v>11370</v>
      </c>
      <c r="L627" s="75"/>
      <c r="M627" s="76"/>
      <c r="N627" s="76"/>
      <c r="O627" s="77"/>
      <c r="P627" s="78"/>
      <c r="Q627" s="78"/>
      <c r="R627" s="92"/>
      <c r="S627" s="92"/>
      <c r="T627" s="92"/>
      <c r="U627" s="92"/>
      <c r="V627" s="52"/>
      <c r="W627" s="52"/>
      <c r="X627" s="52"/>
      <c r="Y627" s="52"/>
      <c r="Z627" s="51"/>
      <c r="AA627" s="73"/>
      <c r="AB627" s="73"/>
      <c r="AC627" s="74"/>
      <c r="AD627" s="80" t="s">
        <v>7203</v>
      </c>
      <c r="AE627" s="85" t="s">
        <v>8398</v>
      </c>
      <c r="AF627" s="80">
        <v>50</v>
      </c>
      <c r="AG627" s="80">
        <v>117</v>
      </c>
      <c r="AH627" s="80">
        <v>2635</v>
      </c>
      <c r="AI627" s="80">
        <v>142</v>
      </c>
      <c r="AJ627" s="80"/>
      <c r="AK627" s="80"/>
      <c r="AL627" s="80"/>
      <c r="AM627" s="80"/>
      <c r="AN627" s="80"/>
      <c r="AO627" s="82">
        <v>40559.572187500002</v>
      </c>
      <c r="AP627" s="87" t="str">
        <f>HYPERLINK("https://pbs.twimg.com/profile_banners/238971667/1593352175")</f>
        <v>https://pbs.twimg.com/profile_banners/238971667/1593352175</v>
      </c>
      <c r="AQ627" s="80" t="b">
        <v>0</v>
      </c>
      <c r="AR627" s="80" t="b">
        <v>0</v>
      </c>
      <c r="AS627" s="80" t="b">
        <v>1</v>
      </c>
      <c r="AT627" s="80"/>
      <c r="AU627" s="80">
        <v>0</v>
      </c>
      <c r="AV627" s="87" t="str">
        <f>HYPERLINK("https://abs.twimg.com/images/themes/theme1/bg.png")</f>
        <v>https://abs.twimg.com/images/themes/theme1/bg.png</v>
      </c>
      <c r="AW627" s="80" t="b">
        <v>0</v>
      </c>
      <c r="AX627" s="80" t="s">
        <v>10746</v>
      </c>
      <c r="AY627" s="87" t="str">
        <f>HYPERLINK("https://twitter.com/rozzy_bwin")</f>
        <v>https://twitter.com/rozzy_bwin</v>
      </c>
      <c r="AZ627" s="80" t="s">
        <v>66</v>
      </c>
      <c r="BA627" s="2"/>
      <c r="BB627" s="3"/>
      <c r="BC627" s="3"/>
      <c r="BD627" s="3"/>
      <c r="BE627" s="3"/>
    </row>
    <row r="628" spans="1:57" x14ac:dyDescent="0.35">
      <c r="A628" s="66" t="s">
        <v>716</v>
      </c>
      <c r="B628" s="67"/>
      <c r="C628" s="67"/>
      <c r="D628" s="68"/>
      <c r="E628" s="70"/>
      <c r="F628" s="109" t="str">
        <f>HYPERLINK("https://pbs.twimg.com/profile_images/1441343876778786830/0s6O-eMT_normal.jpg")</f>
        <v>https://pbs.twimg.com/profile_images/1441343876778786830/0s6O-eMT_normal.jpg</v>
      </c>
      <c r="G628" s="67"/>
      <c r="H628" s="71"/>
      <c r="I628" s="72"/>
      <c r="J628" s="72"/>
      <c r="K628" s="71" t="s">
        <v>11371</v>
      </c>
      <c r="L628" s="75"/>
      <c r="M628" s="76"/>
      <c r="N628" s="76"/>
      <c r="O628" s="77"/>
      <c r="P628" s="78"/>
      <c r="Q628" s="78"/>
      <c r="R628" s="92"/>
      <c r="S628" s="92"/>
      <c r="T628" s="92"/>
      <c r="U628" s="92"/>
      <c r="V628" s="52"/>
      <c r="W628" s="52"/>
      <c r="X628" s="52"/>
      <c r="Y628" s="52"/>
      <c r="Z628" s="51"/>
      <c r="AA628" s="73"/>
      <c r="AB628" s="73"/>
      <c r="AC628" s="74"/>
      <c r="AD628" s="80" t="s">
        <v>7204</v>
      </c>
      <c r="AE628" s="85" t="s">
        <v>8399</v>
      </c>
      <c r="AF628" s="80">
        <v>291</v>
      </c>
      <c r="AG628" s="80">
        <v>52</v>
      </c>
      <c r="AH628" s="80">
        <v>4953</v>
      </c>
      <c r="AI628" s="80">
        <v>16372</v>
      </c>
      <c r="AJ628" s="80"/>
      <c r="AK628" s="80" t="s">
        <v>9516</v>
      </c>
      <c r="AL628" s="80" t="s">
        <v>6543</v>
      </c>
      <c r="AM628" s="80"/>
      <c r="AN628" s="80"/>
      <c r="AO628" s="82">
        <v>43243.755729166667</v>
      </c>
      <c r="AP628" s="87" t="str">
        <f>HYPERLINK("https://pbs.twimg.com/profile_banners/999351313807720448/1602674919")</f>
        <v>https://pbs.twimg.com/profile_banners/999351313807720448/1602674919</v>
      </c>
      <c r="AQ628" s="80" t="b">
        <v>1</v>
      </c>
      <c r="AR628" s="80" t="b">
        <v>0</v>
      </c>
      <c r="AS628" s="80" t="b">
        <v>0</v>
      </c>
      <c r="AT628" s="80"/>
      <c r="AU628" s="80">
        <v>0</v>
      </c>
      <c r="AV628" s="80"/>
      <c r="AW628" s="80" t="b">
        <v>0</v>
      </c>
      <c r="AX628" s="80" t="s">
        <v>10746</v>
      </c>
      <c r="AY628" s="87" t="str">
        <f>HYPERLINK("https://twitter.com/bagusfitrian")</f>
        <v>https://twitter.com/bagusfitrian</v>
      </c>
      <c r="AZ628" s="80" t="s">
        <v>66</v>
      </c>
      <c r="BA628" s="2"/>
      <c r="BB628" s="3"/>
      <c r="BC628" s="3"/>
      <c r="BD628" s="3"/>
      <c r="BE628" s="3"/>
    </row>
    <row r="629" spans="1:57" x14ac:dyDescent="0.35">
      <c r="A629" s="66" t="s">
        <v>717</v>
      </c>
      <c r="B629" s="67"/>
      <c r="C629" s="67"/>
      <c r="D629" s="68"/>
      <c r="E629" s="70"/>
      <c r="F629" s="109" t="str">
        <f>HYPERLINK("https://pbs.twimg.com/profile_images/1178324812764086273/-s0I_nWA_normal.jpg")</f>
        <v>https://pbs.twimg.com/profile_images/1178324812764086273/-s0I_nWA_normal.jpg</v>
      </c>
      <c r="G629" s="67"/>
      <c r="H629" s="71"/>
      <c r="I629" s="72"/>
      <c r="J629" s="72"/>
      <c r="K629" s="71" t="s">
        <v>11372</v>
      </c>
      <c r="L629" s="75"/>
      <c r="M629" s="76"/>
      <c r="N629" s="76"/>
      <c r="O629" s="77"/>
      <c r="P629" s="78"/>
      <c r="Q629" s="78"/>
      <c r="R629" s="92"/>
      <c r="S629" s="92"/>
      <c r="T629" s="92"/>
      <c r="U629" s="92"/>
      <c r="V629" s="52"/>
      <c r="W629" s="52"/>
      <c r="X629" s="52"/>
      <c r="Y629" s="52"/>
      <c r="Z629" s="51"/>
      <c r="AA629" s="73"/>
      <c r="AB629" s="73"/>
      <c r="AC629" s="74"/>
      <c r="AD629" s="80" t="s">
        <v>7205</v>
      </c>
      <c r="AE629" s="85" t="s">
        <v>8400</v>
      </c>
      <c r="AF629" s="80">
        <v>0</v>
      </c>
      <c r="AG629" s="80">
        <v>1591</v>
      </c>
      <c r="AH629" s="80">
        <v>1786</v>
      </c>
      <c r="AI629" s="80">
        <v>1</v>
      </c>
      <c r="AJ629" s="80"/>
      <c r="AK629" s="80" t="s">
        <v>9517</v>
      </c>
      <c r="AL629" s="80" t="s">
        <v>10139</v>
      </c>
      <c r="AM629" s="87" t="str">
        <f>HYPERLINK("https://t.co/ilK7IpDX5X")</f>
        <v>https://t.co/ilK7IpDX5X</v>
      </c>
      <c r="AN629" s="80"/>
      <c r="AO629" s="82">
        <v>42892.13009259259</v>
      </c>
      <c r="AP629" s="87" t="str">
        <f>HYPERLINK("https://pbs.twimg.com/profile_banners/871926449711828998/1589748822")</f>
        <v>https://pbs.twimg.com/profile_banners/871926449711828998/1589748822</v>
      </c>
      <c r="AQ629" s="80" t="b">
        <v>0</v>
      </c>
      <c r="AR629" s="80" t="b">
        <v>0</v>
      </c>
      <c r="AS629" s="80" t="b">
        <v>0</v>
      </c>
      <c r="AT629" s="80"/>
      <c r="AU629" s="80">
        <v>5</v>
      </c>
      <c r="AV629" s="87" t="str">
        <f>HYPERLINK("https://abs.twimg.com/images/themes/theme1/bg.png")</f>
        <v>https://abs.twimg.com/images/themes/theme1/bg.png</v>
      </c>
      <c r="AW629" s="80" t="b">
        <v>0</v>
      </c>
      <c r="AX629" s="80" t="s">
        <v>10746</v>
      </c>
      <c r="AY629" s="87" t="str">
        <f>HYPERLINK("https://twitter.com/disnakerja_com")</f>
        <v>https://twitter.com/disnakerja_com</v>
      </c>
      <c r="AZ629" s="80" t="s">
        <v>66</v>
      </c>
      <c r="BA629" s="2"/>
      <c r="BB629" s="3"/>
      <c r="BC629" s="3"/>
      <c r="BD629" s="3"/>
      <c r="BE629" s="3"/>
    </row>
    <row r="630" spans="1:57" x14ac:dyDescent="0.35">
      <c r="A630" s="66" t="s">
        <v>718</v>
      </c>
      <c r="B630" s="67"/>
      <c r="C630" s="67"/>
      <c r="D630" s="68"/>
      <c r="E630" s="70"/>
      <c r="F630" s="109" t="str">
        <f>HYPERLINK("https://pbs.twimg.com/profile_images/1373851008560812035/x57AQzF5_normal.jpg")</f>
        <v>https://pbs.twimg.com/profile_images/1373851008560812035/x57AQzF5_normal.jpg</v>
      </c>
      <c r="G630" s="67"/>
      <c r="H630" s="71"/>
      <c r="I630" s="72"/>
      <c r="J630" s="72"/>
      <c r="K630" s="71" t="s">
        <v>11373</v>
      </c>
      <c r="L630" s="75"/>
      <c r="M630" s="76"/>
      <c r="N630" s="76"/>
      <c r="O630" s="77"/>
      <c r="P630" s="78"/>
      <c r="Q630" s="78"/>
      <c r="R630" s="92"/>
      <c r="S630" s="92"/>
      <c r="T630" s="92"/>
      <c r="U630" s="92"/>
      <c r="V630" s="52"/>
      <c r="W630" s="52"/>
      <c r="X630" s="52"/>
      <c r="Y630" s="52"/>
      <c r="Z630" s="51"/>
      <c r="AA630" s="73"/>
      <c r="AB630" s="73"/>
      <c r="AC630" s="74"/>
      <c r="AD630" s="80" t="s">
        <v>7206</v>
      </c>
      <c r="AE630" s="85" t="s">
        <v>8401</v>
      </c>
      <c r="AF630" s="80">
        <v>525</v>
      </c>
      <c r="AG630" s="80">
        <v>1245420</v>
      </c>
      <c r="AH630" s="80">
        <v>805040</v>
      </c>
      <c r="AI630" s="80">
        <v>1021</v>
      </c>
      <c r="AJ630" s="80"/>
      <c r="AK630" s="80" t="s">
        <v>9518</v>
      </c>
      <c r="AL630" s="80" t="s">
        <v>6543</v>
      </c>
      <c r="AM630" s="87" t="str">
        <f>HYPERLINK("https://t.co/GrHenLSgDH")</f>
        <v>https://t.co/GrHenLSgDH</v>
      </c>
      <c r="AN630" s="80"/>
      <c r="AO630" s="82">
        <v>40255.580810185187</v>
      </c>
      <c r="AP630" s="87" t="str">
        <f>HYPERLINK("https://pbs.twimg.com/profile_banners/124171593/1624351135")</f>
        <v>https://pbs.twimg.com/profile_banners/124171593/1624351135</v>
      </c>
      <c r="AQ630" s="80" t="b">
        <v>0</v>
      </c>
      <c r="AR630" s="80" t="b">
        <v>0</v>
      </c>
      <c r="AS630" s="80" t="b">
        <v>1</v>
      </c>
      <c r="AT630" s="80"/>
      <c r="AU630" s="80">
        <v>1323</v>
      </c>
      <c r="AV630" s="87" t="str">
        <f>HYPERLINK("https://abs.twimg.com/images/themes/theme1/bg.png")</f>
        <v>https://abs.twimg.com/images/themes/theme1/bg.png</v>
      </c>
      <c r="AW630" s="80" t="b">
        <v>0</v>
      </c>
      <c r="AX630" s="80" t="s">
        <v>10746</v>
      </c>
      <c r="AY630" s="87" t="str">
        <f>HYPERLINK("https://twitter.com/tribunnews")</f>
        <v>https://twitter.com/tribunnews</v>
      </c>
      <c r="AZ630" s="80" t="s">
        <v>66</v>
      </c>
      <c r="BA630" s="2"/>
      <c r="BB630" s="3"/>
      <c r="BC630" s="3"/>
      <c r="BD630" s="3"/>
      <c r="BE630" s="3"/>
    </row>
    <row r="631" spans="1:57" x14ac:dyDescent="0.35">
      <c r="A631" s="66" t="s">
        <v>719</v>
      </c>
      <c r="B631" s="67"/>
      <c r="C631" s="67"/>
      <c r="D631" s="68"/>
      <c r="E631" s="70"/>
      <c r="F631" s="109" t="str">
        <f>HYPERLINK("https://pbs.twimg.com/profile_images/1439153933289590785/HesQlRKO_normal.jpg")</f>
        <v>https://pbs.twimg.com/profile_images/1439153933289590785/HesQlRKO_normal.jpg</v>
      </c>
      <c r="G631" s="67"/>
      <c r="H631" s="71"/>
      <c r="I631" s="72"/>
      <c r="J631" s="72"/>
      <c r="K631" s="71" t="s">
        <v>11374</v>
      </c>
      <c r="L631" s="75"/>
      <c r="M631" s="76"/>
      <c r="N631" s="76"/>
      <c r="O631" s="77"/>
      <c r="P631" s="78"/>
      <c r="Q631" s="78"/>
      <c r="R631" s="92"/>
      <c r="S631" s="92"/>
      <c r="T631" s="92"/>
      <c r="U631" s="92"/>
      <c r="V631" s="52"/>
      <c r="W631" s="52"/>
      <c r="X631" s="52"/>
      <c r="Y631" s="52"/>
      <c r="Z631" s="51"/>
      <c r="AA631" s="73"/>
      <c r="AB631" s="73"/>
      <c r="AC631" s="74"/>
      <c r="AD631" s="80" t="s">
        <v>7207</v>
      </c>
      <c r="AE631" s="85" t="s">
        <v>8402</v>
      </c>
      <c r="AF631" s="80">
        <v>481</v>
      </c>
      <c r="AG631" s="80">
        <v>111</v>
      </c>
      <c r="AH631" s="80">
        <v>14248</v>
      </c>
      <c r="AI631" s="80">
        <v>27606</v>
      </c>
      <c r="AJ631" s="80"/>
      <c r="AK631" s="80" t="s">
        <v>9519</v>
      </c>
      <c r="AL631" s="80" t="s">
        <v>10433</v>
      </c>
      <c r="AM631" s="80"/>
      <c r="AN631" s="80"/>
      <c r="AO631" s="82">
        <v>44348.509652777779</v>
      </c>
      <c r="AP631" s="87" t="str">
        <f>HYPERLINK("https://pbs.twimg.com/profile_banners/1399700415617241089/1629179809")</f>
        <v>https://pbs.twimg.com/profile_banners/1399700415617241089/1629179809</v>
      </c>
      <c r="AQ631" s="80" t="b">
        <v>1</v>
      </c>
      <c r="AR631" s="80" t="b">
        <v>0</v>
      </c>
      <c r="AS631" s="80" t="b">
        <v>0</v>
      </c>
      <c r="AT631" s="80"/>
      <c r="AU631" s="80">
        <v>0</v>
      </c>
      <c r="AV631" s="80"/>
      <c r="AW631" s="80" t="b">
        <v>0</v>
      </c>
      <c r="AX631" s="80" t="s">
        <v>10746</v>
      </c>
      <c r="AY631" s="87" t="str">
        <f>HYPERLINK("https://twitter.com/taggie_03")</f>
        <v>https://twitter.com/taggie_03</v>
      </c>
      <c r="AZ631" s="80" t="s">
        <v>66</v>
      </c>
      <c r="BA631" s="2"/>
      <c r="BB631" s="3"/>
      <c r="BC631" s="3"/>
      <c r="BD631" s="3"/>
      <c r="BE631" s="3"/>
    </row>
    <row r="632" spans="1:57" x14ac:dyDescent="0.35">
      <c r="A632" s="66" t="s">
        <v>720</v>
      </c>
      <c r="B632" s="67"/>
      <c r="C632" s="67"/>
      <c r="D632" s="68"/>
      <c r="E632" s="70"/>
      <c r="F632" s="109" t="str">
        <f>HYPERLINK("https://pbs.twimg.com/profile_images/1153763237554339840/oD-YposE_normal.jpg")</f>
        <v>https://pbs.twimg.com/profile_images/1153763237554339840/oD-YposE_normal.jpg</v>
      </c>
      <c r="G632" s="67"/>
      <c r="H632" s="71"/>
      <c r="I632" s="72"/>
      <c r="J632" s="72"/>
      <c r="K632" s="71" t="s">
        <v>11375</v>
      </c>
      <c r="L632" s="75"/>
      <c r="M632" s="76"/>
      <c r="N632" s="76"/>
      <c r="O632" s="77"/>
      <c r="P632" s="78"/>
      <c r="Q632" s="78"/>
      <c r="R632" s="92"/>
      <c r="S632" s="92"/>
      <c r="T632" s="92"/>
      <c r="U632" s="92"/>
      <c r="V632" s="52"/>
      <c r="W632" s="52"/>
      <c r="X632" s="52"/>
      <c r="Y632" s="52"/>
      <c r="Z632" s="51"/>
      <c r="AA632" s="73"/>
      <c r="AB632" s="73"/>
      <c r="AC632" s="74"/>
      <c r="AD632" s="80" t="s">
        <v>7208</v>
      </c>
      <c r="AE632" s="85" t="s">
        <v>8403</v>
      </c>
      <c r="AF632" s="80">
        <v>485</v>
      </c>
      <c r="AG632" s="80">
        <v>654</v>
      </c>
      <c r="AH632" s="80">
        <v>18814</v>
      </c>
      <c r="AI632" s="80">
        <v>21</v>
      </c>
      <c r="AJ632" s="80"/>
      <c r="AK632" s="80" t="s">
        <v>9520</v>
      </c>
      <c r="AL632" s="80" t="s">
        <v>10434</v>
      </c>
      <c r="AM632" s="87" t="str">
        <f>HYPERLINK("https://t.co/xMgaKkEEWB")</f>
        <v>https://t.co/xMgaKkEEWB</v>
      </c>
      <c r="AN632" s="80"/>
      <c r="AO632" s="82">
        <v>40941.30809027778</v>
      </c>
      <c r="AP632" s="87" t="str">
        <f>HYPERLINK("https://pbs.twimg.com/profile_banners/481047841/1614017645")</f>
        <v>https://pbs.twimg.com/profile_banners/481047841/1614017645</v>
      </c>
      <c r="AQ632" s="80" t="b">
        <v>0</v>
      </c>
      <c r="AR632" s="80" t="b">
        <v>0</v>
      </c>
      <c r="AS632" s="80" t="b">
        <v>1</v>
      </c>
      <c r="AT632" s="80"/>
      <c r="AU632" s="80">
        <v>2</v>
      </c>
      <c r="AV632" s="87" t="str">
        <f>HYPERLINK("https://abs.twimg.com/images/themes/theme15/bg.png")</f>
        <v>https://abs.twimg.com/images/themes/theme15/bg.png</v>
      </c>
      <c r="AW632" s="80" t="b">
        <v>0</v>
      </c>
      <c r="AX632" s="80" t="s">
        <v>10746</v>
      </c>
      <c r="AY632" s="87" t="str">
        <f>HYPERLINK("https://twitter.com/xrzlx")</f>
        <v>https://twitter.com/xrzlx</v>
      </c>
      <c r="AZ632" s="80" t="s">
        <v>66</v>
      </c>
      <c r="BA632" s="2"/>
      <c r="BB632" s="3"/>
      <c r="BC632" s="3"/>
      <c r="BD632" s="3"/>
      <c r="BE632" s="3"/>
    </row>
    <row r="633" spans="1:57" x14ac:dyDescent="0.35">
      <c r="A633" s="66" t="s">
        <v>721</v>
      </c>
      <c r="B633" s="67"/>
      <c r="C633" s="67"/>
      <c r="D633" s="68"/>
      <c r="E633" s="70"/>
      <c r="F633" s="109" t="str">
        <f>HYPERLINK("https://pbs.twimg.com/profile_images/1440355026677821440/aPfuqANc_normal.jpg")</f>
        <v>https://pbs.twimg.com/profile_images/1440355026677821440/aPfuqANc_normal.jpg</v>
      </c>
      <c r="G633" s="67"/>
      <c r="H633" s="71"/>
      <c r="I633" s="72"/>
      <c r="J633" s="72"/>
      <c r="K633" s="71" t="s">
        <v>11376</v>
      </c>
      <c r="L633" s="75"/>
      <c r="M633" s="76"/>
      <c r="N633" s="76"/>
      <c r="O633" s="77"/>
      <c r="P633" s="78"/>
      <c r="Q633" s="78"/>
      <c r="R633" s="92"/>
      <c r="S633" s="92"/>
      <c r="T633" s="92"/>
      <c r="U633" s="92"/>
      <c r="V633" s="52"/>
      <c r="W633" s="52"/>
      <c r="X633" s="52"/>
      <c r="Y633" s="52"/>
      <c r="Z633" s="51"/>
      <c r="AA633" s="73"/>
      <c r="AB633" s="73"/>
      <c r="AC633" s="74"/>
      <c r="AD633" s="80" t="s">
        <v>7209</v>
      </c>
      <c r="AE633" s="85" t="s">
        <v>6337</v>
      </c>
      <c r="AF633" s="80">
        <v>359</v>
      </c>
      <c r="AG633" s="80">
        <v>261</v>
      </c>
      <c r="AH633" s="80">
        <v>7438</v>
      </c>
      <c r="AI633" s="80">
        <v>8491</v>
      </c>
      <c r="AJ633" s="80"/>
      <c r="AK633" s="80" t="s">
        <v>9521</v>
      </c>
      <c r="AL633" s="80" t="s">
        <v>10435</v>
      </c>
      <c r="AM633" s="80"/>
      <c r="AN633" s="80"/>
      <c r="AO633" s="82">
        <v>44091.706134259257</v>
      </c>
      <c r="AP633" s="87" t="str">
        <f>HYPERLINK("https://pbs.twimg.com/profile_banners/1306637758127960064/1632242143")</f>
        <v>https://pbs.twimg.com/profile_banners/1306637758127960064/1632242143</v>
      </c>
      <c r="AQ633" s="80" t="b">
        <v>1</v>
      </c>
      <c r="AR633" s="80" t="b">
        <v>0</v>
      </c>
      <c r="AS633" s="80" t="b">
        <v>0</v>
      </c>
      <c r="AT633" s="80"/>
      <c r="AU633" s="80">
        <v>2</v>
      </c>
      <c r="AV633" s="80"/>
      <c r="AW633" s="80" t="b">
        <v>0</v>
      </c>
      <c r="AX633" s="80" t="s">
        <v>10746</v>
      </c>
      <c r="AY633" s="87" t="str">
        <f>HYPERLINK("https://twitter.com/calleenreesa")</f>
        <v>https://twitter.com/calleenreesa</v>
      </c>
      <c r="AZ633" s="80" t="s">
        <v>66</v>
      </c>
      <c r="BA633" s="2"/>
      <c r="BB633" s="3"/>
      <c r="BC633" s="3"/>
      <c r="BD633" s="3"/>
      <c r="BE633" s="3"/>
    </row>
    <row r="634" spans="1:57" x14ac:dyDescent="0.35">
      <c r="A634" s="66" t="s">
        <v>722</v>
      </c>
      <c r="B634" s="67"/>
      <c r="C634" s="67"/>
      <c r="D634" s="68"/>
      <c r="E634" s="70"/>
      <c r="F634" s="109" t="str">
        <f>HYPERLINK("https://pbs.twimg.com/profile_images/1437344617351958530/p5iTb8Ej_normal.jpg")</f>
        <v>https://pbs.twimg.com/profile_images/1437344617351958530/p5iTb8Ej_normal.jpg</v>
      </c>
      <c r="G634" s="67"/>
      <c r="H634" s="71"/>
      <c r="I634" s="72"/>
      <c r="J634" s="72"/>
      <c r="K634" s="71" t="s">
        <v>11377</v>
      </c>
      <c r="L634" s="75"/>
      <c r="M634" s="76"/>
      <c r="N634" s="76"/>
      <c r="O634" s="77"/>
      <c r="P634" s="78"/>
      <c r="Q634" s="78"/>
      <c r="R634" s="92"/>
      <c r="S634" s="92"/>
      <c r="T634" s="92"/>
      <c r="U634" s="92"/>
      <c r="V634" s="52"/>
      <c r="W634" s="52"/>
      <c r="X634" s="52"/>
      <c r="Y634" s="52"/>
      <c r="Z634" s="51"/>
      <c r="AA634" s="73"/>
      <c r="AB634" s="73"/>
      <c r="AC634" s="74"/>
      <c r="AD634" s="80" t="s">
        <v>7210</v>
      </c>
      <c r="AE634" s="85" t="s">
        <v>8404</v>
      </c>
      <c r="AF634" s="80">
        <v>988</v>
      </c>
      <c r="AG634" s="80">
        <v>6817</v>
      </c>
      <c r="AH634" s="80">
        <v>119699</v>
      </c>
      <c r="AI634" s="80">
        <v>20134</v>
      </c>
      <c r="AJ634" s="80"/>
      <c r="AK634" s="80" t="s">
        <v>9522</v>
      </c>
      <c r="AL634" s="80" t="s">
        <v>6543</v>
      </c>
      <c r="AM634" s="87" t="str">
        <f>HYPERLINK("https://t.co/iZtOwEcac5")</f>
        <v>https://t.co/iZtOwEcac5</v>
      </c>
      <c r="AN634" s="80"/>
      <c r="AO634" s="82">
        <v>39982.26357638889</v>
      </c>
      <c r="AP634" s="87" t="str">
        <f>HYPERLINK("https://pbs.twimg.com/profile_banners/48267774/1515321995")</f>
        <v>https://pbs.twimg.com/profile_banners/48267774/1515321995</v>
      </c>
      <c r="AQ634" s="80" t="b">
        <v>0</v>
      </c>
      <c r="AR634" s="80" t="b">
        <v>0</v>
      </c>
      <c r="AS634" s="80" t="b">
        <v>1</v>
      </c>
      <c r="AT634" s="80"/>
      <c r="AU634" s="80">
        <v>35</v>
      </c>
      <c r="AV634" s="87" t="str">
        <f>HYPERLINK("https://abs.twimg.com/images/themes/theme13/bg.gif")</f>
        <v>https://abs.twimg.com/images/themes/theme13/bg.gif</v>
      </c>
      <c r="AW634" s="80" t="b">
        <v>0</v>
      </c>
      <c r="AX634" s="80" t="s">
        <v>10746</v>
      </c>
      <c r="AY634" s="87" t="str">
        <f>HYPERLINK("https://twitter.com/sylvkartika")</f>
        <v>https://twitter.com/sylvkartika</v>
      </c>
      <c r="AZ634" s="80" t="s">
        <v>66</v>
      </c>
      <c r="BA634" s="2"/>
      <c r="BB634" s="3"/>
      <c r="BC634" s="3"/>
      <c r="BD634" s="3"/>
      <c r="BE634" s="3"/>
    </row>
    <row r="635" spans="1:57" x14ac:dyDescent="0.35">
      <c r="A635" s="66" t="s">
        <v>723</v>
      </c>
      <c r="B635" s="67"/>
      <c r="C635" s="67"/>
      <c r="D635" s="68"/>
      <c r="E635" s="70"/>
      <c r="F635" s="109" t="str">
        <f>HYPERLINK("https://pbs.twimg.com/profile_images/1426877941779099649/2NDL-qF2_normal.jpg")</f>
        <v>https://pbs.twimg.com/profile_images/1426877941779099649/2NDL-qF2_normal.jpg</v>
      </c>
      <c r="G635" s="67"/>
      <c r="H635" s="71"/>
      <c r="I635" s="72"/>
      <c r="J635" s="72"/>
      <c r="K635" s="71" t="s">
        <v>11378</v>
      </c>
      <c r="L635" s="75"/>
      <c r="M635" s="76"/>
      <c r="N635" s="76"/>
      <c r="O635" s="77"/>
      <c r="P635" s="78"/>
      <c r="Q635" s="78"/>
      <c r="R635" s="92"/>
      <c r="S635" s="92"/>
      <c r="T635" s="92"/>
      <c r="U635" s="92"/>
      <c r="V635" s="52"/>
      <c r="W635" s="52"/>
      <c r="X635" s="52"/>
      <c r="Y635" s="52"/>
      <c r="Z635" s="51"/>
      <c r="AA635" s="73"/>
      <c r="AB635" s="73"/>
      <c r="AC635" s="74"/>
      <c r="AD635" s="80" t="s">
        <v>7211</v>
      </c>
      <c r="AE635" s="85" t="s">
        <v>8405</v>
      </c>
      <c r="AF635" s="80">
        <v>204</v>
      </c>
      <c r="AG635" s="80">
        <v>146</v>
      </c>
      <c r="AH635" s="80">
        <v>14480</v>
      </c>
      <c r="AI635" s="80">
        <v>60</v>
      </c>
      <c r="AJ635" s="80"/>
      <c r="AK635" s="80"/>
      <c r="AL635" s="80" t="s">
        <v>10436</v>
      </c>
      <c r="AM635" s="80"/>
      <c r="AN635" s="80"/>
      <c r="AO635" s="82">
        <v>44362.426527777781</v>
      </c>
      <c r="AP635" s="87" t="str">
        <f>HYPERLINK("https://pbs.twimg.com/profile_banners/1404743996266614784/1623804027")</f>
        <v>https://pbs.twimg.com/profile_banners/1404743996266614784/1623804027</v>
      </c>
      <c r="AQ635" s="80" t="b">
        <v>1</v>
      </c>
      <c r="AR635" s="80" t="b">
        <v>0</v>
      </c>
      <c r="AS635" s="80" t="b">
        <v>0</v>
      </c>
      <c r="AT635" s="80"/>
      <c r="AU635" s="80">
        <v>0</v>
      </c>
      <c r="AV635" s="80"/>
      <c r="AW635" s="80" t="b">
        <v>0</v>
      </c>
      <c r="AX635" s="80" t="s">
        <v>10746</v>
      </c>
      <c r="AY635" s="87" t="str">
        <f>HYPERLINK("https://twitter.com/df9994447")</f>
        <v>https://twitter.com/df9994447</v>
      </c>
      <c r="AZ635" s="80" t="s">
        <v>66</v>
      </c>
      <c r="BA635" s="2"/>
      <c r="BB635" s="3"/>
      <c r="BC635" s="3"/>
      <c r="BD635" s="3"/>
      <c r="BE635" s="3"/>
    </row>
    <row r="636" spans="1:57" x14ac:dyDescent="0.35">
      <c r="A636" s="66" t="s">
        <v>724</v>
      </c>
      <c r="B636" s="67"/>
      <c r="C636" s="67"/>
      <c r="D636" s="68"/>
      <c r="E636" s="70"/>
      <c r="F636" s="109" t="str">
        <f>HYPERLINK("https://pbs.twimg.com/profile_images/1438409944068329472/d6cQ-BKO_normal.jpg")</f>
        <v>https://pbs.twimg.com/profile_images/1438409944068329472/d6cQ-BKO_normal.jpg</v>
      </c>
      <c r="G636" s="67"/>
      <c r="H636" s="71"/>
      <c r="I636" s="72"/>
      <c r="J636" s="72"/>
      <c r="K636" s="71" t="s">
        <v>11379</v>
      </c>
      <c r="L636" s="75"/>
      <c r="M636" s="76"/>
      <c r="N636" s="76"/>
      <c r="O636" s="77"/>
      <c r="P636" s="78"/>
      <c r="Q636" s="78"/>
      <c r="R636" s="92"/>
      <c r="S636" s="92"/>
      <c r="T636" s="92"/>
      <c r="U636" s="92"/>
      <c r="V636" s="52"/>
      <c r="W636" s="52"/>
      <c r="X636" s="52"/>
      <c r="Y636" s="52"/>
      <c r="Z636" s="51"/>
      <c r="AA636" s="73"/>
      <c r="AB636" s="73"/>
      <c r="AC636" s="74"/>
      <c r="AD636" s="80" t="s">
        <v>7212</v>
      </c>
      <c r="AE636" s="85" t="s">
        <v>8406</v>
      </c>
      <c r="AF636" s="80">
        <v>113</v>
      </c>
      <c r="AG636" s="80">
        <v>59</v>
      </c>
      <c r="AH636" s="80">
        <v>100</v>
      </c>
      <c r="AI636" s="80">
        <v>18</v>
      </c>
      <c r="AJ636" s="80"/>
      <c r="AK636" s="80" t="s">
        <v>9523</v>
      </c>
      <c r="AL636" s="80"/>
      <c r="AM636" s="80"/>
      <c r="AN636" s="80"/>
      <c r="AO636" s="82">
        <v>43953.47084490741</v>
      </c>
      <c r="AP636" s="80"/>
      <c r="AQ636" s="80" t="b">
        <v>1</v>
      </c>
      <c r="AR636" s="80" t="b">
        <v>0</v>
      </c>
      <c r="AS636" s="80" t="b">
        <v>0</v>
      </c>
      <c r="AT636" s="80"/>
      <c r="AU636" s="80">
        <v>0</v>
      </c>
      <c r="AV636" s="80"/>
      <c r="AW636" s="80" t="b">
        <v>0</v>
      </c>
      <c r="AX636" s="80" t="s">
        <v>10746</v>
      </c>
      <c r="AY636" s="87" t="str">
        <f>HYPERLINK("https://twitter.com/luvmlikeudu")</f>
        <v>https://twitter.com/luvmlikeudu</v>
      </c>
      <c r="AZ636" s="80" t="s">
        <v>66</v>
      </c>
      <c r="BA636" s="2"/>
      <c r="BB636" s="3"/>
      <c r="BC636" s="3"/>
      <c r="BD636" s="3"/>
      <c r="BE636" s="3"/>
    </row>
    <row r="637" spans="1:57" x14ac:dyDescent="0.35">
      <c r="A637" s="66" t="s">
        <v>725</v>
      </c>
      <c r="B637" s="67"/>
      <c r="C637" s="67"/>
      <c r="D637" s="68"/>
      <c r="E637" s="70"/>
      <c r="F637" s="109" t="str">
        <f>HYPERLINK("https://pbs.twimg.com/profile_images/1404259667518189570/i72TUNTf_normal.jpg")</f>
        <v>https://pbs.twimg.com/profile_images/1404259667518189570/i72TUNTf_normal.jpg</v>
      </c>
      <c r="G637" s="67"/>
      <c r="H637" s="71"/>
      <c r="I637" s="72"/>
      <c r="J637" s="72"/>
      <c r="K637" s="71" t="s">
        <v>11380</v>
      </c>
      <c r="L637" s="75"/>
      <c r="M637" s="76"/>
      <c r="N637" s="76"/>
      <c r="O637" s="77"/>
      <c r="P637" s="78"/>
      <c r="Q637" s="78"/>
      <c r="R637" s="92"/>
      <c r="S637" s="92"/>
      <c r="T637" s="92"/>
      <c r="U637" s="92"/>
      <c r="V637" s="52"/>
      <c r="W637" s="52"/>
      <c r="X637" s="52"/>
      <c r="Y637" s="52"/>
      <c r="Z637" s="51"/>
      <c r="AA637" s="73"/>
      <c r="AB637" s="73"/>
      <c r="AC637" s="74"/>
      <c r="AD637" s="80" t="s">
        <v>7213</v>
      </c>
      <c r="AE637" s="85" t="s">
        <v>8407</v>
      </c>
      <c r="AF637" s="80">
        <v>630</v>
      </c>
      <c r="AG637" s="80">
        <v>302</v>
      </c>
      <c r="AH637" s="80">
        <v>41361</v>
      </c>
      <c r="AI637" s="80">
        <v>4550</v>
      </c>
      <c r="AJ637" s="80"/>
      <c r="AK637" s="80" t="s">
        <v>9524</v>
      </c>
      <c r="AL637" s="80" t="s">
        <v>10138</v>
      </c>
      <c r="AM637" s="87" t="str">
        <f>HYPERLINK("https://t.co/hZJ4eVuIK2")</f>
        <v>https://t.co/hZJ4eVuIK2</v>
      </c>
      <c r="AN637" s="80"/>
      <c r="AO637" s="82">
        <v>40410.608900462961</v>
      </c>
      <c r="AP637" s="87" t="str">
        <f>HYPERLINK("https://pbs.twimg.com/profile_banners/180802622/1477965953")</f>
        <v>https://pbs.twimg.com/profile_banners/180802622/1477965953</v>
      </c>
      <c r="AQ637" s="80" t="b">
        <v>0</v>
      </c>
      <c r="AR637" s="80" t="b">
        <v>0</v>
      </c>
      <c r="AS637" s="80" t="b">
        <v>1</v>
      </c>
      <c r="AT637" s="80"/>
      <c r="AU637" s="80">
        <v>5</v>
      </c>
      <c r="AV637" s="87" t="str">
        <f>HYPERLINK("https://abs.twimg.com/images/themes/theme1/bg.png")</f>
        <v>https://abs.twimg.com/images/themes/theme1/bg.png</v>
      </c>
      <c r="AW637" s="80" t="b">
        <v>0</v>
      </c>
      <c r="AX637" s="80" t="s">
        <v>10746</v>
      </c>
      <c r="AY637" s="87" t="str">
        <f>HYPERLINK("https://twitter.com/siiandhy")</f>
        <v>https://twitter.com/siiandhy</v>
      </c>
      <c r="AZ637" s="80" t="s">
        <v>66</v>
      </c>
      <c r="BA637" s="2"/>
      <c r="BB637" s="3"/>
      <c r="BC637" s="3"/>
      <c r="BD637" s="3"/>
      <c r="BE637" s="3"/>
    </row>
    <row r="638" spans="1:57" x14ac:dyDescent="0.35">
      <c r="A638" s="66" t="s">
        <v>726</v>
      </c>
      <c r="B638" s="67"/>
      <c r="C638" s="67"/>
      <c r="D638" s="68"/>
      <c r="E638" s="70"/>
      <c r="F638" s="109" t="str">
        <f>HYPERLINK("https://pbs.twimg.com/profile_images/1439585268269342726/sBe2vb7E_normal.jpg")</f>
        <v>https://pbs.twimg.com/profile_images/1439585268269342726/sBe2vb7E_normal.jpg</v>
      </c>
      <c r="G638" s="67"/>
      <c r="H638" s="71"/>
      <c r="I638" s="72"/>
      <c r="J638" s="72"/>
      <c r="K638" s="71" t="s">
        <v>11381</v>
      </c>
      <c r="L638" s="75"/>
      <c r="M638" s="76"/>
      <c r="N638" s="76"/>
      <c r="O638" s="77"/>
      <c r="P638" s="78"/>
      <c r="Q638" s="78"/>
      <c r="R638" s="92"/>
      <c r="S638" s="92"/>
      <c r="T638" s="92"/>
      <c r="U638" s="92"/>
      <c r="V638" s="52"/>
      <c r="W638" s="52"/>
      <c r="X638" s="52"/>
      <c r="Y638" s="52"/>
      <c r="Z638" s="51"/>
      <c r="AA638" s="73"/>
      <c r="AB638" s="73"/>
      <c r="AC638" s="74"/>
      <c r="AD638" s="80" t="s">
        <v>7214</v>
      </c>
      <c r="AE638" s="85" t="s">
        <v>8408</v>
      </c>
      <c r="AF638" s="80">
        <v>594</v>
      </c>
      <c r="AG638" s="80">
        <v>480</v>
      </c>
      <c r="AH638" s="80">
        <v>5830</v>
      </c>
      <c r="AI638" s="80">
        <v>7571</v>
      </c>
      <c r="AJ638" s="80"/>
      <c r="AK638" s="80" t="s">
        <v>9525</v>
      </c>
      <c r="AL638" s="80" t="s">
        <v>10437</v>
      </c>
      <c r="AM638" s="80"/>
      <c r="AN638" s="80"/>
      <c r="AO638" s="82">
        <v>44192.419918981483</v>
      </c>
      <c r="AP638" s="87" t="str">
        <f>HYPERLINK("https://pbs.twimg.com/profile_banners/1343135608592424966/1629472169")</f>
        <v>https://pbs.twimg.com/profile_banners/1343135608592424966/1629472169</v>
      </c>
      <c r="AQ638" s="80" t="b">
        <v>1</v>
      </c>
      <c r="AR638" s="80" t="b">
        <v>0</v>
      </c>
      <c r="AS638" s="80" t="b">
        <v>0</v>
      </c>
      <c r="AT638" s="80"/>
      <c r="AU638" s="80">
        <v>0</v>
      </c>
      <c r="AV638" s="80"/>
      <c r="AW638" s="80" t="b">
        <v>0</v>
      </c>
      <c r="AX638" s="80" t="s">
        <v>10746</v>
      </c>
      <c r="AY638" s="87" t="str">
        <f>HYPERLINK("https://twitter.com/miyongyu")</f>
        <v>https://twitter.com/miyongyu</v>
      </c>
      <c r="AZ638" s="80" t="s">
        <v>66</v>
      </c>
      <c r="BA638" s="2"/>
      <c r="BB638" s="3"/>
      <c r="BC638" s="3"/>
      <c r="BD638" s="3"/>
      <c r="BE638" s="3"/>
    </row>
    <row r="639" spans="1:57" x14ac:dyDescent="0.35">
      <c r="A639" s="66" t="s">
        <v>848</v>
      </c>
      <c r="B639" s="67"/>
      <c r="C639" s="67"/>
      <c r="D639" s="68"/>
      <c r="E639" s="70"/>
      <c r="F639" s="109" t="str">
        <f>HYPERLINK("https://pbs.twimg.com/profile_images/1439178728395853827/e6teIfPf_normal.jpg")</f>
        <v>https://pbs.twimg.com/profile_images/1439178728395853827/e6teIfPf_normal.jpg</v>
      </c>
      <c r="G639" s="67"/>
      <c r="H639" s="71"/>
      <c r="I639" s="72"/>
      <c r="J639" s="72"/>
      <c r="K639" s="71" t="s">
        <v>11382</v>
      </c>
      <c r="L639" s="75"/>
      <c r="M639" s="76"/>
      <c r="N639" s="76"/>
      <c r="O639" s="77"/>
      <c r="P639" s="78"/>
      <c r="Q639" s="78"/>
      <c r="R639" s="92"/>
      <c r="S639" s="92"/>
      <c r="T639" s="92"/>
      <c r="U639" s="92"/>
      <c r="V639" s="52"/>
      <c r="W639" s="52"/>
      <c r="X639" s="52"/>
      <c r="Y639" s="52"/>
      <c r="Z639" s="51"/>
      <c r="AA639" s="73"/>
      <c r="AB639" s="73"/>
      <c r="AC639" s="74"/>
      <c r="AD639" s="80" t="s">
        <v>7215</v>
      </c>
      <c r="AE639" s="85" t="s">
        <v>8409</v>
      </c>
      <c r="AF639" s="80">
        <v>249</v>
      </c>
      <c r="AG639" s="80">
        <v>37</v>
      </c>
      <c r="AH639" s="80">
        <v>1125</v>
      </c>
      <c r="AI639" s="80">
        <v>595</v>
      </c>
      <c r="AJ639" s="80"/>
      <c r="AK639" s="80" t="s">
        <v>9526</v>
      </c>
      <c r="AL639" s="80" t="s">
        <v>10438</v>
      </c>
      <c r="AM639" s="80"/>
      <c r="AN639" s="80"/>
      <c r="AO639" s="82">
        <v>44302.686874999999</v>
      </c>
      <c r="AP639" s="87" t="str">
        <f>HYPERLINK("https://pbs.twimg.com/profile_banners/1383095073286410242/1631961622")</f>
        <v>https://pbs.twimg.com/profile_banners/1383095073286410242/1631961622</v>
      </c>
      <c r="AQ639" s="80" t="b">
        <v>1</v>
      </c>
      <c r="AR639" s="80" t="b">
        <v>0</v>
      </c>
      <c r="AS639" s="80" t="b">
        <v>0</v>
      </c>
      <c r="AT639" s="80"/>
      <c r="AU639" s="80">
        <v>0</v>
      </c>
      <c r="AV639" s="80"/>
      <c r="AW639" s="80" t="b">
        <v>0</v>
      </c>
      <c r="AX639" s="80" t="s">
        <v>10746</v>
      </c>
      <c r="AY639" s="87" t="str">
        <f>HYPERLINK("https://twitter.com/tyongluvb")</f>
        <v>https://twitter.com/tyongluvb</v>
      </c>
      <c r="AZ639" s="80" t="s">
        <v>66</v>
      </c>
      <c r="BA639" s="2"/>
      <c r="BB639" s="3"/>
      <c r="BC639" s="3"/>
      <c r="BD639" s="3"/>
      <c r="BE639" s="3"/>
    </row>
    <row r="640" spans="1:57" x14ac:dyDescent="0.35">
      <c r="A640" s="66" t="s">
        <v>727</v>
      </c>
      <c r="B640" s="67"/>
      <c r="C640" s="67"/>
      <c r="D640" s="68"/>
      <c r="E640" s="70"/>
      <c r="F640" s="109" t="str">
        <f>HYPERLINK("https://pbs.twimg.com/profile_images/1440308655086178307/35wgewAQ_normal.jpg")</f>
        <v>https://pbs.twimg.com/profile_images/1440308655086178307/35wgewAQ_normal.jpg</v>
      </c>
      <c r="G640" s="67"/>
      <c r="H640" s="71"/>
      <c r="I640" s="72"/>
      <c r="J640" s="72"/>
      <c r="K640" s="71" t="s">
        <v>11383</v>
      </c>
      <c r="L640" s="75"/>
      <c r="M640" s="76"/>
      <c r="N640" s="76"/>
      <c r="O640" s="77"/>
      <c r="P640" s="78"/>
      <c r="Q640" s="78"/>
      <c r="R640" s="92"/>
      <c r="S640" s="92"/>
      <c r="T640" s="92"/>
      <c r="U640" s="92"/>
      <c r="V640" s="52"/>
      <c r="W640" s="52"/>
      <c r="X640" s="52"/>
      <c r="Y640" s="52"/>
      <c r="Z640" s="51"/>
      <c r="AA640" s="73"/>
      <c r="AB640" s="73"/>
      <c r="AC640" s="74"/>
      <c r="AD640" s="80" t="s">
        <v>7216</v>
      </c>
      <c r="AE640" s="85" t="s">
        <v>8410</v>
      </c>
      <c r="AF640" s="80">
        <v>314</v>
      </c>
      <c r="AG640" s="80">
        <v>175</v>
      </c>
      <c r="AH640" s="80">
        <v>4016</v>
      </c>
      <c r="AI640" s="80">
        <v>3541</v>
      </c>
      <c r="AJ640" s="80"/>
      <c r="AK640" s="80" t="s">
        <v>9527</v>
      </c>
      <c r="AL640" s="80" t="s">
        <v>10182</v>
      </c>
      <c r="AM640" s="87" t="str">
        <f>HYPERLINK("https://t.co/0GsKqXsbz4")</f>
        <v>https://t.co/0GsKqXsbz4</v>
      </c>
      <c r="AN640" s="80"/>
      <c r="AO640" s="82">
        <v>44209.284884259258</v>
      </c>
      <c r="AP640" s="87" t="str">
        <f>HYPERLINK("https://pbs.twimg.com/profile_banners/1349247332563369986/1629324989")</f>
        <v>https://pbs.twimg.com/profile_banners/1349247332563369986/1629324989</v>
      </c>
      <c r="AQ640" s="80" t="b">
        <v>1</v>
      </c>
      <c r="AR640" s="80" t="b">
        <v>0</v>
      </c>
      <c r="AS640" s="80" t="b">
        <v>0</v>
      </c>
      <c r="AT640" s="80"/>
      <c r="AU640" s="80">
        <v>0</v>
      </c>
      <c r="AV640" s="80"/>
      <c r="AW640" s="80" t="b">
        <v>0</v>
      </c>
      <c r="AX640" s="80" t="s">
        <v>10746</v>
      </c>
      <c r="AY640" s="87" t="str">
        <f>HYPERLINK("https://twitter.com/jentokiee")</f>
        <v>https://twitter.com/jentokiee</v>
      </c>
      <c r="AZ640" s="80" t="s">
        <v>66</v>
      </c>
      <c r="BA640" s="2"/>
      <c r="BB640" s="3"/>
      <c r="BC640" s="3"/>
      <c r="BD640" s="3"/>
      <c r="BE640" s="3"/>
    </row>
    <row r="641" spans="1:57" x14ac:dyDescent="0.35">
      <c r="A641" s="66" t="s">
        <v>728</v>
      </c>
      <c r="B641" s="67"/>
      <c r="C641" s="67"/>
      <c r="D641" s="68"/>
      <c r="E641" s="70"/>
      <c r="F641" s="109" t="str">
        <f>HYPERLINK("https://pbs.twimg.com/profile_images/1433090595392688136/Qjy0xXOZ_normal.jpg")</f>
        <v>https://pbs.twimg.com/profile_images/1433090595392688136/Qjy0xXOZ_normal.jpg</v>
      </c>
      <c r="G641" s="67"/>
      <c r="H641" s="71"/>
      <c r="I641" s="72"/>
      <c r="J641" s="72"/>
      <c r="K641" s="71" t="s">
        <v>11384</v>
      </c>
      <c r="L641" s="75"/>
      <c r="M641" s="76"/>
      <c r="N641" s="76"/>
      <c r="O641" s="77"/>
      <c r="P641" s="78"/>
      <c r="Q641" s="78"/>
      <c r="R641" s="92"/>
      <c r="S641" s="92"/>
      <c r="T641" s="92"/>
      <c r="U641" s="92"/>
      <c r="V641" s="52"/>
      <c r="W641" s="52"/>
      <c r="X641" s="52"/>
      <c r="Y641" s="52"/>
      <c r="Z641" s="51"/>
      <c r="AA641" s="73"/>
      <c r="AB641" s="73"/>
      <c r="AC641" s="74"/>
      <c r="AD641" s="80" t="s">
        <v>7217</v>
      </c>
      <c r="AE641" s="85" t="s">
        <v>8411</v>
      </c>
      <c r="AF641" s="80">
        <v>4154</v>
      </c>
      <c r="AG641" s="80">
        <v>3272</v>
      </c>
      <c r="AH641" s="80">
        <v>22684</v>
      </c>
      <c r="AI641" s="80">
        <v>22690</v>
      </c>
      <c r="AJ641" s="80"/>
      <c r="AK641" s="80" t="s">
        <v>9528</v>
      </c>
      <c r="AL641" s="80" t="s">
        <v>10439</v>
      </c>
      <c r="AM641" s="87" t="str">
        <f>HYPERLINK("https://t.co/pPyUexggmn")</f>
        <v>https://t.co/pPyUexggmn</v>
      </c>
      <c r="AN641" s="80"/>
      <c r="AO641" s="82">
        <v>44202.574490740742</v>
      </c>
      <c r="AP641" s="87" t="str">
        <f>HYPERLINK("https://pbs.twimg.com/profile_banners/1346815530250817536/1626611453")</f>
        <v>https://pbs.twimg.com/profile_banners/1346815530250817536/1626611453</v>
      </c>
      <c r="AQ641" s="80" t="b">
        <v>1</v>
      </c>
      <c r="AR641" s="80" t="b">
        <v>0</v>
      </c>
      <c r="AS641" s="80" t="b">
        <v>0</v>
      </c>
      <c r="AT641" s="80"/>
      <c r="AU641" s="80">
        <v>5</v>
      </c>
      <c r="AV641" s="80"/>
      <c r="AW641" s="80" t="b">
        <v>0</v>
      </c>
      <c r="AX641" s="80" t="s">
        <v>10746</v>
      </c>
      <c r="AY641" s="87" t="str">
        <f>HYPERLINK("https://twitter.com/wh0junie")</f>
        <v>https://twitter.com/wh0junie</v>
      </c>
      <c r="AZ641" s="80" t="s">
        <v>66</v>
      </c>
      <c r="BA641" s="2"/>
      <c r="BB641" s="3"/>
      <c r="BC641" s="3"/>
      <c r="BD641" s="3"/>
      <c r="BE641" s="3"/>
    </row>
    <row r="642" spans="1:57" x14ac:dyDescent="0.35">
      <c r="A642" s="66" t="s">
        <v>729</v>
      </c>
      <c r="B642" s="67"/>
      <c r="C642" s="67"/>
      <c r="D642" s="68"/>
      <c r="E642" s="70"/>
      <c r="F642" s="109" t="str">
        <f>HYPERLINK("https://pbs.twimg.com/profile_images/1421543304961826816/pencPTQZ_normal.jpg")</f>
        <v>https://pbs.twimg.com/profile_images/1421543304961826816/pencPTQZ_normal.jpg</v>
      </c>
      <c r="G642" s="67"/>
      <c r="H642" s="71"/>
      <c r="I642" s="72"/>
      <c r="J642" s="72"/>
      <c r="K642" s="71" t="s">
        <v>11385</v>
      </c>
      <c r="L642" s="75"/>
      <c r="M642" s="76"/>
      <c r="N642" s="76"/>
      <c r="O642" s="77"/>
      <c r="P642" s="78"/>
      <c r="Q642" s="78"/>
      <c r="R642" s="92"/>
      <c r="S642" s="92"/>
      <c r="T642" s="92"/>
      <c r="U642" s="92"/>
      <c r="V642" s="52"/>
      <c r="W642" s="52"/>
      <c r="X642" s="52"/>
      <c r="Y642" s="52"/>
      <c r="Z642" s="51"/>
      <c r="AA642" s="73"/>
      <c r="AB642" s="73"/>
      <c r="AC642" s="74"/>
      <c r="AD642" s="80" t="s">
        <v>7218</v>
      </c>
      <c r="AE642" s="85" t="s">
        <v>8412</v>
      </c>
      <c r="AF642" s="80">
        <v>481</v>
      </c>
      <c r="AG642" s="80">
        <v>443</v>
      </c>
      <c r="AH642" s="80">
        <v>18187</v>
      </c>
      <c r="AI642" s="80">
        <v>30817</v>
      </c>
      <c r="AJ642" s="80"/>
      <c r="AK642" s="80" t="s">
        <v>9529</v>
      </c>
      <c r="AL642" s="80" t="s">
        <v>10440</v>
      </c>
      <c r="AM642" s="80"/>
      <c r="AN642" s="80"/>
      <c r="AO642" s="82">
        <v>44170.657060185185</v>
      </c>
      <c r="AP642" s="87" t="str">
        <f>HYPERLINK("https://pbs.twimg.com/profile_banners/1335249052351401984/1627488836")</f>
        <v>https://pbs.twimg.com/profile_banners/1335249052351401984/1627488836</v>
      </c>
      <c r="AQ642" s="80" t="b">
        <v>1</v>
      </c>
      <c r="AR642" s="80" t="b">
        <v>0</v>
      </c>
      <c r="AS642" s="80" t="b">
        <v>0</v>
      </c>
      <c r="AT642" s="80"/>
      <c r="AU642" s="80">
        <v>3</v>
      </c>
      <c r="AV642" s="80"/>
      <c r="AW642" s="80" t="b">
        <v>0</v>
      </c>
      <c r="AX642" s="80" t="s">
        <v>10746</v>
      </c>
      <c r="AY642" s="87" t="str">
        <f>HYPERLINK("https://twitter.com/chocoboyksw")</f>
        <v>https://twitter.com/chocoboyksw</v>
      </c>
      <c r="AZ642" s="80" t="s">
        <v>66</v>
      </c>
      <c r="BA642" s="2"/>
      <c r="BB642" s="3"/>
      <c r="BC642" s="3"/>
      <c r="BD642" s="3"/>
      <c r="BE642" s="3"/>
    </row>
    <row r="643" spans="1:57" x14ac:dyDescent="0.35">
      <c r="A643" s="66" t="s">
        <v>730</v>
      </c>
      <c r="B643" s="67"/>
      <c r="C643" s="67"/>
      <c r="D643" s="68"/>
      <c r="E643" s="70"/>
      <c r="F643" s="109" t="str">
        <f>HYPERLINK("https://pbs.twimg.com/profile_images/1305722746282733569/ZVSviG03_normal.jpg")</f>
        <v>https://pbs.twimg.com/profile_images/1305722746282733569/ZVSviG03_normal.jpg</v>
      </c>
      <c r="G643" s="67"/>
      <c r="H643" s="71"/>
      <c r="I643" s="72"/>
      <c r="J643" s="72"/>
      <c r="K643" s="71" t="s">
        <v>11386</v>
      </c>
      <c r="L643" s="75"/>
      <c r="M643" s="76"/>
      <c r="N643" s="76"/>
      <c r="O643" s="77"/>
      <c r="P643" s="78"/>
      <c r="Q643" s="78"/>
      <c r="R643" s="92"/>
      <c r="S643" s="92"/>
      <c r="T643" s="92"/>
      <c r="U643" s="92"/>
      <c r="V643" s="52"/>
      <c r="W643" s="52"/>
      <c r="X643" s="52"/>
      <c r="Y643" s="52"/>
      <c r="Z643" s="51"/>
      <c r="AA643" s="73"/>
      <c r="AB643" s="73"/>
      <c r="AC643" s="74"/>
      <c r="AD643" s="80" t="s">
        <v>7219</v>
      </c>
      <c r="AE643" s="85" t="s">
        <v>8413</v>
      </c>
      <c r="AF643" s="80">
        <v>47</v>
      </c>
      <c r="AG643" s="80">
        <v>69</v>
      </c>
      <c r="AH643" s="80">
        <v>727</v>
      </c>
      <c r="AI643" s="80">
        <v>5</v>
      </c>
      <c r="AJ643" s="80"/>
      <c r="AK643" s="80" t="s">
        <v>9530</v>
      </c>
      <c r="AL643" s="80" t="s">
        <v>10441</v>
      </c>
      <c r="AM643" s="87" t="str">
        <f>HYPERLINK("https://t.co/nuTI2TePu1")</f>
        <v>https://t.co/nuTI2TePu1</v>
      </c>
      <c r="AN643" s="80"/>
      <c r="AO643" s="82">
        <v>42901.443784722222</v>
      </c>
      <c r="AP643" s="87" t="str">
        <f>HYPERLINK("https://pbs.twimg.com/profile_banners/875301622154371072/1616477123")</f>
        <v>https://pbs.twimg.com/profile_banners/875301622154371072/1616477123</v>
      </c>
      <c r="AQ643" s="80" t="b">
        <v>1</v>
      </c>
      <c r="AR643" s="80" t="b">
        <v>0</v>
      </c>
      <c r="AS643" s="80" t="b">
        <v>1</v>
      </c>
      <c r="AT643" s="80"/>
      <c r="AU643" s="80">
        <v>0</v>
      </c>
      <c r="AV643" s="80"/>
      <c r="AW643" s="80" t="b">
        <v>0</v>
      </c>
      <c r="AX643" s="80" t="s">
        <v>10746</v>
      </c>
      <c r="AY643" s="87" t="str">
        <f>HYPERLINK("https://twitter.com/jasaraharjaaceh")</f>
        <v>https://twitter.com/jasaraharjaaceh</v>
      </c>
      <c r="AZ643" s="80" t="s">
        <v>66</v>
      </c>
      <c r="BA643" s="2"/>
      <c r="BB643" s="3"/>
      <c r="BC643" s="3"/>
      <c r="BD643" s="3"/>
      <c r="BE643" s="3"/>
    </row>
    <row r="644" spans="1:57" x14ac:dyDescent="0.35">
      <c r="A644" s="66" t="s">
        <v>731</v>
      </c>
      <c r="B644" s="67"/>
      <c r="C644" s="67"/>
      <c r="D644" s="68"/>
      <c r="E644" s="70"/>
      <c r="F644" s="109" t="str">
        <f>HYPERLINK("https://pbs.twimg.com/profile_images/1440529128940204040/TVkl0RyU_normal.jpg")</f>
        <v>https://pbs.twimg.com/profile_images/1440529128940204040/TVkl0RyU_normal.jpg</v>
      </c>
      <c r="G644" s="67"/>
      <c r="H644" s="71"/>
      <c r="I644" s="72"/>
      <c r="J644" s="72"/>
      <c r="K644" s="71" t="s">
        <v>11387</v>
      </c>
      <c r="L644" s="75"/>
      <c r="M644" s="76"/>
      <c r="N644" s="76"/>
      <c r="O644" s="77"/>
      <c r="P644" s="78"/>
      <c r="Q644" s="78"/>
      <c r="R644" s="92"/>
      <c r="S644" s="92"/>
      <c r="T644" s="92"/>
      <c r="U644" s="92"/>
      <c r="V644" s="52"/>
      <c r="W644" s="52"/>
      <c r="X644" s="52"/>
      <c r="Y644" s="52"/>
      <c r="Z644" s="51"/>
      <c r="AA644" s="73"/>
      <c r="AB644" s="73"/>
      <c r="AC644" s="74"/>
      <c r="AD644" s="80" t="s">
        <v>7220</v>
      </c>
      <c r="AE644" s="85" t="s">
        <v>8414</v>
      </c>
      <c r="AF644" s="80">
        <v>74</v>
      </c>
      <c r="AG644" s="80">
        <v>48</v>
      </c>
      <c r="AH644" s="80">
        <v>31</v>
      </c>
      <c r="AI644" s="80">
        <v>14</v>
      </c>
      <c r="AJ644" s="80"/>
      <c r="AK644" s="80" t="s">
        <v>9531</v>
      </c>
      <c r="AL644" s="80" t="s">
        <v>10134</v>
      </c>
      <c r="AM644" s="80"/>
      <c r="AN644" s="80"/>
      <c r="AO644" s="82">
        <v>41768.741493055553</v>
      </c>
      <c r="AP644" s="87" t="str">
        <f>HYPERLINK("https://pbs.twimg.com/profile_banners/2485662728/1632283978")</f>
        <v>https://pbs.twimg.com/profile_banners/2485662728/1632283978</v>
      </c>
      <c r="AQ644" s="80" t="b">
        <v>1</v>
      </c>
      <c r="AR644" s="80" t="b">
        <v>0</v>
      </c>
      <c r="AS644" s="80" t="b">
        <v>0</v>
      </c>
      <c r="AT644" s="80"/>
      <c r="AU644" s="80">
        <v>0</v>
      </c>
      <c r="AV644" s="87" t="str">
        <f>HYPERLINK("https://abs.twimg.com/images/themes/theme1/bg.png")</f>
        <v>https://abs.twimg.com/images/themes/theme1/bg.png</v>
      </c>
      <c r="AW644" s="80" t="b">
        <v>0</v>
      </c>
      <c r="AX644" s="80" t="s">
        <v>10746</v>
      </c>
      <c r="AY644" s="87" t="str">
        <f>HYPERLINK("https://twitter.com/anggita02727756")</f>
        <v>https://twitter.com/anggita02727756</v>
      </c>
      <c r="AZ644" s="80" t="s">
        <v>66</v>
      </c>
      <c r="BA644" s="2"/>
      <c r="BB644" s="3"/>
      <c r="BC644" s="3"/>
      <c r="BD644" s="3"/>
      <c r="BE644" s="3"/>
    </row>
    <row r="645" spans="1:57" x14ac:dyDescent="0.35">
      <c r="A645" s="66" t="s">
        <v>732</v>
      </c>
      <c r="B645" s="67"/>
      <c r="C645" s="67"/>
      <c r="D645" s="68"/>
      <c r="E645" s="70"/>
      <c r="F645" s="109" t="str">
        <f>HYPERLINK("https://pbs.twimg.com/profile_images/1436708613846810630/OWk4OF_w_normal.jpg")</f>
        <v>https://pbs.twimg.com/profile_images/1436708613846810630/OWk4OF_w_normal.jpg</v>
      </c>
      <c r="G645" s="67"/>
      <c r="H645" s="71"/>
      <c r="I645" s="72"/>
      <c r="J645" s="72"/>
      <c r="K645" s="71" t="s">
        <v>11388</v>
      </c>
      <c r="L645" s="75"/>
      <c r="M645" s="76"/>
      <c r="N645" s="76"/>
      <c r="O645" s="77"/>
      <c r="P645" s="78"/>
      <c r="Q645" s="78"/>
      <c r="R645" s="92"/>
      <c r="S645" s="92"/>
      <c r="T645" s="92"/>
      <c r="U645" s="92"/>
      <c r="V645" s="52"/>
      <c r="W645" s="52"/>
      <c r="X645" s="52"/>
      <c r="Y645" s="52"/>
      <c r="Z645" s="51"/>
      <c r="AA645" s="73"/>
      <c r="AB645" s="73"/>
      <c r="AC645" s="74"/>
      <c r="AD645" s="80" t="s">
        <v>7221</v>
      </c>
      <c r="AE645" s="85" t="s">
        <v>8415</v>
      </c>
      <c r="AF645" s="80">
        <v>3442</v>
      </c>
      <c r="AG645" s="80">
        <v>1868</v>
      </c>
      <c r="AH645" s="80">
        <v>141226</v>
      </c>
      <c r="AI645" s="80">
        <v>101843</v>
      </c>
      <c r="AJ645" s="80"/>
      <c r="AK645" s="80" t="s">
        <v>9532</v>
      </c>
      <c r="AL645" s="80" t="s">
        <v>10442</v>
      </c>
      <c r="AM645" s="80"/>
      <c r="AN645" s="80"/>
      <c r="AO645" s="82">
        <v>43067.530358796299</v>
      </c>
      <c r="AP645" s="87" t="str">
        <f>HYPERLINK("https://pbs.twimg.com/profile_banners/935489379694284801/1630233622")</f>
        <v>https://pbs.twimg.com/profile_banners/935489379694284801/1630233622</v>
      </c>
      <c r="AQ645" s="80" t="b">
        <v>1</v>
      </c>
      <c r="AR645" s="80" t="b">
        <v>0</v>
      </c>
      <c r="AS645" s="80" t="b">
        <v>1</v>
      </c>
      <c r="AT645" s="80"/>
      <c r="AU645" s="80">
        <v>4</v>
      </c>
      <c r="AV645" s="80"/>
      <c r="AW645" s="80" t="b">
        <v>0</v>
      </c>
      <c r="AX645" s="80" t="s">
        <v>10746</v>
      </c>
      <c r="AY645" s="87" t="str">
        <f>HYPERLINK("https://twitter.com/3kimandimdead")</f>
        <v>https://twitter.com/3kimandimdead</v>
      </c>
      <c r="AZ645" s="80" t="s">
        <v>66</v>
      </c>
      <c r="BA645" s="2"/>
      <c r="BB645" s="3"/>
      <c r="BC645" s="3"/>
      <c r="BD645" s="3"/>
      <c r="BE645" s="3"/>
    </row>
    <row r="646" spans="1:57" x14ac:dyDescent="0.35">
      <c r="A646" s="66" t="s">
        <v>1387</v>
      </c>
      <c r="B646" s="67"/>
      <c r="C646" s="67"/>
      <c r="D646" s="68"/>
      <c r="E646" s="70"/>
      <c r="F646" s="109" t="str">
        <f>HYPERLINK("https://pbs.twimg.com/profile_images/1407619782967394305/-0g56ay7_normal.jpg")</f>
        <v>https://pbs.twimg.com/profile_images/1407619782967394305/-0g56ay7_normal.jpg</v>
      </c>
      <c r="G646" s="67"/>
      <c r="H646" s="71"/>
      <c r="I646" s="72"/>
      <c r="J646" s="72"/>
      <c r="K646" s="71" t="s">
        <v>11389</v>
      </c>
      <c r="L646" s="75"/>
      <c r="M646" s="76"/>
      <c r="N646" s="76"/>
      <c r="O646" s="77"/>
      <c r="P646" s="78"/>
      <c r="Q646" s="78"/>
      <c r="R646" s="92"/>
      <c r="S646" s="92"/>
      <c r="T646" s="92"/>
      <c r="U646" s="92"/>
      <c r="V646" s="52"/>
      <c r="W646" s="52"/>
      <c r="X646" s="52"/>
      <c r="Y646" s="52"/>
      <c r="Z646" s="51"/>
      <c r="AA646" s="73"/>
      <c r="AB646" s="73"/>
      <c r="AC646" s="74"/>
      <c r="AD646" s="80" t="s">
        <v>7222</v>
      </c>
      <c r="AE646" s="85" t="s">
        <v>8416</v>
      </c>
      <c r="AF646" s="80">
        <v>3</v>
      </c>
      <c r="AG646" s="80">
        <v>737</v>
      </c>
      <c r="AH646" s="80">
        <v>1511</v>
      </c>
      <c r="AI646" s="80">
        <v>29</v>
      </c>
      <c r="AJ646" s="80"/>
      <c r="AK646" s="80" t="s">
        <v>9533</v>
      </c>
      <c r="AL646" s="80" t="s">
        <v>10443</v>
      </c>
      <c r="AM646" s="80"/>
      <c r="AN646" s="80"/>
      <c r="AO646" s="82">
        <v>44224.260069444441</v>
      </c>
      <c r="AP646" s="87" t="str">
        <f>HYPERLINK("https://pbs.twimg.com/profile_banners/1354674117467721729/1611815237")</f>
        <v>https://pbs.twimg.com/profile_banners/1354674117467721729/1611815237</v>
      </c>
      <c r="AQ646" s="80" t="b">
        <v>1</v>
      </c>
      <c r="AR646" s="80" t="b">
        <v>0</v>
      </c>
      <c r="AS646" s="80" t="b">
        <v>0</v>
      </c>
      <c r="AT646" s="80"/>
      <c r="AU646" s="80">
        <v>1</v>
      </c>
      <c r="AV646" s="80"/>
      <c r="AW646" s="80" t="b">
        <v>0</v>
      </c>
      <c r="AX646" s="80" t="s">
        <v>10746</v>
      </c>
      <c r="AY646" s="87" t="str">
        <f>HYPERLINK("https://twitter.com/pasarsf9my")</f>
        <v>https://twitter.com/pasarsf9my</v>
      </c>
      <c r="AZ646" s="80" t="s">
        <v>65</v>
      </c>
      <c r="BA646" s="2"/>
      <c r="BB646" s="3"/>
      <c r="BC646" s="3"/>
      <c r="BD646" s="3"/>
      <c r="BE646" s="3"/>
    </row>
    <row r="647" spans="1:57" x14ac:dyDescent="0.35">
      <c r="A647" s="66" t="s">
        <v>733</v>
      </c>
      <c r="B647" s="67"/>
      <c r="C647" s="67"/>
      <c r="D647" s="68"/>
      <c r="E647" s="70"/>
      <c r="F647" s="109" t="str">
        <f>HYPERLINK("https://pbs.twimg.com/profile_images/1281490416202735616/GcdQPNE4_normal.jpg")</f>
        <v>https://pbs.twimg.com/profile_images/1281490416202735616/GcdQPNE4_normal.jpg</v>
      </c>
      <c r="G647" s="67"/>
      <c r="H647" s="71"/>
      <c r="I647" s="72"/>
      <c r="J647" s="72"/>
      <c r="K647" s="71" t="s">
        <v>11390</v>
      </c>
      <c r="L647" s="75"/>
      <c r="M647" s="76"/>
      <c r="N647" s="76"/>
      <c r="O647" s="77"/>
      <c r="P647" s="78"/>
      <c r="Q647" s="78"/>
      <c r="R647" s="92"/>
      <c r="S647" s="92"/>
      <c r="T647" s="92"/>
      <c r="U647" s="92"/>
      <c r="V647" s="52"/>
      <c r="W647" s="52"/>
      <c r="X647" s="52"/>
      <c r="Y647" s="52"/>
      <c r="Z647" s="51"/>
      <c r="AA647" s="73"/>
      <c r="AB647" s="73"/>
      <c r="AC647" s="74"/>
      <c r="AD647" s="80" t="s">
        <v>7223</v>
      </c>
      <c r="AE647" s="85" t="s">
        <v>8417</v>
      </c>
      <c r="AF647" s="80">
        <v>362</v>
      </c>
      <c r="AG647" s="80">
        <v>173</v>
      </c>
      <c r="AH647" s="80">
        <v>17589</v>
      </c>
      <c r="AI647" s="80">
        <v>17150</v>
      </c>
      <c r="AJ647" s="80"/>
      <c r="AK647" s="80" t="s">
        <v>9534</v>
      </c>
      <c r="AL647" s="80"/>
      <c r="AM647" s="80"/>
      <c r="AN647" s="80"/>
      <c r="AO647" s="82">
        <v>43656.182696759257</v>
      </c>
      <c r="AP647" s="87" t="str">
        <f>HYPERLINK("https://pbs.twimg.com/profile_banners/1148809845220315137/1594366505")</f>
        <v>https://pbs.twimg.com/profile_banners/1148809845220315137/1594366505</v>
      </c>
      <c r="AQ647" s="80" t="b">
        <v>1</v>
      </c>
      <c r="AR647" s="80" t="b">
        <v>0</v>
      </c>
      <c r="AS647" s="80" t="b">
        <v>0</v>
      </c>
      <c r="AT647" s="80"/>
      <c r="AU647" s="80">
        <v>0</v>
      </c>
      <c r="AV647" s="80"/>
      <c r="AW647" s="80" t="b">
        <v>0</v>
      </c>
      <c r="AX647" s="80" t="s">
        <v>10746</v>
      </c>
      <c r="AY647" s="87" t="str">
        <f>HYPERLINK("https://twitter.com/jihoneybebe")</f>
        <v>https://twitter.com/jihoneybebe</v>
      </c>
      <c r="AZ647" s="80" t="s">
        <v>66</v>
      </c>
      <c r="BA647" s="2"/>
      <c r="BB647" s="3"/>
      <c r="BC647" s="3"/>
      <c r="BD647" s="3"/>
      <c r="BE647" s="3"/>
    </row>
    <row r="648" spans="1:57" x14ac:dyDescent="0.35">
      <c r="A648" s="66" t="s">
        <v>734</v>
      </c>
      <c r="B648" s="67"/>
      <c r="C648" s="67"/>
      <c r="D648" s="68"/>
      <c r="E648" s="70"/>
      <c r="F648" s="109" t="str">
        <f>HYPERLINK("https://pbs.twimg.com/profile_images/1439902183546241027/61CN6CsR_normal.jpg")</f>
        <v>https://pbs.twimg.com/profile_images/1439902183546241027/61CN6CsR_normal.jpg</v>
      </c>
      <c r="G648" s="67"/>
      <c r="H648" s="71"/>
      <c r="I648" s="72"/>
      <c r="J648" s="72"/>
      <c r="K648" s="71" t="s">
        <v>11391</v>
      </c>
      <c r="L648" s="75"/>
      <c r="M648" s="76"/>
      <c r="N648" s="76"/>
      <c r="O648" s="77"/>
      <c r="P648" s="78"/>
      <c r="Q648" s="78"/>
      <c r="R648" s="92"/>
      <c r="S648" s="92"/>
      <c r="T648" s="92"/>
      <c r="U648" s="92"/>
      <c r="V648" s="52"/>
      <c r="W648" s="52"/>
      <c r="X648" s="52"/>
      <c r="Y648" s="52"/>
      <c r="Z648" s="51"/>
      <c r="AA648" s="73"/>
      <c r="AB648" s="73"/>
      <c r="AC648" s="74"/>
      <c r="AD648" s="80" t="s">
        <v>7224</v>
      </c>
      <c r="AE648" s="85" t="s">
        <v>6338</v>
      </c>
      <c r="AF648" s="80">
        <v>7</v>
      </c>
      <c r="AG648" s="80">
        <v>2</v>
      </c>
      <c r="AH648" s="80">
        <v>14</v>
      </c>
      <c r="AI648" s="80">
        <v>23</v>
      </c>
      <c r="AJ648" s="80"/>
      <c r="AK648" s="80" t="s">
        <v>9535</v>
      </c>
      <c r="AL648" s="80" t="s">
        <v>10228</v>
      </c>
      <c r="AM648" s="80"/>
      <c r="AN648" s="80"/>
      <c r="AO648" s="82">
        <v>44411.605312500003</v>
      </c>
      <c r="AP648" s="87" t="str">
        <f>HYPERLINK("https://pbs.twimg.com/profile_banners/1422565775055851527/1632134553")</f>
        <v>https://pbs.twimg.com/profile_banners/1422565775055851527/1632134553</v>
      </c>
      <c r="AQ648" s="80" t="b">
        <v>1</v>
      </c>
      <c r="AR648" s="80" t="b">
        <v>0</v>
      </c>
      <c r="AS648" s="80" t="b">
        <v>0</v>
      </c>
      <c r="AT648" s="80"/>
      <c r="AU648" s="80">
        <v>0</v>
      </c>
      <c r="AV648" s="80"/>
      <c r="AW648" s="80" t="b">
        <v>0</v>
      </c>
      <c r="AX648" s="80" t="s">
        <v>10746</v>
      </c>
      <c r="AY648" s="87" t="str">
        <f>HYPERLINK("https://twitter.com/sukulent_kaktus")</f>
        <v>https://twitter.com/sukulent_kaktus</v>
      </c>
      <c r="AZ648" s="80" t="s">
        <v>66</v>
      </c>
      <c r="BA648" s="2"/>
      <c r="BB648" s="3"/>
      <c r="BC648" s="3"/>
      <c r="BD648" s="3"/>
      <c r="BE648" s="3"/>
    </row>
    <row r="649" spans="1:57" x14ac:dyDescent="0.35">
      <c r="A649" s="66" t="s">
        <v>735</v>
      </c>
      <c r="B649" s="67"/>
      <c r="C649" s="67"/>
      <c r="D649" s="68"/>
      <c r="E649" s="70"/>
      <c r="F649" s="109" t="str">
        <f>HYPERLINK("https://pbs.twimg.com/profile_images/1175251306866331648/c1c18fkg_normal.jpg")</f>
        <v>https://pbs.twimg.com/profile_images/1175251306866331648/c1c18fkg_normal.jpg</v>
      </c>
      <c r="G649" s="67"/>
      <c r="H649" s="71"/>
      <c r="I649" s="72"/>
      <c r="J649" s="72"/>
      <c r="K649" s="71" t="s">
        <v>11392</v>
      </c>
      <c r="L649" s="75"/>
      <c r="M649" s="76"/>
      <c r="N649" s="76"/>
      <c r="O649" s="77"/>
      <c r="P649" s="78"/>
      <c r="Q649" s="78"/>
      <c r="R649" s="92"/>
      <c r="S649" s="92"/>
      <c r="T649" s="92"/>
      <c r="U649" s="92"/>
      <c r="V649" s="52"/>
      <c r="W649" s="52"/>
      <c r="X649" s="52"/>
      <c r="Y649" s="52"/>
      <c r="Z649" s="51"/>
      <c r="AA649" s="73"/>
      <c r="AB649" s="73"/>
      <c r="AC649" s="74"/>
      <c r="AD649" s="80" t="s">
        <v>7225</v>
      </c>
      <c r="AE649" s="85" t="s">
        <v>8418</v>
      </c>
      <c r="AF649" s="80">
        <v>231</v>
      </c>
      <c r="AG649" s="80">
        <v>296</v>
      </c>
      <c r="AH649" s="80">
        <v>8556</v>
      </c>
      <c r="AI649" s="80">
        <v>40</v>
      </c>
      <c r="AJ649" s="80"/>
      <c r="AK649" s="80" t="s">
        <v>9536</v>
      </c>
      <c r="AL649" s="80" t="s">
        <v>10444</v>
      </c>
      <c r="AM649" s="87" t="str">
        <f>HYPERLINK("https://t.co/cEZ3J44v8o")</f>
        <v>https://t.co/cEZ3J44v8o</v>
      </c>
      <c r="AN649" s="80"/>
      <c r="AO649" s="82">
        <v>40786.585949074077</v>
      </c>
      <c r="AP649" s="87" t="str">
        <f>HYPERLINK("https://pbs.twimg.com/profile_banners/365469779/1498138822")</f>
        <v>https://pbs.twimg.com/profile_banners/365469779/1498138822</v>
      </c>
      <c r="AQ649" s="80" t="b">
        <v>1</v>
      </c>
      <c r="AR649" s="80" t="b">
        <v>0</v>
      </c>
      <c r="AS649" s="80" t="b">
        <v>0</v>
      </c>
      <c r="AT649" s="80"/>
      <c r="AU649" s="80">
        <v>0</v>
      </c>
      <c r="AV649" s="87" t="str">
        <f>HYPERLINK("https://abs.twimg.com/images/themes/theme1/bg.png")</f>
        <v>https://abs.twimg.com/images/themes/theme1/bg.png</v>
      </c>
      <c r="AW649" s="80" t="b">
        <v>0</v>
      </c>
      <c r="AX649" s="80" t="s">
        <v>10746</v>
      </c>
      <c r="AY649" s="87" t="str">
        <f>HYPERLINK("https://twitter.com/awenk_bukar")</f>
        <v>https://twitter.com/awenk_bukar</v>
      </c>
      <c r="AZ649" s="80" t="s">
        <v>66</v>
      </c>
      <c r="BA649" s="2"/>
      <c r="BB649" s="3"/>
      <c r="BC649" s="3"/>
      <c r="BD649" s="3"/>
      <c r="BE649" s="3"/>
    </row>
    <row r="650" spans="1:57" x14ac:dyDescent="0.35">
      <c r="A650" s="66" t="s">
        <v>736</v>
      </c>
      <c r="B650" s="67"/>
      <c r="C650" s="67"/>
      <c r="D650" s="68"/>
      <c r="E650" s="70"/>
      <c r="F650" s="109" t="str">
        <f>HYPERLINK("https://pbs.twimg.com/profile_images/1373674517516623873/pH5Pj9Bs_normal.jpg")</f>
        <v>https://pbs.twimg.com/profile_images/1373674517516623873/pH5Pj9Bs_normal.jpg</v>
      </c>
      <c r="G650" s="67"/>
      <c r="H650" s="71"/>
      <c r="I650" s="72"/>
      <c r="J650" s="72"/>
      <c r="K650" s="71" t="s">
        <v>11393</v>
      </c>
      <c r="L650" s="75"/>
      <c r="M650" s="76"/>
      <c r="N650" s="76"/>
      <c r="O650" s="77"/>
      <c r="P650" s="78"/>
      <c r="Q650" s="78"/>
      <c r="R650" s="92"/>
      <c r="S650" s="92"/>
      <c r="T650" s="92"/>
      <c r="U650" s="92"/>
      <c r="V650" s="52"/>
      <c r="W650" s="52"/>
      <c r="X650" s="52"/>
      <c r="Y650" s="52"/>
      <c r="Z650" s="51"/>
      <c r="AA650" s="73"/>
      <c r="AB650" s="73"/>
      <c r="AC650" s="74"/>
      <c r="AD650" s="80" t="s">
        <v>7226</v>
      </c>
      <c r="AE650" s="85" t="s">
        <v>8419</v>
      </c>
      <c r="AF650" s="80">
        <v>1238</v>
      </c>
      <c r="AG650" s="80">
        <v>1219</v>
      </c>
      <c r="AH650" s="80">
        <v>10831</v>
      </c>
      <c r="AI650" s="80">
        <v>10064</v>
      </c>
      <c r="AJ650" s="80"/>
      <c r="AK650" s="80" t="s">
        <v>9537</v>
      </c>
      <c r="AL650" s="80"/>
      <c r="AM650" s="80"/>
      <c r="AN650" s="80"/>
      <c r="AO650" s="82">
        <v>44235.196840277778</v>
      </c>
      <c r="AP650" s="87" t="str">
        <f>HYPERLINK("https://pbs.twimg.com/profile_banners/1358637376961060864/1616260787")</f>
        <v>https://pbs.twimg.com/profile_banners/1358637376961060864/1616260787</v>
      </c>
      <c r="AQ650" s="80" t="b">
        <v>1</v>
      </c>
      <c r="AR650" s="80" t="b">
        <v>0</v>
      </c>
      <c r="AS650" s="80" t="b">
        <v>0</v>
      </c>
      <c r="AT650" s="80"/>
      <c r="AU650" s="80">
        <v>2</v>
      </c>
      <c r="AV650" s="80"/>
      <c r="AW650" s="80" t="b">
        <v>0</v>
      </c>
      <c r="AX650" s="80" t="s">
        <v>10746</v>
      </c>
      <c r="AY650" s="87" t="str">
        <f>HYPERLINK("https://twitter.com/tibott2")</f>
        <v>https://twitter.com/tibott2</v>
      </c>
      <c r="AZ650" s="80" t="s">
        <v>66</v>
      </c>
      <c r="BA650" s="2"/>
      <c r="BB650" s="3"/>
      <c r="BC650" s="3"/>
      <c r="BD650" s="3"/>
      <c r="BE650" s="3"/>
    </row>
    <row r="651" spans="1:57" x14ac:dyDescent="0.35">
      <c r="A651" s="66" t="s">
        <v>757</v>
      </c>
      <c r="B651" s="67"/>
      <c r="C651" s="67"/>
      <c r="D651" s="68"/>
      <c r="E651" s="70"/>
      <c r="F651" s="109" t="str">
        <f>HYPERLINK("https://pbs.twimg.com/profile_images/1340224956475437056/yo0CLy-Y_normal.png")</f>
        <v>https://pbs.twimg.com/profile_images/1340224956475437056/yo0CLy-Y_normal.png</v>
      </c>
      <c r="G651" s="67"/>
      <c r="H651" s="71"/>
      <c r="I651" s="72"/>
      <c r="J651" s="72"/>
      <c r="K651" s="71" t="s">
        <v>11394</v>
      </c>
      <c r="L651" s="75"/>
      <c r="M651" s="76"/>
      <c r="N651" s="76"/>
      <c r="O651" s="77"/>
      <c r="P651" s="78"/>
      <c r="Q651" s="78"/>
      <c r="R651" s="92"/>
      <c r="S651" s="92"/>
      <c r="T651" s="92"/>
      <c r="U651" s="92"/>
      <c r="V651" s="52"/>
      <c r="W651" s="52"/>
      <c r="X651" s="52"/>
      <c r="Y651" s="52"/>
      <c r="Z651" s="51"/>
      <c r="AA651" s="73"/>
      <c r="AB651" s="73"/>
      <c r="AC651" s="74"/>
      <c r="AD651" s="80" t="s">
        <v>7227</v>
      </c>
      <c r="AE651" s="85" t="s">
        <v>8420</v>
      </c>
      <c r="AF651" s="80">
        <v>4714</v>
      </c>
      <c r="AG651" s="80">
        <v>4284</v>
      </c>
      <c r="AH651" s="80">
        <v>11562</v>
      </c>
      <c r="AI651" s="80">
        <v>25254</v>
      </c>
      <c r="AJ651" s="80"/>
      <c r="AK651" s="80" t="s">
        <v>9538</v>
      </c>
      <c r="AL651" s="80" t="s">
        <v>10306</v>
      </c>
      <c r="AM651" s="80"/>
      <c r="AN651" s="80"/>
      <c r="AO651" s="82">
        <v>43989.653067129628</v>
      </c>
      <c r="AP651" s="87" t="str">
        <f>HYPERLINK("https://pbs.twimg.com/profile_banners/1269654461569368064/1630657852")</f>
        <v>https://pbs.twimg.com/profile_banners/1269654461569368064/1630657852</v>
      </c>
      <c r="AQ651" s="80" t="b">
        <v>1</v>
      </c>
      <c r="AR651" s="80" t="b">
        <v>0</v>
      </c>
      <c r="AS651" s="80" t="b">
        <v>0</v>
      </c>
      <c r="AT651" s="80"/>
      <c r="AU651" s="80">
        <v>0</v>
      </c>
      <c r="AV651" s="80"/>
      <c r="AW651" s="80" t="b">
        <v>0</v>
      </c>
      <c r="AX651" s="80" t="s">
        <v>10746</v>
      </c>
      <c r="AY651" s="87" t="str">
        <f>HYPERLINK("https://twitter.com/anak_sultanjaya")</f>
        <v>https://twitter.com/anak_sultanjaya</v>
      </c>
      <c r="AZ651" s="80" t="s">
        <v>66</v>
      </c>
      <c r="BA651" s="2"/>
      <c r="BB651" s="3"/>
      <c r="BC651" s="3"/>
      <c r="BD651" s="3"/>
      <c r="BE651" s="3"/>
    </row>
    <row r="652" spans="1:57" x14ac:dyDescent="0.35">
      <c r="A652" s="66" t="s">
        <v>737</v>
      </c>
      <c r="B652" s="67"/>
      <c r="C652" s="67"/>
      <c r="D652" s="68"/>
      <c r="E652" s="70"/>
      <c r="F652" s="109" t="str">
        <f>HYPERLINK("https://pbs.twimg.com/profile_images/1014410929381896193/We6vW_Ei_normal.jpg")</f>
        <v>https://pbs.twimg.com/profile_images/1014410929381896193/We6vW_Ei_normal.jpg</v>
      </c>
      <c r="G652" s="67"/>
      <c r="H652" s="71"/>
      <c r="I652" s="72"/>
      <c r="J652" s="72"/>
      <c r="K652" s="71" t="s">
        <v>11395</v>
      </c>
      <c r="L652" s="75"/>
      <c r="M652" s="76"/>
      <c r="N652" s="76"/>
      <c r="O652" s="77"/>
      <c r="P652" s="78"/>
      <c r="Q652" s="78"/>
      <c r="R652" s="92"/>
      <c r="S652" s="92"/>
      <c r="T652" s="92"/>
      <c r="U652" s="92"/>
      <c r="V652" s="52"/>
      <c r="W652" s="52"/>
      <c r="X652" s="52"/>
      <c r="Y652" s="52"/>
      <c r="Z652" s="51"/>
      <c r="AA652" s="73"/>
      <c r="AB652" s="73"/>
      <c r="AC652" s="74"/>
      <c r="AD652" s="80" t="s">
        <v>7228</v>
      </c>
      <c r="AE652" s="85" t="s">
        <v>8421</v>
      </c>
      <c r="AF652" s="80">
        <v>317</v>
      </c>
      <c r="AG652" s="80">
        <v>284</v>
      </c>
      <c r="AH652" s="80">
        <v>1794</v>
      </c>
      <c r="AI652" s="80">
        <v>78</v>
      </c>
      <c r="AJ652" s="80"/>
      <c r="AK652" s="80" t="s">
        <v>9539</v>
      </c>
      <c r="AL652" s="80" t="s">
        <v>10445</v>
      </c>
      <c r="AM652" s="80"/>
      <c r="AN652" s="80"/>
      <c r="AO652" s="82">
        <v>41134.125231481485</v>
      </c>
      <c r="AP652" s="87" t="str">
        <f>HYPERLINK("https://pbs.twimg.com/profile_banners/754292737/1502858092")</f>
        <v>https://pbs.twimg.com/profile_banners/754292737/1502858092</v>
      </c>
      <c r="AQ652" s="80" t="b">
        <v>0</v>
      </c>
      <c r="AR652" s="80" t="b">
        <v>0</v>
      </c>
      <c r="AS652" s="80" t="b">
        <v>1</v>
      </c>
      <c r="AT652" s="80"/>
      <c r="AU652" s="80">
        <v>0</v>
      </c>
      <c r="AV652" s="87" t="str">
        <f>HYPERLINK("https://abs.twimg.com/images/themes/theme1/bg.png")</f>
        <v>https://abs.twimg.com/images/themes/theme1/bg.png</v>
      </c>
      <c r="AW652" s="80" t="b">
        <v>0</v>
      </c>
      <c r="AX652" s="80" t="s">
        <v>10746</v>
      </c>
      <c r="AY652" s="87" t="str">
        <f>HYPERLINK("https://twitter.com/hendrimbahe_10")</f>
        <v>https://twitter.com/hendrimbahe_10</v>
      </c>
      <c r="AZ652" s="80" t="s">
        <v>66</v>
      </c>
      <c r="BA652" s="2"/>
      <c r="BB652" s="3"/>
      <c r="BC652" s="3"/>
      <c r="BD652" s="3"/>
      <c r="BE652" s="3"/>
    </row>
    <row r="653" spans="1:57" x14ac:dyDescent="0.35">
      <c r="A653" s="66" t="s">
        <v>738</v>
      </c>
      <c r="B653" s="67"/>
      <c r="C653" s="67"/>
      <c r="D653" s="68"/>
      <c r="E653" s="70"/>
      <c r="F653" s="109" t="str">
        <f>HYPERLINK("https://pbs.twimg.com/profile_images/1382380287208792065/ftV0VLGe_normal.jpg")</f>
        <v>https://pbs.twimg.com/profile_images/1382380287208792065/ftV0VLGe_normal.jpg</v>
      </c>
      <c r="G653" s="67"/>
      <c r="H653" s="71"/>
      <c r="I653" s="72"/>
      <c r="J653" s="72"/>
      <c r="K653" s="71" t="s">
        <v>11396</v>
      </c>
      <c r="L653" s="75"/>
      <c r="M653" s="76"/>
      <c r="N653" s="76"/>
      <c r="O653" s="77"/>
      <c r="P653" s="78"/>
      <c r="Q653" s="78"/>
      <c r="R653" s="92"/>
      <c r="S653" s="92"/>
      <c r="T653" s="92"/>
      <c r="U653" s="92"/>
      <c r="V653" s="52"/>
      <c r="W653" s="52"/>
      <c r="X653" s="52"/>
      <c r="Y653" s="52"/>
      <c r="Z653" s="51"/>
      <c r="AA653" s="73"/>
      <c r="AB653" s="73"/>
      <c r="AC653" s="74"/>
      <c r="AD653" s="80" t="s">
        <v>7227</v>
      </c>
      <c r="AE653" s="85" t="s">
        <v>8422</v>
      </c>
      <c r="AF653" s="80">
        <v>4347</v>
      </c>
      <c r="AG653" s="80">
        <v>3872</v>
      </c>
      <c r="AH653" s="80">
        <v>7876</v>
      </c>
      <c r="AI653" s="80">
        <v>18821</v>
      </c>
      <c r="AJ653" s="80"/>
      <c r="AK653" s="80" t="s">
        <v>9540</v>
      </c>
      <c r="AL653" s="80" t="s">
        <v>10446</v>
      </c>
      <c r="AM653" s="80"/>
      <c r="AN653" s="80"/>
      <c r="AO653" s="82">
        <v>43702.679166666669</v>
      </c>
      <c r="AP653" s="87" t="str">
        <f>HYPERLINK("https://pbs.twimg.com/profile_banners/1165659560410894336/1608918488")</f>
        <v>https://pbs.twimg.com/profile_banners/1165659560410894336/1608918488</v>
      </c>
      <c r="AQ653" s="80" t="b">
        <v>1</v>
      </c>
      <c r="AR653" s="80" t="b">
        <v>0</v>
      </c>
      <c r="AS653" s="80" t="b">
        <v>0</v>
      </c>
      <c r="AT653" s="80"/>
      <c r="AU653" s="80">
        <v>0</v>
      </c>
      <c r="AV653" s="80"/>
      <c r="AW653" s="80" t="b">
        <v>0</v>
      </c>
      <c r="AX653" s="80" t="s">
        <v>10746</v>
      </c>
      <c r="AY653" s="87" t="str">
        <f>HYPERLINK("https://twitter.com/aly_pemuda")</f>
        <v>https://twitter.com/aly_pemuda</v>
      </c>
      <c r="AZ653" s="80" t="s">
        <v>66</v>
      </c>
      <c r="BA653" s="2"/>
      <c r="BB653" s="3"/>
      <c r="BC653" s="3"/>
      <c r="BD653" s="3"/>
      <c r="BE653" s="3"/>
    </row>
    <row r="654" spans="1:57" x14ac:dyDescent="0.35">
      <c r="A654" s="66" t="s">
        <v>739</v>
      </c>
      <c r="B654" s="67"/>
      <c r="C654" s="67"/>
      <c r="D654" s="68"/>
      <c r="E654" s="70"/>
      <c r="F654" s="109" t="str">
        <f>HYPERLINK("https://pbs.twimg.com/profile_images/1405082194331279361/LC05l1W4_normal.jpg")</f>
        <v>https://pbs.twimg.com/profile_images/1405082194331279361/LC05l1W4_normal.jpg</v>
      </c>
      <c r="G654" s="67"/>
      <c r="H654" s="71"/>
      <c r="I654" s="72"/>
      <c r="J654" s="72"/>
      <c r="K654" s="71" t="s">
        <v>11397</v>
      </c>
      <c r="L654" s="75"/>
      <c r="M654" s="76"/>
      <c r="N654" s="76"/>
      <c r="O654" s="77"/>
      <c r="P654" s="78"/>
      <c r="Q654" s="78"/>
      <c r="R654" s="92"/>
      <c r="S654" s="92"/>
      <c r="T654" s="92"/>
      <c r="U654" s="92"/>
      <c r="V654" s="52"/>
      <c r="W654" s="52"/>
      <c r="X654" s="52"/>
      <c r="Y654" s="52"/>
      <c r="Z654" s="51"/>
      <c r="AA654" s="73"/>
      <c r="AB654" s="73"/>
      <c r="AC654" s="74"/>
      <c r="AD654" s="80" t="s">
        <v>7229</v>
      </c>
      <c r="AE654" s="85" t="s">
        <v>8423</v>
      </c>
      <c r="AF654" s="80">
        <v>1162</v>
      </c>
      <c r="AG654" s="80">
        <v>1114</v>
      </c>
      <c r="AH654" s="80">
        <v>11475</v>
      </c>
      <c r="AI654" s="80">
        <v>8882</v>
      </c>
      <c r="AJ654" s="80"/>
      <c r="AK654" s="87" t="str">
        <f>HYPERLINK("https://t.co/RpgJmDEDzz")</f>
        <v>https://t.co/RpgJmDEDzz</v>
      </c>
      <c r="AL654" s="80"/>
      <c r="AM654" s="80"/>
      <c r="AN654" s="80"/>
      <c r="AO654" s="82">
        <v>44363.35119212963</v>
      </c>
      <c r="AP654" s="87" t="str">
        <f>HYPERLINK("https://pbs.twimg.com/profile_banners/1405079048846385152/1623834915")</f>
        <v>https://pbs.twimg.com/profile_banners/1405079048846385152/1623834915</v>
      </c>
      <c r="AQ654" s="80" t="b">
        <v>1</v>
      </c>
      <c r="AR654" s="80" t="b">
        <v>0</v>
      </c>
      <c r="AS654" s="80" t="b">
        <v>0</v>
      </c>
      <c r="AT654" s="80"/>
      <c r="AU654" s="80">
        <v>0</v>
      </c>
      <c r="AV654" s="80"/>
      <c r="AW654" s="80" t="b">
        <v>0</v>
      </c>
      <c r="AX654" s="80" t="s">
        <v>10746</v>
      </c>
      <c r="AY654" s="87" t="str">
        <f>HYPERLINK("https://twitter.com/naj_2709")</f>
        <v>https://twitter.com/naj_2709</v>
      </c>
      <c r="AZ654" s="80" t="s">
        <v>66</v>
      </c>
      <c r="BA654" s="2"/>
      <c r="BB654" s="3"/>
      <c r="BC654" s="3"/>
      <c r="BD654" s="3"/>
      <c r="BE654" s="3"/>
    </row>
    <row r="655" spans="1:57" x14ac:dyDescent="0.35">
      <c r="A655" s="66" t="s">
        <v>740</v>
      </c>
      <c r="B655" s="67"/>
      <c r="C655" s="67"/>
      <c r="D655" s="68"/>
      <c r="E655" s="70"/>
      <c r="F655" s="109" t="str">
        <f>HYPERLINK("https://pbs.twimg.com/profile_images/1370379061688639493/otshNSyV_normal.jpg")</f>
        <v>https://pbs.twimg.com/profile_images/1370379061688639493/otshNSyV_normal.jpg</v>
      </c>
      <c r="G655" s="67"/>
      <c r="H655" s="71"/>
      <c r="I655" s="72"/>
      <c r="J655" s="72"/>
      <c r="K655" s="71" t="s">
        <v>11398</v>
      </c>
      <c r="L655" s="75"/>
      <c r="M655" s="76"/>
      <c r="N655" s="76"/>
      <c r="O655" s="77"/>
      <c r="P655" s="78"/>
      <c r="Q655" s="78"/>
      <c r="R655" s="92"/>
      <c r="S655" s="92"/>
      <c r="T655" s="92"/>
      <c r="U655" s="92"/>
      <c r="V655" s="52"/>
      <c r="W655" s="52"/>
      <c r="X655" s="52"/>
      <c r="Y655" s="52"/>
      <c r="Z655" s="51"/>
      <c r="AA655" s="73"/>
      <c r="AB655" s="73"/>
      <c r="AC655" s="74"/>
      <c r="AD655" s="80" t="s">
        <v>740</v>
      </c>
      <c r="AE655" s="85" t="s">
        <v>8424</v>
      </c>
      <c r="AF655" s="80">
        <v>1237</v>
      </c>
      <c r="AG655" s="80">
        <v>1066</v>
      </c>
      <c r="AH655" s="80">
        <v>22232</v>
      </c>
      <c r="AI655" s="80">
        <v>8687</v>
      </c>
      <c r="AJ655" s="80"/>
      <c r="AK655" s="80" t="s">
        <v>9541</v>
      </c>
      <c r="AL655" s="80"/>
      <c r="AM655" s="80"/>
      <c r="AN655" s="80"/>
      <c r="AO655" s="82">
        <v>43574.453414351854</v>
      </c>
      <c r="AP655" s="87" t="str">
        <f>HYPERLINK("https://pbs.twimg.com/profile_banners/1119192142574784512/1615559478")</f>
        <v>https://pbs.twimg.com/profile_banners/1119192142574784512/1615559478</v>
      </c>
      <c r="AQ655" s="80" t="b">
        <v>1</v>
      </c>
      <c r="AR655" s="80" t="b">
        <v>0</v>
      </c>
      <c r="AS655" s="80" t="b">
        <v>0</v>
      </c>
      <c r="AT655" s="80"/>
      <c r="AU655" s="80">
        <v>0</v>
      </c>
      <c r="AV655" s="80"/>
      <c r="AW655" s="80" t="b">
        <v>0</v>
      </c>
      <c r="AX655" s="80" t="s">
        <v>10746</v>
      </c>
      <c r="AY655" s="87" t="str">
        <f>HYPERLINK("https://twitter.com/youngfarrel27")</f>
        <v>https://twitter.com/youngfarrel27</v>
      </c>
      <c r="AZ655" s="80" t="s">
        <v>66</v>
      </c>
      <c r="BA655" s="2"/>
      <c r="BB655" s="3"/>
      <c r="BC655" s="3"/>
      <c r="BD655" s="3"/>
      <c r="BE655" s="3"/>
    </row>
    <row r="656" spans="1:57" x14ac:dyDescent="0.35">
      <c r="A656" s="66" t="s">
        <v>741</v>
      </c>
      <c r="B656" s="67"/>
      <c r="C656" s="67"/>
      <c r="D656" s="68"/>
      <c r="E656" s="70"/>
      <c r="F656" s="109" t="str">
        <f>HYPERLINK("https://pbs.twimg.com/profile_images/1426932034476277771/jSNvYakT_normal.jpg")</f>
        <v>https://pbs.twimg.com/profile_images/1426932034476277771/jSNvYakT_normal.jpg</v>
      </c>
      <c r="G656" s="67"/>
      <c r="H656" s="71"/>
      <c r="I656" s="72"/>
      <c r="J656" s="72"/>
      <c r="K656" s="71" t="s">
        <v>11399</v>
      </c>
      <c r="L656" s="75"/>
      <c r="M656" s="76"/>
      <c r="N656" s="76"/>
      <c r="O656" s="77"/>
      <c r="P656" s="78"/>
      <c r="Q656" s="78"/>
      <c r="R656" s="92"/>
      <c r="S656" s="92"/>
      <c r="T656" s="92"/>
      <c r="U656" s="92"/>
      <c r="V656" s="52"/>
      <c r="W656" s="52"/>
      <c r="X656" s="52"/>
      <c r="Y656" s="52"/>
      <c r="Z656" s="51"/>
      <c r="AA656" s="73"/>
      <c r="AB656" s="73"/>
      <c r="AC656" s="74"/>
      <c r="AD656" s="80" t="s">
        <v>7230</v>
      </c>
      <c r="AE656" s="85" t="s">
        <v>8425</v>
      </c>
      <c r="AF656" s="80">
        <v>7046</v>
      </c>
      <c r="AG656" s="80">
        <v>6895</v>
      </c>
      <c r="AH656" s="80">
        <v>39837</v>
      </c>
      <c r="AI656" s="80">
        <v>9504</v>
      </c>
      <c r="AJ656" s="80"/>
      <c r="AK656" s="80" t="s">
        <v>9542</v>
      </c>
      <c r="AL656" s="80" t="s">
        <v>10447</v>
      </c>
      <c r="AM656" s="80"/>
      <c r="AN656" s="80"/>
      <c r="AO656" s="82">
        <v>40959.349745370368</v>
      </c>
      <c r="AP656" s="87" t="str">
        <f>HYPERLINK("https://pbs.twimg.com/profile_banners/497702911/1624367819")</f>
        <v>https://pbs.twimg.com/profile_banners/497702911/1624367819</v>
      </c>
      <c r="AQ656" s="80" t="b">
        <v>0</v>
      </c>
      <c r="AR656" s="80" t="b">
        <v>0</v>
      </c>
      <c r="AS656" s="80" t="b">
        <v>0</v>
      </c>
      <c r="AT656" s="80"/>
      <c r="AU656" s="80">
        <v>0</v>
      </c>
      <c r="AV656" s="87" t="str">
        <f>HYPERLINK("https://abs.twimg.com/images/themes/theme10/bg.gif")</f>
        <v>https://abs.twimg.com/images/themes/theme10/bg.gif</v>
      </c>
      <c r="AW656" s="80" t="b">
        <v>0</v>
      </c>
      <c r="AX656" s="80" t="s">
        <v>10746</v>
      </c>
      <c r="AY656" s="87" t="str">
        <f>HYPERLINK("https://twitter.com/ariestarico2")</f>
        <v>https://twitter.com/ariestarico2</v>
      </c>
      <c r="AZ656" s="80" t="s">
        <v>66</v>
      </c>
      <c r="BA656" s="2"/>
      <c r="BB656" s="3"/>
      <c r="BC656" s="3"/>
      <c r="BD656" s="3"/>
      <c r="BE656" s="3"/>
    </row>
    <row r="657" spans="1:57" x14ac:dyDescent="0.35">
      <c r="A657" s="66" t="s">
        <v>742</v>
      </c>
      <c r="B657" s="67"/>
      <c r="C657" s="67"/>
      <c r="D657" s="68"/>
      <c r="E657" s="70"/>
      <c r="F657" s="109" t="str">
        <f>HYPERLINK("https://pbs.twimg.com/profile_images/1422471319086452741/JQ2BqiJN_normal.jpg")</f>
        <v>https://pbs.twimg.com/profile_images/1422471319086452741/JQ2BqiJN_normal.jpg</v>
      </c>
      <c r="G657" s="67"/>
      <c r="H657" s="71"/>
      <c r="I657" s="72"/>
      <c r="J657" s="72"/>
      <c r="K657" s="71" t="s">
        <v>11400</v>
      </c>
      <c r="L657" s="75"/>
      <c r="M657" s="76"/>
      <c r="N657" s="76"/>
      <c r="O657" s="77"/>
      <c r="P657" s="78"/>
      <c r="Q657" s="78"/>
      <c r="R657" s="92"/>
      <c r="S657" s="92"/>
      <c r="T657" s="92"/>
      <c r="U657" s="92"/>
      <c r="V657" s="52"/>
      <c r="W657" s="52"/>
      <c r="X657" s="52"/>
      <c r="Y657" s="52"/>
      <c r="Z657" s="51"/>
      <c r="AA657" s="73"/>
      <c r="AB657" s="73"/>
      <c r="AC657" s="74"/>
      <c r="AD657" s="80" t="s">
        <v>7231</v>
      </c>
      <c r="AE657" s="85" t="s">
        <v>8426</v>
      </c>
      <c r="AF657" s="80">
        <v>1284</v>
      </c>
      <c r="AG657" s="80">
        <v>2906</v>
      </c>
      <c r="AH657" s="80">
        <v>14815</v>
      </c>
      <c r="AI657" s="80">
        <v>25</v>
      </c>
      <c r="AJ657" s="80"/>
      <c r="AK657" s="80" t="s">
        <v>9543</v>
      </c>
      <c r="AL657" s="80" t="s">
        <v>10134</v>
      </c>
      <c r="AM657" s="80"/>
      <c r="AN657" s="80"/>
      <c r="AO657" s="82">
        <v>41114.275775462964</v>
      </c>
      <c r="AP657" s="87" t="str">
        <f>HYPERLINK("https://pbs.twimg.com/profile_banners/713814955/1627978389")</f>
        <v>https://pbs.twimg.com/profile_banners/713814955/1627978389</v>
      </c>
      <c r="AQ657" s="80" t="b">
        <v>1</v>
      </c>
      <c r="AR657" s="80" t="b">
        <v>0</v>
      </c>
      <c r="AS657" s="80" t="b">
        <v>0</v>
      </c>
      <c r="AT657" s="80"/>
      <c r="AU657" s="80">
        <v>1</v>
      </c>
      <c r="AV657" s="87" t="str">
        <f>HYPERLINK("https://abs.twimg.com/images/themes/theme1/bg.png")</f>
        <v>https://abs.twimg.com/images/themes/theme1/bg.png</v>
      </c>
      <c r="AW657" s="80" t="b">
        <v>0</v>
      </c>
      <c r="AX657" s="80" t="s">
        <v>10746</v>
      </c>
      <c r="AY657" s="87" t="str">
        <f>HYPERLINK("https://twitter.com/giewhydi")</f>
        <v>https://twitter.com/giewhydi</v>
      </c>
      <c r="AZ657" s="80" t="s">
        <v>66</v>
      </c>
      <c r="BA657" s="2"/>
      <c r="BB657" s="3"/>
      <c r="BC657" s="3"/>
      <c r="BD657" s="3"/>
      <c r="BE657" s="3"/>
    </row>
    <row r="658" spans="1:57" x14ac:dyDescent="0.35">
      <c r="A658" s="66" t="s">
        <v>743</v>
      </c>
      <c r="B658" s="67"/>
      <c r="C658" s="67"/>
      <c r="D658" s="68"/>
      <c r="E658" s="70"/>
      <c r="F658" s="109" t="str">
        <f>HYPERLINK("https://pbs.twimg.com/profile_images/1419331343742214145/xNUgvSaq_normal.jpg")</f>
        <v>https://pbs.twimg.com/profile_images/1419331343742214145/xNUgvSaq_normal.jpg</v>
      </c>
      <c r="G658" s="67"/>
      <c r="H658" s="71"/>
      <c r="I658" s="72"/>
      <c r="J658" s="72"/>
      <c r="K658" s="71" t="s">
        <v>11401</v>
      </c>
      <c r="L658" s="75"/>
      <c r="M658" s="76"/>
      <c r="N658" s="76"/>
      <c r="O658" s="77"/>
      <c r="P658" s="78"/>
      <c r="Q658" s="78"/>
      <c r="R658" s="92"/>
      <c r="S658" s="92"/>
      <c r="T658" s="92"/>
      <c r="U658" s="92"/>
      <c r="V658" s="52"/>
      <c r="W658" s="52"/>
      <c r="X658" s="52"/>
      <c r="Y658" s="52"/>
      <c r="Z658" s="51"/>
      <c r="AA658" s="73"/>
      <c r="AB658" s="73"/>
      <c r="AC658" s="74"/>
      <c r="AD658" s="80" t="s">
        <v>7232</v>
      </c>
      <c r="AE658" s="85" t="s">
        <v>8427</v>
      </c>
      <c r="AF658" s="80">
        <v>2279</v>
      </c>
      <c r="AG658" s="80">
        <v>2219</v>
      </c>
      <c r="AH658" s="80">
        <v>8042</v>
      </c>
      <c r="AI658" s="80">
        <v>6334</v>
      </c>
      <c r="AJ658" s="80"/>
      <c r="AK658" s="80" t="s">
        <v>9544</v>
      </c>
      <c r="AL658" s="80" t="s">
        <v>6547</v>
      </c>
      <c r="AM658" s="80"/>
      <c r="AN658" s="80"/>
      <c r="AO658" s="82">
        <v>43307.323553240742</v>
      </c>
      <c r="AP658" s="87" t="str">
        <f>HYPERLINK("https://pbs.twimg.com/profile_banners/1022387521886375936/1627970479")</f>
        <v>https://pbs.twimg.com/profile_banners/1022387521886375936/1627970479</v>
      </c>
      <c r="AQ658" s="80" t="b">
        <v>1</v>
      </c>
      <c r="AR658" s="80" t="b">
        <v>0</v>
      </c>
      <c r="AS658" s="80" t="b">
        <v>1</v>
      </c>
      <c r="AT658" s="80"/>
      <c r="AU658" s="80">
        <v>0</v>
      </c>
      <c r="AV658" s="80"/>
      <c r="AW658" s="80" t="b">
        <v>0</v>
      </c>
      <c r="AX658" s="80" t="s">
        <v>10746</v>
      </c>
      <c r="AY658" s="87" t="str">
        <f>HYPERLINK("https://twitter.com/rizkidikka")</f>
        <v>https://twitter.com/rizkidikka</v>
      </c>
      <c r="AZ658" s="80" t="s">
        <v>66</v>
      </c>
      <c r="BA658" s="2"/>
      <c r="BB658" s="3"/>
      <c r="BC658" s="3"/>
      <c r="BD658" s="3"/>
      <c r="BE658" s="3"/>
    </row>
    <row r="659" spans="1:57" x14ac:dyDescent="0.35">
      <c r="A659" s="66" t="s">
        <v>744</v>
      </c>
      <c r="B659" s="67"/>
      <c r="C659" s="67"/>
      <c r="D659" s="68"/>
      <c r="E659" s="70"/>
      <c r="F659" s="109" t="str">
        <f>HYPERLINK("https://pbs.twimg.com/profile_images/1366731661363212291/XzRK8wds_normal.jpg")</f>
        <v>https://pbs.twimg.com/profile_images/1366731661363212291/XzRK8wds_normal.jpg</v>
      </c>
      <c r="G659" s="67"/>
      <c r="H659" s="71"/>
      <c r="I659" s="72"/>
      <c r="J659" s="72"/>
      <c r="K659" s="71" t="s">
        <v>11402</v>
      </c>
      <c r="L659" s="75"/>
      <c r="M659" s="76"/>
      <c r="N659" s="76"/>
      <c r="O659" s="77"/>
      <c r="P659" s="78"/>
      <c r="Q659" s="78"/>
      <c r="R659" s="92"/>
      <c r="S659" s="92"/>
      <c r="T659" s="92"/>
      <c r="U659" s="92"/>
      <c r="V659" s="52"/>
      <c r="W659" s="52"/>
      <c r="X659" s="52"/>
      <c r="Y659" s="52"/>
      <c r="Z659" s="51"/>
      <c r="AA659" s="73"/>
      <c r="AB659" s="73"/>
      <c r="AC659" s="74"/>
      <c r="AD659" s="80" t="s">
        <v>7233</v>
      </c>
      <c r="AE659" s="85" t="s">
        <v>8428</v>
      </c>
      <c r="AF659" s="80">
        <v>2519</v>
      </c>
      <c r="AG659" s="80">
        <v>2246</v>
      </c>
      <c r="AH659" s="80">
        <v>2960</v>
      </c>
      <c r="AI659" s="80">
        <v>2434</v>
      </c>
      <c r="AJ659" s="80"/>
      <c r="AK659" s="80" t="s">
        <v>9545</v>
      </c>
      <c r="AL659" s="80"/>
      <c r="AM659" s="80"/>
      <c r="AN659" s="80"/>
      <c r="AO659" s="82">
        <v>44257.531736111108</v>
      </c>
      <c r="AP659" s="87" t="str">
        <f>HYPERLINK("https://pbs.twimg.com/profile_banners/1366731333238591489/1614690625")</f>
        <v>https://pbs.twimg.com/profile_banners/1366731333238591489/1614690625</v>
      </c>
      <c r="AQ659" s="80" t="b">
        <v>1</v>
      </c>
      <c r="AR659" s="80" t="b">
        <v>0</v>
      </c>
      <c r="AS659" s="80" t="b">
        <v>0</v>
      </c>
      <c r="AT659" s="80"/>
      <c r="AU659" s="80">
        <v>0</v>
      </c>
      <c r="AV659" s="80"/>
      <c r="AW659" s="80" t="b">
        <v>0</v>
      </c>
      <c r="AX659" s="80" t="s">
        <v>10746</v>
      </c>
      <c r="AY659" s="87" t="str">
        <f>HYPERLINK("https://twitter.com/berli_flo")</f>
        <v>https://twitter.com/berli_flo</v>
      </c>
      <c r="AZ659" s="80" t="s">
        <v>66</v>
      </c>
      <c r="BA659" s="2"/>
      <c r="BB659" s="3"/>
      <c r="BC659" s="3"/>
      <c r="BD659" s="3"/>
      <c r="BE659" s="3"/>
    </row>
    <row r="660" spans="1:57" x14ac:dyDescent="0.35">
      <c r="A660" s="66" t="s">
        <v>745</v>
      </c>
      <c r="B660" s="67"/>
      <c r="C660" s="67"/>
      <c r="D660" s="68"/>
      <c r="E660" s="70"/>
      <c r="F660" s="109" t="str">
        <f>HYPERLINK("https://pbs.twimg.com/profile_images/1396421365264044042/bWcTyREo_normal.jpg")</f>
        <v>https://pbs.twimg.com/profile_images/1396421365264044042/bWcTyREo_normal.jpg</v>
      </c>
      <c r="G660" s="67"/>
      <c r="H660" s="71"/>
      <c r="I660" s="72"/>
      <c r="J660" s="72"/>
      <c r="K660" s="71" t="s">
        <v>11403</v>
      </c>
      <c r="L660" s="75"/>
      <c r="M660" s="76"/>
      <c r="N660" s="76"/>
      <c r="O660" s="77"/>
      <c r="P660" s="78"/>
      <c r="Q660" s="78"/>
      <c r="R660" s="92"/>
      <c r="S660" s="92"/>
      <c r="T660" s="92"/>
      <c r="U660" s="92"/>
      <c r="V660" s="52"/>
      <c r="W660" s="52"/>
      <c r="X660" s="52"/>
      <c r="Y660" s="52"/>
      <c r="Z660" s="51"/>
      <c r="AA660" s="73"/>
      <c r="AB660" s="73"/>
      <c r="AC660" s="74"/>
      <c r="AD660" s="80" t="s">
        <v>7234</v>
      </c>
      <c r="AE660" s="85" t="s">
        <v>8429</v>
      </c>
      <c r="AF660" s="80">
        <v>11092</v>
      </c>
      <c r="AG660" s="80">
        <v>14152</v>
      </c>
      <c r="AH660" s="80">
        <v>55131</v>
      </c>
      <c r="AI660" s="80">
        <v>59069</v>
      </c>
      <c r="AJ660" s="80"/>
      <c r="AK660" s="80" t="s">
        <v>9546</v>
      </c>
      <c r="AL660" s="80"/>
      <c r="AM660" s="80"/>
      <c r="AN660" s="80"/>
      <c r="AO660" s="82">
        <v>40039.413599537038</v>
      </c>
      <c r="AP660" s="87" t="str">
        <f>HYPERLINK("https://pbs.twimg.com/profile_banners/65603889/1630409711")</f>
        <v>https://pbs.twimg.com/profile_banners/65603889/1630409711</v>
      </c>
      <c r="AQ660" s="80" t="b">
        <v>1</v>
      </c>
      <c r="AR660" s="80" t="b">
        <v>0</v>
      </c>
      <c r="AS660" s="80" t="b">
        <v>1</v>
      </c>
      <c r="AT660" s="80"/>
      <c r="AU660" s="80">
        <v>1</v>
      </c>
      <c r="AV660" s="87" t="str">
        <f>HYPERLINK("https://abs.twimg.com/images/themes/theme1/bg.png")</f>
        <v>https://abs.twimg.com/images/themes/theme1/bg.png</v>
      </c>
      <c r="AW660" s="80" t="b">
        <v>0</v>
      </c>
      <c r="AX660" s="80" t="s">
        <v>10746</v>
      </c>
      <c r="AY660" s="87" t="str">
        <f>HYPERLINK("https://twitter.com/marv3lll")</f>
        <v>https://twitter.com/marv3lll</v>
      </c>
      <c r="AZ660" s="80" t="s">
        <v>66</v>
      </c>
      <c r="BA660" s="2"/>
      <c r="BB660" s="3"/>
      <c r="BC660" s="3"/>
      <c r="BD660" s="3"/>
      <c r="BE660" s="3"/>
    </row>
    <row r="661" spans="1:57" x14ac:dyDescent="0.35">
      <c r="A661" s="66" t="s">
        <v>746</v>
      </c>
      <c r="B661" s="67"/>
      <c r="C661" s="67"/>
      <c r="D661" s="68"/>
      <c r="E661" s="70"/>
      <c r="F661" s="109" t="str">
        <f>HYPERLINK("https://pbs.twimg.com/profile_images/1442335295836327938/TNg2XxcJ_normal.jpg")</f>
        <v>https://pbs.twimg.com/profile_images/1442335295836327938/TNg2XxcJ_normal.jpg</v>
      </c>
      <c r="G661" s="67"/>
      <c r="H661" s="71"/>
      <c r="I661" s="72"/>
      <c r="J661" s="72"/>
      <c r="K661" s="71" t="s">
        <v>11404</v>
      </c>
      <c r="L661" s="75"/>
      <c r="M661" s="76"/>
      <c r="N661" s="76"/>
      <c r="O661" s="77"/>
      <c r="P661" s="78"/>
      <c r="Q661" s="78"/>
      <c r="R661" s="92"/>
      <c r="S661" s="92"/>
      <c r="T661" s="92"/>
      <c r="U661" s="92"/>
      <c r="V661" s="52"/>
      <c r="W661" s="52"/>
      <c r="X661" s="52"/>
      <c r="Y661" s="52"/>
      <c r="Z661" s="51"/>
      <c r="AA661" s="73"/>
      <c r="AB661" s="73"/>
      <c r="AC661" s="74"/>
      <c r="AD661" s="80" t="s">
        <v>7235</v>
      </c>
      <c r="AE661" s="85" t="s">
        <v>8430</v>
      </c>
      <c r="AF661" s="80">
        <v>492</v>
      </c>
      <c r="AG661" s="80">
        <v>476</v>
      </c>
      <c r="AH661" s="80">
        <v>25478</v>
      </c>
      <c r="AI661" s="80">
        <v>28068</v>
      </c>
      <c r="AJ661" s="80"/>
      <c r="AK661" s="80"/>
      <c r="AL661" s="80">
        <v>15</v>
      </c>
      <c r="AM661" s="87" t="str">
        <f>HYPERLINK("https://t.co/paWiQNZdMP")</f>
        <v>https://t.co/paWiQNZdMP</v>
      </c>
      <c r="AN661" s="80"/>
      <c r="AO661" s="82">
        <v>44221.054918981485</v>
      </c>
      <c r="AP661" s="87" t="str">
        <f>HYPERLINK("https://pbs.twimg.com/profile_banners/1353512512851857409/1632212923")</f>
        <v>https://pbs.twimg.com/profile_banners/1353512512851857409/1632212923</v>
      </c>
      <c r="AQ661" s="80" t="b">
        <v>1</v>
      </c>
      <c r="AR661" s="80" t="b">
        <v>0</v>
      </c>
      <c r="AS661" s="80" t="b">
        <v>0</v>
      </c>
      <c r="AT661" s="80"/>
      <c r="AU661" s="80">
        <v>13</v>
      </c>
      <c r="AV661" s="80"/>
      <c r="AW661" s="80" t="b">
        <v>0</v>
      </c>
      <c r="AX661" s="80" t="s">
        <v>10746</v>
      </c>
      <c r="AY661" s="87" t="str">
        <f>HYPERLINK("https://twitter.com/o1sahi")</f>
        <v>https://twitter.com/o1sahi</v>
      </c>
      <c r="AZ661" s="80" t="s">
        <v>66</v>
      </c>
      <c r="BA661" s="2"/>
      <c r="BB661" s="3"/>
      <c r="BC661" s="3"/>
      <c r="BD661" s="3"/>
      <c r="BE661" s="3"/>
    </row>
    <row r="662" spans="1:57" x14ac:dyDescent="0.35">
      <c r="A662" s="66" t="s">
        <v>1388</v>
      </c>
      <c r="B662" s="67"/>
      <c r="C662" s="67"/>
      <c r="D662" s="68"/>
      <c r="E662" s="70"/>
      <c r="F662" s="109" t="str">
        <f>HYPERLINK("https://pbs.twimg.com/profile_images/1245199469571796993/TaKDsz-3_normal.jpg")</f>
        <v>https://pbs.twimg.com/profile_images/1245199469571796993/TaKDsz-3_normal.jpg</v>
      </c>
      <c r="G662" s="67"/>
      <c r="H662" s="71"/>
      <c r="I662" s="72"/>
      <c r="J662" s="72"/>
      <c r="K662" s="71" t="s">
        <v>11405</v>
      </c>
      <c r="L662" s="75"/>
      <c r="M662" s="76"/>
      <c r="N662" s="76"/>
      <c r="O662" s="77"/>
      <c r="P662" s="78"/>
      <c r="Q662" s="78"/>
      <c r="R662" s="92"/>
      <c r="S662" s="92"/>
      <c r="T662" s="92"/>
      <c r="U662" s="92"/>
      <c r="V662" s="52"/>
      <c r="W662" s="52"/>
      <c r="X662" s="52"/>
      <c r="Y662" s="52"/>
      <c r="Z662" s="51"/>
      <c r="AA662" s="73"/>
      <c r="AB662" s="73"/>
      <c r="AC662" s="74"/>
      <c r="AD662" s="80" t="s">
        <v>7236</v>
      </c>
      <c r="AE662" s="85" t="s">
        <v>6339</v>
      </c>
      <c r="AF662" s="80">
        <v>3</v>
      </c>
      <c r="AG662" s="80">
        <v>2411973</v>
      </c>
      <c r="AH662" s="80">
        <v>1651</v>
      </c>
      <c r="AI662" s="80">
        <v>122</v>
      </c>
      <c r="AJ662" s="80"/>
      <c r="AK662" s="80" t="s">
        <v>9547</v>
      </c>
      <c r="AL662" s="80" t="s">
        <v>10448</v>
      </c>
      <c r="AM662" s="87" t="str">
        <f>HYPERLINK("https://t.co/w9DO0KE9sM")</f>
        <v>https://t.co/w9DO0KE9sM</v>
      </c>
      <c r="AN662" s="80"/>
      <c r="AO662" s="82">
        <v>43909.552337962959</v>
      </c>
      <c r="AP662" s="87" t="str">
        <f>HYPERLINK("https://pbs.twimg.com/profile_banners/1240627844868268033/1585713671")</f>
        <v>https://pbs.twimg.com/profile_banners/1240627844868268033/1585713671</v>
      </c>
      <c r="AQ662" s="80" t="b">
        <v>1</v>
      </c>
      <c r="AR662" s="80" t="b">
        <v>0</v>
      </c>
      <c r="AS662" s="80" t="b">
        <v>0</v>
      </c>
      <c r="AT662" s="80"/>
      <c r="AU662" s="80">
        <v>12240</v>
      </c>
      <c r="AV662" s="80"/>
      <c r="AW662" s="80" t="b">
        <v>1</v>
      </c>
      <c r="AX662" s="80" t="s">
        <v>10746</v>
      </c>
      <c r="AY662" s="87" t="str">
        <f>HYPERLINK("https://twitter.com/treasuremembers")</f>
        <v>https://twitter.com/treasuremembers</v>
      </c>
      <c r="AZ662" s="80" t="s">
        <v>65</v>
      </c>
      <c r="BA662" s="2"/>
      <c r="BB662" s="3"/>
      <c r="BC662" s="3"/>
      <c r="BD662" s="3"/>
      <c r="BE662" s="3"/>
    </row>
    <row r="663" spans="1:57" x14ac:dyDescent="0.35">
      <c r="A663" s="66" t="s">
        <v>747</v>
      </c>
      <c r="B663" s="67"/>
      <c r="C663" s="67"/>
      <c r="D663" s="68"/>
      <c r="E663" s="70"/>
      <c r="F663" s="109" t="str">
        <f>HYPERLINK("https://pbs.twimg.com/profile_images/1365866926602293248/-Cp38l9V_normal.jpg")</f>
        <v>https://pbs.twimg.com/profile_images/1365866926602293248/-Cp38l9V_normal.jpg</v>
      </c>
      <c r="G663" s="67"/>
      <c r="H663" s="71"/>
      <c r="I663" s="72"/>
      <c r="J663" s="72"/>
      <c r="K663" s="71" t="s">
        <v>11406</v>
      </c>
      <c r="L663" s="75"/>
      <c r="M663" s="76"/>
      <c r="N663" s="76"/>
      <c r="O663" s="77"/>
      <c r="P663" s="78"/>
      <c r="Q663" s="78"/>
      <c r="R663" s="92"/>
      <c r="S663" s="92"/>
      <c r="T663" s="92"/>
      <c r="U663" s="92"/>
      <c r="V663" s="52"/>
      <c r="W663" s="52"/>
      <c r="X663" s="52"/>
      <c r="Y663" s="52"/>
      <c r="Z663" s="51"/>
      <c r="AA663" s="73"/>
      <c r="AB663" s="73"/>
      <c r="AC663" s="74"/>
      <c r="AD663" s="80" t="s">
        <v>7237</v>
      </c>
      <c r="AE663" s="85" t="s">
        <v>8431</v>
      </c>
      <c r="AF663" s="80">
        <v>512</v>
      </c>
      <c r="AG663" s="80">
        <v>453</v>
      </c>
      <c r="AH663" s="80">
        <v>23472</v>
      </c>
      <c r="AI663" s="80">
        <v>841</v>
      </c>
      <c r="AJ663" s="80"/>
      <c r="AK663" s="80" t="s">
        <v>9548</v>
      </c>
      <c r="AL663" s="80"/>
      <c r="AM663" s="80"/>
      <c r="AN663" s="80"/>
      <c r="AO663" s="82">
        <v>40467.26185185185</v>
      </c>
      <c r="AP663" s="87" t="str">
        <f>HYPERLINK("https://pbs.twimg.com/profile_banners/203415556/1574568144")</f>
        <v>https://pbs.twimg.com/profile_banners/203415556/1574568144</v>
      </c>
      <c r="AQ663" s="80" t="b">
        <v>0</v>
      </c>
      <c r="AR663" s="80" t="b">
        <v>0</v>
      </c>
      <c r="AS663" s="80" t="b">
        <v>1</v>
      </c>
      <c r="AT663" s="80"/>
      <c r="AU663" s="80">
        <v>7</v>
      </c>
      <c r="AV663" s="87" t="str">
        <f>HYPERLINK("https://abs.twimg.com/images/themes/theme1/bg.png")</f>
        <v>https://abs.twimg.com/images/themes/theme1/bg.png</v>
      </c>
      <c r="AW663" s="80" t="b">
        <v>0</v>
      </c>
      <c r="AX663" s="80" t="s">
        <v>10746</v>
      </c>
      <c r="AY663" s="87" t="str">
        <f>HYPERLINK("https://twitter.com/bey_heri")</f>
        <v>https://twitter.com/bey_heri</v>
      </c>
      <c r="AZ663" s="80" t="s">
        <v>66</v>
      </c>
      <c r="BA663" s="2"/>
      <c r="BB663" s="3"/>
      <c r="BC663" s="3"/>
      <c r="BD663" s="3"/>
      <c r="BE663" s="3"/>
    </row>
    <row r="664" spans="1:57" x14ac:dyDescent="0.35">
      <c r="A664" s="66" t="s">
        <v>748</v>
      </c>
      <c r="B664" s="67"/>
      <c r="C664" s="67"/>
      <c r="D664" s="68"/>
      <c r="E664" s="70"/>
      <c r="F664" s="109" t="str">
        <f>HYPERLINK("https://pbs.twimg.com/profile_images/1407998233700274184/wM2uv0NX_normal.jpg")</f>
        <v>https://pbs.twimg.com/profile_images/1407998233700274184/wM2uv0NX_normal.jpg</v>
      </c>
      <c r="G664" s="67"/>
      <c r="H664" s="71"/>
      <c r="I664" s="72"/>
      <c r="J664" s="72"/>
      <c r="K664" s="71" t="s">
        <v>11407</v>
      </c>
      <c r="L664" s="75"/>
      <c r="M664" s="76"/>
      <c r="N664" s="76"/>
      <c r="O664" s="77"/>
      <c r="P664" s="78"/>
      <c r="Q664" s="78"/>
      <c r="R664" s="92"/>
      <c r="S664" s="92"/>
      <c r="T664" s="92"/>
      <c r="U664" s="92"/>
      <c r="V664" s="52"/>
      <c r="W664" s="52"/>
      <c r="X664" s="52"/>
      <c r="Y664" s="52"/>
      <c r="Z664" s="51"/>
      <c r="AA664" s="73"/>
      <c r="AB664" s="73"/>
      <c r="AC664" s="74"/>
      <c r="AD664" s="80" t="s">
        <v>7238</v>
      </c>
      <c r="AE664" s="85" t="s">
        <v>8432</v>
      </c>
      <c r="AF664" s="80">
        <v>1276</v>
      </c>
      <c r="AG664" s="80">
        <v>1126</v>
      </c>
      <c r="AH664" s="80">
        <v>3538</v>
      </c>
      <c r="AI664" s="80">
        <v>2379</v>
      </c>
      <c r="AJ664" s="80"/>
      <c r="AK664" s="80" t="s">
        <v>9549</v>
      </c>
      <c r="AL664" s="80" t="s">
        <v>10449</v>
      </c>
      <c r="AM664" s="80"/>
      <c r="AN664" s="80"/>
      <c r="AO664" s="82">
        <v>41774.757280092592</v>
      </c>
      <c r="AP664" s="87" t="str">
        <f>HYPERLINK("https://pbs.twimg.com/profile_banners/2496865904/1624527916")</f>
        <v>https://pbs.twimg.com/profile_banners/2496865904/1624527916</v>
      </c>
      <c r="AQ664" s="80" t="b">
        <v>1</v>
      </c>
      <c r="AR664" s="80" t="b">
        <v>0</v>
      </c>
      <c r="AS664" s="80" t="b">
        <v>0</v>
      </c>
      <c r="AT664" s="80"/>
      <c r="AU664" s="80">
        <v>0</v>
      </c>
      <c r="AV664" s="87" t="str">
        <f>HYPERLINK("https://abs.twimg.com/images/themes/theme1/bg.png")</f>
        <v>https://abs.twimg.com/images/themes/theme1/bg.png</v>
      </c>
      <c r="AW664" s="80" t="b">
        <v>0</v>
      </c>
      <c r="AX664" s="80" t="s">
        <v>10746</v>
      </c>
      <c r="AY664" s="87" t="str">
        <f>HYPERLINK("https://twitter.com/panterorison20")</f>
        <v>https://twitter.com/panterorison20</v>
      </c>
      <c r="AZ664" s="80" t="s">
        <v>66</v>
      </c>
      <c r="BA664" s="2"/>
      <c r="BB664" s="3"/>
      <c r="BC664" s="3"/>
      <c r="BD664" s="3"/>
      <c r="BE664" s="3"/>
    </row>
    <row r="665" spans="1:57" x14ac:dyDescent="0.35">
      <c r="A665" s="66" t="s">
        <v>749</v>
      </c>
      <c r="B665" s="67"/>
      <c r="C665" s="67"/>
      <c r="D665" s="68"/>
      <c r="E665" s="70"/>
      <c r="F665" s="109" t="str">
        <f>HYPERLINK("https://pbs.twimg.com/profile_images/1148827121197862912/C5FZpW08_normal.jpg")</f>
        <v>https://pbs.twimg.com/profile_images/1148827121197862912/C5FZpW08_normal.jpg</v>
      </c>
      <c r="G665" s="67"/>
      <c r="H665" s="71"/>
      <c r="I665" s="72"/>
      <c r="J665" s="72"/>
      <c r="K665" s="71" t="s">
        <v>11408</v>
      </c>
      <c r="L665" s="75"/>
      <c r="M665" s="76"/>
      <c r="N665" s="76"/>
      <c r="O665" s="77"/>
      <c r="P665" s="78"/>
      <c r="Q665" s="78"/>
      <c r="R665" s="92"/>
      <c r="S665" s="92"/>
      <c r="T665" s="92"/>
      <c r="U665" s="92"/>
      <c r="V665" s="52"/>
      <c r="W665" s="52"/>
      <c r="X665" s="52"/>
      <c r="Y665" s="52"/>
      <c r="Z665" s="51"/>
      <c r="AA665" s="73"/>
      <c r="AB665" s="73"/>
      <c r="AC665" s="74"/>
      <c r="AD665" s="80" t="s">
        <v>7239</v>
      </c>
      <c r="AE665" s="85" t="s">
        <v>8433</v>
      </c>
      <c r="AF665" s="80">
        <v>146</v>
      </c>
      <c r="AG665" s="80">
        <v>119</v>
      </c>
      <c r="AH665" s="80">
        <v>79591</v>
      </c>
      <c r="AI665" s="80">
        <v>75435</v>
      </c>
      <c r="AJ665" s="80"/>
      <c r="AK665" s="80" t="s">
        <v>9550</v>
      </c>
      <c r="AL665" s="80" t="s">
        <v>10450</v>
      </c>
      <c r="AM665" s="87" t="str">
        <f>HYPERLINK("https://t.co/Rjb6VMyQcP")</f>
        <v>https://t.co/Rjb6VMyQcP</v>
      </c>
      <c r="AN665" s="80"/>
      <c r="AO665" s="82">
        <v>41928.189606481479</v>
      </c>
      <c r="AP665" s="87" t="str">
        <f>HYPERLINK("https://pbs.twimg.com/profile_banners/2857561854/1515621809")</f>
        <v>https://pbs.twimg.com/profile_banners/2857561854/1515621809</v>
      </c>
      <c r="AQ665" s="80" t="b">
        <v>1</v>
      </c>
      <c r="AR665" s="80" t="b">
        <v>0</v>
      </c>
      <c r="AS665" s="80" t="b">
        <v>1</v>
      </c>
      <c r="AT665" s="80"/>
      <c r="AU665" s="80">
        <v>13</v>
      </c>
      <c r="AV665" s="87" t="str">
        <f>HYPERLINK("https://abs.twimg.com/images/themes/theme1/bg.png")</f>
        <v>https://abs.twimg.com/images/themes/theme1/bg.png</v>
      </c>
      <c r="AW665" s="80" t="b">
        <v>0</v>
      </c>
      <c r="AX665" s="80" t="s">
        <v>10746</v>
      </c>
      <c r="AY665" s="87" t="str">
        <f>HYPERLINK("https://twitter.com/adenugraha999")</f>
        <v>https://twitter.com/adenugraha999</v>
      </c>
      <c r="AZ665" s="80" t="s">
        <v>66</v>
      </c>
      <c r="BA665" s="2"/>
      <c r="BB665" s="3"/>
      <c r="BC665" s="3"/>
      <c r="BD665" s="3"/>
      <c r="BE665" s="3"/>
    </row>
    <row r="666" spans="1:57" x14ac:dyDescent="0.35">
      <c r="A666" s="66" t="s">
        <v>750</v>
      </c>
      <c r="B666" s="67"/>
      <c r="C666" s="67"/>
      <c r="D666" s="68"/>
      <c r="E666" s="70"/>
      <c r="F666" s="109" t="str">
        <f>HYPERLINK("https://pbs.twimg.com/profile_images/1398648555737288707/4Uw_Pcvy_normal.jpg")</f>
        <v>https://pbs.twimg.com/profile_images/1398648555737288707/4Uw_Pcvy_normal.jpg</v>
      </c>
      <c r="G666" s="67"/>
      <c r="H666" s="71"/>
      <c r="I666" s="72"/>
      <c r="J666" s="72"/>
      <c r="K666" s="71" t="s">
        <v>11409</v>
      </c>
      <c r="L666" s="75"/>
      <c r="M666" s="76"/>
      <c r="N666" s="76"/>
      <c r="O666" s="77"/>
      <c r="P666" s="78"/>
      <c r="Q666" s="78"/>
      <c r="R666" s="92"/>
      <c r="S666" s="92"/>
      <c r="T666" s="92"/>
      <c r="U666" s="92"/>
      <c r="V666" s="52"/>
      <c r="W666" s="52"/>
      <c r="X666" s="52"/>
      <c r="Y666" s="52"/>
      <c r="Z666" s="51"/>
      <c r="AA666" s="73"/>
      <c r="AB666" s="73"/>
      <c r="AC666" s="74"/>
      <c r="AD666" s="80" t="s">
        <v>7240</v>
      </c>
      <c r="AE666" s="85" t="s">
        <v>8434</v>
      </c>
      <c r="AF666" s="80">
        <v>8339</v>
      </c>
      <c r="AG666" s="80">
        <v>8834</v>
      </c>
      <c r="AH666" s="80">
        <v>12648</v>
      </c>
      <c r="AI666" s="80">
        <v>10277</v>
      </c>
      <c r="AJ666" s="80"/>
      <c r="AK666" s="80" t="s">
        <v>9551</v>
      </c>
      <c r="AL666" s="80" t="s">
        <v>10159</v>
      </c>
      <c r="AM666" s="87" t="str">
        <f>HYPERLINK("https://t.co/PFlYffbEk4")</f>
        <v>https://t.co/PFlYffbEk4</v>
      </c>
      <c r="AN666" s="80"/>
      <c r="AO666" s="82">
        <v>41690.212129629632</v>
      </c>
      <c r="AP666" s="87" t="str">
        <f>HYPERLINK("https://pbs.twimg.com/profile_banners/2352745627/1616383242")</f>
        <v>https://pbs.twimg.com/profile_banners/2352745627/1616383242</v>
      </c>
      <c r="AQ666" s="80" t="b">
        <v>1</v>
      </c>
      <c r="AR666" s="80" t="b">
        <v>0</v>
      </c>
      <c r="AS666" s="80" t="b">
        <v>0</v>
      </c>
      <c r="AT666" s="80"/>
      <c r="AU666" s="80">
        <v>0</v>
      </c>
      <c r="AV666" s="87" t="str">
        <f>HYPERLINK("https://abs.twimg.com/images/themes/theme1/bg.png")</f>
        <v>https://abs.twimg.com/images/themes/theme1/bg.png</v>
      </c>
      <c r="AW666" s="80" t="b">
        <v>0</v>
      </c>
      <c r="AX666" s="80" t="s">
        <v>10746</v>
      </c>
      <c r="AY666" s="87" t="str">
        <f>HYPERLINK("https://twitter.com/sydneyx5w")</f>
        <v>https://twitter.com/sydneyx5w</v>
      </c>
      <c r="AZ666" s="80" t="s">
        <v>66</v>
      </c>
      <c r="BA666" s="2"/>
      <c r="BB666" s="3"/>
      <c r="BC666" s="3"/>
      <c r="BD666" s="3"/>
      <c r="BE666" s="3"/>
    </row>
    <row r="667" spans="1:57" x14ac:dyDescent="0.35">
      <c r="A667" s="66" t="s">
        <v>751</v>
      </c>
      <c r="B667" s="67"/>
      <c r="C667" s="67"/>
      <c r="D667" s="68"/>
      <c r="E667" s="70"/>
      <c r="F667" s="109" t="str">
        <f>HYPERLINK("https://pbs.twimg.com/profile_images/1367427699224944643/rYHtleLv_normal.jpg")</f>
        <v>https://pbs.twimg.com/profile_images/1367427699224944643/rYHtleLv_normal.jpg</v>
      </c>
      <c r="G667" s="67"/>
      <c r="H667" s="71"/>
      <c r="I667" s="72"/>
      <c r="J667" s="72"/>
      <c r="K667" s="71" t="s">
        <v>11410</v>
      </c>
      <c r="L667" s="75"/>
      <c r="M667" s="76"/>
      <c r="N667" s="76"/>
      <c r="O667" s="77"/>
      <c r="P667" s="78"/>
      <c r="Q667" s="78"/>
      <c r="R667" s="92"/>
      <c r="S667" s="92"/>
      <c r="T667" s="92"/>
      <c r="U667" s="92"/>
      <c r="V667" s="52"/>
      <c r="W667" s="52"/>
      <c r="X667" s="52"/>
      <c r="Y667" s="52"/>
      <c r="Z667" s="51"/>
      <c r="AA667" s="73"/>
      <c r="AB667" s="73"/>
      <c r="AC667" s="74"/>
      <c r="AD667" s="80" t="s">
        <v>751</v>
      </c>
      <c r="AE667" s="85" t="s">
        <v>8435</v>
      </c>
      <c r="AF667" s="80">
        <v>6800</v>
      </c>
      <c r="AG667" s="80">
        <v>7099</v>
      </c>
      <c r="AH667" s="80">
        <v>33256</v>
      </c>
      <c r="AI667" s="80">
        <v>20142</v>
      </c>
      <c r="AJ667" s="80"/>
      <c r="AK667" s="80" t="s">
        <v>9552</v>
      </c>
      <c r="AL667" s="80"/>
      <c r="AM667" s="80"/>
      <c r="AN667" s="80"/>
      <c r="AO667" s="82">
        <v>44036.663182870368</v>
      </c>
      <c r="AP667" s="87" t="str">
        <f>HYPERLINK("https://pbs.twimg.com/profile_banners/1286691301258194946/1620189476")</f>
        <v>https://pbs.twimg.com/profile_banners/1286691301258194946/1620189476</v>
      </c>
      <c r="AQ667" s="80" t="b">
        <v>1</v>
      </c>
      <c r="AR667" s="80" t="b">
        <v>0</v>
      </c>
      <c r="AS667" s="80" t="b">
        <v>0</v>
      </c>
      <c r="AT667" s="80"/>
      <c r="AU667" s="80">
        <v>0</v>
      </c>
      <c r="AV667" s="80"/>
      <c r="AW667" s="80" t="b">
        <v>0</v>
      </c>
      <c r="AX667" s="80" t="s">
        <v>10746</v>
      </c>
      <c r="AY667" s="87" t="str">
        <f>HYPERLINK("https://twitter.com/farrel27")</f>
        <v>https://twitter.com/farrel27</v>
      </c>
      <c r="AZ667" s="80" t="s">
        <v>66</v>
      </c>
      <c r="BA667" s="2"/>
      <c r="BB667" s="3"/>
      <c r="BC667" s="3"/>
      <c r="BD667" s="3"/>
      <c r="BE667" s="3"/>
    </row>
    <row r="668" spans="1:57" x14ac:dyDescent="0.35">
      <c r="A668" s="66" t="s">
        <v>752</v>
      </c>
      <c r="B668" s="67"/>
      <c r="C668" s="67"/>
      <c r="D668" s="68"/>
      <c r="E668" s="70"/>
      <c r="F668" s="109" t="str">
        <f>HYPERLINK("https://pbs.twimg.com/profile_images/1438859269172981762/NxIiCu02_normal.jpg")</f>
        <v>https://pbs.twimg.com/profile_images/1438859269172981762/NxIiCu02_normal.jpg</v>
      </c>
      <c r="G668" s="67"/>
      <c r="H668" s="71"/>
      <c r="I668" s="72"/>
      <c r="J668" s="72"/>
      <c r="K668" s="71" t="s">
        <v>11411</v>
      </c>
      <c r="L668" s="75"/>
      <c r="M668" s="76"/>
      <c r="N668" s="76"/>
      <c r="O668" s="77"/>
      <c r="P668" s="78"/>
      <c r="Q668" s="78"/>
      <c r="R668" s="92"/>
      <c r="S668" s="92"/>
      <c r="T668" s="92"/>
      <c r="U668" s="92"/>
      <c r="V668" s="52"/>
      <c r="W668" s="52"/>
      <c r="X668" s="52"/>
      <c r="Y668" s="52"/>
      <c r="Z668" s="51"/>
      <c r="AA668" s="73"/>
      <c r="AB668" s="73"/>
      <c r="AC668" s="74"/>
      <c r="AD668" s="80" t="s">
        <v>7241</v>
      </c>
      <c r="AE668" s="85" t="s">
        <v>8436</v>
      </c>
      <c r="AF668" s="80">
        <v>856</v>
      </c>
      <c r="AG668" s="80">
        <v>876</v>
      </c>
      <c r="AH668" s="80">
        <v>12806</v>
      </c>
      <c r="AI668" s="80">
        <v>33696</v>
      </c>
      <c r="AJ668" s="80"/>
      <c r="AK668" s="80" t="s">
        <v>9553</v>
      </c>
      <c r="AL668" s="80" t="s">
        <v>10451</v>
      </c>
      <c r="AM668" s="80"/>
      <c r="AN668" s="80"/>
      <c r="AO668" s="82">
        <v>43998.829618055555</v>
      </c>
      <c r="AP668" s="87" t="str">
        <f>HYPERLINK("https://pbs.twimg.com/profile_banners/1272980895352291329/1627314402")</f>
        <v>https://pbs.twimg.com/profile_banners/1272980895352291329/1627314402</v>
      </c>
      <c r="AQ668" s="80" t="b">
        <v>1</v>
      </c>
      <c r="AR668" s="80" t="b">
        <v>0</v>
      </c>
      <c r="AS668" s="80" t="b">
        <v>0</v>
      </c>
      <c r="AT668" s="80"/>
      <c r="AU668" s="80">
        <v>13</v>
      </c>
      <c r="AV668" s="80"/>
      <c r="AW668" s="80" t="b">
        <v>0</v>
      </c>
      <c r="AX668" s="80" t="s">
        <v>10746</v>
      </c>
      <c r="AY668" s="87" t="str">
        <f>HYPERLINK("https://twitter.com/babyericsohn")</f>
        <v>https://twitter.com/babyericsohn</v>
      </c>
      <c r="AZ668" s="80" t="s">
        <v>66</v>
      </c>
      <c r="BA668" s="2"/>
      <c r="BB668" s="3"/>
      <c r="BC668" s="3"/>
      <c r="BD668" s="3"/>
      <c r="BE668" s="3"/>
    </row>
    <row r="669" spans="1:57" x14ac:dyDescent="0.35">
      <c r="A669" s="66" t="s">
        <v>753</v>
      </c>
      <c r="B669" s="67"/>
      <c r="C669" s="67"/>
      <c r="D669" s="68"/>
      <c r="E669" s="70"/>
      <c r="F669" s="109" t="str">
        <f>HYPERLINK("https://pbs.twimg.com/profile_images/1421865569519767552/Cv6wduxo_normal.jpg")</f>
        <v>https://pbs.twimg.com/profile_images/1421865569519767552/Cv6wduxo_normal.jpg</v>
      </c>
      <c r="G669" s="67"/>
      <c r="H669" s="71"/>
      <c r="I669" s="72"/>
      <c r="J669" s="72"/>
      <c r="K669" s="71" t="s">
        <v>11412</v>
      </c>
      <c r="L669" s="75"/>
      <c r="M669" s="76"/>
      <c r="N669" s="76"/>
      <c r="O669" s="77"/>
      <c r="P669" s="78"/>
      <c r="Q669" s="78"/>
      <c r="R669" s="92"/>
      <c r="S669" s="92"/>
      <c r="T669" s="92"/>
      <c r="U669" s="92"/>
      <c r="V669" s="52"/>
      <c r="W669" s="52"/>
      <c r="X669" s="52"/>
      <c r="Y669" s="52"/>
      <c r="Z669" s="51"/>
      <c r="AA669" s="73"/>
      <c r="AB669" s="73"/>
      <c r="AC669" s="74"/>
      <c r="AD669" s="80" t="s">
        <v>7242</v>
      </c>
      <c r="AE669" s="85" t="s">
        <v>8437</v>
      </c>
      <c r="AF669" s="80">
        <v>283</v>
      </c>
      <c r="AG669" s="80">
        <v>250</v>
      </c>
      <c r="AH669" s="80">
        <v>33920</v>
      </c>
      <c r="AI669" s="80">
        <v>1033</v>
      </c>
      <c r="AJ669" s="80"/>
      <c r="AK669" s="80" t="s">
        <v>9554</v>
      </c>
      <c r="AL669" s="80" t="s">
        <v>10452</v>
      </c>
      <c r="AM669" s="80"/>
      <c r="AN669" s="80"/>
      <c r="AO669" s="82">
        <v>41466.155405092592</v>
      </c>
      <c r="AP669" s="87" t="str">
        <f>HYPERLINK("https://pbs.twimg.com/profile_banners/1584685002/1612584273")</f>
        <v>https://pbs.twimg.com/profile_banners/1584685002/1612584273</v>
      </c>
      <c r="AQ669" s="80" t="b">
        <v>0</v>
      </c>
      <c r="AR669" s="80" t="b">
        <v>0</v>
      </c>
      <c r="AS669" s="80" t="b">
        <v>1</v>
      </c>
      <c r="AT669" s="80"/>
      <c r="AU669" s="80">
        <v>3</v>
      </c>
      <c r="AV669" s="87" t="str">
        <f>HYPERLINK("https://abs.twimg.com/images/themes/theme14/bg.gif")</f>
        <v>https://abs.twimg.com/images/themes/theme14/bg.gif</v>
      </c>
      <c r="AW669" s="80" t="b">
        <v>0</v>
      </c>
      <c r="AX669" s="80" t="s">
        <v>10746</v>
      </c>
      <c r="AY669" s="87" t="str">
        <f>HYPERLINK("https://twitter.com/rakustudiojogja")</f>
        <v>https://twitter.com/rakustudiojogja</v>
      </c>
      <c r="AZ669" s="80" t="s">
        <v>66</v>
      </c>
      <c r="BA669" s="2"/>
      <c r="BB669" s="3"/>
      <c r="BC669" s="3"/>
      <c r="BD669" s="3"/>
      <c r="BE669" s="3"/>
    </row>
    <row r="670" spans="1:57" x14ac:dyDescent="0.35">
      <c r="A670" s="66" t="s">
        <v>754</v>
      </c>
      <c r="B670" s="67"/>
      <c r="C670" s="67"/>
      <c r="D670" s="68"/>
      <c r="E670" s="70"/>
      <c r="F670" s="109" t="str">
        <f>HYPERLINK("https://pbs.twimg.com/profile_images/1293214178400858113/MgJgFhSQ_normal.jpg")</f>
        <v>https://pbs.twimg.com/profile_images/1293214178400858113/MgJgFhSQ_normal.jpg</v>
      </c>
      <c r="G670" s="67"/>
      <c r="H670" s="71"/>
      <c r="I670" s="72"/>
      <c r="J670" s="72"/>
      <c r="K670" s="71" t="s">
        <v>11413</v>
      </c>
      <c r="L670" s="75"/>
      <c r="M670" s="76"/>
      <c r="N670" s="76"/>
      <c r="O670" s="77"/>
      <c r="P670" s="78"/>
      <c r="Q670" s="78"/>
      <c r="R670" s="92"/>
      <c r="S670" s="92"/>
      <c r="T670" s="92"/>
      <c r="U670" s="92"/>
      <c r="V670" s="52"/>
      <c r="W670" s="52"/>
      <c r="X670" s="52"/>
      <c r="Y670" s="52"/>
      <c r="Z670" s="51"/>
      <c r="AA670" s="73"/>
      <c r="AB670" s="73"/>
      <c r="AC670" s="74"/>
      <c r="AD670" s="80" t="s">
        <v>7243</v>
      </c>
      <c r="AE670" s="85" t="s">
        <v>8438</v>
      </c>
      <c r="AF670" s="80">
        <v>504</v>
      </c>
      <c r="AG670" s="80">
        <v>645</v>
      </c>
      <c r="AH670" s="80">
        <v>24561</v>
      </c>
      <c r="AI670" s="80">
        <v>536</v>
      </c>
      <c r="AJ670" s="80"/>
      <c r="AK670" s="80" t="s">
        <v>9555</v>
      </c>
      <c r="AL670" s="80" t="s">
        <v>10453</v>
      </c>
      <c r="AM670" s="80"/>
      <c r="AN670" s="80"/>
      <c r="AO670" s="82">
        <v>40571.320486111108</v>
      </c>
      <c r="AP670" s="87" t="str">
        <f>HYPERLINK("https://pbs.twimg.com/profile_banners/243991469/1575197618")</f>
        <v>https://pbs.twimg.com/profile_banners/243991469/1575197618</v>
      </c>
      <c r="AQ670" s="80" t="b">
        <v>0</v>
      </c>
      <c r="AR670" s="80" t="b">
        <v>0</v>
      </c>
      <c r="AS670" s="80" t="b">
        <v>1</v>
      </c>
      <c r="AT670" s="80"/>
      <c r="AU670" s="80">
        <v>2</v>
      </c>
      <c r="AV670" s="87" t="str">
        <f>HYPERLINK("https://abs.twimg.com/images/themes/theme1/bg.png")</f>
        <v>https://abs.twimg.com/images/themes/theme1/bg.png</v>
      </c>
      <c r="AW670" s="80" t="b">
        <v>0</v>
      </c>
      <c r="AX670" s="80" t="s">
        <v>10746</v>
      </c>
      <c r="AY670" s="87" t="str">
        <f>HYPERLINK("https://twitter.com/_adeputra")</f>
        <v>https://twitter.com/_adeputra</v>
      </c>
      <c r="AZ670" s="80" t="s">
        <v>66</v>
      </c>
      <c r="BA670" s="2"/>
      <c r="BB670" s="3"/>
      <c r="BC670" s="3"/>
      <c r="BD670" s="3"/>
      <c r="BE670" s="3"/>
    </row>
    <row r="671" spans="1:57" x14ac:dyDescent="0.35">
      <c r="A671" s="66" t="s">
        <v>755</v>
      </c>
      <c r="B671" s="67"/>
      <c r="C671" s="67"/>
      <c r="D671" s="68"/>
      <c r="E671" s="70"/>
      <c r="F671" s="109" t="str">
        <f>HYPERLINK("https://pbs.twimg.com/profile_images/1401757786845839365/Tn64uPfo_normal.jpg")</f>
        <v>https://pbs.twimg.com/profile_images/1401757786845839365/Tn64uPfo_normal.jpg</v>
      </c>
      <c r="G671" s="67"/>
      <c r="H671" s="71"/>
      <c r="I671" s="72"/>
      <c r="J671" s="72"/>
      <c r="K671" s="71" t="s">
        <v>11414</v>
      </c>
      <c r="L671" s="75"/>
      <c r="M671" s="76"/>
      <c r="N671" s="76"/>
      <c r="O671" s="77"/>
      <c r="P671" s="78"/>
      <c r="Q671" s="78"/>
      <c r="R671" s="92"/>
      <c r="S671" s="92"/>
      <c r="T671" s="92"/>
      <c r="U671" s="92"/>
      <c r="V671" s="52"/>
      <c r="W671" s="52"/>
      <c r="X671" s="52"/>
      <c r="Y671" s="52"/>
      <c r="Z671" s="51"/>
      <c r="AA671" s="73"/>
      <c r="AB671" s="73"/>
      <c r="AC671" s="74"/>
      <c r="AD671" s="80" t="s">
        <v>7244</v>
      </c>
      <c r="AE671" s="85" t="s">
        <v>8439</v>
      </c>
      <c r="AF671" s="80">
        <v>312</v>
      </c>
      <c r="AG671" s="80">
        <v>275</v>
      </c>
      <c r="AH671" s="80">
        <v>342</v>
      </c>
      <c r="AI671" s="80">
        <v>504</v>
      </c>
      <c r="AJ671" s="80"/>
      <c r="AK671" s="80" t="s">
        <v>9556</v>
      </c>
      <c r="AL671" s="80"/>
      <c r="AM671" s="80"/>
      <c r="AN671" s="80"/>
      <c r="AO671" s="82">
        <v>44354.181087962963</v>
      </c>
      <c r="AP671" s="87" t="str">
        <f>HYPERLINK("https://pbs.twimg.com/profile_banners/1401755949073780738/1623040264")</f>
        <v>https://pbs.twimg.com/profile_banners/1401755949073780738/1623040264</v>
      </c>
      <c r="AQ671" s="80" t="b">
        <v>1</v>
      </c>
      <c r="AR671" s="80" t="b">
        <v>0</v>
      </c>
      <c r="AS671" s="80" t="b">
        <v>0</v>
      </c>
      <c r="AT671" s="80"/>
      <c r="AU671" s="80">
        <v>0</v>
      </c>
      <c r="AV671" s="80"/>
      <c r="AW671" s="80" t="b">
        <v>0</v>
      </c>
      <c r="AX671" s="80" t="s">
        <v>10746</v>
      </c>
      <c r="AY671" s="87" t="str">
        <f>HYPERLINK("https://twitter.com/putiandamdewi16")</f>
        <v>https://twitter.com/putiandamdewi16</v>
      </c>
      <c r="AZ671" s="80" t="s">
        <v>66</v>
      </c>
      <c r="BA671" s="2"/>
      <c r="BB671" s="3"/>
      <c r="BC671" s="3"/>
      <c r="BD671" s="3"/>
      <c r="BE671" s="3"/>
    </row>
    <row r="672" spans="1:57" x14ac:dyDescent="0.35">
      <c r="A672" s="66" t="s">
        <v>756</v>
      </c>
      <c r="B672" s="67"/>
      <c r="C672" s="67"/>
      <c r="D672" s="68"/>
      <c r="E672" s="70"/>
      <c r="F672" s="109" t="str">
        <f>HYPERLINK("https://pbs.twimg.com/profile_images/1441992838674149376/jKl_eMxp_normal.jpg")</f>
        <v>https://pbs.twimg.com/profile_images/1441992838674149376/jKl_eMxp_normal.jpg</v>
      </c>
      <c r="G672" s="67"/>
      <c r="H672" s="71"/>
      <c r="I672" s="72"/>
      <c r="J672" s="72"/>
      <c r="K672" s="71" t="s">
        <v>11415</v>
      </c>
      <c r="L672" s="75"/>
      <c r="M672" s="76"/>
      <c r="N672" s="76"/>
      <c r="O672" s="77"/>
      <c r="P672" s="78"/>
      <c r="Q672" s="78"/>
      <c r="R672" s="92"/>
      <c r="S672" s="92"/>
      <c r="T672" s="92"/>
      <c r="U672" s="92"/>
      <c r="V672" s="52"/>
      <c r="W672" s="52"/>
      <c r="X672" s="52"/>
      <c r="Y672" s="52"/>
      <c r="Z672" s="51"/>
      <c r="AA672" s="73"/>
      <c r="AB672" s="73"/>
      <c r="AC672" s="74"/>
      <c r="AD672" s="80" t="s">
        <v>7245</v>
      </c>
      <c r="AE672" s="85" t="s">
        <v>8440</v>
      </c>
      <c r="AF672" s="80">
        <v>432</v>
      </c>
      <c r="AG672" s="80">
        <v>404</v>
      </c>
      <c r="AH672" s="80">
        <v>75613</v>
      </c>
      <c r="AI672" s="80">
        <v>2518</v>
      </c>
      <c r="AJ672" s="80"/>
      <c r="AK672" s="80" t="s">
        <v>9557</v>
      </c>
      <c r="AL672" s="80" t="s">
        <v>10454</v>
      </c>
      <c r="AM672" s="87" t="str">
        <f>HYPERLINK("https://t.co/eGi2w9Uusr")</f>
        <v>https://t.co/eGi2w9Uusr</v>
      </c>
      <c r="AN672" s="80"/>
      <c r="AO672" s="82">
        <v>43279.250231481485</v>
      </c>
      <c r="AP672" s="87" t="str">
        <f>HYPERLINK("https://pbs.twimg.com/profile_banners/1012214094294728705/1631639033")</f>
        <v>https://pbs.twimg.com/profile_banners/1012214094294728705/1631639033</v>
      </c>
      <c r="AQ672" s="80" t="b">
        <v>1</v>
      </c>
      <c r="AR672" s="80" t="b">
        <v>0</v>
      </c>
      <c r="AS672" s="80" t="b">
        <v>1</v>
      </c>
      <c r="AT672" s="80"/>
      <c r="AU672" s="80">
        <v>16</v>
      </c>
      <c r="AV672" s="80"/>
      <c r="AW672" s="80" t="b">
        <v>0</v>
      </c>
      <c r="AX672" s="80" t="s">
        <v>10746</v>
      </c>
      <c r="AY672" s="87" t="str">
        <f>HYPERLINK("https://twitter.com/hhjdinn")</f>
        <v>https://twitter.com/hhjdinn</v>
      </c>
      <c r="AZ672" s="80" t="s">
        <v>66</v>
      </c>
      <c r="BA672" s="2"/>
      <c r="BB672" s="3"/>
      <c r="BC672" s="3"/>
      <c r="BD672" s="3"/>
      <c r="BE672" s="3"/>
    </row>
    <row r="673" spans="1:57" x14ac:dyDescent="0.35">
      <c r="A673" s="66" t="s">
        <v>1389</v>
      </c>
      <c r="B673" s="67"/>
      <c r="C673" s="67"/>
      <c r="D673" s="68"/>
      <c r="E673" s="70"/>
      <c r="F673" s="109" t="str">
        <f>HYPERLINK("https://pbs.twimg.com/profile_images/1433369549492023305/bHddChNw_normal.jpg")</f>
        <v>https://pbs.twimg.com/profile_images/1433369549492023305/bHddChNw_normal.jpg</v>
      </c>
      <c r="G673" s="67"/>
      <c r="H673" s="71"/>
      <c r="I673" s="72"/>
      <c r="J673" s="72"/>
      <c r="K673" s="71" t="s">
        <v>11416</v>
      </c>
      <c r="L673" s="75"/>
      <c r="M673" s="76"/>
      <c r="N673" s="76"/>
      <c r="O673" s="77"/>
      <c r="P673" s="78"/>
      <c r="Q673" s="78"/>
      <c r="R673" s="92"/>
      <c r="S673" s="92"/>
      <c r="T673" s="92"/>
      <c r="U673" s="92"/>
      <c r="V673" s="52"/>
      <c r="W673" s="52"/>
      <c r="X673" s="52"/>
      <c r="Y673" s="52"/>
      <c r="Z673" s="51"/>
      <c r="AA673" s="73"/>
      <c r="AB673" s="73"/>
      <c r="AC673" s="74"/>
      <c r="AD673" s="80" t="s">
        <v>7246</v>
      </c>
      <c r="AE673" s="85" t="s">
        <v>6340</v>
      </c>
      <c r="AF673" s="80">
        <v>978</v>
      </c>
      <c r="AG673" s="80">
        <v>954</v>
      </c>
      <c r="AH673" s="80">
        <v>32390</v>
      </c>
      <c r="AI673" s="80">
        <v>56185</v>
      </c>
      <c r="AJ673" s="80"/>
      <c r="AK673" s="85" t="s">
        <v>9558</v>
      </c>
      <c r="AL673" s="80" t="s">
        <v>10455</v>
      </c>
      <c r="AM673" s="80"/>
      <c r="AN673" s="80"/>
      <c r="AO673" s="82">
        <v>41774.119606481479</v>
      </c>
      <c r="AP673" s="87" t="str">
        <f>HYPERLINK("https://pbs.twimg.com/profile_banners/2495531468/1630509092")</f>
        <v>https://pbs.twimg.com/profile_banners/2495531468/1630509092</v>
      </c>
      <c r="AQ673" s="80" t="b">
        <v>1</v>
      </c>
      <c r="AR673" s="80" t="b">
        <v>0</v>
      </c>
      <c r="AS673" s="80" t="b">
        <v>0</v>
      </c>
      <c r="AT673" s="80"/>
      <c r="AU673" s="80">
        <v>27</v>
      </c>
      <c r="AV673" s="87" t="str">
        <f>HYPERLINK("https://abs.twimg.com/images/themes/theme1/bg.png")</f>
        <v>https://abs.twimg.com/images/themes/theme1/bg.png</v>
      </c>
      <c r="AW673" s="80" t="b">
        <v>0</v>
      </c>
      <c r="AX673" s="80" t="s">
        <v>10746</v>
      </c>
      <c r="AY673" s="87" t="str">
        <f>HYPERLINK("https://twitter.com/dedekayen")</f>
        <v>https://twitter.com/dedekayen</v>
      </c>
      <c r="AZ673" s="80" t="s">
        <v>65</v>
      </c>
      <c r="BA673" s="2"/>
      <c r="BB673" s="3"/>
      <c r="BC673" s="3"/>
      <c r="BD673" s="3"/>
      <c r="BE673" s="3"/>
    </row>
    <row r="674" spans="1:57" x14ac:dyDescent="0.35">
      <c r="A674" s="66" t="s">
        <v>758</v>
      </c>
      <c r="B674" s="67"/>
      <c r="C674" s="67"/>
      <c r="D674" s="68"/>
      <c r="E674" s="70"/>
      <c r="F674" s="109" t="str">
        <f>HYPERLINK("https://pbs.twimg.com/profile_images/1250065840537550848/vus8douU_normal.jpg")</f>
        <v>https://pbs.twimg.com/profile_images/1250065840537550848/vus8douU_normal.jpg</v>
      </c>
      <c r="G674" s="67"/>
      <c r="H674" s="71"/>
      <c r="I674" s="72"/>
      <c r="J674" s="72"/>
      <c r="K674" s="71" t="s">
        <v>11417</v>
      </c>
      <c r="L674" s="75"/>
      <c r="M674" s="76"/>
      <c r="N674" s="76"/>
      <c r="O674" s="77"/>
      <c r="P674" s="78"/>
      <c r="Q674" s="78"/>
      <c r="R674" s="92"/>
      <c r="S674" s="92"/>
      <c r="T674" s="92"/>
      <c r="U674" s="92"/>
      <c r="V674" s="52"/>
      <c r="W674" s="52"/>
      <c r="X674" s="52"/>
      <c r="Y674" s="52"/>
      <c r="Z674" s="51"/>
      <c r="AA674" s="73"/>
      <c r="AB674" s="73"/>
      <c r="AC674" s="74"/>
      <c r="AD674" s="80" t="s">
        <v>7247</v>
      </c>
      <c r="AE674" s="85" t="s">
        <v>8441</v>
      </c>
      <c r="AF674" s="80">
        <v>7024</v>
      </c>
      <c r="AG674" s="80">
        <v>7510</v>
      </c>
      <c r="AH674" s="80">
        <v>38353</v>
      </c>
      <c r="AI674" s="80">
        <v>50346</v>
      </c>
      <c r="AJ674" s="80"/>
      <c r="AK674" s="80" t="s">
        <v>9559</v>
      </c>
      <c r="AL674" s="80"/>
      <c r="AM674" s="80"/>
      <c r="AN674" s="80"/>
      <c r="AO674" s="82">
        <v>40521.467164351852</v>
      </c>
      <c r="AP674" s="87" t="str">
        <f>HYPERLINK("https://pbs.twimg.com/profile_banners/224590687/1603774688")</f>
        <v>https://pbs.twimg.com/profile_banners/224590687/1603774688</v>
      </c>
      <c r="AQ674" s="80" t="b">
        <v>1</v>
      </c>
      <c r="AR674" s="80" t="b">
        <v>0</v>
      </c>
      <c r="AS674" s="80" t="b">
        <v>1</v>
      </c>
      <c r="AT674" s="80"/>
      <c r="AU674" s="80">
        <v>0</v>
      </c>
      <c r="AV674" s="87" t="str">
        <f>HYPERLINK("https://abs.twimg.com/images/themes/theme1/bg.png")</f>
        <v>https://abs.twimg.com/images/themes/theme1/bg.png</v>
      </c>
      <c r="AW674" s="80" t="b">
        <v>0</v>
      </c>
      <c r="AX674" s="80" t="s">
        <v>10746</v>
      </c>
      <c r="AY674" s="87" t="str">
        <f>HYPERLINK("https://twitter.com/ta_k3n")</f>
        <v>https://twitter.com/ta_k3n</v>
      </c>
      <c r="AZ674" s="80" t="s">
        <v>66</v>
      </c>
      <c r="BA674" s="2"/>
      <c r="BB674" s="3"/>
      <c r="BC674" s="3"/>
      <c r="BD674" s="3"/>
      <c r="BE674" s="3"/>
    </row>
    <row r="675" spans="1:57" x14ac:dyDescent="0.35">
      <c r="A675" s="66" t="s">
        <v>759</v>
      </c>
      <c r="B675" s="67"/>
      <c r="C675" s="67"/>
      <c r="D675" s="68"/>
      <c r="E675" s="70"/>
      <c r="F675" s="109" t="str">
        <f>HYPERLINK("https://pbs.twimg.com/profile_images/1405377170810179585/Xc9382dp_normal.jpg")</f>
        <v>https://pbs.twimg.com/profile_images/1405377170810179585/Xc9382dp_normal.jpg</v>
      </c>
      <c r="G675" s="67"/>
      <c r="H675" s="71"/>
      <c r="I675" s="72"/>
      <c r="J675" s="72"/>
      <c r="K675" s="71" t="s">
        <v>11418</v>
      </c>
      <c r="L675" s="75"/>
      <c r="M675" s="76"/>
      <c r="N675" s="76"/>
      <c r="O675" s="77"/>
      <c r="P675" s="78"/>
      <c r="Q675" s="78"/>
      <c r="R675" s="92"/>
      <c r="S675" s="92"/>
      <c r="T675" s="92"/>
      <c r="U675" s="92"/>
      <c r="V675" s="52"/>
      <c r="W675" s="52"/>
      <c r="X675" s="52"/>
      <c r="Y675" s="52"/>
      <c r="Z675" s="51"/>
      <c r="AA675" s="73"/>
      <c r="AB675" s="73"/>
      <c r="AC675" s="74"/>
      <c r="AD675" s="80" t="s">
        <v>7248</v>
      </c>
      <c r="AE675" s="85" t="s">
        <v>6341</v>
      </c>
      <c r="AF675" s="80">
        <v>61</v>
      </c>
      <c r="AG675" s="80">
        <v>6300</v>
      </c>
      <c r="AH675" s="80">
        <v>5207</v>
      </c>
      <c r="AI675" s="80">
        <v>61</v>
      </c>
      <c r="AJ675" s="80"/>
      <c r="AK675" s="80" t="s">
        <v>9560</v>
      </c>
      <c r="AL675" s="80" t="s">
        <v>10184</v>
      </c>
      <c r="AM675" s="87" t="str">
        <f>HYPERLINK("https://t.co/Ar3VaAp8Zy")</f>
        <v>https://t.co/Ar3VaAp8Zy</v>
      </c>
      <c r="AN675" s="80"/>
      <c r="AO675" s="82">
        <v>42326.127187500002</v>
      </c>
      <c r="AP675" s="87" t="str">
        <f>HYPERLINK("https://pbs.twimg.com/profile_banners/4214856850/1602061858")</f>
        <v>https://pbs.twimg.com/profile_banners/4214856850/1602061858</v>
      </c>
      <c r="AQ675" s="80" t="b">
        <v>0</v>
      </c>
      <c r="AR675" s="80" t="b">
        <v>0</v>
      </c>
      <c r="AS675" s="80" t="b">
        <v>1</v>
      </c>
      <c r="AT675" s="80"/>
      <c r="AU675" s="80">
        <v>4</v>
      </c>
      <c r="AV675" s="87" t="str">
        <f>HYPERLINK("https://abs.twimg.com/images/themes/theme1/bg.png")</f>
        <v>https://abs.twimg.com/images/themes/theme1/bg.png</v>
      </c>
      <c r="AW675" s="80" t="b">
        <v>0</v>
      </c>
      <c r="AX675" s="80" t="s">
        <v>10746</v>
      </c>
      <c r="AY675" s="87" t="str">
        <f>HYPERLINK("https://twitter.com/kemenkumham_jtm")</f>
        <v>https://twitter.com/kemenkumham_jtm</v>
      </c>
      <c r="AZ675" s="80" t="s">
        <v>66</v>
      </c>
      <c r="BA675" s="2"/>
      <c r="BB675" s="3"/>
      <c r="BC675" s="3"/>
      <c r="BD675" s="3"/>
      <c r="BE675" s="3"/>
    </row>
    <row r="676" spans="1:57" x14ac:dyDescent="0.35">
      <c r="A676" s="66" t="s">
        <v>1390</v>
      </c>
      <c r="B676" s="67"/>
      <c r="C676" s="67"/>
      <c r="D676" s="68"/>
      <c r="E676" s="70"/>
      <c r="F676" s="109" t="str">
        <f>HYPERLINK("https://pbs.twimg.com/profile_images/1174847803903709189/M0scmM6X_normal.jpg")</f>
        <v>https://pbs.twimg.com/profile_images/1174847803903709189/M0scmM6X_normal.jpg</v>
      </c>
      <c r="G676" s="67"/>
      <c r="H676" s="71"/>
      <c r="I676" s="72"/>
      <c r="J676" s="72"/>
      <c r="K676" s="71" t="s">
        <v>11419</v>
      </c>
      <c r="L676" s="75"/>
      <c r="M676" s="76"/>
      <c r="N676" s="76"/>
      <c r="O676" s="77"/>
      <c r="P676" s="78"/>
      <c r="Q676" s="78"/>
      <c r="R676" s="92"/>
      <c r="S676" s="92"/>
      <c r="T676" s="92"/>
      <c r="U676" s="92"/>
      <c r="V676" s="52"/>
      <c r="W676" s="52"/>
      <c r="X676" s="52"/>
      <c r="Y676" s="52"/>
      <c r="Z676" s="51"/>
      <c r="AA676" s="73"/>
      <c r="AB676" s="73"/>
      <c r="AC676" s="74"/>
      <c r="AD676" s="80" t="s">
        <v>7249</v>
      </c>
      <c r="AE676" s="85" t="s">
        <v>8442</v>
      </c>
      <c r="AF676" s="80">
        <v>57</v>
      </c>
      <c r="AG676" s="80">
        <v>2060</v>
      </c>
      <c r="AH676" s="80">
        <v>298</v>
      </c>
      <c r="AI676" s="80">
        <v>32</v>
      </c>
      <c r="AJ676" s="80"/>
      <c r="AK676" s="80" t="s">
        <v>9561</v>
      </c>
      <c r="AL676" s="80" t="s">
        <v>10281</v>
      </c>
      <c r="AM676" s="87" t="str">
        <f>HYPERLINK("https://t.co/UJYXSmQ2Gs")</f>
        <v>https://t.co/UJYXSmQ2Gs</v>
      </c>
      <c r="AN676" s="80"/>
      <c r="AO676" s="82">
        <v>42443.368356481478</v>
      </c>
      <c r="AP676" s="87" t="str">
        <f>HYPERLINK("https://pbs.twimg.com/profile_banners/709300642267811840/1467725407")</f>
        <v>https://pbs.twimg.com/profile_banners/709300642267811840/1467725407</v>
      </c>
      <c r="AQ676" s="80" t="b">
        <v>0</v>
      </c>
      <c r="AR676" s="80" t="b">
        <v>0</v>
      </c>
      <c r="AS676" s="80" t="b">
        <v>1</v>
      </c>
      <c r="AT676" s="80"/>
      <c r="AU676" s="80">
        <v>0</v>
      </c>
      <c r="AV676" s="87" t="str">
        <f>HYPERLINK("https://abs.twimg.com/images/themes/theme7/bg.gif")</f>
        <v>https://abs.twimg.com/images/themes/theme7/bg.gif</v>
      </c>
      <c r="AW676" s="80" t="b">
        <v>0</v>
      </c>
      <c r="AX676" s="80" t="s">
        <v>10746</v>
      </c>
      <c r="AY676" s="87" t="str">
        <f>HYPERLINK("https://twitter.com/rbkunwas")</f>
        <v>https://twitter.com/rbkunwas</v>
      </c>
      <c r="AZ676" s="80" t="s">
        <v>65</v>
      </c>
      <c r="BA676" s="2"/>
      <c r="BB676" s="3"/>
      <c r="BC676" s="3"/>
      <c r="BD676" s="3"/>
      <c r="BE676" s="3"/>
    </row>
    <row r="677" spans="1:57" x14ac:dyDescent="0.35">
      <c r="A677" s="66" t="s">
        <v>760</v>
      </c>
      <c r="B677" s="67"/>
      <c r="C677" s="67"/>
      <c r="D677" s="68"/>
      <c r="E677" s="70"/>
      <c r="F677" s="109" t="str">
        <f>HYPERLINK("https://pbs.twimg.com/profile_images/1356122496500523011/E0A3luWq_normal.jpg")</f>
        <v>https://pbs.twimg.com/profile_images/1356122496500523011/E0A3luWq_normal.jpg</v>
      </c>
      <c r="G677" s="67"/>
      <c r="H677" s="71"/>
      <c r="I677" s="72"/>
      <c r="J677" s="72"/>
      <c r="K677" s="71" t="s">
        <v>11420</v>
      </c>
      <c r="L677" s="75"/>
      <c r="M677" s="76"/>
      <c r="N677" s="76"/>
      <c r="O677" s="77"/>
      <c r="P677" s="78"/>
      <c r="Q677" s="78"/>
      <c r="R677" s="92"/>
      <c r="S677" s="92"/>
      <c r="T677" s="92"/>
      <c r="U677" s="92"/>
      <c r="V677" s="52"/>
      <c r="W677" s="52"/>
      <c r="X677" s="52"/>
      <c r="Y677" s="52"/>
      <c r="Z677" s="51"/>
      <c r="AA677" s="73"/>
      <c r="AB677" s="73"/>
      <c r="AC677" s="74"/>
      <c r="AD677" s="80" t="s">
        <v>7250</v>
      </c>
      <c r="AE677" s="85" t="s">
        <v>8443</v>
      </c>
      <c r="AF677" s="80">
        <v>319</v>
      </c>
      <c r="AG677" s="80">
        <v>7332</v>
      </c>
      <c r="AH677" s="80">
        <v>85320</v>
      </c>
      <c r="AI677" s="80">
        <v>146</v>
      </c>
      <c r="AJ677" s="80"/>
      <c r="AK677" s="80" t="s">
        <v>9562</v>
      </c>
      <c r="AL677" s="80" t="s">
        <v>10456</v>
      </c>
      <c r="AM677" s="80"/>
      <c r="AN677" s="80"/>
      <c r="AO677" s="82">
        <v>40560.283043981479</v>
      </c>
      <c r="AP677" s="87" t="str">
        <f>HYPERLINK("https://pbs.twimg.com/profile_banners/239272993/1607829803")</f>
        <v>https://pbs.twimg.com/profile_banners/239272993/1607829803</v>
      </c>
      <c r="AQ677" s="80" t="b">
        <v>0</v>
      </c>
      <c r="AR677" s="80" t="b">
        <v>0</v>
      </c>
      <c r="AS677" s="80" t="b">
        <v>1</v>
      </c>
      <c r="AT677" s="80"/>
      <c r="AU677" s="80">
        <v>9</v>
      </c>
      <c r="AV677" s="87" t="str">
        <f>HYPERLINK("https://abs.twimg.com/images/themes/theme5/bg.gif")</f>
        <v>https://abs.twimg.com/images/themes/theme5/bg.gif</v>
      </c>
      <c r="AW677" s="80" t="b">
        <v>0</v>
      </c>
      <c r="AX677" s="80" t="s">
        <v>10746</v>
      </c>
      <c r="AY677" s="87" t="str">
        <f>HYPERLINK("https://twitter.com/pkspekayon")</f>
        <v>https://twitter.com/pkspekayon</v>
      </c>
      <c r="AZ677" s="80" t="s">
        <v>66</v>
      </c>
      <c r="BA677" s="2"/>
      <c r="BB677" s="3"/>
      <c r="BC677" s="3"/>
      <c r="BD677" s="3"/>
      <c r="BE677" s="3"/>
    </row>
    <row r="678" spans="1:57" x14ac:dyDescent="0.35">
      <c r="A678" s="66" t="s">
        <v>831</v>
      </c>
      <c r="B678" s="67"/>
      <c r="C678" s="67"/>
      <c r="D678" s="68"/>
      <c r="E678" s="70"/>
      <c r="F678" s="109" t="str">
        <f>HYPERLINK("https://pbs.twimg.com/profile_images/1332945968510078977/t6-d_J1C_normal.jpg")</f>
        <v>https://pbs.twimg.com/profile_images/1332945968510078977/t6-d_J1C_normal.jpg</v>
      </c>
      <c r="G678" s="67"/>
      <c r="H678" s="71"/>
      <c r="I678" s="72"/>
      <c r="J678" s="72"/>
      <c r="K678" s="71" t="s">
        <v>11421</v>
      </c>
      <c r="L678" s="75"/>
      <c r="M678" s="76"/>
      <c r="N678" s="76"/>
      <c r="O678" s="77"/>
      <c r="P678" s="78"/>
      <c r="Q678" s="78"/>
      <c r="R678" s="92"/>
      <c r="S678" s="92"/>
      <c r="T678" s="92"/>
      <c r="U678" s="92"/>
      <c r="V678" s="52"/>
      <c r="W678" s="52"/>
      <c r="X678" s="52"/>
      <c r="Y678" s="52"/>
      <c r="Z678" s="51"/>
      <c r="AA678" s="73"/>
      <c r="AB678" s="73"/>
      <c r="AC678" s="74"/>
      <c r="AD678" s="80" t="s">
        <v>7251</v>
      </c>
      <c r="AE678" s="85" t="s">
        <v>8444</v>
      </c>
      <c r="AF678" s="80">
        <v>419</v>
      </c>
      <c r="AG678" s="80">
        <v>433603</v>
      </c>
      <c r="AH678" s="80">
        <v>55876</v>
      </c>
      <c r="AI678" s="80">
        <v>2864</v>
      </c>
      <c r="AJ678" s="80"/>
      <c r="AK678" s="80" t="s">
        <v>9563</v>
      </c>
      <c r="AL678" s="80" t="s">
        <v>10457</v>
      </c>
      <c r="AM678" s="87" t="str">
        <f>HYPERLINK("https://t.co/wmUDDEXPyy")</f>
        <v>https://t.co/wmUDDEXPyy</v>
      </c>
      <c r="AN678" s="80"/>
      <c r="AO678" s="82">
        <v>39873.592627314814</v>
      </c>
      <c r="AP678" s="87" t="str">
        <f>HYPERLINK("https://pbs.twimg.com/profile_banners/22365191/1627859870")</f>
        <v>https://pbs.twimg.com/profile_banners/22365191/1627859870</v>
      </c>
      <c r="AQ678" s="80" t="b">
        <v>0</v>
      </c>
      <c r="AR678" s="80" t="b">
        <v>0</v>
      </c>
      <c r="AS678" s="80" t="b">
        <v>1</v>
      </c>
      <c r="AT678" s="80"/>
      <c r="AU678" s="80">
        <v>386</v>
      </c>
      <c r="AV678" s="87" t="str">
        <f>HYPERLINK("https://abs.twimg.com/images/themes/theme1/bg.png")</f>
        <v>https://abs.twimg.com/images/themes/theme1/bg.png</v>
      </c>
      <c r="AW678" s="80" t="b">
        <v>1</v>
      </c>
      <c r="AX678" s="80" t="s">
        <v>10746</v>
      </c>
      <c r="AY678" s="87" t="str">
        <f>HYPERLINK("https://twitter.com/pksejahtera")</f>
        <v>https://twitter.com/pksejahtera</v>
      </c>
      <c r="AZ678" s="80" t="s">
        <v>66</v>
      </c>
      <c r="BA678" s="2"/>
      <c r="BB678" s="3"/>
      <c r="BC678" s="3"/>
      <c r="BD678" s="3"/>
      <c r="BE678" s="3"/>
    </row>
    <row r="679" spans="1:57" x14ac:dyDescent="0.35">
      <c r="A679" s="66" t="s">
        <v>761</v>
      </c>
      <c r="B679" s="67"/>
      <c r="C679" s="67"/>
      <c r="D679" s="68"/>
      <c r="E679" s="70"/>
      <c r="F679" s="109" t="str">
        <f>HYPERLINK("https://pbs.twimg.com/profile_images/1436289356763840518/Jf0nS1r5_normal.jpg")</f>
        <v>https://pbs.twimg.com/profile_images/1436289356763840518/Jf0nS1r5_normal.jpg</v>
      </c>
      <c r="G679" s="67"/>
      <c r="H679" s="71"/>
      <c r="I679" s="72"/>
      <c r="J679" s="72"/>
      <c r="K679" s="71" t="s">
        <v>11422</v>
      </c>
      <c r="L679" s="75"/>
      <c r="M679" s="76"/>
      <c r="N679" s="76"/>
      <c r="O679" s="77"/>
      <c r="P679" s="78"/>
      <c r="Q679" s="78"/>
      <c r="R679" s="92"/>
      <c r="S679" s="92"/>
      <c r="T679" s="92"/>
      <c r="U679" s="92"/>
      <c r="V679" s="52"/>
      <c r="W679" s="52"/>
      <c r="X679" s="52"/>
      <c r="Y679" s="52"/>
      <c r="Z679" s="51"/>
      <c r="AA679" s="73"/>
      <c r="AB679" s="73"/>
      <c r="AC679" s="74"/>
      <c r="AD679" s="80" t="s">
        <v>7252</v>
      </c>
      <c r="AE679" s="85" t="s">
        <v>8445</v>
      </c>
      <c r="AF679" s="80">
        <v>374</v>
      </c>
      <c r="AG679" s="80">
        <v>213</v>
      </c>
      <c r="AH679" s="80">
        <v>6028</v>
      </c>
      <c r="AI679" s="80">
        <v>4290</v>
      </c>
      <c r="AJ679" s="80"/>
      <c r="AK679" s="80" t="s">
        <v>9564</v>
      </c>
      <c r="AL679" s="80" t="s">
        <v>10458</v>
      </c>
      <c r="AM679" s="80"/>
      <c r="AN679" s="80"/>
      <c r="AO679" s="82">
        <v>40416.527071759258</v>
      </c>
      <c r="AP679" s="87" t="str">
        <f>HYPERLINK("https://pbs.twimg.com/profile_banners/183212972/1627371606")</f>
        <v>https://pbs.twimg.com/profile_banners/183212972/1627371606</v>
      </c>
      <c r="AQ679" s="80" t="b">
        <v>1</v>
      </c>
      <c r="AR679" s="80" t="b">
        <v>0</v>
      </c>
      <c r="AS679" s="80" t="b">
        <v>1</v>
      </c>
      <c r="AT679" s="80"/>
      <c r="AU679" s="80">
        <v>0</v>
      </c>
      <c r="AV679" s="87" t="str">
        <f>HYPERLINK("https://abs.twimg.com/images/themes/theme1/bg.png")</f>
        <v>https://abs.twimg.com/images/themes/theme1/bg.png</v>
      </c>
      <c r="AW679" s="80" t="b">
        <v>0</v>
      </c>
      <c r="AX679" s="80" t="s">
        <v>10746</v>
      </c>
      <c r="AY679" s="87" t="str">
        <f>HYPERLINK("https://twitter.com/dmncbgs")</f>
        <v>https://twitter.com/dmncbgs</v>
      </c>
      <c r="AZ679" s="80" t="s">
        <v>66</v>
      </c>
      <c r="BA679" s="2"/>
      <c r="BB679" s="3"/>
      <c r="BC679" s="3"/>
      <c r="BD679" s="3"/>
      <c r="BE679" s="3"/>
    </row>
    <row r="680" spans="1:57" x14ac:dyDescent="0.35">
      <c r="A680" s="66" t="s">
        <v>1391</v>
      </c>
      <c r="B680" s="67"/>
      <c r="C680" s="67"/>
      <c r="D680" s="68"/>
      <c r="E680" s="70"/>
      <c r="F680" s="109" t="str">
        <f>HYPERLINK("https://pbs.twimg.com/profile_images/1442064314181980165/j7wFwNyJ_normal.jpg")</f>
        <v>https://pbs.twimg.com/profile_images/1442064314181980165/j7wFwNyJ_normal.jpg</v>
      </c>
      <c r="G680" s="67"/>
      <c r="H680" s="71"/>
      <c r="I680" s="72"/>
      <c r="J680" s="72"/>
      <c r="K680" s="71" t="s">
        <v>11423</v>
      </c>
      <c r="L680" s="75"/>
      <c r="M680" s="76"/>
      <c r="N680" s="76"/>
      <c r="O680" s="77"/>
      <c r="P680" s="78"/>
      <c r="Q680" s="78"/>
      <c r="R680" s="92"/>
      <c r="S680" s="92"/>
      <c r="T680" s="92"/>
      <c r="U680" s="92"/>
      <c r="V680" s="52"/>
      <c r="W680" s="52"/>
      <c r="X680" s="52"/>
      <c r="Y680" s="52"/>
      <c r="Z680" s="51"/>
      <c r="AA680" s="73"/>
      <c r="AB680" s="73"/>
      <c r="AC680" s="74"/>
      <c r="AD680" s="80" t="s">
        <v>7253</v>
      </c>
      <c r="AE680" s="85" t="s">
        <v>6342</v>
      </c>
      <c r="AF680" s="80">
        <v>338</v>
      </c>
      <c r="AG680" s="80">
        <v>302</v>
      </c>
      <c r="AH680" s="80">
        <v>11516</v>
      </c>
      <c r="AI680" s="80">
        <v>2671</v>
      </c>
      <c r="AJ680" s="80"/>
      <c r="AK680" s="80" t="s">
        <v>9565</v>
      </c>
      <c r="AL680" s="80" t="s">
        <v>10459</v>
      </c>
      <c r="AM680" s="80"/>
      <c r="AN680" s="80"/>
      <c r="AO680" s="82">
        <v>44219.188738425924</v>
      </c>
      <c r="AP680" s="87" t="str">
        <f>HYPERLINK("https://pbs.twimg.com/profile_banners/1352836359052959744/1632282437")</f>
        <v>https://pbs.twimg.com/profile_banners/1352836359052959744/1632282437</v>
      </c>
      <c r="AQ680" s="80" t="b">
        <v>1</v>
      </c>
      <c r="AR680" s="80" t="b">
        <v>0</v>
      </c>
      <c r="AS680" s="80" t="b">
        <v>0</v>
      </c>
      <c r="AT680" s="80"/>
      <c r="AU680" s="80">
        <v>2</v>
      </c>
      <c r="AV680" s="80"/>
      <c r="AW680" s="80" t="b">
        <v>0</v>
      </c>
      <c r="AX680" s="80" t="s">
        <v>10746</v>
      </c>
      <c r="AY680" s="87" t="str">
        <f>HYPERLINK("https://twitter.com/ponakan_zeus26")</f>
        <v>https://twitter.com/ponakan_zeus26</v>
      </c>
      <c r="AZ680" s="80" t="s">
        <v>65</v>
      </c>
      <c r="BA680" s="2"/>
      <c r="BB680" s="3"/>
      <c r="BC680" s="3"/>
      <c r="BD680" s="3"/>
      <c r="BE680" s="3"/>
    </row>
    <row r="681" spans="1:57" x14ac:dyDescent="0.35">
      <c r="A681" s="66" t="s">
        <v>762</v>
      </c>
      <c r="B681" s="67"/>
      <c r="C681" s="67"/>
      <c r="D681" s="68"/>
      <c r="E681" s="70"/>
      <c r="F681" s="109" t="str">
        <f>HYPERLINK("https://pbs.twimg.com/profile_images/1423353275177312256/vHyIXVDy_normal.jpg")</f>
        <v>https://pbs.twimg.com/profile_images/1423353275177312256/vHyIXVDy_normal.jpg</v>
      </c>
      <c r="G681" s="67"/>
      <c r="H681" s="71"/>
      <c r="I681" s="72"/>
      <c r="J681" s="72"/>
      <c r="K681" s="71" t="s">
        <v>11424</v>
      </c>
      <c r="L681" s="75"/>
      <c r="M681" s="76"/>
      <c r="N681" s="76"/>
      <c r="O681" s="77"/>
      <c r="P681" s="78"/>
      <c r="Q681" s="78"/>
      <c r="R681" s="92"/>
      <c r="S681" s="92"/>
      <c r="T681" s="92"/>
      <c r="U681" s="92"/>
      <c r="V681" s="52"/>
      <c r="W681" s="52"/>
      <c r="X681" s="52"/>
      <c r="Y681" s="52"/>
      <c r="Z681" s="51"/>
      <c r="AA681" s="73"/>
      <c r="AB681" s="73"/>
      <c r="AC681" s="74"/>
      <c r="AD681" s="80" t="s">
        <v>7254</v>
      </c>
      <c r="AE681" s="85" t="s">
        <v>8446</v>
      </c>
      <c r="AF681" s="80">
        <v>761</v>
      </c>
      <c r="AG681" s="80">
        <v>654</v>
      </c>
      <c r="AH681" s="80">
        <v>5124</v>
      </c>
      <c r="AI681" s="80">
        <v>10704</v>
      </c>
      <c r="AJ681" s="80"/>
      <c r="AK681" s="80" t="s">
        <v>9566</v>
      </c>
      <c r="AL681" s="80" t="s">
        <v>10460</v>
      </c>
      <c r="AM681" s="80"/>
      <c r="AN681" s="80"/>
      <c r="AO681" s="82">
        <v>43917.594826388886</v>
      </c>
      <c r="AP681" s="87" t="str">
        <f>HYPERLINK("https://pbs.twimg.com/profile_banners/1243542351940849666/1628188840")</f>
        <v>https://pbs.twimg.com/profile_banners/1243542351940849666/1628188840</v>
      </c>
      <c r="AQ681" s="80" t="b">
        <v>1</v>
      </c>
      <c r="AR681" s="80" t="b">
        <v>0</v>
      </c>
      <c r="AS681" s="80" t="b">
        <v>1</v>
      </c>
      <c r="AT681" s="80"/>
      <c r="AU681" s="80">
        <v>1</v>
      </c>
      <c r="AV681" s="80"/>
      <c r="AW681" s="80" t="b">
        <v>0</v>
      </c>
      <c r="AX681" s="80" t="s">
        <v>10746</v>
      </c>
      <c r="AY681" s="87" t="str">
        <f>HYPERLINK("https://twitter.com/hoonqhwadxjj")</f>
        <v>https://twitter.com/hoonqhwadxjj</v>
      </c>
      <c r="AZ681" s="80" t="s">
        <v>66</v>
      </c>
      <c r="BA681" s="2"/>
      <c r="BB681" s="3"/>
      <c r="BC681" s="3"/>
      <c r="BD681" s="3"/>
      <c r="BE681" s="3"/>
    </row>
    <row r="682" spans="1:57" x14ac:dyDescent="0.35">
      <c r="A682" s="66" t="s">
        <v>763</v>
      </c>
      <c r="B682" s="67"/>
      <c r="C682" s="67"/>
      <c r="D682" s="68"/>
      <c r="E682" s="70"/>
      <c r="F682" s="109" t="str">
        <f>HYPERLINK("https://pbs.twimg.com/profile_images/1429707006697361414/2lrh9YbG_normal.jpg")</f>
        <v>https://pbs.twimg.com/profile_images/1429707006697361414/2lrh9YbG_normal.jpg</v>
      </c>
      <c r="G682" s="67"/>
      <c r="H682" s="71"/>
      <c r="I682" s="72"/>
      <c r="J682" s="72"/>
      <c r="K682" s="71" t="s">
        <v>11425</v>
      </c>
      <c r="L682" s="75"/>
      <c r="M682" s="76"/>
      <c r="N682" s="76"/>
      <c r="O682" s="77"/>
      <c r="P682" s="78"/>
      <c r="Q682" s="78"/>
      <c r="R682" s="92"/>
      <c r="S682" s="92"/>
      <c r="T682" s="92"/>
      <c r="U682" s="92"/>
      <c r="V682" s="52"/>
      <c r="W682" s="52"/>
      <c r="X682" s="52"/>
      <c r="Y682" s="52"/>
      <c r="Z682" s="51"/>
      <c r="AA682" s="73"/>
      <c r="AB682" s="73"/>
      <c r="AC682" s="74"/>
      <c r="AD682" s="80" t="s">
        <v>7255</v>
      </c>
      <c r="AE682" s="85" t="s">
        <v>8447</v>
      </c>
      <c r="AF682" s="80">
        <v>5941</v>
      </c>
      <c r="AG682" s="80">
        <v>28562</v>
      </c>
      <c r="AH682" s="80">
        <v>487157</v>
      </c>
      <c r="AI682" s="80">
        <v>30</v>
      </c>
      <c r="AJ682" s="80"/>
      <c r="AK682" s="80" t="s">
        <v>9567</v>
      </c>
      <c r="AL682" s="80" t="s">
        <v>10461</v>
      </c>
      <c r="AM682" s="87" t="str">
        <f>HYPERLINK("https://t.co/G5gZTzftMJ")</f>
        <v>https://t.co/G5gZTzftMJ</v>
      </c>
      <c r="AN682" s="80"/>
      <c r="AO682" s="82">
        <v>43280.210497685184</v>
      </c>
      <c r="AP682" s="87" t="str">
        <f>HYPERLINK("https://pbs.twimg.com/profile_banners/1012562082783358976/1629703609")</f>
        <v>https://pbs.twimg.com/profile_banners/1012562082783358976/1629703609</v>
      </c>
      <c r="AQ682" s="80" t="b">
        <v>0</v>
      </c>
      <c r="AR682" s="80" t="b">
        <v>0</v>
      </c>
      <c r="AS682" s="80" t="b">
        <v>0</v>
      </c>
      <c r="AT682" s="80"/>
      <c r="AU682" s="80">
        <v>484</v>
      </c>
      <c r="AV682" s="87" t="str">
        <f>HYPERLINK("https://abs.twimg.com/images/themes/theme1/bg.png")</f>
        <v>https://abs.twimg.com/images/themes/theme1/bg.png</v>
      </c>
      <c r="AW682" s="80" t="b">
        <v>0</v>
      </c>
      <c r="AX682" s="80" t="s">
        <v>10746</v>
      </c>
      <c r="AY682" s="87" t="str">
        <f>HYPERLINK("https://twitter.com/caratsmarket")</f>
        <v>https://twitter.com/caratsmarket</v>
      </c>
      <c r="AZ682" s="80" t="s">
        <v>66</v>
      </c>
      <c r="BA682" s="2"/>
      <c r="BB682" s="3"/>
      <c r="BC682" s="3"/>
      <c r="BD682" s="3"/>
      <c r="BE682" s="3"/>
    </row>
    <row r="683" spans="1:57" x14ac:dyDescent="0.35">
      <c r="A683" s="66" t="s">
        <v>764</v>
      </c>
      <c r="B683" s="67"/>
      <c r="C683" s="67"/>
      <c r="D683" s="68"/>
      <c r="E683" s="70"/>
      <c r="F683" s="109" t="str">
        <f>HYPERLINK("https://pbs.twimg.com/profile_images/1370776671758917634/2SEzgi_X_normal.jpg")</f>
        <v>https://pbs.twimg.com/profile_images/1370776671758917634/2SEzgi_X_normal.jpg</v>
      </c>
      <c r="G683" s="67"/>
      <c r="H683" s="71"/>
      <c r="I683" s="72"/>
      <c r="J683" s="72"/>
      <c r="K683" s="71" t="s">
        <v>11426</v>
      </c>
      <c r="L683" s="75"/>
      <c r="M683" s="76"/>
      <c r="N683" s="76"/>
      <c r="O683" s="77"/>
      <c r="P683" s="78"/>
      <c r="Q683" s="78"/>
      <c r="R683" s="92"/>
      <c r="S683" s="92"/>
      <c r="T683" s="92"/>
      <c r="U683" s="92"/>
      <c r="V683" s="52"/>
      <c r="W683" s="52"/>
      <c r="X683" s="52"/>
      <c r="Y683" s="52"/>
      <c r="Z683" s="51"/>
      <c r="AA683" s="73"/>
      <c r="AB683" s="73"/>
      <c r="AC683" s="74"/>
      <c r="AD683" s="80" t="s">
        <v>7256</v>
      </c>
      <c r="AE683" s="85" t="s">
        <v>8448</v>
      </c>
      <c r="AF683" s="80">
        <v>540</v>
      </c>
      <c r="AG683" s="80">
        <v>322</v>
      </c>
      <c r="AH683" s="80">
        <v>9793</v>
      </c>
      <c r="AI683" s="80">
        <v>2051</v>
      </c>
      <c r="AJ683" s="80"/>
      <c r="AK683" s="80" t="s">
        <v>9568</v>
      </c>
      <c r="AL683" s="80" t="s">
        <v>10462</v>
      </c>
      <c r="AM683" s="87" t="str">
        <f>HYPERLINK("https://t.co/8kwddl2sQz")</f>
        <v>https://t.co/8kwddl2sQz</v>
      </c>
      <c r="AN683" s="80"/>
      <c r="AO683" s="82">
        <v>40032.622407407405</v>
      </c>
      <c r="AP683" s="87" t="str">
        <f>HYPERLINK("https://pbs.twimg.com/profile_banners/63741879/1352656837")</f>
        <v>https://pbs.twimg.com/profile_banners/63741879/1352656837</v>
      </c>
      <c r="AQ683" s="80" t="b">
        <v>0</v>
      </c>
      <c r="AR683" s="80" t="b">
        <v>0</v>
      </c>
      <c r="AS683" s="80" t="b">
        <v>1</v>
      </c>
      <c r="AT683" s="80"/>
      <c r="AU683" s="80">
        <v>1</v>
      </c>
      <c r="AV683" s="87" t="str">
        <f>HYPERLINK("https://abs.twimg.com/images/themes/theme5/bg.gif")</f>
        <v>https://abs.twimg.com/images/themes/theme5/bg.gif</v>
      </c>
      <c r="AW683" s="80" t="b">
        <v>0</v>
      </c>
      <c r="AX683" s="80" t="s">
        <v>10746</v>
      </c>
      <c r="AY683" s="87" t="str">
        <f>HYPERLINK("https://twitter.com/thisuglyducklin")</f>
        <v>https://twitter.com/thisuglyducklin</v>
      </c>
      <c r="AZ683" s="80" t="s">
        <v>66</v>
      </c>
      <c r="BA683" s="2"/>
      <c r="BB683" s="3"/>
      <c r="BC683" s="3"/>
      <c r="BD683" s="3"/>
      <c r="BE683" s="3"/>
    </row>
    <row r="684" spans="1:57" x14ac:dyDescent="0.35">
      <c r="A684" s="66" t="s">
        <v>1392</v>
      </c>
      <c r="B684" s="67"/>
      <c r="C684" s="67"/>
      <c r="D684" s="68"/>
      <c r="E684" s="70"/>
      <c r="F684" s="109" t="str">
        <f>HYPERLINK("https://pbs.twimg.com/profile_images/1224674314454065152/jPJ68bRN_normal.jpg")</f>
        <v>https://pbs.twimg.com/profile_images/1224674314454065152/jPJ68bRN_normal.jpg</v>
      </c>
      <c r="G684" s="67"/>
      <c r="H684" s="71"/>
      <c r="I684" s="72"/>
      <c r="J684" s="72"/>
      <c r="K684" s="71" t="s">
        <v>11427</v>
      </c>
      <c r="L684" s="75"/>
      <c r="M684" s="76"/>
      <c r="N684" s="76"/>
      <c r="O684" s="77"/>
      <c r="P684" s="78"/>
      <c r="Q684" s="78"/>
      <c r="R684" s="92"/>
      <c r="S684" s="92"/>
      <c r="T684" s="92"/>
      <c r="U684" s="92"/>
      <c r="V684" s="52"/>
      <c r="W684" s="52"/>
      <c r="X684" s="52"/>
      <c r="Y684" s="52"/>
      <c r="Z684" s="51"/>
      <c r="AA684" s="73"/>
      <c r="AB684" s="73"/>
      <c r="AC684" s="74"/>
      <c r="AD684" s="80" t="s">
        <v>7257</v>
      </c>
      <c r="AE684" s="85" t="s">
        <v>6343</v>
      </c>
      <c r="AF684" s="80">
        <v>23</v>
      </c>
      <c r="AG684" s="80">
        <v>23</v>
      </c>
      <c r="AH684" s="80">
        <v>436</v>
      </c>
      <c r="AI684" s="80">
        <v>1043</v>
      </c>
      <c r="AJ684" s="80"/>
      <c r="AK684" s="80"/>
      <c r="AL684" s="80"/>
      <c r="AM684" s="80"/>
      <c r="AN684" s="80"/>
      <c r="AO684" s="82">
        <v>43865.525949074072</v>
      </c>
      <c r="AP684" s="80"/>
      <c r="AQ684" s="80" t="b">
        <v>1</v>
      </c>
      <c r="AR684" s="80" t="b">
        <v>0</v>
      </c>
      <c r="AS684" s="80" t="b">
        <v>0</v>
      </c>
      <c r="AT684" s="80"/>
      <c r="AU684" s="80">
        <v>0</v>
      </c>
      <c r="AV684" s="80"/>
      <c r="AW684" s="80" t="b">
        <v>0</v>
      </c>
      <c r="AX684" s="80" t="s">
        <v>10746</v>
      </c>
      <c r="AY684" s="87" t="str">
        <f>HYPERLINK("https://twitter.com/masajhiajhi")</f>
        <v>https://twitter.com/masajhiajhi</v>
      </c>
      <c r="AZ684" s="80" t="s">
        <v>65</v>
      </c>
      <c r="BA684" s="2"/>
      <c r="BB684" s="3"/>
      <c r="BC684" s="3"/>
      <c r="BD684" s="3"/>
      <c r="BE684" s="3"/>
    </row>
    <row r="685" spans="1:57" x14ac:dyDescent="0.35">
      <c r="A685" s="66" t="s">
        <v>765</v>
      </c>
      <c r="B685" s="67"/>
      <c r="C685" s="67"/>
      <c r="D685" s="68"/>
      <c r="E685" s="70"/>
      <c r="F685" s="109" t="str">
        <f>HYPERLINK("https://pbs.twimg.com/profile_images/1442310021434404870/3KdtJT_w_normal.jpg")</f>
        <v>https://pbs.twimg.com/profile_images/1442310021434404870/3KdtJT_w_normal.jpg</v>
      </c>
      <c r="G685" s="67"/>
      <c r="H685" s="71"/>
      <c r="I685" s="72"/>
      <c r="J685" s="72"/>
      <c r="K685" s="71" t="s">
        <v>11428</v>
      </c>
      <c r="L685" s="75"/>
      <c r="M685" s="76"/>
      <c r="N685" s="76"/>
      <c r="O685" s="77"/>
      <c r="P685" s="78"/>
      <c r="Q685" s="78"/>
      <c r="R685" s="92"/>
      <c r="S685" s="92"/>
      <c r="T685" s="92"/>
      <c r="U685" s="92"/>
      <c r="V685" s="52"/>
      <c r="W685" s="52"/>
      <c r="X685" s="52"/>
      <c r="Y685" s="52"/>
      <c r="Z685" s="51"/>
      <c r="AA685" s="73"/>
      <c r="AB685" s="73"/>
      <c r="AC685" s="74"/>
      <c r="AD685" s="80" t="s">
        <v>7258</v>
      </c>
      <c r="AE685" s="85" t="s">
        <v>8449</v>
      </c>
      <c r="AF685" s="80">
        <v>99</v>
      </c>
      <c r="AG685" s="80">
        <v>110</v>
      </c>
      <c r="AH685" s="80">
        <v>10452</v>
      </c>
      <c r="AI685" s="80">
        <v>121</v>
      </c>
      <c r="AJ685" s="80"/>
      <c r="AK685" s="80" t="s">
        <v>9569</v>
      </c>
      <c r="AL685" s="80" t="s">
        <v>10463</v>
      </c>
      <c r="AM685" s="87" t="str">
        <f>HYPERLINK("https://t.co/Txar5efVWP")</f>
        <v>https://t.co/Txar5efVWP</v>
      </c>
      <c r="AN685" s="80"/>
      <c r="AO685" s="82">
        <v>44379.665972222225</v>
      </c>
      <c r="AP685" s="87" t="str">
        <f>HYPERLINK("https://pbs.twimg.com/profile_banners/1410991326145826819/1632708480")</f>
        <v>https://pbs.twimg.com/profile_banners/1410991326145826819/1632708480</v>
      </c>
      <c r="AQ685" s="80" t="b">
        <v>1</v>
      </c>
      <c r="AR685" s="80" t="b">
        <v>0</v>
      </c>
      <c r="AS685" s="80" t="b">
        <v>1</v>
      </c>
      <c r="AT685" s="80"/>
      <c r="AU685" s="80">
        <v>2</v>
      </c>
      <c r="AV685" s="80"/>
      <c r="AW685" s="80" t="b">
        <v>0</v>
      </c>
      <c r="AX685" s="80" t="s">
        <v>10746</v>
      </c>
      <c r="AY685" s="87" t="str">
        <f>HYPERLINK("https://twitter.com/caesarygesa")</f>
        <v>https://twitter.com/caesarygesa</v>
      </c>
      <c r="AZ685" s="80" t="s">
        <v>66</v>
      </c>
      <c r="BA685" s="2"/>
      <c r="BB685" s="3"/>
      <c r="BC685" s="3"/>
      <c r="BD685" s="3"/>
      <c r="BE685" s="3"/>
    </row>
    <row r="686" spans="1:57" x14ac:dyDescent="0.35">
      <c r="A686" s="66" t="s">
        <v>766</v>
      </c>
      <c r="B686" s="67"/>
      <c r="C686" s="67"/>
      <c r="D686" s="68"/>
      <c r="E686" s="70"/>
      <c r="F686" s="109" t="str">
        <f>HYPERLINK("https://pbs.twimg.com/profile_images/1402146386611560450/XtPLPmAu_normal.jpg")</f>
        <v>https://pbs.twimg.com/profile_images/1402146386611560450/XtPLPmAu_normal.jpg</v>
      </c>
      <c r="G686" s="67"/>
      <c r="H686" s="71"/>
      <c r="I686" s="72"/>
      <c r="J686" s="72"/>
      <c r="K686" s="71" t="s">
        <v>11429</v>
      </c>
      <c r="L686" s="75"/>
      <c r="M686" s="76"/>
      <c r="N686" s="76"/>
      <c r="O686" s="77"/>
      <c r="P686" s="78"/>
      <c r="Q686" s="78"/>
      <c r="R686" s="92"/>
      <c r="S686" s="92"/>
      <c r="T686" s="92"/>
      <c r="U686" s="92"/>
      <c r="V686" s="52"/>
      <c r="W686" s="52"/>
      <c r="X686" s="52"/>
      <c r="Y686" s="52"/>
      <c r="Z686" s="51"/>
      <c r="AA686" s="73"/>
      <c r="AB686" s="73"/>
      <c r="AC686" s="74"/>
      <c r="AD686" s="80" t="s">
        <v>7259</v>
      </c>
      <c r="AE686" s="85" t="s">
        <v>8450</v>
      </c>
      <c r="AF686" s="80">
        <v>94</v>
      </c>
      <c r="AG686" s="80">
        <v>22195</v>
      </c>
      <c r="AH686" s="80">
        <v>762</v>
      </c>
      <c r="AI686" s="80">
        <v>246</v>
      </c>
      <c r="AJ686" s="80"/>
      <c r="AK686" s="80"/>
      <c r="AL686" s="80" t="s">
        <v>10464</v>
      </c>
      <c r="AM686" s="80"/>
      <c r="AN686" s="80"/>
      <c r="AO686" s="82">
        <v>43988.566944444443</v>
      </c>
      <c r="AP686" s="80"/>
      <c r="AQ686" s="80" t="b">
        <v>1</v>
      </c>
      <c r="AR686" s="80" t="b">
        <v>0</v>
      </c>
      <c r="AS686" s="80" t="b">
        <v>1</v>
      </c>
      <c r="AT686" s="80"/>
      <c r="AU686" s="80">
        <v>4</v>
      </c>
      <c r="AV686" s="80"/>
      <c r="AW686" s="80" t="b">
        <v>0</v>
      </c>
      <c r="AX686" s="80" t="s">
        <v>10746</v>
      </c>
      <c r="AY686" s="87" t="str">
        <f>HYPERLINK("https://twitter.com/prakamaulana")</f>
        <v>https://twitter.com/prakamaulana</v>
      </c>
      <c r="AZ686" s="80" t="s">
        <v>66</v>
      </c>
      <c r="BA686" s="2"/>
      <c r="BB686" s="3"/>
      <c r="BC686" s="3"/>
      <c r="BD686" s="3"/>
      <c r="BE686" s="3"/>
    </row>
    <row r="687" spans="1:57" x14ac:dyDescent="0.35">
      <c r="A687" s="66" t="s">
        <v>767</v>
      </c>
      <c r="B687" s="67"/>
      <c r="C687" s="67"/>
      <c r="D687" s="68"/>
      <c r="E687" s="70"/>
      <c r="F687" s="109" t="str">
        <f>HYPERLINK("https://pbs.twimg.com/profile_images/1438174918064046080/KWUUYtUa_normal.jpg")</f>
        <v>https://pbs.twimg.com/profile_images/1438174918064046080/KWUUYtUa_normal.jpg</v>
      </c>
      <c r="G687" s="67"/>
      <c r="H687" s="71"/>
      <c r="I687" s="72"/>
      <c r="J687" s="72"/>
      <c r="K687" s="71" t="s">
        <v>11430</v>
      </c>
      <c r="L687" s="75"/>
      <c r="M687" s="76"/>
      <c r="N687" s="76"/>
      <c r="O687" s="77"/>
      <c r="P687" s="78"/>
      <c r="Q687" s="78"/>
      <c r="R687" s="92"/>
      <c r="S687" s="92"/>
      <c r="T687" s="92"/>
      <c r="U687" s="92"/>
      <c r="V687" s="52"/>
      <c r="W687" s="52"/>
      <c r="X687" s="52"/>
      <c r="Y687" s="52"/>
      <c r="Z687" s="51"/>
      <c r="AA687" s="73"/>
      <c r="AB687" s="73"/>
      <c r="AC687" s="74"/>
      <c r="AD687" s="80" t="s">
        <v>7260</v>
      </c>
      <c r="AE687" s="85" t="s">
        <v>8451</v>
      </c>
      <c r="AF687" s="80">
        <v>502</v>
      </c>
      <c r="AG687" s="80">
        <v>370</v>
      </c>
      <c r="AH687" s="80">
        <v>1595</v>
      </c>
      <c r="AI687" s="80">
        <v>643</v>
      </c>
      <c r="AJ687" s="80"/>
      <c r="AK687" s="80" t="s">
        <v>9570</v>
      </c>
      <c r="AL687" s="80" t="s">
        <v>10465</v>
      </c>
      <c r="AM687" s="80"/>
      <c r="AN687" s="80"/>
      <c r="AO687" s="82">
        <v>43938.520694444444</v>
      </c>
      <c r="AP687" s="87" t="str">
        <f>HYPERLINK("https://pbs.twimg.com/profile_banners/1251125639186268161/1632595299")</f>
        <v>https://pbs.twimg.com/profile_banners/1251125639186268161/1632595299</v>
      </c>
      <c r="AQ687" s="80" t="b">
        <v>1</v>
      </c>
      <c r="AR687" s="80" t="b">
        <v>0</v>
      </c>
      <c r="AS687" s="80" t="b">
        <v>0</v>
      </c>
      <c r="AT687" s="80"/>
      <c r="AU687" s="80">
        <v>1</v>
      </c>
      <c r="AV687" s="80"/>
      <c r="AW687" s="80" t="b">
        <v>0</v>
      </c>
      <c r="AX687" s="80" t="s">
        <v>10746</v>
      </c>
      <c r="AY687" s="87" t="str">
        <f>HYPERLINK("https://twitter.com/liliiluuu")</f>
        <v>https://twitter.com/liliiluuu</v>
      </c>
      <c r="AZ687" s="80" t="s">
        <v>66</v>
      </c>
      <c r="BA687" s="2"/>
      <c r="BB687" s="3"/>
      <c r="BC687" s="3"/>
      <c r="BD687" s="3"/>
      <c r="BE687" s="3"/>
    </row>
    <row r="688" spans="1:57" x14ac:dyDescent="0.35">
      <c r="A688" s="66" t="s">
        <v>1393</v>
      </c>
      <c r="B688" s="67"/>
      <c r="C688" s="67"/>
      <c r="D688" s="68"/>
      <c r="E688" s="70"/>
      <c r="F688" s="109" t="str">
        <f>HYPERLINK("https://pbs.twimg.com/profile_images/1437087519527477248/1s9PWwXU_normal.jpg")</f>
        <v>https://pbs.twimg.com/profile_images/1437087519527477248/1s9PWwXU_normal.jpg</v>
      </c>
      <c r="G688" s="67"/>
      <c r="H688" s="71"/>
      <c r="I688" s="72"/>
      <c r="J688" s="72"/>
      <c r="K688" s="71" t="s">
        <v>11431</v>
      </c>
      <c r="L688" s="75"/>
      <c r="M688" s="76"/>
      <c r="N688" s="76"/>
      <c r="O688" s="77"/>
      <c r="P688" s="78"/>
      <c r="Q688" s="78"/>
      <c r="R688" s="92"/>
      <c r="S688" s="92"/>
      <c r="T688" s="92"/>
      <c r="U688" s="92"/>
      <c r="V688" s="52"/>
      <c r="W688" s="52"/>
      <c r="X688" s="52"/>
      <c r="Y688" s="52"/>
      <c r="Z688" s="51"/>
      <c r="AA688" s="73"/>
      <c r="AB688" s="73"/>
      <c r="AC688" s="74"/>
      <c r="AD688" s="80" t="s">
        <v>7261</v>
      </c>
      <c r="AE688" s="85" t="s">
        <v>6344</v>
      </c>
      <c r="AF688" s="80">
        <v>8</v>
      </c>
      <c r="AG688" s="80">
        <v>646402</v>
      </c>
      <c r="AH688" s="80">
        <v>1017185</v>
      </c>
      <c r="AI688" s="80">
        <v>1612</v>
      </c>
      <c r="AJ688" s="80"/>
      <c r="AK688" s="80" t="s">
        <v>9571</v>
      </c>
      <c r="AL688" s="80" t="s">
        <v>10172</v>
      </c>
      <c r="AM688" s="87" t="str">
        <f>HYPERLINK("https://t.co/cyJxqytv5Z")</f>
        <v>https://t.co/cyJxqytv5Z</v>
      </c>
      <c r="AN688" s="80"/>
      <c r="AO688" s="82">
        <v>42019.366041666668</v>
      </c>
      <c r="AP688" s="87" t="str">
        <f>HYPERLINK("https://pbs.twimg.com/profile_banners/2983890506/1632445092")</f>
        <v>https://pbs.twimg.com/profile_banners/2983890506/1632445092</v>
      </c>
      <c r="AQ688" s="80" t="b">
        <v>1</v>
      </c>
      <c r="AR688" s="80" t="b">
        <v>0</v>
      </c>
      <c r="AS688" s="80" t="b">
        <v>1</v>
      </c>
      <c r="AT688" s="80"/>
      <c r="AU688" s="80">
        <v>272</v>
      </c>
      <c r="AV688" s="87" t="str">
        <f>HYPERLINK("https://abs.twimg.com/images/themes/theme1/bg.png")</f>
        <v>https://abs.twimg.com/images/themes/theme1/bg.png</v>
      </c>
      <c r="AW688" s="80" t="b">
        <v>1</v>
      </c>
      <c r="AX688" s="80" t="s">
        <v>10746</v>
      </c>
      <c r="AY688" s="87" t="str">
        <f>HYPERLINK("https://twitter.com/shopeeid")</f>
        <v>https://twitter.com/shopeeid</v>
      </c>
      <c r="AZ688" s="80" t="s">
        <v>65</v>
      </c>
      <c r="BA688" s="2"/>
      <c r="BB688" s="3"/>
      <c r="BC688" s="3"/>
      <c r="BD688" s="3"/>
      <c r="BE688" s="3"/>
    </row>
    <row r="689" spans="1:57" x14ac:dyDescent="0.35">
      <c r="A689" s="66" t="s">
        <v>768</v>
      </c>
      <c r="B689" s="67"/>
      <c r="C689" s="67"/>
      <c r="D689" s="68"/>
      <c r="E689" s="70"/>
      <c r="F689" s="109" t="str">
        <f>HYPERLINK("https://pbs.twimg.com/profile_images/1237185466463481856/tn87uPWh_normal.jpg")</f>
        <v>https://pbs.twimg.com/profile_images/1237185466463481856/tn87uPWh_normal.jpg</v>
      </c>
      <c r="G689" s="67"/>
      <c r="H689" s="71"/>
      <c r="I689" s="72"/>
      <c r="J689" s="72"/>
      <c r="K689" s="71" t="s">
        <v>11432</v>
      </c>
      <c r="L689" s="75"/>
      <c r="M689" s="76"/>
      <c r="N689" s="76"/>
      <c r="O689" s="77"/>
      <c r="P689" s="78"/>
      <c r="Q689" s="78"/>
      <c r="R689" s="92"/>
      <c r="S689" s="92"/>
      <c r="T689" s="92"/>
      <c r="U689" s="92"/>
      <c r="V689" s="52"/>
      <c r="W689" s="52"/>
      <c r="X689" s="52"/>
      <c r="Y689" s="52"/>
      <c r="Z689" s="51"/>
      <c r="AA689" s="73"/>
      <c r="AB689" s="73"/>
      <c r="AC689" s="74"/>
      <c r="AD689" s="80" t="s">
        <v>7262</v>
      </c>
      <c r="AE689" s="85" t="s">
        <v>8452</v>
      </c>
      <c r="AF689" s="80">
        <v>573</v>
      </c>
      <c r="AG689" s="80">
        <v>310</v>
      </c>
      <c r="AH689" s="80">
        <v>9743</v>
      </c>
      <c r="AI689" s="80">
        <v>1134</v>
      </c>
      <c r="AJ689" s="80"/>
      <c r="AK689" s="80"/>
      <c r="AL689" s="80" t="s">
        <v>10466</v>
      </c>
      <c r="AM689" s="80"/>
      <c r="AN689" s="80"/>
      <c r="AO689" s="82">
        <v>40340.356342592589</v>
      </c>
      <c r="AP689" s="87" t="str">
        <f>HYPERLINK("https://pbs.twimg.com/profile_banners/154460855/1603724800")</f>
        <v>https://pbs.twimg.com/profile_banners/154460855/1603724800</v>
      </c>
      <c r="AQ689" s="80" t="b">
        <v>1</v>
      </c>
      <c r="AR689" s="80" t="b">
        <v>0</v>
      </c>
      <c r="AS689" s="80" t="b">
        <v>1</v>
      </c>
      <c r="AT689" s="80"/>
      <c r="AU689" s="80">
        <v>1</v>
      </c>
      <c r="AV689" s="87" t="str">
        <f>HYPERLINK("https://abs.twimg.com/images/themes/theme1/bg.png")</f>
        <v>https://abs.twimg.com/images/themes/theme1/bg.png</v>
      </c>
      <c r="AW689" s="80" t="b">
        <v>0</v>
      </c>
      <c r="AX689" s="80" t="s">
        <v>10746</v>
      </c>
      <c r="AY689" s="87" t="str">
        <f>HYPERLINK("https://twitter.com/nurlimreski")</f>
        <v>https://twitter.com/nurlimreski</v>
      </c>
      <c r="AZ689" s="80" t="s">
        <v>66</v>
      </c>
      <c r="BA689" s="2"/>
      <c r="BB689" s="3"/>
      <c r="BC689" s="3"/>
      <c r="BD689" s="3"/>
      <c r="BE689" s="3"/>
    </row>
    <row r="690" spans="1:57" x14ac:dyDescent="0.35">
      <c r="A690" s="66" t="s">
        <v>769</v>
      </c>
      <c r="B690" s="67"/>
      <c r="C690" s="67"/>
      <c r="D690" s="68"/>
      <c r="E690" s="70"/>
      <c r="F690" s="109" t="str">
        <f>HYPERLINK("https://pbs.twimg.com/profile_images/378800000712005095/544fa235b799e7d30b49a0b4193e3c30_normal.png")</f>
        <v>https://pbs.twimg.com/profile_images/378800000712005095/544fa235b799e7d30b49a0b4193e3c30_normal.png</v>
      </c>
      <c r="G690" s="67"/>
      <c r="H690" s="71"/>
      <c r="I690" s="72"/>
      <c r="J690" s="72"/>
      <c r="K690" s="71" t="s">
        <v>11433</v>
      </c>
      <c r="L690" s="75"/>
      <c r="M690" s="76"/>
      <c r="N690" s="76"/>
      <c r="O690" s="77"/>
      <c r="P690" s="78"/>
      <c r="Q690" s="78"/>
      <c r="R690" s="92"/>
      <c r="S690" s="92"/>
      <c r="T690" s="92"/>
      <c r="U690" s="92"/>
      <c r="V690" s="52"/>
      <c r="W690" s="52"/>
      <c r="X690" s="52"/>
      <c r="Y690" s="52"/>
      <c r="Z690" s="51"/>
      <c r="AA690" s="73"/>
      <c r="AB690" s="73"/>
      <c r="AC690" s="74"/>
      <c r="AD690" s="80" t="s">
        <v>7263</v>
      </c>
      <c r="AE690" s="85" t="s">
        <v>8453</v>
      </c>
      <c r="AF690" s="80">
        <v>0</v>
      </c>
      <c r="AG690" s="80">
        <v>147537</v>
      </c>
      <c r="AH690" s="80">
        <v>26343</v>
      </c>
      <c r="AI690" s="80">
        <v>22</v>
      </c>
      <c r="AJ690" s="80"/>
      <c r="AK690" s="80" t="s">
        <v>9572</v>
      </c>
      <c r="AL690" s="80" t="s">
        <v>6543</v>
      </c>
      <c r="AM690" s="87" t="str">
        <f>HYPERLINK("http://t.co/oAAtmvwYp9")</f>
        <v>http://t.co/oAAtmvwYp9</v>
      </c>
      <c r="AN690" s="80"/>
      <c r="AO690" s="82">
        <v>40046.184942129628</v>
      </c>
      <c r="AP690" s="87" t="str">
        <f>HYPERLINK("https://pbs.twimg.com/profile_banners/67523537/1452998468")</f>
        <v>https://pbs.twimg.com/profile_banners/67523537/1452998468</v>
      </c>
      <c r="AQ690" s="80" t="b">
        <v>1</v>
      </c>
      <c r="AR690" s="80" t="b">
        <v>0</v>
      </c>
      <c r="AS690" s="80" t="b">
        <v>1</v>
      </c>
      <c r="AT690" s="80"/>
      <c r="AU690" s="80">
        <v>349</v>
      </c>
      <c r="AV690" s="87" t="str">
        <f>HYPERLINK("https://abs.twimg.com/images/themes/theme1/bg.png")</f>
        <v>https://abs.twimg.com/images/themes/theme1/bg.png</v>
      </c>
      <c r="AW690" s="80" t="b">
        <v>0</v>
      </c>
      <c r="AX690" s="80" t="s">
        <v>10746</v>
      </c>
      <c r="AY690" s="87" t="str">
        <f>HYPERLINK("https://twitter.com/twitlowongan")</f>
        <v>https://twitter.com/twitlowongan</v>
      </c>
      <c r="AZ690" s="80" t="s">
        <v>66</v>
      </c>
      <c r="BA690" s="2"/>
      <c r="BB690" s="3"/>
      <c r="BC690" s="3"/>
      <c r="BD690" s="3"/>
      <c r="BE690" s="3"/>
    </row>
    <row r="691" spans="1:57" x14ac:dyDescent="0.35">
      <c r="A691" s="66" t="s">
        <v>770</v>
      </c>
      <c r="B691" s="67"/>
      <c r="C691" s="67"/>
      <c r="D691" s="68"/>
      <c r="E691" s="70"/>
      <c r="F691" s="109" t="str">
        <f>HYPERLINK("https://pbs.twimg.com/profile_images/1163465530415575040/8dgi9M-i_normal.jpg")</f>
        <v>https://pbs.twimg.com/profile_images/1163465530415575040/8dgi9M-i_normal.jpg</v>
      </c>
      <c r="G691" s="67"/>
      <c r="H691" s="71"/>
      <c r="I691" s="72"/>
      <c r="J691" s="72"/>
      <c r="K691" s="71" t="s">
        <v>11434</v>
      </c>
      <c r="L691" s="75"/>
      <c r="M691" s="76"/>
      <c r="N691" s="76"/>
      <c r="O691" s="77"/>
      <c r="P691" s="78"/>
      <c r="Q691" s="78"/>
      <c r="R691" s="92"/>
      <c r="S691" s="92"/>
      <c r="T691" s="92"/>
      <c r="U691" s="92"/>
      <c r="V691" s="52"/>
      <c r="W691" s="52"/>
      <c r="X691" s="52"/>
      <c r="Y691" s="52"/>
      <c r="Z691" s="51"/>
      <c r="AA691" s="73"/>
      <c r="AB691" s="73"/>
      <c r="AC691" s="74"/>
      <c r="AD691" s="80" t="s">
        <v>7264</v>
      </c>
      <c r="AE691" s="85" t="s">
        <v>8454</v>
      </c>
      <c r="AF691" s="80">
        <v>177</v>
      </c>
      <c r="AG691" s="80">
        <v>326</v>
      </c>
      <c r="AH691" s="80">
        <v>62194</v>
      </c>
      <c r="AI691" s="80">
        <v>603</v>
      </c>
      <c r="AJ691" s="80"/>
      <c r="AK691" s="80" t="s">
        <v>9573</v>
      </c>
      <c r="AL691" s="80" t="s">
        <v>10467</v>
      </c>
      <c r="AM691" s="87" t="str">
        <f>HYPERLINK("https://t.co/diJDaevv2Y")</f>
        <v>https://t.co/diJDaevv2Y</v>
      </c>
      <c r="AN691" s="80"/>
      <c r="AO691" s="82">
        <v>40695.75341435185</v>
      </c>
      <c r="AP691" s="87" t="str">
        <f>HYPERLINK("https://pbs.twimg.com/profile_banners/309198751/1588177644")</f>
        <v>https://pbs.twimg.com/profile_banners/309198751/1588177644</v>
      </c>
      <c r="AQ691" s="80" t="b">
        <v>0</v>
      </c>
      <c r="AR691" s="80" t="b">
        <v>0</v>
      </c>
      <c r="AS691" s="80" t="b">
        <v>1</v>
      </c>
      <c r="AT691" s="80"/>
      <c r="AU691" s="80">
        <v>7</v>
      </c>
      <c r="AV691" s="87" t="str">
        <f>HYPERLINK("https://abs.twimg.com/images/themes/theme9/bg.gif")</f>
        <v>https://abs.twimg.com/images/themes/theme9/bg.gif</v>
      </c>
      <c r="AW691" s="80" t="b">
        <v>0</v>
      </c>
      <c r="AX691" s="80" t="s">
        <v>10746</v>
      </c>
      <c r="AY691" s="87" t="str">
        <f>HYPERLINK("https://twitter.com/imanhidayat85")</f>
        <v>https://twitter.com/imanhidayat85</v>
      </c>
      <c r="AZ691" s="80" t="s">
        <v>66</v>
      </c>
      <c r="BA691" s="2"/>
      <c r="BB691" s="3"/>
      <c r="BC691" s="3"/>
      <c r="BD691" s="3"/>
      <c r="BE691" s="3"/>
    </row>
    <row r="692" spans="1:57" x14ac:dyDescent="0.35">
      <c r="A692" s="66" t="s">
        <v>771</v>
      </c>
      <c r="B692" s="67"/>
      <c r="C692" s="67"/>
      <c r="D692" s="68"/>
      <c r="E692" s="70"/>
      <c r="F692" s="109" t="str">
        <f>HYPERLINK("https://pbs.twimg.com/profile_images/1346376911560196096/kk3Dkgda_normal.jpg")</f>
        <v>https://pbs.twimg.com/profile_images/1346376911560196096/kk3Dkgda_normal.jpg</v>
      </c>
      <c r="G692" s="67"/>
      <c r="H692" s="71"/>
      <c r="I692" s="72"/>
      <c r="J692" s="72"/>
      <c r="K692" s="71" t="s">
        <v>11435</v>
      </c>
      <c r="L692" s="75"/>
      <c r="M692" s="76"/>
      <c r="N692" s="76"/>
      <c r="O692" s="77"/>
      <c r="P692" s="78"/>
      <c r="Q692" s="78"/>
      <c r="R692" s="92"/>
      <c r="S692" s="92"/>
      <c r="T692" s="92"/>
      <c r="U692" s="92"/>
      <c r="V692" s="52"/>
      <c r="W692" s="52"/>
      <c r="X692" s="52"/>
      <c r="Y692" s="52"/>
      <c r="Z692" s="51"/>
      <c r="AA692" s="73"/>
      <c r="AB692" s="73"/>
      <c r="AC692" s="74"/>
      <c r="AD692" s="80" t="s">
        <v>7265</v>
      </c>
      <c r="AE692" s="85" t="s">
        <v>8455</v>
      </c>
      <c r="AF692" s="80">
        <v>379</v>
      </c>
      <c r="AG692" s="80">
        <v>289</v>
      </c>
      <c r="AH692" s="80">
        <v>33379</v>
      </c>
      <c r="AI692" s="80">
        <v>3563</v>
      </c>
      <c r="AJ692" s="80"/>
      <c r="AK692" s="80" t="s">
        <v>9574</v>
      </c>
      <c r="AL692" s="80" t="s">
        <v>10468</v>
      </c>
      <c r="AM692" s="87" t="str">
        <f>HYPERLINK("https://t.co/5vrg6FQwHo")</f>
        <v>https://t.co/5vrg6FQwHo</v>
      </c>
      <c r="AN692" s="80"/>
      <c r="AO692" s="82">
        <v>40521.537835648145</v>
      </c>
      <c r="AP692" s="87" t="str">
        <f>HYPERLINK("https://pbs.twimg.com/profile_banners/224618442/1524932480")</f>
        <v>https://pbs.twimg.com/profile_banners/224618442/1524932480</v>
      </c>
      <c r="AQ692" s="80" t="b">
        <v>0</v>
      </c>
      <c r="AR692" s="80" t="b">
        <v>0</v>
      </c>
      <c r="AS692" s="80" t="b">
        <v>1</v>
      </c>
      <c r="AT692" s="80"/>
      <c r="AU692" s="80">
        <v>2</v>
      </c>
      <c r="AV692" s="87" t="str">
        <f>HYPERLINK("https://abs.twimg.com/images/themes/theme4/bg.gif")</f>
        <v>https://abs.twimg.com/images/themes/theme4/bg.gif</v>
      </c>
      <c r="AW692" s="80" t="b">
        <v>0</v>
      </c>
      <c r="AX692" s="80" t="s">
        <v>10746</v>
      </c>
      <c r="AY692" s="87" t="str">
        <f>HYPERLINK("https://twitter.com/dnyrstn_")</f>
        <v>https://twitter.com/dnyrstn_</v>
      </c>
      <c r="AZ692" s="80" t="s">
        <v>66</v>
      </c>
      <c r="BA692" s="2"/>
      <c r="BB692" s="3"/>
      <c r="BC692" s="3"/>
      <c r="BD692" s="3"/>
      <c r="BE692" s="3"/>
    </row>
    <row r="693" spans="1:57" x14ac:dyDescent="0.35">
      <c r="A693" s="66" t="s">
        <v>772</v>
      </c>
      <c r="B693" s="67"/>
      <c r="C693" s="67"/>
      <c r="D693" s="68"/>
      <c r="E693" s="70"/>
      <c r="F693" s="109" t="str">
        <f>HYPERLINK("https://pbs.twimg.com/profile_images/1441080284074573827/4YyfEZ39_normal.jpg")</f>
        <v>https://pbs.twimg.com/profile_images/1441080284074573827/4YyfEZ39_normal.jpg</v>
      </c>
      <c r="G693" s="67"/>
      <c r="H693" s="71"/>
      <c r="I693" s="72"/>
      <c r="J693" s="72"/>
      <c r="K693" s="71" t="s">
        <v>11436</v>
      </c>
      <c r="L693" s="75"/>
      <c r="M693" s="76"/>
      <c r="N693" s="76"/>
      <c r="O693" s="77"/>
      <c r="P693" s="78"/>
      <c r="Q693" s="78"/>
      <c r="R693" s="92"/>
      <c r="S693" s="92"/>
      <c r="T693" s="92"/>
      <c r="U693" s="92"/>
      <c r="V693" s="52"/>
      <c r="W693" s="52"/>
      <c r="X693" s="52"/>
      <c r="Y693" s="52"/>
      <c r="Z693" s="51"/>
      <c r="AA693" s="73"/>
      <c r="AB693" s="73"/>
      <c r="AC693" s="74"/>
      <c r="AD693" s="80" t="s">
        <v>7266</v>
      </c>
      <c r="AE693" s="85" t="s">
        <v>8456</v>
      </c>
      <c r="AF693" s="80">
        <v>253</v>
      </c>
      <c r="AG693" s="80">
        <v>250</v>
      </c>
      <c r="AH693" s="80">
        <v>2661</v>
      </c>
      <c r="AI693" s="80">
        <v>182</v>
      </c>
      <c r="AJ693" s="80"/>
      <c r="AK693" s="80" t="s">
        <v>9575</v>
      </c>
      <c r="AL693" s="80" t="s">
        <v>10469</v>
      </c>
      <c r="AM693" s="80"/>
      <c r="AN693" s="80"/>
      <c r="AO693" s="82">
        <v>42724.10434027778</v>
      </c>
      <c r="AP693" s="87" t="str">
        <f>HYPERLINK("https://pbs.twimg.com/profile_banners/811035959009517568/1625308863")</f>
        <v>https://pbs.twimg.com/profile_banners/811035959009517568/1625308863</v>
      </c>
      <c r="AQ693" s="80" t="b">
        <v>1</v>
      </c>
      <c r="AR693" s="80" t="b">
        <v>0</v>
      </c>
      <c r="AS693" s="80" t="b">
        <v>1</v>
      </c>
      <c r="AT693" s="80"/>
      <c r="AU693" s="80">
        <v>0</v>
      </c>
      <c r="AV693" s="80"/>
      <c r="AW693" s="80" t="b">
        <v>0</v>
      </c>
      <c r="AX693" s="80" t="s">
        <v>10746</v>
      </c>
      <c r="AY693" s="87" t="str">
        <f>HYPERLINK("https://twitter.com/canduayamgeprek")</f>
        <v>https://twitter.com/canduayamgeprek</v>
      </c>
      <c r="AZ693" s="80" t="s">
        <v>66</v>
      </c>
      <c r="BA693" s="2"/>
      <c r="BB693" s="3"/>
      <c r="BC693" s="3"/>
      <c r="BD693" s="3"/>
      <c r="BE693" s="3"/>
    </row>
    <row r="694" spans="1:57" x14ac:dyDescent="0.35">
      <c r="A694" s="66" t="s">
        <v>1394</v>
      </c>
      <c r="B694" s="67"/>
      <c r="C694" s="67"/>
      <c r="D694" s="68"/>
      <c r="E694" s="70"/>
      <c r="F694" s="109" t="str">
        <f>HYPERLINK("https://pbs.twimg.com/profile_images/1442042957142528004/9F6nxtRy_normal.jpg")</f>
        <v>https://pbs.twimg.com/profile_images/1442042957142528004/9F6nxtRy_normal.jpg</v>
      </c>
      <c r="G694" s="67"/>
      <c r="H694" s="71"/>
      <c r="I694" s="72"/>
      <c r="J694" s="72"/>
      <c r="K694" s="71" t="s">
        <v>11437</v>
      </c>
      <c r="L694" s="75"/>
      <c r="M694" s="76"/>
      <c r="N694" s="76"/>
      <c r="O694" s="77"/>
      <c r="P694" s="78"/>
      <c r="Q694" s="78"/>
      <c r="R694" s="92"/>
      <c r="S694" s="92"/>
      <c r="T694" s="92"/>
      <c r="U694" s="92"/>
      <c r="V694" s="52"/>
      <c r="W694" s="52"/>
      <c r="X694" s="52"/>
      <c r="Y694" s="52"/>
      <c r="Z694" s="51"/>
      <c r="AA694" s="73"/>
      <c r="AB694" s="73"/>
      <c r="AC694" s="74"/>
      <c r="AD694" s="80" t="s">
        <v>7267</v>
      </c>
      <c r="AE694" s="85" t="s">
        <v>6345</v>
      </c>
      <c r="AF694" s="80">
        <v>1743</v>
      </c>
      <c r="AG694" s="80">
        <v>1570</v>
      </c>
      <c r="AH694" s="80">
        <v>21948</v>
      </c>
      <c r="AI694" s="80">
        <v>29034</v>
      </c>
      <c r="AJ694" s="80"/>
      <c r="AK694" s="80" t="s">
        <v>9576</v>
      </c>
      <c r="AL694" s="80" t="s">
        <v>6547</v>
      </c>
      <c r="AM694" s="80"/>
      <c r="AN694" s="80"/>
      <c r="AO694" s="82">
        <v>42950.337708333333</v>
      </c>
      <c r="AP694" s="80"/>
      <c r="AQ694" s="80" t="b">
        <v>1</v>
      </c>
      <c r="AR694" s="80" t="b">
        <v>0</v>
      </c>
      <c r="AS694" s="80" t="b">
        <v>0</v>
      </c>
      <c r="AT694" s="80"/>
      <c r="AU694" s="80">
        <v>0</v>
      </c>
      <c r="AV694" s="80"/>
      <c r="AW694" s="80" t="b">
        <v>0</v>
      </c>
      <c r="AX694" s="80" t="s">
        <v>10746</v>
      </c>
      <c r="AY694" s="87" t="str">
        <f>HYPERLINK("https://twitter.com/awwgill")</f>
        <v>https://twitter.com/awwgill</v>
      </c>
      <c r="AZ694" s="80" t="s">
        <v>65</v>
      </c>
      <c r="BA694" s="2"/>
      <c r="BB694" s="3"/>
      <c r="BC694" s="3"/>
      <c r="BD694" s="3"/>
      <c r="BE694" s="3"/>
    </row>
    <row r="695" spans="1:57" x14ac:dyDescent="0.35">
      <c r="A695" s="66" t="s">
        <v>773</v>
      </c>
      <c r="B695" s="67"/>
      <c r="C695" s="67"/>
      <c r="D695" s="68"/>
      <c r="E695" s="70"/>
      <c r="F695" s="109" t="str">
        <f>HYPERLINK("https://pbs.twimg.com/profile_images/1417059285914165253/tPOTzH3W_normal.jpg")</f>
        <v>https://pbs.twimg.com/profile_images/1417059285914165253/tPOTzH3W_normal.jpg</v>
      </c>
      <c r="G695" s="67"/>
      <c r="H695" s="71"/>
      <c r="I695" s="72"/>
      <c r="J695" s="72"/>
      <c r="K695" s="71" t="s">
        <v>11438</v>
      </c>
      <c r="L695" s="75"/>
      <c r="M695" s="76"/>
      <c r="N695" s="76"/>
      <c r="O695" s="77"/>
      <c r="P695" s="78"/>
      <c r="Q695" s="78"/>
      <c r="R695" s="92"/>
      <c r="S695" s="92"/>
      <c r="T695" s="92"/>
      <c r="U695" s="92"/>
      <c r="V695" s="52"/>
      <c r="W695" s="52"/>
      <c r="X695" s="52"/>
      <c r="Y695" s="52"/>
      <c r="Z695" s="51"/>
      <c r="AA695" s="73"/>
      <c r="AB695" s="73"/>
      <c r="AC695" s="74"/>
      <c r="AD695" s="80" t="s">
        <v>7268</v>
      </c>
      <c r="AE695" s="85" t="s">
        <v>8457</v>
      </c>
      <c r="AF695" s="80">
        <v>214</v>
      </c>
      <c r="AG695" s="80">
        <v>132</v>
      </c>
      <c r="AH695" s="80">
        <v>12779</v>
      </c>
      <c r="AI695" s="80">
        <v>19037</v>
      </c>
      <c r="AJ695" s="80"/>
      <c r="AK695" s="80" t="s">
        <v>9577</v>
      </c>
      <c r="AL695" s="80" t="s">
        <v>10470</v>
      </c>
      <c r="AM695" s="80"/>
      <c r="AN695" s="80"/>
      <c r="AO695" s="82">
        <v>42997.557175925926</v>
      </c>
      <c r="AP695" s="87" t="str">
        <f>HYPERLINK("https://pbs.twimg.com/profile_banners/910131948063825920/1632506462")</f>
        <v>https://pbs.twimg.com/profile_banners/910131948063825920/1632506462</v>
      </c>
      <c r="AQ695" s="80" t="b">
        <v>1</v>
      </c>
      <c r="AR695" s="80" t="b">
        <v>0</v>
      </c>
      <c r="AS695" s="80" t="b">
        <v>0</v>
      </c>
      <c r="AT695" s="80"/>
      <c r="AU695" s="80">
        <v>0</v>
      </c>
      <c r="AV695" s="80"/>
      <c r="AW695" s="80" t="b">
        <v>0</v>
      </c>
      <c r="AX695" s="80" t="s">
        <v>10746</v>
      </c>
      <c r="AY695" s="87" t="str">
        <f>HYPERLINK("https://twitter.com/leezxv")</f>
        <v>https://twitter.com/leezxv</v>
      </c>
      <c r="AZ695" s="80" t="s">
        <v>66</v>
      </c>
      <c r="BA695" s="2"/>
      <c r="BB695" s="3"/>
      <c r="BC695" s="3"/>
      <c r="BD695" s="3"/>
      <c r="BE695" s="3"/>
    </row>
    <row r="696" spans="1:57" x14ac:dyDescent="0.35">
      <c r="A696" s="66" t="s">
        <v>774</v>
      </c>
      <c r="B696" s="67"/>
      <c r="C696" s="67"/>
      <c r="D696" s="68"/>
      <c r="E696" s="70"/>
      <c r="F696" s="109" t="str">
        <f>HYPERLINK("https://pbs.twimg.com/profile_images/1432516786117754883/Z1cXhGRc_normal.jpg")</f>
        <v>https://pbs.twimg.com/profile_images/1432516786117754883/Z1cXhGRc_normal.jpg</v>
      </c>
      <c r="G696" s="67"/>
      <c r="H696" s="71"/>
      <c r="I696" s="72"/>
      <c r="J696" s="72"/>
      <c r="K696" s="71" t="s">
        <v>11439</v>
      </c>
      <c r="L696" s="75"/>
      <c r="M696" s="76"/>
      <c r="N696" s="76"/>
      <c r="O696" s="77"/>
      <c r="P696" s="78"/>
      <c r="Q696" s="78"/>
      <c r="R696" s="92"/>
      <c r="S696" s="92"/>
      <c r="T696" s="92"/>
      <c r="U696" s="92"/>
      <c r="V696" s="52"/>
      <c r="W696" s="52"/>
      <c r="X696" s="52"/>
      <c r="Y696" s="52"/>
      <c r="Z696" s="51"/>
      <c r="AA696" s="73"/>
      <c r="AB696" s="73"/>
      <c r="AC696" s="74"/>
      <c r="AD696" s="80" t="s">
        <v>7269</v>
      </c>
      <c r="AE696" s="85" t="s">
        <v>8458</v>
      </c>
      <c r="AF696" s="80">
        <v>261</v>
      </c>
      <c r="AG696" s="80">
        <v>324</v>
      </c>
      <c r="AH696" s="80">
        <v>18746</v>
      </c>
      <c r="AI696" s="80">
        <v>3361</v>
      </c>
      <c r="AJ696" s="80"/>
      <c r="AK696" s="80" t="s">
        <v>9578</v>
      </c>
      <c r="AL696" s="80" t="s">
        <v>6543</v>
      </c>
      <c r="AM696" s="87" t="str">
        <f>HYPERLINK("https://t.co/KqoxAVUuDL")</f>
        <v>https://t.co/KqoxAVUuDL</v>
      </c>
      <c r="AN696" s="80"/>
      <c r="AO696" s="82">
        <v>40028.381157407406</v>
      </c>
      <c r="AP696" s="80"/>
      <c r="AQ696" s="80" t="b">
        <v>0</v>
      </c>
      <c r="AR696" s="80" t="b">
        <v>0</v>
      </c>
      <c r="AS696" s="80" t="b">
        <v>1</v>
      </c>
      <c r="AT696" s="80"/>
      <c r="AU696" s="80">
        <v>3</v>
      </c>
      <c r="AV696" s="87" t="str">
        <f>HYPERLINK("https://abs.twimg.com/images/themes/theme15/bg.png")</f>
        <v>https://abs.twimg.com/images/themes/theme15/bg.png</v>
      </c>
      <c r="AW696" s="80" t="b">
        <v>0</v>
      </c>
      <c r="AX696" s="80" t="s">
        <v>10746</v>
      </c>
      <c r="AY696" s="87" t="str">
        <f>HYPERLINK("https://twitter.com/ray_prakarsa")</f>
        <v>https://twitter.com/ray_prakarsa</v>
      </c>
      <c r="AZ696" s="80" t="s">
        <v>66</v>
      </c>
      <c r="BA696" s="2"/>
      <c r="BB696" s="3"/>
      <c r="BC696" s="3"/>
      <c r="BD696" s="3"/>
      <c r="BE696" s="3"/>
    </row>
    <row r="697" spans="1:57" x14ac:dyDescent="0.35">
      <c r="A697" s="66" t="s">
        <v>775</v>
      </c>
      <c r="B697" s="67"/>
      <c r="C697" s="67"/>
      <c r="D697" s="68"/>
      <c r="E697" s="70"/>
      <c r="F697" s="109" t="str">
        <f>HYPERLINK("https://pbs.twimg.com/profile_images/1442184760311177218/0fYeTgOu_normal.jpg")</f>
        <v>https://pbs.twimg.com/profile_images/1442184760311177218/0fYeTgOu_normal.jpg</v>
      </c>
      <c r="G697" s="67"/>
      <c r="H697" s="71"/>
      <c r="I697" s="72"/>
      <c r="J697" s="72"/>
      <c r="K697" s="71" t="s">
        <v>11440</v>
      </c>
      <c r="L697" s="75"/>
      <c r="M697" s="76"/>
      <c r="N697" s="76"/>
      <c r="O697" s="77"/>
      <c r="P697" s="78"/>
      <c r="Q697" s="78"/>
      <c r="R697" s="92"/>
      <c r="S697" s="92"/>
      <c r="T697" s="92"/>
      <c r="U697" s="92"/>
      <c r="V697" s="52"/>
      <c r="W697" s="52"/>
      <c r="X697" s="52"/>
      <c r="Y697" s="52"/>
      <c r="Z697" s="51"/>
      <c r="AA697" s="73"/>
      <c r="AB697" s="73"/>
      <c r="AC697" s="74"/>
      <c r="AD697" s="80" t="s">
        <v>7270</v>
      </c>
      <c r="AE697" s="85" t="s">
        <v>8459</v>
      </c>
      <c r="AF697" s="80">
        <v>756</v>
      </c>
      <c r="AG697" s="80">
        <v>544</v>
      </c>
      <c r="AH697" s="80">
        <v>12313</v>
      </c>
      <c r="AI697" s="80">
        <v>20335</v>
      </c>
      <c r="AJ697" s="80"/>
      <c r="AK697" s="80" t="s">
        <v>9579</v>
      </c>
      <c r="AL697" s="80" t="s">
        <v>10471</v>
      </c>
      <c r="AM697" s="80"/>
      <c r="AN697" s="80"/>
      <c r="AO697" s="82">
        <v>44354.20988425926</v>
      </c>
      <c r="AP697" s="87" t="str">
        <f>HYPERLINK("https://pbs.twimg.com/profile_banners/1401766308979507207/1632678410")</f>
        <v>https://pbs.twimg.com/profile_banners/1401766308979507207/1632678410</v>
      </c>
      <c r="AQ697" s="80" t="b">
        <v>1</v>
      </c>
      <c r="AR697" s="80" t="b">
        <v>0</v>
      </c>
      <c r="AS697" s="80" t="b">
        <v>0</v>
      </c>
      <c r="AT697" s="80"/>
      <c r="AU697" s="80">
        <v>1</v>
      </c>
      <c r="AV697" s="80"/>
      <c r="AW697" s="80" t="b">
        <v>0</v>
      </c>
      <c r="AX697" s="80" t="s">
        <v>10746</v>
      </c>
      <c r="AY697" s="87" t="str">
        <f>HYPERLINK("https://twitter.com/nanasisterrr")</f>
        <v>https://twitter.com/nanasisterrr</v>
      </c>
      <c r="AZ697" s="80" t="s">
        <v>66</v>
      </c>
      <c r="BA697" s="2"/>
      <c r="BB697" s="3"/>
      <c r="BC697" s="3"/>
      <c r="BD697" s="3"/>
      <c r="BE697" s="3"/>
    </row>
    <row r="698" spans="1:57" x14ac:dyDescent="0.35">
      <c r="A698" s="66" t="s">
        <v>776</v>
      </c>
      <c r="B698" s="67"/>
      <c r="C698" s="67"/>
      <c r="D698" s="68"/>
      <c r="E698" s="70"/>
      <c r="F698" s="109" t="str">
        <f>HYPERLINK("https://pbs.twimg.com/profile_images/1367312084938092547/xb5xm-Ke_normal.jpg")</f>
        <v>https://pbs.twimg.com/profile_images/1367312084938092547/xb5xm-Ke_normal.jpg</v>
      </c>
      <c r="G698" s="67"/>
      <c r="H698" s="71"/>
      <c r="I698" s="72"/>
      <c r="J698" s="72"/>
      <c r="K698" s="71" t="s">
        <v>11441</v>
      </c>
      <c r="L698" s="75"/>
      <c r="M698" s="76"/>
      <c r="N698" s="76"/>
      <c r="O698" s="77"/>
      <c r="P698" s="78"/>
      <c r="Q698" s="78"/>
      <c r="R698" s="92"/>
      <c r="S698" s="92"/>
      <c r="T698" s="92"/>
      <c r="U698" s="92"/>
      <c r="V698" s="52"/>
      <c r="W698" s="52"/>
      <c r="X698" s="52"/>
      <c r="Y698" s="52"/>
      <c r="Z698" s="51"/>
      <c r="AA698" s="73"/>
      <c r="AB698" s="73"/>
      <c r="AC698" s="74"/>
      <c r="AD698" s="80" t="s">
        <v>7271</v>
      </c>
      <c r="AE698" s="85" t="s">
        <v>8460</v>
      </c>
      <c r="AF698" s="80">
        <v>624</v>
      </c>
      <c r="AG698" s="80">
        <v>246</v>
      </c>
      <c r="AH698" s="80">
        <v>20577</v>
      </c>
      <c r="AI698" s="80">
        <v>389</v>
      </c>
      <c r="AJ698" s="80"/>
      <c r="AK698" s="80" t="s">
        <v>9580</v>
      </c>
      <c r="AL698" s="80" t="s">
        <v>10472</v>
      </c>
      <c r="AM698" s="80"/>
      <c r="AN698" s="80"/>
      <c r="AO698" s="82">
        <v>40698.568078703705</v>
      </c>
      <c r="AP698" s="87" t="str">
        <f>HYPERLINK("https://pbs.twimg.com/profile_banners/310858330/1436121557")</f>
        <v>https://pbs.twimg.com/profile_banners/310858330/1436121557</v>
      </c>
      <c r="AQ698" s="80" t="b">
        <v>0</v>
      </c>
      <c r="AR698" s="80" t="b">
        <v>0</v>
      </c>
      <c r="AS698" s="80" t="b">
        <v>1</v>
      </c>
      <c r="AT698" s="80"/>
      <c r="AU698" s="80">
        <v>1</v>
      </c>
      <c r="AV698" s="87" t="str">
        <f>HYPERLINK("https://abs.twimg.com/images/themes/theme9/bg.gif")</f>
        <v>https://abs.twimg.com/images/themes/theme9/bg.gif</v>
      </c>
      <c r="AW698" s="80" t="b">
        <v>0</v>
      </c>
      <c r="AX698" s="80" t="s">
        <v>10746</v>
      </c>
      <c r="AY698" s="87" t="str">
        <f>HYPERLINK("https://twitter.com/nugraha16_")</f>
        <v>https://twitter.com/nugraha16_</v>
      </c>
      <c r="AZ698" s="80" t="s">
        <v>66</v>
      </c>
      <c r="BA698" s="2"/>
      <c r="BB698" s="3"/>
      <c r="BC698" s="3"/>
      <c r="BD698" s="3"/>
      <c r="BE698" s="3"/>
    </row>
    <row r="699" spans="1:57" x14ac:dyDescent="0.35">
      <c r="A699" s="66" t="s">
        <v>777</v>
      </c>
      <c r="B699" s="67"/>
      <c r="C699" s="67"/>
      <c r="D699" s="68"/>
      <c r="E699" s="70"/>
      <c r="F699" s="109" t="str">
        <f>HYPERLINK("https://pbs.twimg.com/profile_images/1325783328377630720/558Fk0M-_normal.jpg")</f>
        <v>https://pbs.twimg.com/profile_images/1325783328377630720/558Fk0M-_normal.jpg</v>
      </c>
      <c r="G699" s="67"/>
      <c r="H699" s="71"/>
      <c r="I699" s="72"/>
      <c r="J699" s="72"/>
      <c r="K699" s="71" t="s">
        <v>11442</v>
      </c>
      <c r="L699" s="75"/>
      <c r="M699" s="76"/>
      <c r="N699" s="76"/>
      <c r="O699" s="77"/>
      <c r="P699" s="78"/>
      <c r="Q699" s="78"/>
      <c r="R699" s="92"/>
      <c r="S699" s="92"/>
      <c r="T699" s="92"/>
      <c r="U699" s="92"/>
      <c r="V699" s="52"/>
      <c r="W699" s="52"/>
      <c r="X699" s="52"/>
      <c r="Y699" s="52"/>
      <c r="Z699" s="51"/>
      <c r="AA699" s="73"/>
      <c r="AB699" s="73"/>
      <c r="AC699" s="74"/>
      <c r="AD699" s="80" t="s">
        <v>7272</v>
      </c>
      <c r="AE699" s="85" t="s">
        <v>8461</v>
      </c>
      <c r="AF699" s="80">
        <v>108</v>
      </c>
      <c r="AG699" s="80">
        <v>133</v>
      </c>
      <c r="AH699" s="80">
        <v>1616</v>
      </c>
      <c r="AI699" s="80">
        <v>118</v>
      </c>
      <c r="AJ699" s="80"/>
      <c r="AK699" s="80"/>
      <c r="AL699" s="80"/>
      <c r="AM699" s="80"/>
      <c r="AN699" s="80"/>
      <c r="AO699" s="82">
        <v>40915.119490740741</v>
      </c>
      <c r="AP699" s="87" t="str">
        <f>HYPERLINK("https://pbs.twimg.com/profile_banners/457153848/1622808825")</f>
        <v>https://pbs.twimg.com/profile_banners/457153848/1622808825</v>
      </c>
      <c r="AQ699" s="80" t="b">
        <v>0</v>
      </c>
      <c r="AR699" s="80" t="b">
        <v>0</v>
      </c>
      <c r="AS699" s="80" t="b">
        <v>0</v>
      </c>
      <c r="AT699" s="80"/>
      <c r="AU699" s="80">
        <v>0</v>
      </c>
      <c r="AV699" s="87" t="str">
        <f>HYPERLINK("https://abs.twimg.com/images/themes/theme9/bg.gif")</f>
        <v>https://abs.twimg.com/images/themes/theme9/bg.gif</v>
      </c>
      <c r="AW699" s="80" t="b">
        <v>0</v>
      </c>
      <c r="AX699" s="80" t="s">
        <v>10746</v>
      </c>
      <c r="AY699" s="87" t="str">
        <f>HYPERLINK("https://twitter.com/rezaaadtya")</f>
        <v>https://twitter.com/rezaaadtya</v>
      </c>
      <c r="AZ699" s="80" t="s">
        <v>66</v>
      </c>
      <c r="BA699" s="2"/>
      <c r="BB699" s="3"/>
      <c r="BC699" s="3"/>
      <c r="BD699" s="3"/>
      <c r="BE699" s="3"/>
    </row>
    <row r="700" spans="1:57" x14ac:dyDescent="0.35">
      <c r="A700" s="66" t="s">
        <v>778</v>
      </c>
      <c r="B700" s="67"/>
      <c r="C700" s="67"/>
      <c r="D700" s="68"/>
      <c r="E700" s="70"/>
      <c r="F700" s="109" t="str">
        <f>HYPERLINK("https://pbs.twimg.com/profile_images/632909515277496320/uwJ8q_ie_normal.jpg")</f>
        <v>https://pbs.twimg.com/profile_images/632909515277496320/uwJ8q_ie_normal.jpg</v>
      </c>
      <c r="G700" s="67"/>
      <c r="H700" s="71"/>
      <c r="I700" s="72"/>
      <c r="J700" s="72"/>
      <c r="K700" s="71" t="s">
        <v>11443</v>
      </c>
      <c r="L700" s="75"/>
      <c r="M700" s="76"/>
      <c r="N700" s="76"/>
      <c r="O700" s="77"/>
      <c r="P700" s="78"/>
      <c r="Q700" s="78"/>
      <c r="R700" s="92"/>
      <c r="S700" s="92"/>
      <c r="T700" s="92"/>
      <c r="U700" s="92"/>
      <c r="V700" s="52"/>
      <c r="W700" s="52"/>
      <c r="X700" s="52"/>
      <c r="Y700" s="52"/>
      <c r="Z700" s="51"/>
      <c r="AA700" s="73"/>
      <c r="AB700" s="73"/>
      <c r="AC700" s="74"/>
      <c r="AD700" s="80" t="s">
        <v>7273</v>
      </c>
      <c r="AE700" s="85" t="s">
        <v>8462</v>
      </c>
      <c r="AF700" s="80">
        <v>157</v>
      </c>
      <c r="AG700" s="80">
        <v>159</v>
      </c>
      <c r="AH700" s="80">
        <v>11931</v>
      </c>
      <c r="AI700" s="80">
        <v>2889</v>
      </c>
      <c r="AJ700" s="80"/>
      <c r="AK700" s="80" t="s">
        <v>9581</v>
      </c>
      <c r="AL700" s="80" t="s">
        <v>10473</v>
      </c>
      <c r="AM700" s="80"/>
      <c r="AN700" s="80"/>
      <c r="AO700" s="82">
        <v>39986.220358796294</v>
      </c>
      <c r="AP700" s="87" t="str">
        <f>HYPERLINK("https://pbs.twimg.com/profile_banners/49545099/1401983112")</f>
        <v>https://pbs.twimg.com/profile_banners/49545099/1401983112</v>
      </c>
      <c r="AQ700" s="80" t="b">
        <v>0</v>
      </c>
      <c r="AR700" s="80" t="b">
        <v>0</v>
      </c>
      <c r="AS700" s="80" t="b">
        <v>1</v>
      </c>
      <c r="AT700" s="80"/>
      <c r="AU700" s="80">
        <v>1</v>
      </c>
      <c r="AV700" s="87" t="str">
        <f>HYPERLINK("https://abs.twimg.com/images/themes/theme6/bg.gif")</f>
        <v>https://abs.twimg.com/images/themes/theme6/bg.gif</v>
      </c>
      <c r="AW700" s="80" t="b">
        <v>0</v>
      </c>
      <c r="AX700" s="80" t="s">
        <v>10746</v>
      </c>
      <c r="AY700" s="87" t="str">
        <f>HYPERLINK("https://twitter.com/derryaulia")</f>
        <v>https://twitter.com/derryaulia</v>
      </c>
      <c r="AZ700" s="80" t="s">
        <v>66</v>
      </c>
      <c r="BA700" s="2"/>
      <c r="BB700" s="3"/>
      <c r="BC700" s="3"/>
      <c r="BD700" s="3"/>
      <c r="BE700" s="3"/>
    </row>
    <row r="701" spans="1:57" x14ac:dyDescent="0.35">
      <c r="A701" s="66" t="s">
        <v>779</v>
      </c>
      <c r="B701" s="67"/>
      <c r="C701" s="67"/>
      <c r="D701" s="68"/>
      <c r="E701" s="70"/>
      <c r="F701" s="109" t="str">
        <f>HYPERLINK("https://pbs.twimg.com/profile_images/1426958855834009607/EF41PtQ1_normal.jpg")</f>
        <v>https://pbs.twimg.com/profile_images/1426958855834009607/EF41PtQ1_normal.jpg</v>
      </c>
      <c r="G701" s="67"/>
      <c r="H701" s="71"/>
      <c r="I701" s="72"/>
      <c r="J701" s="72"/>
      <c r="K701" s="71" t="s">
        <v>11444</v>
      </c>
      <c r="L701" s="75"/>
      <c r="M701" s="76"/>
      <c r="N701" s="76"/>
      <c r="O701" s="77"/>
      <c r="P701" s="78"/>
      <c r="Q701" s="78"/>
      <c r="R701" s="92"/>
      <c r="S701" s="92"/>
      <c r="T701" s="92"/>
      <c r="U701" s="92"/>
      <c r="V701" s="52"/>
      <c r="W701" s="52"/>
      <c r="X701" s="52"/>
      <c r="Y701" s="52"/>
      <c r="Z701" s="51"/>
      <c r="AA701" s="73"/>
      <c r="AB701" s="73"/>
      <c r="AC701" s="74"/>
      <c r="AD701" s="80" t="s">
        <v>7274</v>
      </c>
      <c r="AE701" s="85" t="s">
        <v>8463</v>
      </c>
      <c r="AF701" s="80">
        <v>1738</v>
      </c>
      <c r="AG701" s="80">
        <v>2929</v>
      </c>
      <c r="AH701" s="80">
        <v>31936</v>
      </c>
      <c r="AI701" s="80">
        <v>66172</v>
      </c>
      <c r="AJ701" s="80"/>
      <c r="AK701" s="80" t="s">
        <v>9582</v>
      </c>
      <c r="AL701" s="80" t="s">
        <v>10474</v>
      </c>
      <c r="AM701" s="87" t="str">
        <f>HYPERLINK("https://t.co/Bsf1CVVCr2")</f>
        <v>https://t.co/Bsf1CVVCr2</v>
      </c>
      <c r="AN701" s="80"/>
      <c r="AO701" s="82">
        <v>43367.070671296293</v>
      </c>
      <c r="AP701" s="87" t="str">
        <f>HYPERLINK("https://pbs.twimg.com/profile_banners/1044039155057999872/1537753551")</f>
        <v>https://pbs.twimg.com/profile_banners/1044039155057999872/1537753551</v>
      </c>
      <c r="AQ701" s="80" t="b">
        <v>1</v>
      </c>
      <c r="AR701" s="80" t="b">
        <v>0</v>
      </c>
      <c r="AS701" s="80" t="b">
        <v>1</v>
      </c>
      <c r="AT701" s="80"/>
      <c r="AU701" s="80">
        <v>1</v>
      </c>
      <c r="AV701" s="80"/>
      <c r="AW701" s="80" t="b">
        <v>0</v>
      </c>
      <c r="AX701" s="80" t="s">
        <v>10746</v>
      </c>
      <c r="AY701" s="87" t="str">
        <f>HYPERLINK("https://twitter.com/bukansamsmith")</f>
        <v>https://twitter.com/bukansamsmith</v>
      </c>
      <c r="AZ701" s="80" t="s">
        <v>66</v>
      </c>
      <c r="BA701" s="2"/>
      <c r="BB701" s="3"/>
      <c r="BC701" s="3"/>
      <c r="BD701" s="3"/>
      <c r="BE701" s="3"/>
    </row>
    <row r="702" spans="1:57" x14ac:dyDescent="0.35">
      <c r="A702" s="66" t="s">
        <v>1395</v>
      </c>
      <c r="B702" s="67"/>
      <c r="C702" s="67"/>
      <c r="D702" s="68"/>
      <c r="E702" s="70"/>
      <c r="F702" s="109" t="str">
        <f>HYPERLINK("https://pbs.twimg.com/profile_images/1340546129239240707/tImTDtfa_normal.jpg")</f>
        <v>https://pbs.twimg.com/profile_images/1340546129239240707/tImTDtfa_normal.jpg</v>
      </c>
      <c r="G702" s="67"/>
      <c r="H702" s="71"/>
      <c r="I702" s="72"/>
      <c r="J702" s="72"/>
      <c r="K702" s="71" t="s">
        <v>11445</v>
      </c>
      <c r="L702" s="75"/>
      <c r="M702" s="76"/>
      <c r="N702" s="76"/>
      <c r="O702" s="77"/>
      <c r="P702" s="78"/>
      <c r="Q702" s="78"/>
      <c r="R702" s="92"/>
      <c r="S702" s="92"/>
      <c r="T702" s="92"/>
      <c r="U702" s="92"/>
      <c r="V702" s="52"/>
      <c r="W702" s="52"/>
      <c r="X702" s="52"/>
      <c r="Y702" s="52"/>
      <c r="Z702" s="51"/>
      <c r="AA702" s="73"/>
      <c r="AB702" s="73"/>
      <c r="AC702" s="74"/>
      <c r="AD702" s="80" t="s">
        <v>7275</v>
      </c>
      <c r="AE702" s="85" t="s">
        <v>6346</v>
      </c>
      <c r="AF702" s="80">
        <v>694</v>
      </c>
      <c r="AG702" s="80">
        <v>13182</v>
      </c>
      <c r="AH702" s="80">
        <v>35914</v>
      </c>
      <c r="AI702" s="80">
        <v>23038</v>
      </c>
      <c r="AJ702" s="80"/>
      <c r="AK702" s="80" t="s">
        <v>9583</v>
      </c>
      <c r="AL702" s="80" t="s">
        <v>10172</v>
      </c>
      <c r="AM702" s="80"/>
      <c r="AN702" s="80"/>
      <c r="AO702" s="82">
        <v>43623.571527777778</v>
      </c>
      <c r="AP702" s="87" t="str">
        <f>HYPERLINK("https://pbs.twimg.com/profile_banners/1136991951025164289/1615629719")</f>
        <v>https://pbs.twimg.com/profile_banners/1136991951025164289/1615629719</v>
      </c>
      <c r="AQ702" s="80" t="b">
        <v>1</v>
      </c>
      <c r="AR702" s="80" t="b">
        <v>0</v>
      </c>
      <c r="AS702" s="80" t="b">
        <v>1</v>
      </c>
      <c r="AT702" s="80"/>
      <c r="AU702" s="80">
        <v>5</v>
      </c>
      <c r="AV702" s="80"/>
      <c r="AW702" s="80" t="b">
        <v>0</v>
      </c>
      <c r="AX702" s="80" t="s">
        <v>10746</v>
      </c>
      <c r="AY702" s="87" t="str">
        <f>HYPERLINK("https://twitter.com/pandabeardada")</f>
        <v>https://twitter.com/pandabeardada</v>
      </c>
      <c r="AZ702" s="80" t="s">
        <v>65</v>
      </c>
      <c r="BA702" s="2"/>
      <c r="BB702" s="3"/>
      <c r="BC702" s="3"/>
      <c r="BD702" s="3"/>
      <c r="BE702" s="3"/>
    </row>
    <row r="703" spans="1:57" x14ac:dyDescent="0.35">
      <c r="A703" s="66" t="s">
        <v>780</v>
      </c>
      <c r="B703" s="67"/>
      <c r="C703" s="67"/>
      <c r="D703" s="68"/>
      <c r="E703" s="70"/>
      <c r="F703" s="109" t="str">
        <f>HYPERLINK("https://pbs.twimg.com/profile_images/800667202240188420/Ir6SVYp7_normal.jpg")</f>
        <v>https://pbs.twimg.com/profile_images/800667202240188420/Ir6SVYp7_normal.jpg</v>
      </c>
      <c r="G703" s="67"/>
      <c r="H703" s="71"/>
      <c r="I703" s="72"/>
      <c r="J703" s="72"/>
      <c r="K703" s="71" t="s">
        <v>11446</v>
      </c>
      <c r="L703" s="75"/>
      <c r="M703" s="76"/>
      <c r="N703" s="76"/>
      <c r="O703" s="77"/>
      <c r="P703" s="78"/>
      <c r="Q703" s="78"/>
      <c r="R703" s="92"/>
      <c r="S703" s="92"/>
      <c r="T703" s="92"/>
      <c r="U703" s="92"/>
      <c r="V703" s="52"/>
      <c r="W703" s="52"/>
      <c r="X703" s="52"/>
      <c r="Y703" s="52"/>
      <c r="Z703" s="51"/>
      <c r="AA703" s="73"/>
      <c r="AB703" s="73"/>
      <c r="AC703" s="74"/>
      <c r="AD703" s="80" t="s">
        <v>7276</v>
      </c>
      <c r="AE703" s="85" t="s">
        <v>8464</v>
      </c>
      <c r="AF703" s="80">
        <v>25</v>
      </c>
      <c r="AG703" s="80">
        <v>1955983</v>
      </c>
      <c r="AH703" s="80">
        <v>638614</v>
      </c>
      <c r="AI703" s="80">
        <v>35</v>
      </c>
      <c r="AJ703" s="80"/>
      <c r="AK703" s="80" t="s">
        <v>9584</v>
      </c>
      <c r="AL703" s="80" t="s">
        <v>6543</v>
      </c>
      <c r="AM703" s="80"/>
      <c r="AN703" s="80"/>
      <c r="AO703" s="82">
        <v>39860.201296296298</v>
      </c>
      <c r="AP703" s="87" t="str">
        <f>HYPERLINK("https://pbs.twimg.com/profile_banners/20963426/1618312709")</f>
        <v>https://pbs.twimg.com/profile_banners/20963426/1618312709</v>
      </c>
      <c r="AQ703" s="80" t="b">
        <v>0</v>
      </c>
      <c r="AR703" s="80" t="b">
        <v>0</v>
      </c>
      <c r="AS703" s="80" t="b">
        <v>0</v>
      </c>
      <c r="AT703" s="80"/>
      <c r="AU703" s="80">
        <v>3528</v>
      </c>
      <c r="AV703" s="87" t="str">
        <f>HYPERLINK("https://abs.twimg.com/images/themes/theme1/bg.png")</f>
        <v>https://abs.twimg.com/images/themes/theme1/bg.png</v>
      </c>
      <c r="AW703" s="80" t="b">
        <v>1</v>
      </c>
      <c r="AX703" s="80" t="s">
        <v>10746</v>
      </c>
      <c r="AY703" s="87" t="str">
        <f>HYPERLINK("https://twitter.com/korantempo")</f>
        <v>https://twitter.com/korantempo</v>
      </c>
      <c r="AZ703" s="80" t="s">
        <v>66</v>
      </c>
      <c r="BA703" s="2"/>
      <c r="BB703" s="3"/>
      <c r="BC703" s="3"/>
      <c r="BD703" s="3"/>
      <c r="BE703" s="3"/>
    </row>
    <row r="704" spans="1:57" x14ac:dyDescent="0.35">
      <c r="A704" s="66" t="s">
        <v>781</v>
      </c>
      <c r="B704" s="67"/>
      <c r="C704" s="67"/>
      <c r="D704" s="68"/>
      <c r="E704" s="70"/>
      <c r="F704" s="109" t="str">
        <f>HYPERLINK("https://pbs.twimg.com/profile_images/1233293041181442048/l9ILqFS7_normal.jpg")</f>
        <v>https://pbs.twimg.com/profile_images/1233293041181442048/l9ILqFS7_normal.jpg</v>
      </c>
      <c r="G704" s="67"/>
      <c r="H704" s="71"/>
      <c r="I704" s="72"/>
      <c r="J704" s="72"/>
      <c r="K704" s="71" t="s">
        <v>11447</v>
      </c>
      <c r="L704" s="75"/>
      <c r="M704" s="76"/>
      <c r="N704" s="76"/>
      <c r="O704" s="77"/>
      <c r="P704" s="78"/>
      <c r="Q704" s="78"/>
      <c r="R704" s="92"/>
      <c r="S704" s="92"/>
      <c r="T704" s="92"/>
      <c r="U704" s="92"/>
      <c r="V704" s="52"/>
      <c r="W704" s="52"/>
      <c r="X704" s="52"/>
      <c r="Y704" s="52"/>
      <c r="Z704" s="51"/>
      <c r="AA704" s="73"/>
      <c r="AB704" s="73"/>
      <c r="AC704" s="74"/>
      <c r="AD704" s="80" t="s">
        <v>7277</v>
      </c>
      <c r="AE704" s="85" t="s">
        <v>8465</v>
      </c>
      <c r="AF704" s="80">
        <v>718</v>
      </c>
      <c r="AG704" s="80">
        <v>173</v>
      </c>
      <c r="AH704" s="80">
        <v>2257</v>
      </c>
      <c r="AI704" s="80">
        <v>7936</v>
      </c>
      <c r="AJ704" s="80"/>
      <c r="AK704" s="80" t="s">
        <v>9585</v>
      </c>
      <c r="AL704" s="80" t="s">
        <v>6547</v>
      </c>
      <c r="AM704" s="80"/>
      <c r="AN704" s="80"/>
      <c r="AO704" s="82">
        <v>41863.354733796295</v>
      </c>
      <c r="AP704" s="87" t="str">
        <f>HYPERLINK("https://pbs.twimg.com/profile_banners/2725706084/1579524880")</f>
        <v>https://pbs.twimg.com/profile_banners/2725706084/1579524880</v>
      </c>
      <c r="AQ704" s="80" t="b">
        <v>1</v>
      </c>
      <c r="AR704" s="80" t="b">
        <v>0</v>
      </c>
      <c r="AS704" s="80" t="b">
        <v>1</v>
      </c>
      <c r="AT704" s="80"/>
      <c r="AU704" s="80">
        <v>0</v>
      </c>
      <c r="AV704" s="87" t="str">
        <f>HYPERLINK("https://abs.twimg.com/images/themes/theme1/bg.png")</f>
        <v>https://abs.twimg.com/images/themes/theme1/bg.png</v>
      </c>
      <c r="AW704" s="80" t="b">
        <v>0</v>
      </c>
      <c r="AX704" s="80" t="s">
        <v>10746</v>
      </c>
      <c r="AY704" s="87" t="str">
        <f>HYPERLINK("https://twitter.com/sokojogja")</f>
        <v>https://twitter.com/sokojogja</v>
      </c>
      <c r="AZ704" s="80" t="s">
        <v>66</v>
      </c>
      <c r="BA704" s="2"/>
      <c r="BB704" s="3"/>
      <c r="BC704" s="3"/>
      <c r="BD704" s="3"/>
      <c r="BE704" s="3"/>
    </row>
    <row r="705" spans="1:57" x14ac:dyDescent="0.35">
      <c r="A705" s="66" t="s">
        <v>782</v>
      </c>
      <c r="B705" s="67"/>
      <c r="C705" s="67"/>
      <c r="D705" s="68"/>
      <c r="E705" s="70"/>
      <c r="F705" s="109" t="str">
        <f>HYPERLINK("https://pbs.twimg.com/profile_images/1437679449378414593/BZLwPPmC_normal.jpg")</f>
        <v>https://pbs.twimg.com/profile_images/1437679449378414593/BZLwPPmC_normal.jpg</v>
      </c>
      <c r="G705" s="67"/>
      <c r="H705" s="71"/>
      <c r="I705" s="72"/>
      <c r="J705" s="72"/>
      <c r="K705" s="71" t="s">
        <v>11448</v>
      </c>
      <c r="L705" s="75"/>
      <c r="M705" s="76"/>
      <c r="N705" s="76"/>
      <c r="O705" s="77"/>
      <c r="P705" s="78"/>
      <c r="Q705" s="78"/>
      <c r="R705" s="92"/>
      <c r="S705" s="92"/>
      <c r="T705" s="92"/>
      <c r="U705" s="92"/>
      <c r="V705" s="52"/>
      <c r="W705" s="52"/>
      <c r="X705" s="52"/>
      <c r="Y705" s="52"/>
      <c r="Z705" s="51"/>
      <c r="AA705" s="73"/>
      <c r="AB705" s="73"/>
      <c r="AC705" s="74"/>
      <c r="AD705" s="80" t="s">
        <v>7278</v>
      </c>
      <c r="AE705" s="85" t="s">
        <v>8466</v>
      </c>
      <c r="AF705" s="80">
        <v>309</v>
      </c>
      <c r="AG705" s="80">
        <v>290</v>
      </c>
      <c r="AH705" s="80">
        <v>3081</v>
      </c>
      <c r="AI705" s="80">
        <v>1574</v>
      </c>
      <c r="AJ705" s="80"/>
      <c r="AK705" s="80" t="s">
        <v>9586</v>
      </c>
      <c r="AL705" s="80"/>
      <c r="AM705" s="80"/>
      <c r="AN705" s="80"/>
      <c r="AO705" s="82">
        <v>44299.295486111114</v>
      </c>
      <c r="AP705" s="87" t="str">
        <f>HYPERLINK("https://pbs.twimg.com/profile_banners/1381865179932106754/1631604467")</f>
        <v>https://pbs.twimg.com/profile_banners/1381865179932106754/1631604467</v>
      </c>
      <c r="AQ705" s="80" t="b">
        <v>1</v>
      </c>
      <c r="AR705" s="80" t="b">
        <v>0</v>
      </c>
      <c r="AS705" s="80" t="b">
        <v>0</v>
      </c>
      <c r="AT705" s="80"/>
      <c r="AU705" s="80">
        <v>0</v>
      </c>
      <c r="AV705" s="80"/>
      <c r="AW705" s="80" t="b">
        <v>0</v>
      </c>
      <c r="AX705" s="80" t="s">
        <v>10746</v>
      </c>
      <c r="AY705" s="87" t="str">
        <f>HYPERLINK("https://twitter.com/jggkkie")</f>
        <v>https://twitter.com/jggkkie</v>
      </c>
      <c r="AZ705" s="80" t="s">
        <v>66</v>
      </c>
      <c r="BA705" s="2"/>
      <c r="BB705" s="3"/>
      <c r="BC705" s="3"/>
      <c r="BD705" s="3"/>
      <c r="BE705" s="3"/>
    </row>
    <row r="706" spans="1:57" x14ac:dyDescent="0.35">
      <c r="A706" s="66" t="s">
        <v>1396</v>
      </c>
      <c r="B706" s="67"/>
      <c r="C706" s="67"/>
      <c r="D706" s="68"/>
      <c r="E706" s="70"/>
      <c r="F706" s="109" t="str">
        <f>HYPERLINK("https://pbs.twimg.com/profile_images/1440318003380244483/SCh54C2z_normal.jpg")</f>
        <v>https://pbs.twimg.com/profile_images/1440318003380244483/SCh54C2z_normal.jpg</v>
      </c>
      <c r="G706" s="67"/>
      <c r="H706" s="71"/>
      <c r="I706" s="72"/>
      <c r="J706" s="72"/>
      <c r="K706" s="71" t="s">
        <v>11449</v>
      </c>
      <c r="L706" s="75"/>
      <c r="M706" s="76"/>
      <c r="N706" s="76"/>
      <c r="O706" s="77"/>
      <c r="P706" s="78"/>
      <c r="Q706" s="78"/>
      <c r="R706" s="92"/>
      <c r="S706" s="92"/>
      <c r="T706" s="92"/>
      <c r="U706" s="92"/>
      <c r="V706" s="52"/>
      <c r="W706" s="52"/>
      <c r="X706" s="52"/>
      <c r="Y706" s="52"/>
      <c r="Z706" s="51"/>
      <c r="AA706" s="73"/>
      <c r="AB706" s="73"/>
      <c r="AC706" s="74"/>
      <c r="AD706" s="80" t="s">
        <v>7279</v>
      </c>
      <c r="AE706" s="85" t="s">
        <v>6347</v>
      </c>
      <c r="AF706" s="80">
        <v>388</v>
      </c>
      <c r="AG706" s="80">
        <v>367</v>
      </c>
      <c r="AH706" s="80">
        <v>2472</v>
      </c>
      <c r="AI706" s="80">
        <v>5289</v>
      </c>
      <c r="AJ706" s="80"/>
      <c r="AK706" s="80" t="s">
        <v>9587</v>
      </c>
      <c r="AL706" s="80" t="s">
        <v>10475</v>
      </c>
      <c r="AM706" s="80"/>
      <c r="AN706" s="80"/>
      <c r="AO706" s="82">
        <v>43842.295995370368</v>
      </c>
      <c r="AP706" s="87" t="str">
        <f>HYPERLINK("https://pbs.twimg.com/profile_banners/1216254984209063937/1632143810")</f>
        <v>https://pbs.twimg.com/profile_banners/1216254984209063937/1632143810</v>
      </c>
      <c r="AQ706" s="80" t="b">
        <v>1</v>
      </c>
      <c r="AR706" s="80" t="b">
        <v>0</v>
      </c>
      <c r="AS706" s="80" t="b">
        <v>0</v>
      </c>
      <c r="AT706" s="80"/>
      <c r="AU706" s="80">
        <v>0</v>
      </c>
      <c r="AV706" s="80"/>
      <c r="AW706" s="80" t="b">
        <v>0</v>
      </c>
      <c r="AX706" s="80" t="s">
        <v>10746</v>
      </c>
      <c r="AY706" s="87" t="str">
        <f>HYPERLINK("https://twitter.com/etereojin")</f>
        <v>https://twitter.com/etereojin</v>
      </c>
      <c r="AZ706" s="80" t="s">
        <v>65</v>
      </c>
      <c r="BA706" s="2"/>
      <c r="BB706" s="3"/>
      <c r="BC706" s="3"/>
      <c r="BD706" s="3"/>
      <c r="BE706" s="3"/>
    </row>
    <row r="707" spans="1:57" x14ac:dyDescent="0.35">
      <c r="A707" s="66" t="s">
        <v>783</v>
      </c>
      <c r="B707" s="67"/>
      <c r="C707" s="67"/>
      <c r="D707" s="68"/>
      <c r="E707" s="70"/>
      <c r="F707" s="109" t="str">
        <f>HYPERLINK("https://pbs.twimg.com/profile_images/1429474268207742981/qODhKOyF_normal.jpg")</f>
        <v>https://pbs.twimg.com/profile_images/1429474268207742981/qODhKOyF_normal.jpg</v>
      </c>
      <c r="G707" s="67"/>
      <c r="H707" s="71"/>
      <c r="I707" s="72"/>
      <c r="J707" s="72"/>
      <c r="K707" s="71" t="s">
        <v>11450</v>
      </c>
      <c r="L707" s="75"/>
      <c r="M707" s="76"/>
      <c r="N707" s="76"/>
      <c r="O707" s="77"/>
      <c r="P707" s="78"/>
      <c r="Q707" s="78"/>
      <c r="R707" s="92"/>
      <c r="S707" s="92"/>
      <c r="T707" s="92"/>
      <c r="U707" s="92"/>
      <c r="V707" s="52"/>
      <c r="W707" s="52"/>
      <c r="X707" s="52"/>
      <c r="Y707" s="52"/>
      <c r="Z707" s="51"/>
      <c r="AA707" s="73"/>
      <c r="AB707" s="73"/>
      <c r="AC707" s="74"/>
      <c r="AD707" s="80" t="s">
        <v>7280</v>
      </c>
      <c r="AE707" s="85" t="s">
        <v>8467</v>
      </c>
      <c r="AF707" s="80">
        <v>284</v>
      </c>
      <c r="AG707" s="80">
        <v>376</v>
      </c>
      <c r="AH707" s="80">
        <v>22549</v>
      </c>
      <c r="AI707" s="80">
        <v>7358</v>
      </c>
      <c r="AJ707" s="80"/>
      <c r="AK707" s="80" t="s">
        <v>9588</v>
      </c>
      <c r="AL707" s="80" t="s">
        <v>10476</v>
      </c>
      <c r="AM707" s="80"/>
      <c r="AN707" s="80"/>
      <c r="AO707" s="82">
        <v>40896.995219907411</v>
      </c>
      <c r="AP707" s="87" t="str">
        <f>HYPERLINK("https://pbs.twimg.com/profile_banners/441317743/1630205644")</f>
        <v>https://pbs.twimg.com/profile_banners/441317743/1630205644</v>
      </c>
      <c r="AQ707" s="80" t="b">
        <v>0</v>
      </c>
      <c r="AR707" s="80" t="b">
        <v>0</v>
      </c>
      <c r="AS707" s="80" t="b">
        <v>1</v>
      </c>
      <c r="AT707" s="80"/>
      <c r="AU707" s="80">
        <v>1</v>
      </c>
      <c r="AV707" s="87" t="str">
        <f>HYPERLINK("https://abs.twimg.com/images/themes/theme19/bg.gif")</f>
        <v>https://abs.twimg.com/images/themes/theme19/bg.gif</v>
      </c>
      <c r="AW707" s="80" t="b">
        <v>0</v>
      </c>
      <c r="AX707" s="80" t="s">
        <v>10746</v>
      </c>
      <c r="AY707" s="87" t="str">
        <f>HYPERLINK("https://twitter.com/floraisonvie")</f>
        <v>https://twitter.com/floraisonvie</v>
      </c>
      <c r="AZ707" s="80" t="s">
        <v>66</v>
      </c>
      <c r="BA707" s="2"/>
      <c r="BB707" s="3"/>
      <c r="BC707" s="3"/>
      <c r="BD707" s="3"/>
      <c r="BE707" s="3"/>
    </row>
    <row r="708" spans="1:57" x14ac:dyDescent="0.35">
      <c r="A708" s="66" t="s">
        <v>1397</v>
      </c>
      <c r="B708" s="67"/>
      <c r="C708" s="67"/>
      <c r="D708" s="68"/>
      <c r="E708" s="70"/>
      <c r="F708" s="109" t="str">
        <f>HYPERLINK("https://pbs.twimg.com/profile_images/1434786964574642177/JV7Txb8P_normal.jpg")</f>
        <v>https://pbs.twimg.com/profile_images/1434786964574642177/JV7Txb8P_normal.jpg</v>
      </c>
      <c r="G708" s="67"/>
      <c r="H708" s="71"/>
      <c r="I708" s="72"/>
      <c r="J708" s="72"/>
      <c r="K708" s="71" t="s">
        <v>11451</v>
      </c>
      <c r="L708" s="75"/>
      <c r="M708" s="76"/>
      <c r="N708" s="76"/>
      <c r="O708" s="77"/>
      <c r="P708" s="78"/>
      <c r="Q708" s="78"/>
      <c r="R708" s="92"/>
      <c r="S708" s="92"/>
      <c r="T708" s="92"/>
      <c r="U708" s="92"/>
      <c r="V708" s="52"/>
      <c r="W708" s="52"/>
      <c r="X708" s="52"/>
      <c r="Y708" s="52"/>
      <c r="Z708" s="51"/>
      <c r="AA708" s="73"/>
      <c r="AB708" s="73"/>
      <c r="AC708" s="74"/>
      <c r="AD708" s="80" t="s">
        <v>7281</v>
      </c>
      <c r="AE708" s="85" t="s">
        <v>6348</v>
      </c>
      <c r="AF708" s="80">
        <v>728</v>
      </c>
      <c r="AG708" s="80">
        <v>1117</v>
      </c>
      <c r="AH708" s="80">
        <v>51083</v>
      </c>
      <c r="AI708" s="80">
        <v>48106</v>
      </c>
      <c r="AJ708" s="80"/>
      <c r="AK708" s="80" t="s">
        <v>9589</v>
      </c>
      <c r="AL708" s="80" t="s">
        <v>10477</v>
      </c>
      <c r="AM708" s="87" t="str">
        <f>HYPERLINK("https://t.co/V87Gi4m6Io")</f>
        <v>https://t.co/V87Gi4m6Io</v>
      </c>
      <c r="AN708" s="80"/>
      <c r="AO708" s="82">
        <v>44084.032453703701</v>
      </c>
      <c r="AP708" s="87" t="str">
        <f>HYPERLINK("https://pbs.twimg.com/profile_banners/1303857367176495105/1630848724")</f>
        <v>https://pbs.twimg.com/profile_banners/1303857367176495105/1630848724</v>
      </c>
      <c r="AQ708" s="80" t="b">
        <v>1</v>
      </c>
      <c r="AR708" s="80" t="b">
        <v>0</v>
      </c>
      <c r="AS708" s="80" t="b">
        <v>0</v>
      </c>
      <c r="AT708" s="80"/>
      <c r="AU708" s="80">
        <v>2</v>
      </c>
      <c r="AV708" s="80"/>
      <c r="AW708" s="80" t="b">
        <v>0</v>
      </c>
      <c r="AX708" s="80" t="s">
        <v>10746</v>
      </c>
      <c r="AY708" s="87" t="str">
        <f>HYPERLINK("https://twitter.com/ghastpiracy")</f>
        <v>https://twitter.com/ghastpiracy</v>
      </c>
      <c r="AZ708" s="80" t="s">
        <v>65</v>
      </c>
      <c r="BA708" s="2"/>
      <c r="BB708" s="3"/>
      <c r="BC708" s="3"/>
      <c r="BD708" s="3"/>
      <c r="BE708" s="3"/>
    </row>
    <row r="709" spans="1:57" x14ac:dyDescent="0.35">
      <c r="A709" s="66" t="s">
        <v>784</v>
      </c>
      <c r="B709" s="67"/>
      <c r="C709" s="67"/>
      <c r="D709" s="68"/>
      <c r="E709" s="70"/>
      <c r="F709" s="109" t="str">
        <f>HYPERLINK("https://pbs.twimg.com/profile_images/1347477892075196416/p7jZrHBn_normal.jpg")</f>
        <v>https://pbs.twimg.com/profile_images/1347477892075196416/p7jZrHBn_normal.jpg</v>
      </c>
      <c r="G709" s="67"/>
      <c r="H709" s="71"/>
      <c r="I709" s="72"/>
      <c r="J709" s="72"/>
      <c r="K709" s="71" t="s">
        <v>11452</v>
      </c>
      <c r="L709" s="75"/>
      <c r="M709" s="76"/>
      <c r="N709" s="76"/>
      <c r="O709" s="77"/>
      <c r="P709" s="78"/>
      <c r="Q709" s="78"/>
      <c r="R709" s="92"/>
      <c r="S709" s="92"/>
      <c r="T709" s="92"/>
      <c r="U709" s="92"/>
      <c r="V709" s="52"/>
      <c r="W709" s="52"/>
      <c r="X709" s="52"/>
      <c r="Y709" s="52"/>
      <c r="Z709" s="51"/>
      <c r="AA709" s="73"/>
      <c r="AB709" s="73"/>
      <c r="AC709" s="74"/>
      <c r="AD709" s="80" t="s">
        <v>7282</v>
      </c>
      <c r="AE709" s="85" t="s">
        <v>8468</v>
      </c>
      <c r="AF709" s="80">
        <v>8</v>
      </c>
      <c r="AG709" s="80">
        <v>1254</v>
      </c>
      <c r="AH709" s="80">
        <v>3041</v>
      </c>
      <c r="AI709" s="80">
        <v>11</v>
      </c>
      <c r="AJ709" s="80"/>
      <c r="AK709" s="80" t="s">
        <v>9590</v>
      </c>
      <c r="AL709" s="80"/>
      <c r="AM709" s="87" t="str">
        <f>HYPERLINK("https://t.co/q6899ymmHN")</f>
        <v>https://t.co/q6899ymmHN</v>
      </c>
      <c r="AN709" s="80"/>
      <c r="AO709" s="82">
        <v>44204.401585648149</v>
      </c>
      <c r="AP709" s="87" t="str">
        <f>HYPERLINK("https://pbs.twimg.com/profile_banners/1347477636058996737/1610099182")</f>
        <v>https://pbs.twimg.com/profile_banners/1347477636058996737/1610099182</v>
      </c>
      <c r="AQ709" s="80" t="b">
        <v>1</v>
      </c>
      <c r="AR709" s="80" t="b">
        <v>0</v>
      </c>
      <c r="AS709" s="80" t="b">
        <v>0</v>
      </c>
      <c r="AT709" s="80"/>
      <c r="AU709" s="80">
        <v>3</v>
      </c>
      <c r="AV709" s="80"/>
      <c r="AW709" s="80" t="b">
        <v>0</v>
      </c>
      <c r="AX709" s="80" t="s">
        <v>10746</v>
      </c>
      <c r="AY709" s="87" t="str">
        <f>HYPERLINK("https://twitter.com/pasartheboyz")</f>
        <v>https://twitter.com/pasartheboyz</v>
      </c>
      <c r="AZ709" s="80" t="s">
        <v>66</v>
      </c>
      <c r="BA709" s="2"/>
      <c r="BB709" s="3"/>
      <c r="BC709" s="3"/>
      <c r="BD709" s="3"/>
      <c r="BE709" s="3"/>
    </row>
    <row r="710" spans="1:57" x14ac:dyDescent="0.35">
      <c r="A710" s="66" t="s">
        <v>785</v>
      </c>
      <c r="B710" s="67"/>
      <c r="C710" s="67"/>
      <c r="D710" s="68"/>
      <c r="E710" s="70"/>
      <c r="F710" s="109" t="str">
        <f>HYPERLINK("https://pbs.twimg.com/profile_images/1321548073516986369/LR76zNyN_normal.png")</f>
        <v>https://pbs.twimg.com/profile_images/1321548073516986369/LR76zNyN_normal.png</v>
      </c>
      <c r="G710" s="67"/>
      <c r="H710" s="71"/>
      <c r="I710" s="72"/>
      <c r="J710" s="72"/>
      <c r="K710" s="71" t="s">
        <v>11453</v>
      </c>
      <c r="L710" s="75"/>
      <c r="M710" s="76"/>
      <c r="N710" s="76"/>
      <c r="O710" s="77"/>
      <c r="P710" s="78"/>
      <c r="Q710" s="78"/>
      <c r="R710" s="92"/>
      <c r="S710" s="92"/>
      <c r="T710" s="92"/>
      <c r="U710" s="92"/>
      <c r="V710" s="52"/>
      <c r="W710" s="52"/>
      <c r="X710" s="52"/>
      <c r="Y710" s="52"/>
      <c r="Z710" s="51"/>
      <c r="AA710" s="73"/>
      <c r="AB710" s="73"/>
      <c r="AC710" s="74"/>
      <c r="AD710" s="80" t="s">
        <v>7283</v>
      </c>
      <c r="AE710" s="85" t="s">
        <v>8469</v>
      </c>
      <c r="AF710" s="80">
        <v>0</v>
      </c>
      <c r="AG710" s="80">
        <v>259</v>
      </c>
      <c r="AH710" s="80">
        <v>437</v>
      </c>
      <c r="AI710" s="80">
        <v>393</v>
      </c>
      <c r="AJ710" s="80"/>
      <c r="AK710" s="80" t="s">
        <v>9591</v>
      </c>
      <c r="AL710" s="80"/>
      <c r="AM710" s="80"/>
      <c r="AN710" s="80"/>
      <c r="AO710" s="82">
        <v>44132.845393518517</v>
      </c>
      <c r="AP710" s="87" t="str">
        <f>HYPERLINK("https://pbs.twimg.com/profile_banners/1321546572442726400/1603916597")</f>
        <v>https://pbs.twimg.com/profile_banners/1321546572442726400/1603916597</v>
      </c>
      <c r="AQ710" s="80" t="b">
        <v>1</v>
      </c>
      <c r="AR710" s="80" t="b">
        <v>0</v>
      </c>
      <c r="AS710" s="80" t="b">
        <v>0</v>
      </c>
      <c r="AT710" s="80"/>
      <c r="AU710" s="80">
        <v>0</v>
      </c>
      <c r="AV710" s="80"/>
      <c r="AW710" s="80" t="b">
        <v>0</v>
      </c>
      <c r="AX710" s="80" t="s">
        <v>10746</v>
      </c>
      <c r="AY710" s="87" t="str">
        <f>HYPERLINK("https://twitter.com/gudangloker_com")</f>
        <v>https://twitter.com/gudangloker_com</v>
      </c>
      <c r="AZ710" s="80" t="s">
        <v>66</v>
      </c>
      <c r="BA710" s="2"/>
      <c r="BB710" s="3"/>
      <c r="BC710" s="3"/>
      <c r="BD710" s="3"/>
      <c r="BE710" s="3"/>
    </row>
    <row r="711" spans="1:57" x14ac:dyDescent="0.35">
      <c r="A711" s="66" t="s">
        <v>786</v>
      </c>
      <c r="B711" s="67"/>
      <c r="C711" s="67"/>
      <c r="D711" s="68"/>
      <c r="E711" s="70"/>
      <c r="F711" s="109" t="str">
        <f>HYPERLINK("https://pbs.twimg.com/profile_images/1440260568397463553/rMvuR8dG_normal.jpg")</f>
        <v>https://pbs.twimg.com/profile_images/1440260568397463553/rMvuR8dG_normal.jpg</v>
      </c>
      <c r="G711" s="67"/>
      <c r="H711" s="71"/>
      <c r="I711" s="72"/>
      <c r="J711" s="72"/>
      <c r="K711" s="71" t="s">
        <v>11454</v>
      </c>
      <c r="L711" s="75"/>
      <c r="M711" s="76"/>
      <c r="N711" s="76"/>
      <c r="O711" s="77"/>
      <c r="P711" s="78"/>
      <c r="Q711" s="78"/>
      <c r="R711" s="92"/>
      <c r="S711" s="92"/>
      <c r="T711" s="92"/>
      <c r="U711" s="92"/>
      <c r="V711" s="52"/>
      <c r="W711" s="52"/>
      <c r="X711" s="52"/>
      <c r="Y711" s="52"/>
      <c r="Z711" s="51"/>
      <c r="AA711" s="73"/>
      <c r="AB711" s="73"/>
      <c r="AC711" s="74"/>
      <c r="AD711" s="80" t="s">
        <v>7284</v>
      </c>
      <c r="AE711" s="85" t="s">
        <v>8470</v>
      </c>
      <c r="AF711" s="80">
        <v>1084</v>
      </c>
      <c r="AG711" s="80">
        <v>2107</v>
      </c>
      <c r="AH711" s="80">
        <v>66303</v>
      </c>
      <c r="AI711" s="80">
        <v>49427</v>
      </c>
      <c r="AJ711" s="80"/>
      <c r="AK711" s="80" t="s">
        <v>9592</v>
      </c>
      <c r="AL711" s="80" t="s">
        <v>10478</v>
      </c>
      <c r="AM711" s="80"/>
      <c r="AN711" s="80"/>
      <c r="AO711" s="82">
        <v>40580.573495370372</v>
      </c>
      <c r="AP711" s="87" t="str">
        <f>HYPERLINK("https://pbs.twimg.com/profile_banners/248202568/1619146803")</f>
        <v>https://pbs.twimg.com/profile_banners/248202568/1619146803</v>
      </c>
      <c r="AQ711" s="80" t="b">
        <v>0</v>
      </c>
      <c r="AR711" s="80" t="b">
        <v>0</v>
      </c>
      <c r="AS711" s="80" t="b">
        <v>1</v>
      </c>
      <c r="AT711" s="80"/>
      <c r="AU711" s="80">
        <v>3</v>
      </c>
      <c r="AV711" s="87" t="str">
        <f>HYPERLINK("https://abs.twimg.com/images/themes/theme1/bg.png")</f>
        <v>https://abs.twimg.com/images/themes/theme1/bg.png</v>
      </c>
      <c r="AW711" s="80" t="b">
        <v>0</v>
      </c>
      <c r="AX711" s="80" t="s">
        <v>10746</v>
      </c>
      <c r="AY711" s="87" t="str">
        <f>HYPERLINK("https://twitter.com/_n0t4lfiaccount")</f>
        <v>https://twitter.com/_n0t4lfiaccount</v>
      </c>
      <c r="AZ711" s="80" t="s">
        <v>66</v>
      </c>
      <c r="BA711" s="2"/>
      <c r="BB711" s="3"/>
      <c r="BC711" s="3"/>
      <c r="BD711" s="3"/>
      <c r="BE711" s="3"/>
    </row>
    <row r="712" spans="1:57" x14ac:dyDescent="0.35">
      <c r="A712" s="66" t="s">
        <v>1398</v>
      </c>
      <c r="B712" s="67"/>
      <c r="C712" s="67"/>
      <c r="D712" s="68"/>
      <c r="E712" s="70"/>
      <c r="F712" s="109" t="str">
        <f>HYPERLINK("https://pbs.twimg.com/profile_images/1365382529654554625/owyvVQ2v_normal.jpg")</f>
        <v>https://pbs.twimg.com/profile_images/1365382529654554625/owyvVQ2v_normal.jpg</v>
      </c>
      <c r="G712" s="67"/>
      <c r="H712" s="71"/>
      <c r="I712" s="72"/>
      <c r="J712" s="72"/>
      <c r="K712" s="71" t="s">
        <v>11455</v>
      </c>
      <c r="L712" s="75"/>
      <c r="M712" s="76"/>
      <c r="N712" s="76"/>
      <c r="O712" s="77"/>
      <c r="P712" s="78"/>
      <c r="Q712" s="78"/>
      <c r="R712" s="92"/>
      <c r="S712" s="92"/>
      <c r="T712" s="92"/>
      <c r="U712" s="92"/>
      <c r="V712" s="52"/>
      <c r="W712" s="52"/>
      <c r="X712" s="52"/>
      <c r="Y712" s="52"/>
      <c r="Z712" s="51"/>
      <c r="AA712" s="73"/>
      <c r="AB712" s="73"/>
      <c r="AC712" s="74"/>
      <c r="AD712" s="80" t="s">
        <v>7285</v>
      </c>
      <c r="AE712" s="85" t="s">
        <v>6349</v>
      </c>
      <c r="AF712" s="80">
        <v>574</v>
      </c>
      <c r="AG712" s="80">
        <v>585</v>
      </c>
      <c r="AH712" s="80">
        <v>26358</v>
      </c>
      <c r="AI712" s="80">
        <v>6264</v>
      </c>
      <c r="AJ712" s="80"/>
      <c r="AK712" s="80" t="s">
        <v>9593</v>
      </c>
      <c r="AL712" s="80" t="s">
        <v>10479</v>
      </c>
      <c r="AM712" s="80"/>
      <c r="AN712" s="80"/>
      <c r="AO712" s="82">
        <v>40427.333773148152</v>
      </c>
      <c r="AP712" s="87" t="str">
        <f>HYPERLINK("https://pbs.twimg.com/profile_banners/187453050/1583257606")</f>
        <v>https://pbs.twimg.com/profile_banners/187453050/1583257606</v>
      </c>
      <c r="AQ712" s="80" t="b">
        <v>0</v>
      </c>
      <c r="AR712" s="80" t="b">
        <v>0</v>
      </c>
      <c r="AS712" s="80" t="b">
        <v>1</v>
      </c>
      <c r="AT712" s="80"/>
      <c r="AU712" s="80">
        <v>2</v>
      </c>
      <c r="AV712" s="87" t="str">
        <f>HYPERLINK("https://abs.twimg.com/images/themes/theme13/bg.gif")</f>
        <v>https://abs.twimg.com/images/themes/theme13/bg.gif</v>
      </c>
      <c r="AW712" s="80" t="b">
        <v>0</v>
      </c>
      <c r="AX712" s="80" t="s">
        <v>10746</v>
      </c>
      <c r="AY712" s="87" t="str">
        <f>HYPERLINK("https://twitter.com/melissaarfa")</f>
        <v>https://twitter.com/melissaarfa</v>
      </c>
      <c r="AZ712" s="80" t="s">
        <v>65</v>
      </c>
      <c r="BA712" s="2"/>
      <c r="BB712" s="3"/>
      <c r="BC712" s="3"/>
      <c r="BD712" s="3"/>
      <c r="BE712" s="3"/>
    </row>
    <row r="713" spans="1:57" x14ac:dyDescent="0.35">
      <c r="A713" s="66" t="s">
        <v>787</v>
      </c>
      <c r="B713" s="67"/>
      <c r="C713" s="67"/>
      <c r="D713" s="68"/>
      <c r="E713" s="70"/>
      <c r="F713" s="109" t="str">
        <f>HYPERLINK("https://pbs.twimg.com/profile_images/1301215673914327040/xgAaFG1f_normal.jpg")</f>
        <v>https://pbs.twimg.com/profile_images/1301215673914327040/xgAaFG1f_normal.jpg</v>
      </c>
      <c r="G713" s="67"/>
      <c r="H713" s="71"/>
      <c r="I713" s="72"/>
      <c r="J713" s="72"/>
      <c r="K713" s="71" t="s">
        <v>11456</v>
      </c>
      <c r="L713" s="75"/>
      <c r="M713" s="76"/>
      <c r="N713" s="76"/>
      <c r="O713" s="77"/>
      <c r="P713" s="78"/>
      <c r="Q713" s="78"/>
      <c r="R713" s="92"/>
      <c r="S713" s="92"/>
      <c r="T713" s="92"/>
      <c r="U713" s="92"/>
      <c r="V713" s="52"/>
      <c r="W713" s="52"/>
      <c r="X713" s="52"/>
      <c r="Y713" s="52"/>
      <c r="Z713" s="51"/>
      <c r="AA713" s="73"/>
      <c r="AB713" s="73"/>
      <c r="AC713" s="74"/>
      <c r="AD713" s="80" t="s">
        <v>7286</v>
      </c>
      <c r="AE713" s="85" t="s">
        <v>8471</v>
      </c>
      <c r="AF713" s="80">
        <v>0</v>
      </c>
      <c r="AG713" s="80">
        <v>110</v>
      </c>
      <c r="AH713" s="80">
        <v>2393</v>
      </c>
      <c r="AI713" s="80">
        <v>0</v>
      </c>
      <c r="AJ713" s="80"/>
      <c r="AK713" s="80" t="s">
        <v>9594</v>
      </c>
      <c r="AL713" s="80" t="s">
        <v>10139</v>
      </c>
      <c r="AM713" s="87" t="str">
        <f>HYPERLINK("https://t.co/AqheouwzAK")</f>
        <v>https://t.co/AqheouwzAK</v>
      </c>
      <c r="AN713" s="80"/>
      <c r="AO713" s="82">
        <v>44076.742361111108</v>
      </c>
      <c r="AP713" s="80"/>
      <c r="AQ713" s="80" t="b">
        <v>1</v>
      </c>
      <c r="AR713" s="80" t="b">
        <v>0</v>
      </c>
      <c r="AS713" s="80" t="b">
        <v>0</v>
      </c>
      <c r="AT713" s="80"/>
      <c r="AU713" s="80">
        <v>0</v>
      </c>
      <c r="AV713" s="80"/>
      <c r="AW713" s="80" t="b">
        <v>0</v>
      </c>
      <c r="AX713" s="80" t="s">
        <v>10746</v>
      </c>
      <c r="AY713" s="87" t="str">
        <f>HYPERLINK("https://twitter.com/lokernesiaid")</f>
        <v>https://twitter.com/lokernesiaid</v>
      </c>
      <c r="AZ713" s="80" t="s">
        <v>66</v>
      </c>
      <c r="BA713" s="2"/>
      <c r="BB713" s="3"/>
      <c r="BC713" s="3"/>
      <c r="BD713" s="3"/>
      <c r="BE713" s="3"/>
    </row>
    <row r="714" spans="1:57" x14ac:dyDescent="0.35">
      <c r="A714" s="66" t="s">
        <v>788</v>
      </c>
      <c r="B714" s="67"/>
      <c r="C714" s="67"/>
      <c r="D714" s="68"/>
      <c r="E714" s="70"/>
      <c r="F714" s="109" t="str">
        <f>HYPERLINK("https://pbs.twimg.com/profile_images/1432936433539452928/IBaLEnRc_normal.jpg")</f>
        <v>https://pbs.twimg.com/profile_images/1432936433539452928/IBaLEnRc_normal.jpg</v>
      </c>
      <c r="G714" s="67"/>
      <c r="H714" s="71"/>
      <c r="I714" s="72"/>
      <c r="J714" s="72"/>
      <c r="K714" s="71" t="s">
        <v>11457</v>
      </c>
      <c r="L714" s="75"/>
      <c r="M714" s="76"/>
      <c r="N714" s="76"/>
      <c r="O714" s="77"/>
      <c r="P714" s="78"/>
      <c r="Q714" s="78"/>
      <c r="R714" s="92"/>
      <c r="S714" s="92"/>
      <c r="T714" s="92"/>
      <c r="U714" s="92"/>
      <c r="V714" s="52"/>
      <c r="W714" s="52"/>
      <c r="X714" s="52"/>
      <c r="Y714" s="52"/>
      <c r="Z714" s="51"/>
      <c r="AA714" s="73"/>
      <c r="AB714" s="73"/>
      <c r="AC714" s="74"/>
      <c r="AD714" s="80" t="s">
        <v>7287</v>
      </c>
      <c r="AE714" s="85" t="s">
        <v>8472</v>
      </c>
      <c r="AF714" s="80">
        <v>894</v>
      </c>
      <c r="AG714" s="80">
        <v>852</v>
      </c>
      <c r="AH714" s="80">
        <v>30653</v>
      </c>
      <c r="AI714" s="80">
        <v>24217</v>
      </c>
      <c r="AJ714" s="80"/>
      <c r="AK714" s="80"/>
      <c r="AL714" s="80" t="s">
        <v>10480</v>
      </c>
      <c r="AM714" s="87" t="str">
        <f>HYPERLINK("https://t.co/PnrleZqi9R")</f>
        <v>https://t.co/PnrleZqi9R</v>
      </c>
      <c r="AN714" s="80"/>
      <c r="AO714" s="82">
        <v>43857.216192129628</v>
      </c>
      <c r="AP714" s="87" t="str">
        <f>HYPERLINK("https://pbs.twimg.com/profile_banners/1221661905158230018/1630457752")</f>
        <v>https://pbs.twimg.com/profile_banners/1221661905158230018/1630457752</v>
      </c>
      <c r="AQ714" s="80" t="b">
        <v>1</v>
      </c>
      <c r="AR714" s="80" t="b">
        <v>0</v>
      </c>
      <c r="AS714" s="80" t="b">
        <v>1</v>
      </c>
      <c r="AT714" s="80"/>
      <c r="AU714" s="80">
        <v>1</v>
      </c>
      <c r="AV714" s="80"/>
      <c r="AW714" s="80" t="b">
        <v>0</v>
      </c>
      <c r="AX714" s="80" t="s">
        <v>10746</v>
      </c>
      <c r="AY714" s="87" t="str">
        <f>HYPERLINK("https://twitter.com/eunhatelkomsel")</f>
        <v>https://twitter.com/eunhatelkomsel</v>
      </c>
      <c r="AZ714" s="80" t="s">
        <v>66</v>
      </c>
      <c r="BA714" s="2"/>
      <c r="BB714" s="3"/>
      <c r="BC714" s="3"/>
      <c r="BD714" s="3"/>
      <c r="BE714" s="3"/>
    </row>
    <row r="715" spans="1:57" x14ac:dyDescent="0.35">
      <c r="A715" s="66" t="s">
        <v>789</v>
      </c>
      <c r="B715" s="67"/>
      <c r="C715" s="67"/>
      <c r="D715" s="68"/>
      <c r="E715" s="70"/>
      <c r="F715" s="109" t="str">
        <f>HYPERLINK("https://pbs.twimg.com/profile_images/1144132838951809026/UsSe9lTl_normal.png")</f>
        <v>https://pbs.twimg.com/profile_images/1144132838951809026/UsSe9lTl_normal.png</v>
      </c>
      <c r="G715" s="67"/>
      <c r="H715" s="71"/>
      <c r="I715" s="72"/>
      <c r="J715" s="72"/>
      <c r="K715" s="71" t="s">
        <v>11458</v>
      </c>
      <c r="L715" s="75"/>
      <c r="M715" s="76"/>
      <c r="N715" s="76"/>
      <c r="O715" s="77"/>
      <c r="P715" s="78"/>
      <c r="Q715" s="78"/>
      <c r="R715" s="92"/>
      <c r="S715" s="92"/>
      <c r="T715" s="92"/>
      <c r="U715" s="92"/>
      <c r="V715" s="52"/>
      <c r="W715" s="52"/>
      <c r="X715" s="52"/>
      <c r="Y715" s="52"/>
      <c r="Z715" s="51"/>
      <c r="AA715" s="73"/>
      <c r="AB715" s="73"/>
      <c r="AC715" s="74"/>
      <c r="AD715" s="80" t="s">
        <v>7288</v>
      </c>
      <c r="AE715" s="85" t="s">
        <v>8473</v>
      </c>
      <c r="AF715" s="80">
        <v>18</v>
      </c>
      <c r="AG715" s="80">
        <v>7955</v>
      </c>
      <c r="AH715" s="80">
        <v>301873</v>
      </c>
      <c r="AI715" s="80">
        <v>1011</v>
      </c>
      <c r="AJ715" s="80"/>
      <c r="AK715" s="80" t="s">
        <v>9595</v>
      </c>
      <c r="AL715" s="80" t="s">
        <v>10159</v>
      </c>
      <c r="AM715" s="87" t="str">
        <f>HYPERLINK("https://t.co/F3Uvvs9E3z")</f>
        <v>https://t.co/F3Uvvs9E3z</v>
      </c>
      <c r="AN715" s="80"/>
      <c r="AO715" s="82">
        <v>42656.534143518518</v>
      </c>
      <c r="AP715" s="87" t="str">
        <f>HYPERLINK("https://pbs.twimg.com/profile_banners/786549338818224128/1632802248")</f>
        <v>https://pbs.twimg.com/profile_banners/786549338818224128/1632802248</v>
      </c>
      <c r="AQ715" s="80" t="b">
        <v>0</v>
      </c>
      <c r="AR715" s="80" t="b">
        <v>0</v>
      </c>
      <c r="AS715" s="80" t="b">
        <v>1</v>
      </c>
      <c r="AT715" s="80"/>
      <c r="AU715" s="80">
        <v>14</v>
      </c>
      <c r="AV715" s="87" t="str">
        <f>HYPERLINK("https://abs.twimg.com/images/themes/theme1/bg.png")</f>
        <v>https://abs.twimg.com/images/themes/theme1/bg.png</v>
      </c>
      <c r="AW715" s="80" t="b">
        <v>0</v>
      </c>
      <c r="AX715" s="80" t="s">
        <v>10746</v>
      </c>
      <c r="AY715" s="87" t="str">
        <f>HYPERLINK("https://twitter.com/akuratco")</f>
        <v>https://twitter.com/akuratco</v>
      </c>
      <c r="AZ715" s="80" t="s">
        <v>66</v>
      </c>
      <c r="BA715" s="2"/>
      <c r="BB715" s="3"/>
      <c r="BC715" s="3"/>
      <c r="BD715" s="3"/>
      <c r="BE715" s="3"/>
    </row>
    <row r="716" spans="1:57" x14ac:dyDescent="0.35">
      <c r="A716" s="66" t="s">
        <v>790</v>
      </c>
      <c r="B716" s="67"/>
      <c r="C716" s="67"/>
      <c r="D716" s="68"/>
      <c r="E716" s="70"/>
      <c r="F716" s="109" t="str">
        <f>HYPERLINK("https://pbs.twimg.com/profile_images/1385480443911303168/SGjWLrsF_normal.jpg")</f>
        <v>https://pbs.twimg.com/profile_images/1385480443911303168/SGjWLrsF_normal.jpg</v>
      </c>
      <c r="G716" s="67"/>
      <c r="H716" s="71"/>
      <c r="I716" s="72"/>
      <c r="J716" s="72"/>
      <c r="K716" s="71" t="s">
        <v>11459</v>
      </c>
      <c r="L716" s="75"/>
      <c r="M716" s="76"/>
      <c r="N716" s="76"/>
      <c r="O716" s="77"/>
      <c r="P716" s="78"/>
      <c r="Q716" s="78"/>
      <c r="R716" s="92"/>
      <c r="S716" s="92"/>
      <c r="T716" s="92"/>
      <c r="U716" s="92"/>
      <c r="V716" s="52"/>
      <c r="W716" s="52"/>
      <c r="X716" s="52"/>
      <c r="Y716" s="52"/>
      <c r="Z716" s="51"/>
      <c r="AA716" s="73"/>
      <c r="AB716" s="73"/>
      <c r="AC716" s="74"/>
      <c r="AD716" s="80" t="s">
        <v>7289</v>
      </c>
      <c r="AE716" s="85" t="s">
        <v>8474</v>
      </c>
      <c r="AF716" s="80">
        <v>98</v>
      </c>
      <c r="AG716" s="80">
        <v>35980</v>
      </c>
      <c r="AH716" s="80">
        <v>1127</v>
      </c>
      <c r="AI716" s="80">
        <v>93</v>
      </c>
      <c r="AJ716" s="80"/>
      <c r="AK716" s="80" t="s">
        <v>9596</v>
      </c>
      <c r="AL716" s="80" t="s">
        <v>6543</v>
      </c>
      <c r="AM716" s="87" t="str">
        <f>HYPERLINK("https://t.co/Sm8upTXjRJ")</f>
        <v>https://t.co/Sm8upTXjRJ</v>
      </c>
      <c r="AN716" s="80"/>
      <c r="AO716" s="82">
        <v>44309.268865740742</v>
      </c>
      <c r="AP716" s="87" t="str">
        <f>HYPERLINK("https://pbs.twimg.com/profile_banners/1385480130068246530/1619159627")</f>
        <v>https://pbs.twimg.com/profile_banners/1385480130068246530/1619159627</v>
      </c>
      <c r="AQ716" s="80" t="b">
        <v>1</v>
      </c>
      <c r="AR716" s="80" t="b">
        <v>0</v>
      </c>
      <c r="AS716" s="80" t="b">
        <v>0</v>
      </c>
      <c r="AT716" s="80"/>
      <c r="AU716" s="80">
        <v>33</v>
      </c>
      <c r="AV716" s="80"/>
      <c r="AW716" s="80" t="b">
        <v>0</v>
      </c>
      <c r="AX716" s="80" t="s">
        <v>10746</v>
      </c>
      <c r="AY716" s="87" t="str">
        <f>HYPERLINK("https://twitter.com/muse_indonesia")</f>
        <v>https://twitter.com/muse_indonesia</v>
      </c>
      <c r="AZ716" s="80" t="s">
        <v>66</v>
      </c>
      <c r="BA716" s="2"/>
      <c r="BB716" s="3"/>
      <c r="BC716" s="3"/>
      <c r="BD716" s="3"/>
      <c r="BE716" s="3"/>
    </row>
    <row r="717" spans="1:57" x14ac:dyDescent="0.35">
      <c r="A717" s="66" t="s">
        <v>791</v>
      </c>
      <c r="B717" s="67"/>
      <c r="C717" s="67"/>
      <c r="D717" s="68"/>
      <c r="E717" s="70"/>
      <c r="F717" s="109" t="str">
        <f>HYPERLINK("https://pbs.twimg.com/profile_images/1441400418081251331/WGMR94Lj_normal.jpg")</f>
        <v>https://pbs.twimg.com/profile_images/1441400418081251331/WGMR94Lj_normal.jpg</v>
      </c>
      <c r="G717" s="67"/>
      <c r="H717" s="71"/>
      <c r="I717" s="72"/>
      <c r="J717" s="72"/>
      <c r="K717" s="71" t="s">
        <v>11460</v>
      </c>
      <c r="L717" s="75"/>
      <c r="M717" s="76"/>
      <c r="N717" s="76"/>
      <c r="O717" s="77"/>
      <c r="P717" s="78"/>
      <c r="Q717" s="78"/>
      <c r="R717" s="92"/>
      <c r="S717" s="92"/>
      <c r="T717" s="92"/>
      <c r="U717" s="92"/>
      <c r="V717" s="52"/>
      <c r="W717" s="52"/>
      <c r="X717" s="52"/>
      <c r="Y717" s="52"/>
      <c r="Z717" s="51"/>
      <c r="AA717" s="73"/>
      <c r="AB717" s="73"/>
      <c r="AC717" s="74"/>
      <c r="AD717" s="80" t="s">
        <v>7290</v>
      </c>
      <c r="AE717" s="85" t="s">
        <v>8475</v>
      </c>
      <c r="AF717" s="80">
        <v>356</v>
      </c>
      <c r="AG717" s="80">
        <v>343</v>
      </c>
      <c r="AH717" s="80">
        <v>2275</v>
      </c>
      <c r="AI717" s="80">
        <v>2130</v>
      </c>
      <c r="AJ717" s="80"/>
      <c r="AK717" s="80" t="s">
        <v>9597</v>
      </c>
      <c r="AL717" s="80" t="s">
        <v>10481</v>
      </c>
      <c r="AM717" s="87" t="str">
        <f>HYPERLINK("https://t.co/AYLKNrZNZY")</f>
        <v>https://t.co/AYLKNrZNZY</v>
      </c>
      <c r="AN717" s="80"/>
      <c r="AO717" s="82">
        <v>44265.712905092594</v>
      </c>
      <c r="AP717" s="87" t="str">
        <f>HYPERLINK("https://pbs.twimg.com/profile_banners/1369696159070003204/1631716820")</f>
        <v>https://pbs.twimg.com/profile_banners/1369696159070003204/1631716820</v>
      </c>
      <c r="AQ717" s="80" t="b">
        <v>1</v>
      </c>
      <c r="AR717" s="80" t="b">
        <v>0</v>
      </c>
      <c r="AS717" s="80" t="b">
        <v>0</v>
      </c>
      <c r="AT717" s="80"/>
      <c r="AU717" s="80">
        <v>1</v>
      </c>
      <c r="AV717" s="80"/>
      <c r="AW717" s="80" t="b">
        <v>0</v>
      </c>
      <c r="AX717" s="80" t="s">
        <v>10746</v>
      </c>
      <c r="AY717" s="87" t="str">
        <f>HYPERLINK("https://twitter.com/sparklingpjh")</f>
        <v>https://twitter.com/sparklingpjh</v>
      </c>
      <c r="AZ717" s="80" t="s">
        <v>66</v>
      </c>
      <c r="BA717" s="2"/>
      <c r="BB717" s="3"/>
      <c r="BC717" s="3"/>
      <c r="BD717" s="3"/>
      <c r="BE717" s="3"/>
    </row>
    <row r="718" spans="1:57" x14ac:dyDescent="0.35">
      <c r="A718" s="66" t="s">
        <v>1399</v>
      </c>
      <c r="B718" s="67"/>
      <c r="C718" s="67"/>
      <c r="D718" s="68"/>
      <c r="E718" s="70"/>
      <c r="F718" s="109" t="str">
        <f>HYPERLINK("https://pbs.twimg.com/profile_images/1441393964976771072/20yN-S-u_normal.jpg")</f>
        <v>https://pbs.twimg.com/profile_images/1441393964976771072/20yN-S-u_normal.jpg</v>
      </c>
      <c r="G718" s="67"/>
      <c r="H718" s="71"/>
      <c r="I718" s="72"/>
      <c r="J718" s="72"/>
      <c r="K718" s="71" t="s">
        <v>11461</v>
      </c>
      <c r="L718" s="75"/>
      <c r="M718" s="76"/>
      <c r="N718" s="76"/>
      <c r="O718" s="77"/>
      <c r="P718" s="78"/>
      <c r="Q718" s="78"/>
      <c r="R718" s="92"/>
      <c r="S718" s="92"/>
      <c r="T718" s="92"/>
      <c r="U718" s="92"/>
      <c r="V718" s="52"/>
      <c r="W718" s="52"/>
      <c r="X718" s="52"/>
      <c r="Y718" s="52"/>
      <c r="Z718" s="51"/>
      <c r="AA718" s="73"/>
      <c r="AB718" s="73"/>
      <c r="AC718" s="74"/>
      <c r="AD718" s="80" t="s">
        <v>7291</v>
      </c>
      <c r="AE718" s="85" t="s">
        <v>6350</v>
      </c>
      <c r="AF718" s="80">
        <v>315</v>
      </c>
      <c r="AG718" s="80">
        <v>223</v>
      </c>
      <c r="AH718" s="80">
        <v>3509</v>
      </c>
      <c r="AI718" s="80">
        <v>1848</v>
      </c>
      <c r="AJ718" s="80"/>
      <c r="AK718" s="80" t="s">
        <v>9598</v>
      </c>
      <c r="AL718" s="80"/>
      <c r="AM718" s="80"/>
      <c r="AN718" s="80"/>
      <c r="AO718" s="82">
        <v>44286.49077546296</v>
      </c>
      <c r="AP718" s="87" t="str">
        <f>HYPERLINK("https://pbs.twimg.com/profile_banners/1377225805030285316/1632490074")</f>
        <v>https://pbs.twimg.com/profile_banners/1377225805030285316/1632490074</v>
      </c>
      <c r="AQ718" s="80" t="b">
        <v>1</v>
      </c>
      <c r="AR718" s="80" t="b">
        <v>0</v>
      </c>
      <c r="AS718" s="80" t="b">
        <v>0</v>
      </c>
      <c r="AT718" s="80"/>
      <c r="AU718" s="80">
        <v>0</v>
      </c>
      <c r="AV718" s="80"/>
      <c r="AW718" s="80" t="b">
        <v>0</v>
      </c>
      <c r="AX718" s="80" t="s">
        <v>10746</v>
      </c>
      <c r="AY718" s="87" t="str">
        <f>HYPERLINK("https://twitter.com/jbudam")</f>
        <v>https://twitter.com/jbudam</v>
      </c>
      <c r="AZ718" s="80" t="s">
        <v>65</v>
      </c>
      <c r="BA718" s="2"/>
      <c r="BB718" s="3"/>
      <c r="BC718" s="3"/>
      <c r="BD718" s="3"/>
      <c r="BE718" s="3"/>
    </row>
    <row r="719" spans="1:57" x14ac:dyDescent="0.35">
      <c r="A719" s="66" t="s">
        <v>792</v>
      </c>
      <c r="B719" s="67"/>
      <c r="C719" s="67"/>
      <c r="D719" s="68"/>
      <c r="E719" s="70"/>
      <c r="F719" s="109" t="str">
        <f>HYPERLINK("https://pbs.twimg.com/profile_images/1372948355576328195/DfczWfzu_normal.jpg")</f>
        <v>https://pbs.twimg.com/profile_images/1372948355576328195/DfczWfzu_normal.jpg</v>
      </c>
      <c r="G719" s="67"/>
      <c r="H719" s="71"/>
      <c r="I719" s="72"/>
      <c r="J719" s="72"/>
      <c r="K719" s="71" t="s">
        <v>11462</v>
      </c>
      <c r="L719" s="75"/>
      <c r="M719" s="76"/>
      <c r="N719" s="76"/>
      <c r="O719" s="77"/>
      <c r="P719" s="78"/>
      <c r="Q719" s="78"/>
      <c r="R719" s="92"/>
      <c r="S719" s="92"/>
      <c r="T719" s="92"/>
      <c r="U719" s="92"/>
      <c r="V719" s="52"/>
      <c r="W719" s="52"/>
      <c r="X719" s="52"/>
      <c r="Y719" s="52"/>
      <c r="Z719" s="51"/>
      <c r="AA719" s="73"/>
      <c r="AB719" s="73"/>
      <c r="AC719" s="74"/>
      <c r="AD719" s="80" t="s">
        <v>7292</v>
      </c>
      <c r="AE719" s="85" t="s">
        <v>8476</v>
      </c>
      <c r="AF719" s="80">
        <v>1187</v>
      </c>
      <c r="AG719" s="80">
        <v>1047</v>
      </c>
      <c r="AH719" s="80">
        <v>30654</v>
      </c>
      <c r="AI719" s="80">
        <v>20436</v>
      </c>
      <c r="AJ719" s="80"/>
      <c r="AK719" s="80" t="s">
        <v>9599</v>
      </c>
      <c r="AL719" s="80" t="s">
        <v>10184</v>
      </c>
      <c r="AM719" s="80"/>
      <c r="AN719" s="80"/>
      <c r="AO719" s="82">
        <v>40982.339675925927</v>
      </c>
      <c r="AP719" s="87" t="str">
        <f>HYPERLINK("https://pbs.twimg.com/profile_banners/524134564/1632223914")</f>
        <v>https://pbs.twimg.com/profile_banners/524134564/1632223914</v>
      </c>
      <c r="AQ719" s="80" t="b">
        <v>0</v>
      </c>
      <c r="AR719" s="80" t="b">
        <v>0</v>
      </c>
      <c r="AS719" s="80" t="b">
        <v>1</v>
      </c>
      <c r="AT719" s="80"/>
      <c r="AU719" s="80">
        <v>2</v>
      </c>
      <c r="AV719" s="87" t="str">
        <f>HYPERLINK("https://abs.twimg.com/images/themes/theme1/bg.png")</f>
        <v>https://abs.twimg.com/images/themes/theme1/bg.png</v>
      </c>
      <c r="AW719" s="80" t="b">
        <v>0</v>
      </c>
      <c r="AX719" s="80" t="s">
        <v>10746</v>
      </c>
      <c r="AY719" s="87" t="str">
        <f>HYPERLINK("https://twitter.com/sendalpupus")</f>
        <v>https://twitter.com/sendalpupus</v>
      </c>
      <c r="AZ719" s="80" t="s">
        <v>66</v>
      </c>
      <c r="BA719" s="2"/>
      <c r="BB719" s="3"/>
      <c r="BC719" s="3"/>
      <c r="BD719" s="3"/>
      <c r="BE719" s="3"/>
    </row>
    <row r="720" spans="1:57" x14ac:dyDescent="0.35">
      <c r="A720" s="66" t="s">
        <v>1400</v>
      </c>
      <c r="B720" s="67"/>
      <c r="C720" s="67"/>
      <c r="D720" s="68"/>
      <c r="E720" s="70"/>
      <c r="F720" s="109" t="str">
        <f>HYPERLINK("https://pbs.twimg.com/profile_images/1361666212481040392/4xcotvTj_normal.jpg")</f>
        <v>https://pbs.twimg.com/profile_images/1361666212481040392/4xcotvTj_normal.jpg</v>
      </c>
      <c r="G720" s="67"/>
      <c r="H720" s="71"/>
      <c r="I720" s="72"/>
      <c r="J720" s="72"/>
      <c r="K720" s="71" t="s">
        <v>11463</v>
      </c>
      <c r="L720" s="75"/>
      <c r="M720" s="76"/>
      <c r="N720" s="76"/>
      <c r="O720" s="77"/>
      <c r="P720" s="78"/>
      <c r="Q720" s="78"/>
      <c r="R720" s="92"/>
      <c r="S720" s="92"/>
      <c r="T720" s="92"/>
      <c r="U720" s="92"/>
      <c r="V720" s="52"/>
      <c r="W720" s="52"/>
      <c r="X720" s="52"/>
      <c r="Y720" s="52"/>
      <c r="Z720" s="51"/>
      <c r="AA720" s="73"/>
      <c r="AB720" s="73"/>
      <c r="AC720" s="74"/>
      <c r="AD720" s="80" t="s">
        <v>7293</v>
      </c>
      <c r="AE720" s="85" t="s">
        <v>6351</v>
      </c>
      <c r="AF720" s="80">
        <v>199</v>
      </c>
      <c r="AG720" s="80">
        <v>205</v>
      </c>
      <c r="AH720" s="80">
        <v>2891</v>
      </c>
      <c r="AI720" s="80">
        <v>2267</v>
      </c>
      <c r="AJ720" s="80"/>
      <c r="AK720" s="80"/>
      <c r="AL720" s="80" t="s">
        <v>10173</v>
      </c>
      <c r="AM720" s="87" t="str">
        <f>HYPERLINK("https://t.co/J9vNfR9AVY")</f>
        <v>https://t.co/J9vNfR9AVY</v>
      </c>
      <c r="AN720" s="80"/>
      <c r="AO720" s="82">
        <v>43446.202743055554</v>
      </c>
      <c r="AP720" s="87" t="str">
        <f>HYPERLINK("https://pbs.twimg.com/profile_banners/1072715655835570176/1622100031")</f>
        <v>https://pbs.twimg.com/profile_banners/1072715655835570176/1622100031</v>
      </c>
      <c r="AQ720" s="80" t="b">
        <v>1</v>
      </c>
      <c r="AR720" s="80" t="b">
        <v>0</v>
      </c>
      <c r="AS720" s="80" t="b">
        <v>1</v>
      </c>
      <c r="AT720" s="80"/>
      <c r="AU720" s="80">
        <v>0</v>
      </c>
      <c r="AV720" s="80"/>
      <c r="AW720" s="80" t="b">
        <v>0</v>
      </c>
      <c r="AX720" s="80" t="s">
        <v>10746</v>
      </c>
      <c r="AY720" s="87" t="str">
        <f>HYPERLINK("https://twitter.com/namakunida")</f>
        <v>https://twitter.com/namakunida</v>
      </c>
      <c r="AZ720" s="80" t="s">
        <v>65</v>
      </c>
      <c r="BA720" s="2"/>
      <c r="BB720" s="3"/>
      <c r="BC720" s="3"/>
      <c r="BD720" s="3"/>
      <c r="BE720" s="3"/>
    </row>
    <row r="721" spans="1:57" x14ac:dyDescent="0.35">
      <c r="A721" s="66" t="s">
        <v>793</v>
      </c>
      <c r="B721" s="67"/>
      <c r="C721" s="67"/>
      <c r="D721" s="68"/>
      <c r="E721" s="70"/>
      <c r="F721" s="109" t="str">
        <f>HYPERLINK("https://pbs.twimg.com/profile_images/1433080538311528453/mEI8ycFo_normal.jpg")</f>
        <v>https://pbs.twimg.com/profile_images/1433080538311528453/mEI8ycFo_normal.jpg</v>
      </c>
      <c r="G721" s="67"/>
      <c r="H721" s="71"/>
      <c r="I721" s="72"/>
      <c r="J721" s="72"/>
      <c r="K721" s="71" t="s">
        <v>11464</v>
      </c>
      <c r="L721" s="75"/>
      <c r="M721" s="76"/>
      <c r="N721" s="76"/>
      <c r="O721" s="77"/>
      <c r="P721" s="78"/>
      <c r="Q721" s="78"/>
      <c r="R721" s="92"/>
      <c r="S721" s="92"/>
      <c r="T721" s="92"/>
      <c r="U721" s="92"/>
      <c r="V721" s="52"/>
      <c r="W721" s="52"/>
      <c r="X721" s="52"/>
      <c r="Y721" s="52"/>
      <c r="Z721" s="51"/>
      <c r="AA721" s="73"/>
      <c r="AB721" s="73"/>
      <c r="AC721" s="74"/>
      <c r="AD721" s="80" t="s">
        <v>7294</v>
      </c>
      <c r="AE721" s="85" t="s">
        <v>8477</v>
      </c>
      <c r="AF721" s="80">
        <v>451</v>
      </c>
      <c r="AG721" s="80">
        <v>559</v>
      </c>
      <c r="AH721" s="80">
        <v>77634</v>
      </c>
      <c r="AI721" s="80">
        <v>24246</v>
      </c>
      <c r="AJ721" s="80"/>
      <c r="AK721" s="80" t="s">
        <v>9600</v>
      </c>
      <c r="AL721" s="80" t="s">
        <v>10482</v>
      </c>
      <c r="AM721" s="80"/>
      <c r="AN721" s="80"/>
      <c r="AO721" s="82">
        <v>41114.562141203707</v>
      </c>
      <c r="AP721" s="87" t="str">
        <f>HYPERLINK("https://pbs.twimg.com/profile_banners/714291518/1629269436")</f>
        <v>https://pbs.twimg.com/profile_banners/714291518/1629269436</v>
      </c>
      <c r="AQ721" s="80" t="b">
        <v>0</v>
      </c>
      <c r="AR721" s="80" t="b">
        <v>0</v>
      </c>
      <c r="AS721" s="80" t="b">
        <v>1</v>
      </c>
      <c r="AT721" s="80"/>
      <c r="AU721" s="80">
        <v>2</v>
      </c>
      <c r="AV721" s="87" t="str">
        <f>HYPERLINK("https://abs.twimg.com/images/themes/theme11/bg.gif")</f>
        <v>https://abs.twimg.com/images/themes/theme11/bg.gif</v>
      </c>
      <c r="AW721" s="80" t="b">
        <v>0</v>
      </c>
      <c r="AX721" s="80" t="s">
        <v>10746</v>
      </c>
      <c r="AY721" s="87" t="str">
        <f>HYPERLINK("https://twitter.com/smootieskies")</f>
        <v>https://twitter.com/smootieskies</v>
      </c>
      <c r="AZ721" s="80" t="s">
        <v>66</v>
      </c>
      <c r="BA721" s="2"/>
      <c r="BB721" s="3"/>
      <c r="BC721" s="3"/>
      <c r="BD721" s="3"/>
      <c r="BE721" s="3"/>
    </row>
    <row r="722" spans="1:57" x14ac:dyDescent="0.35">
      <c r="A722" s="66" t="s">
        <v>794</v>
      </c>
      <c r="B722" s="67"/>
      <c r="C722" s="67"/>
      <c r="D722" s="68"/>
      <c r="E722" s="70"/>
      <c r="F722" s="109" t="str">
        <f>HYPERLINK("https://pbs.twimg.com/profile_images/521783012321529857/jxYnIjmW_normal.jpeg")</f>
        <v>https://pbs.twimg.com/profile_images/521783012321529857/jxYnIjmW_normal.jpeg</v>
      </c>
      <c r="G722" s="67"/>
      <c r="H722" s="71"/>
      <c r="I722" s="72"/>
      <c r="J722" s="72"/>
      <c r="K722" s="71" t="s">
        <v>11465</v>
      </c>
      <c r="L722" s="75"/>
      <c r="M722" s="76"/>
      <c r="N722" s="76"/>
      <c r="O722" s="77"/>
      <c r="P722" s="78"/>
      <c r="Q722" s="78"/>
      <c r="R722" s="92"/>
      <c r="S722" s="92"/>
      <c r="T722" s="92"/>
      <c r="U722" s="92"/>
      <c r="V722" s="52"/>
      <c r="W722" s="52"/>
      <c r="X722" s="52"/>
      <c r="Y722" s="52"/>
      <c r="Z722" s="51"/>
      <c r="AA722" s="73"/>
      <c r="AB722" s="73"/>
      <c r="AC722" s="74"/>
      <c r="AD722" s="80" t="s">
        <v>7295</v>
      </c>
      <c r="AE722" s="85" t="s">
        <v>8478</v>
      </c>
      <c r="AF722" s="80">
        <v>1</v>
      </c>
      <c r="AG722" s="80">
        <v>3685</v>
      </c>
      <c r="AH722" s="80">
        <v>237342</v>
      </c>
      <c r="AI722" s="80">
        <v>5</v>
      </c>
      <c r="AJ722" s="80"/>
      <c r="AK722" s="80" t="s">
        <v>9601</v>
      </c>
      <c r="AL722" s="80" t="s">
        <v>10483</v>
      </c>
      <c r="AM722" s="87" t="str">
        <f>HYPERLINK("http://t.co/oyBVRUnmRK")</f>
        <v>http://t.co/oyBVRUnmRK</v>
      </c>
      <c r="AN722" s="80"/>
      <c r="AO722" s="82">
        <v>41186.514479166668</v>
      </c>
      <c r="AP722" s="87" t="str">
        <f>HYPERLINK("https://pbs.twimg.com/profile_banners/861305918/1413237767")</f>
        <v>https://pbs.twimg.com/profile_banners/861305918/1413237767</v>
      </c>
      <c r="AQ722" s="80" t="b">
        <v>0</v>
      </c>
      <c r="AR722" s="80" t="b">
        <v>0</v>
      </c>
      <c r="AS722" s="80" t="b">
        <v>0</v>
      </c>
      <c r="AT722" s="80"/>
      <c r="AU722" s="80">
        <v>64</v>
      </c>
      <c r="AV722" s="87" t="str">
        <f>HYPERLINK("https://abs.twimg.com/images/themes/theme1/bg.png")</f>
        <v>https://abs.twimg.com/images/themes/theme1/bg.png</v>
      </c>
      <c r="AW722" s="80" t="b">
        <v>0</v>
      </c>
      <c r="AX722" s="80" t="s">
        <v>10746</v>
      </c>
      <c r="AY722" s="87" t="str">
        <f>HYPERLINK("https://twitter.com/mitraloker")</f>
        <v>https://twitter.com/mitraloker</v>
      </c>
      <c r="AZ722" s="80" t="s">
        <v>66</v>
      </c>
      <c r="BA722" s="2"/>
      <c r="BB722" s="3"/>
      <c r="BC722" s="3"/>
      <c r="BD722" s="3"/>
      <c r="BE722" s="3"/>
    </row>
    <row r="723" spans="1:57" x14ac:dyDescent="0.35">
      <c r="A723" s="66" t="s">
        <v>795</v>
      </c>
      <c r="B723" s="67"/>
      <c r="C723" s="67"/>
      <c r="D723" s="68"/>
      <c r="E723" s="70"/>
      <c r="F723" s="109" t="str">
        <f>HYPERLINK("https://pbs.twimg.com/profile_images/1406551823230541826/qNMPRivD_normal.jpg")</f>
        <v>https://pbs.twimg.com/profile_images/1406551823230541826/qNMPRivD_normal.jpg</v>
      </c>
      <c r="G723" s="67"/>
      <c r="H723" s="71"/>
      <c r="I723" s="72"/>
      <c r="J723" s="72"/>
      <c r="K723" s="71" t="s">
        <v>11466</v>
      </c>
      <c r="L723" s="75"/>
      <c r="M723" s="76"/>
      <c r="N723" s="76"/>
      <c r="O723" s="77"/>
      <c r="P723" s="78"/>
      <c r="Q723" s="78"/>
      <c r="R723" s="92"/>
      <c r="S723" s="92"/>
      <c r="T723" s="92"/>
      <c r="U723" s="92"/>
      <c r="V723" s="52"/>
      <c r="W723" s="52"/>
      <c r="X723" s="52"/>
      <c r="Y723" s="52"/>
      <c r="Z723" s="51"/>
      <c r="AA723" s="73"/>
      <c r="AB723" s="73"/>
      <c r="AC723" s="74"/>
      <c r="AD723" s="80" t="s">
        <v>7296</v>
      </c>
      <c r="AE723" s="85" t="s">
        <v>8479</v>
      </c>
      <c r="AF723" s="80">
        <v>195</v>
      </c>
      <c r="AG723" s="80">
        <v>195</v>
      </c>
      <c r="AH723" s="80">
        <v>64542</v>
      </c>
      <c r="AI723" s="80">
        <v>145850</v>
      </c>
      <c r="AJ723" s="80"/>
      <c r="AK723" s="80" t="s">
        <v>9602</v>
      </c>
      <c r="AL723" s="80"/>
      <c r="AM723" s="80"/>
      <c r="AN723" s="80"/>
      <c r="AO723" s="82">
        <v>41248.325150462966</v>
      </c>
      <c r="AP723" s="87" t="str">
        <f>HYPERLINK("https://pbs.twimg.com/profile_banners/990439075/1563953251")</f>
        <v>https://pbs.twimg.com/profile_banners/990439075/1563953251</v>
      </c>
      <c r="AQ723" s="80" t="b">
        <v>0</v>
      </c>
      <c r="AR723" s="80" t="b">
        <v>0</v>
      </c>
      <c r="AS723" s="80" t="b">
        <v>0</v>
      </c>
      <c r="AT723" s="80"/>
      <c r="AU723" s="80">
        <v>1</v>
      </c>
      <c r="AV723" s="87" t="str">
        <f>HYPERLINK("https://abs.twimg.com/images/themes/theme11/bg.gif")</f>
        <v>https://abs.twimg.com/images/themes/theme11/bg.gif</v>
      </c>
      <c r="AW723" s="80" t="b">
        <v>0</v>
      </c>
      <c r="AX723" s="80" t="s">
        <v>10746</v>
      </c>
      <c r="AY723" s="87" t="str">
        <f>HYPERLINK("https://twitter.com/_44ngel_")</f>
        <v>https://twitter.com/_44ngel_</v>
      </c>
      <c r="AZ723" s="80" t="s">
        <v>66</v>
      </c>
      <c r="BA723" s="2"/>
      <c r="BB723" s="3"/>
      <c r="BC723" s="3"/>
      <c r="BD723" s="3"/>
      <c r="BE723" s="3"/>
    </row>
    <row r="724" spans="1:57" x14ac:dyDescent="0.35">
      <c r="A724" s="66" t="s">
        <v>796</v>
      </c>
      <c r="B724" s="67"/>
      <c r="C724" s="67"/>
      <c r="D724" s="68"/>
      <c r="E724" s="70"/>
      <c r="F724" s="109" t="str">
        <f>HYPERLINK("https://pbs.twimg.com/profile_images/461691104329359360/Y5j2ASJP_normal.jpeg")</f>
        <v>https://pbs.twimg.com/profile_images/461691104329359360/Y5j2ASJP_normal.jpeg</v>
      </c>
      <c r="G724" s="67"/>
      <c r="H724" s="71"/>
      <c r="I724" s="72"/>
      <c r="J724" s="72"/>
      <c r="K724" s="71" t="s">
        <v>11467</v>
      </c>
      <c r="L724" s="75"/>
      <c r="M724" s="76"/>
      <c r="N724" s="76"/>
      <c r="O724" s="77"/>
      <c r="P724" s="78"/>
      <c r="Q724" s="78"/>
      <c r="R724" s="92"/>
      <c r="S724" s="92"/>
      <c r="T724" s="92"/>
      <c r="U724" s="92"/>
      <c r="V724" s="52"/>
      <c r="W724" s="52"/>
      <c r="X724" s="52"/>
      <c r="Y724" s="52"/>
      <c r="Z724" s="51"/>
      <c r="AA724" s="73"/>
      <c r="AB724" s="73"/>
      <c r="AC724" s="74"/>
      <c r="AD724" s="80" t="s">
        <v>796</v>
      </c>
      <c r="AE724" s="85" t="s">
        <v>8480</v>
      </c>
      <c r="AF724" s="80">
        <v>246</v>
      </c>
      <c r="AG724" s="80">
        <v>2521</v>
      </c>
      <c r="AH724" s="80">
        <v>20580</v>
      </c>
      <c r="AI724" s="80">
        <v>10</v>
      </c>
      <c r="AJ724" s="80"/>
      <c r="AK724" s="80" t="s">
        <v>9603</v>
      </c>
      <c r="AL724" s="80"/>
      <c r="AM724" s="87" t="str">
        <f>HYPERLINK("http://t.co/yqS766n5Rt")</f>
        <v>http://t.co/yqS766n5Rt</v>
      </c>
      <c r="AN724" s="80"/>
      <c r="AO724" s="82">
        <v>41760.063715277778</v>
      </c>
      <c r="AP724" s="87" t="str">
        <f>HYPERLINK("https://pbs.twimg.com/profile_banners/2471761039/1398910682")</f>
        <v>https://pbs.twimg.com/profile_banners/2471761039/1398910682</v>
      </c>
      <c r="AQ724" s="80" t="b">
        <v>0</v>
      </c>
      <c r="AR724" s="80" t="b">
        <v>0</v>
      </c>
      <c r="AS724" s="80" t="b">
        <v>0</v>
      </c>
      <c r="AT724" s="80"/>
      <c r="AU724" s="80">
        <v>19</v>
      </c>
      <c r="AV724" s="87" t="str">
        <f>HYPERLINK("https://abs.twimg.com/images/themes/theme1/bg.png")</f>
        <v>https://abs.twimg.com/images/themes/theme1/bg.png</v>
      </c>
      <c r="AW724" s="80" t="b">
        <v>0</v>
      </c>
      <c r="AX724" s="80" t="s">
        <v>10746</v>
      </c>
      <c r="AY724" s="87" t="str">
        <f>HYPERLINK("https://twitter.com/indojobinfo")</f>
        <v>https://twitter.com/indojobinfo</v>
      </c>
      <c r="AZ724" s="80" t="s">
        <v>66</v>
      </c>
      <c r="BA724" s="2"/>
      <c r="BB724" s="3"/>
      <c r="BC724" s="3"/>
      <c r="BD724" s="3"/>
      <c r="BE724" s="3"/>
    </row>
    <row r="725" spans="1:57" x14ac:dyDescent="0.35">
      <c r="A725" s="66" t="s">
        <v>797</v>
      </c>
      <c r="B725" s="67"/>
      <c r="C725" s="67"/>
      <c r="D725" s="68"/>
      <c r="E725" s="70"/>
      <c r="F725" s="109" t="str">
        <f>HYPERLINK("https://pbs.twimg.com/profile_images/1354267278695485440/XudgKeDn_normal.jpg")</f>
        <v>https://pbs.twimg.com/profile_images/1354267278695485440/XudgKeDn_normal.jpg</v>
      </c>
      <c r="G725" s="67"/>
      <c r="H725" s="71"/>
      <c r="I725" s="72"/>
      <c r="J725" s="72"/>
      <c r="K725" s="71" t="s">
        <v>11468</v>
      </c>
      <c r="L725" s="75"/>
      <c r="M725" s="76"/>
      <c r="N725" s="76"/>
      <c r="O725" s="77"/>
      <c r="P725" s="78"/>
      <c r="Q725" s="78"/>
      <c r="R725" s="92"/>
      <c r="S725" s="92"/>
      <c r="T725" s="92"/>
      <c r="U725" s="92"/>
      <c r="V725" s="52"/>
      <c r="W725" s="52"/>
      <c r="X725" s="52"/>
      <c r="Y725" s="52"/>
      <c r="Z725" s="51"/>
      <c r="AA725" s="73"/>
      <c r="AB725" s="73"/>
      <c r="AC725" s="74"/>
      <c r="AD725" s="80" t="s">
        <v>7297</v>
      </c>
      <c r="AE725" s="85" t="s">
        <v>8481</v>
      </c>
      <c r="AF725" s="80">
        <v>264</v>
      </c>
      <c r="AG725" s="80">
        <v>1006</v>
      </c>
      <c r="AH725" s="80">
        <v>162753</v>
      </c>
      <c r="AI725" s="80">
        <v>40126</v>
      </c>
      <c r="AJ725" s="80"/>
      <c r="AK725" s="80" t="s">
        <v>9604</v>
      </c>
      <c r="AL725" s="80" t="s">
        <v>10484</v>
      </c>
      <c r="AM725" s="80"/>
      <c r="AN725" s="80"/>
      <c r="AO725" s="82">
        <v>41774.629027777781</v>
      </c>
      <c r="AP725" s="87" t="str">
        <f>HYPERLINK("https://pbs.twimg.com/profile_banners/2496531500/1596318111")</f>
        <v>https://pbs.twimg.com/profile_banners/2496531500/1596318111</v>
      </c>
      <c r="AQ725" s="80" t="b">
        <v>0</v>
      </c>
      <c r="AR725" s="80" t="b">
        <v>0</v>
      </c>
      <c r="AS725" s="80" t="b">
        <v>1</v>
      </c>
      <c r="AT725" s="80"/>
      <c r="AU725" s="80">
        <v>5</v>
      </c>
      <c r="AV725" s="87" t="str">
        <f>HYPERLINK("https://abs.twimg.com/images/themes/theme1/bg.png")</f>
        <v>https://abs.twimg.com/images/themes/theme1/bg.png</v>
      </c>
      <c r="AW725" s="80" t="b">
        <v>0</v>
      </c>
      <c r="AX725" s="80" t="s">
        <v>10746</v>
      </c>
      <c r="AY725" s="87" t="str">
        <f>HYPERLINK("https://twitter.com/dyodks")</f>
        <v>https://twitter.com/dyodks</v>
      </c>
      <c r="AZ725" s="80" t="s">
        <v>66</v>
      </c>
      <c r="BA725" s="2"/>
      <c r="BB725" s="3"/>
      <c r="BC725" s="3"/>
      <c r="BD725" s="3"/>
      <c r="BE725" s="3"/>
    </row>
    <row r="726" spans="1:57" x14ac:dyDescent="0.35">
      <c r="A726" s="66" t="s">
        <v>798</v>
      </c>
      <c r="B726" s="67"/>
      <c r="C726" s="67"/>
      <c r="D726" s="68"/>
      <c r="E726" s="70"/>
      <c r="F726" s="109" t="str">
        <f>HYPERLINK("https://pbs.twimg.com/profile_images/1272175655405289477/4WBxUk5I_normal.jpg")</f>
        <v>https://pbs.twimg.com/profile_images/1272175655405289477/4WBxUk5I_normal.jpg</v>
      </c>
      <c r="G726" s="67"/>
      <c r="H726" s="71"/>
      <c r="I726" s="72"/>
      <c r="J726" s="72"/>
      <c r="K726" s="71" t="s">
        <v>11469</v>
      </c>
      <c r="L726" s="75"/>
      <c r="M726" s="76"/>
      <c r="N726" s="76"/>
      <c r="O726" s="77"/>
      <c r="P726" s="78"/>
      <c r="Q726" s="78"/>
      <c r="R726" s="92"/>
      <c r="S726" s="92"/>
      <c r="T726" s="92"/>
      <c r="U726" s="92"/>
      <c r="V726" s="52"/>
      <c r="W726" s="52"/>
      <c r="X726" s="52"/>
      <c r="Y726" s="52"/>
      <c r="Z726" s="51"/>
      <c r="AA726" s="73"/>
      <c r="AB726" s="73"/>
      <c r="AC726" s="74"/>
      <c r="AD726" s="80" t="s">
        <v>7298</v>
      </c>
      <c r="AE726" s="85" t="s">
        <v>8482</v>
      </c>
      <c r="AF726" s="80">
        <v>92</v>
      </c>
      <c r="AG726" s="80">
        <v>9</v>
      </c>
      <c r="AH726" s="80">
        <v>342</v>
      </c>
      <c r="AI726" s="80">
        <v>63</v>
      </c>
      <c r="AJ726" s="80"/>
      <c r="AK726" s="80" t="s">
        <v>9605</v>
      </c>
      <c r="AL726" s="80" t="s">
        <v>6543</v>
      </c>
      <c r="AM726" s="80"/>
      <c r="AN726" s="80"/>
      <c r="AO726" s="82">
        <v>41961.483310185184</v>
      </c>
      <c r="AP726" s="87" t="str">
        <f>HYPERLINK("https://pbs.twimg.com/profile_banners/2882527336/1485087715")</f>
        <v>https://pbs.twimg.com/profile_banners/2882527336/1485087715</v>
      </c>
      <c r="AQ726" s="80" t="b">
        <v>0</v>
      </c>
      <c r="AR726" s="80" t="b">
        <v>0</v>
      </c>
      <c r="AS726" s="80" t="b">
        <v>0</v>
      </c>
      <c r="AT726" s="80"/>
      <c r="AU726" s="80">
        <v>0</v>
      </c>
      <c r="AV726" s="87" t="str">
        <f>HYPERLINK("https://abs.twimg.com/images/themes/theme1/bg.png")</f>
        <v>https://abs.twimg.com/images/themes/theme1/bg.png</v>
      </c>
      <c r="AW726" s="80" t="b">
        <v>0</v>
      </c>
      <c r="AX726" s="80" t="s">
        <v>10746</v>
      </c>
      <c r="AY726" s="87" t="str">
        <f>HYPERLINK("https://twitter.com/meneertang")</f>
        <v>https://twitter.com/meneertang</v>
      </c>
      <c r="AZ726" s="80" t="s">
        <v>66</v>
      </c>
      <c r="BA726" s="2"/>
      <c r="BB726" s="3"/>
      <c r="BC726" s="3"/>
      <c r="BD726" s="3"/>
      <c r="BE726" s="3"/>
    </row>
    <row r="727" spans="1:57" x14ac:dyDescent="0.35">
      <c r="A727" s="66" t="s">
        <v>799</v>
      </c>
      <c r="B727" s="67"/>
      <c r="C727" s="67"/>
      <c r="D727" s="68"/>
      <c r="E727" s="70"/>
      <c r="F727" s="109" t="str">
        <f>HYPERLINK("https://pbs.twimg.com/profile_images/1425801081431363591/G4G6A8r-_normal.jpg")</f>
        <v>https://pbs.twimg.com/profile_images/1425801081431363591/G4G6A8r-_normal.jpg</v>
      </c>
      <c r="G727" s="67"/>
      <c r="H727" s="71"/>
      <c r="I727" s="72"/>
      <c r="J727" s="72"/>
      <c r="K727" s="71" t="s">
        <v>11470</v>
      </c>
      <c r="L727" s="75"/>
      <c r="M727" s="76"/>
      <c r="N727" s="76"/>
      <c r="O727" s="77"/>
      <c r="P727" s="78"/>
      <c r="Q727" s="78"/>
      <c r="R727" s="92"/>
      <c r="S727" s="92"/>
      <c r="T727" s="92"/>
      <c r="U727" s="92"/>
      <c r="V727" s="52"/>
      <c r="W727" s="52"/>
      <c r="X727" s="52"/>
      <c r="Y727" s="52"/>
      <c r="Z727" s="51"/>
      <c r="AA727" s="73"/>
      <c r="AB727" s="73"/>
      <c r="AC727" s="74"/>
      <c r="AD727" s="80" t="s">
        <v>7299</v>
      </c>
      <c r="AE727" s="85" t="s">
        <v>8483</v>
      </c>
      <c r="AF727" s="80">
        <v>157</v>
      </c>
      <c r="AG727" s="80">
        <v>148</v>
      </c>
      <c r="AH727" s="80">
        <v>1680</v>
      </c>
      <c r="AI727" s="80">
        <v>277</v>
      </c>
      <c r="AJ727" s="80"/>
      <c r="AK727" s="80" t="s">
        <v>9606</v>
      </c>
      <c r="AL727" s="80" t="s">
        <v>10148</v>
      </c>
      <c r="AM727" s="87" t="str">
        <f>HYPERLINK("https://t.co/4ofSDkj8hF")</f>
        <v>https://t.co/4ofSDkj8hF</v>
      </c>
      <c r="AN727" s="80"/>
      <c r="AO727" s="82">
        <v>41505.519270833334</v>
      </c>
      <c r="AP727" s="87" t="str">
        <f>HYPERLINK("https://pbs.twimg.com/profile_banners/1683113154/1631768702")</f>
        <v>https://pbs.twimg.com/profile_banners/1683113154/1631768702</v>
      </c>
      <c r="AQ727" s="80" t="b">
        <v>0</v>
      </c>
      <c r="AR727" s="80" t="b">
        <v>0</v>
      </c>
      <c r="AS727" s="80" t="b">
        <v>0</v>
      </c>
      <c r="AT727" s="80"/>
      <c r="AU727" s="80">
        <v>0</v>
      </c>
      <c r="AV727" s="87" t="str">
        <f>HYPERLINK("https://abs.twimg.com/images/themes/theme1/bg.png")</f>
        <v>https://abs.twimg.com/images/themes/theme1/bg.png</v>
      </c>
      <c r="AW727" s="80" t="b">
        <v>0</v>
      </c>
      <c r="AX727" s="80" t="s">
        <v>10746</v>
      </c>
      <c r="AY727" s="87" t="str">
        <f>HYPERLINK("https://twitter.com/crownjxno")</f>
        <v>https://twitter.com/crownjxno</v>
      </c>
      <c r="AZ727" s="80" t="s">
        <v>66</v>
      </c>
      <c r="BA727" s="2"/>
      <c r="BB727" s="3"/>
      <c r="BC727" s="3"/>
      <c r="BD727" s="3"/>
      <c r="BE727" s="3"/>
    </row>
    <row r="728" spans="1:57" x14ac:dyDescent="0.35">
      <c r="A728" s="66" t="s">
        <v>800</v>
      </c>
      <c r="B728" s="67"/>
      <c r="C728" s="67"/>
      <c r="D728" s="68"/>
      <c r="E728" s="70"/>
      <c r="F728" s="109" t="str">
        <f>HYPERLINK("https://pbs.twimg.com/profile_images/1407642938197168132/Ri8ZozSZ_normal.jpg")</f>
        <v>https://pbs.twimg.com/profile_images/1407642938197168132/Ri8ZozSZ_normal.jpg</v>
      </c>
      <c r="G728" s="67"/>
      <c r="H728" s="71"/>
      <c r="I728" s="72"/>
      <c r="J728" s="72"/>
      <c r="K728" s="71" t="s">
        <v>11471</v>
      </c>
      <c r="L728" s="75"/>
      <c r="M728" s="76"/>
      <c r="N728" s="76"/>
      <c r="O728" s="77"/>
      <c r="P728" s="78"/>
      <c r="Q728" s="78"/>
      <c r="R728" s="92"/>
      <c r="S728" s="92"/>
      <c r="T728" s="92"/>
      <c r="U728" s="92"/>
      <c r="V728" s="52"/>
      <c r="W728" s="52"/>
      <c r="X728" s="52"/>
      <c r="Y728" s="52"/>
      <c r="Z728" s="51"/>
      <c r="AA728" s="73"/>
      <c r="AB728" s="73"/>
      <c r="AC728" s="74"/>
      <c r="AD728" s="80" t="s">
        <v>7300</v>
      </c>
      <c r="AE728" s="85" t="s">
        <v>8484</v>
      </c>
      <c r="AF728" s="80">
        <v>536</v>
      </c>
      <c r="AG728" s="80">
        <v>447</v>
      </c>
      <c r="AH728" s="80">
        <v>139</v>
      </c>
      <c r="AI728" s="80">
        <v>355</v>
      </c>
      <c r="AJ728" s="80"/>
      <c r="AK728" s="80" t="s">
        <v>9607</v>
      </c>
      <c r="AL728" s="80" t="s">
        <v>10485</v>
      </c>
      <c r="AM728" s="80"/>
      <c r="AN728" s="80"/>
      <c r="AO728" s="82">
        <v>44125.01054398148</v>
      </c>
      <c r="AP728" s="87" t="str">
        <f>HYPERLINK("https://pbs.twimg.com/profile_banners/1318707323842392066/1603923972")</f>
        <v>https://pbs.twimg.com/profile_banners/1318707323842392066/1603923972</v>
      </c>
      <c r="AQ728" s="80" t="b">
        <v>1</v>
      </c>
      <c r="AR728" s="80" t="b">
        <v>0</v>
      </c>
      <c r="AS728" s="80" t="b">
        <v>1</v>
      </c>
      <c r="AT728" s="80"/>
      <c r="AU728" s="80">
        <v>0</v>
      </c>
      <c r="AV728" s="80"/>
      <c r="AW728" s="80" t="b">
        <v>0</v>
      </c>
      <c r="AX728" s="80" t="s">
        <v>10746</v>
      </c>
      <c r="AY728" s="87" t="str">
        <f>HYPERLINK("https://twitter.com/dochil97")</f>
        <v>https://twitter.com/dochil97</v>
      </c>
      <c r="AZ728" s="80" t="s">
        <v>66</v>
      </c>
      <c r="BA728" s="2"/>
      <c r="BB728" s="3"/>
      <c r="BC728" s="3"/>
      <c r="BD728" s="3"/>
      <c r="BE728" s="3"/>
    </row>
    <row r="729" spans="1:57" x14ac:dyDescent="0.35">
      <c r="A729" s="66" t="s">
        <v>1401</v>
      </c>
      <c r="B729" s="67"/>
      <c r="C729" s="67"/>
      <c r="D729" s="68"/>
      <c r="E729" s="70"/>
      <c r="F729" s="109" t="str">
        <f>HYPERLINK("https://pbs.twimg.com/profile_images/1424689203523121154/XiA22o6e_normal.jpg")</f>
        <v>https://pbs.twimg.com/profile_images/1424689203523121154/XiA22o6e_normal.jpg</v>
      </c>
      <c r="G729" s="67"/>
      <c r="H729" s="71"/>
      <c r="I729" s="72"/>
      <c r="J729" s="72"/>
      <c r="K729" s="71" t="s">
        <v>11472</v>
      </c>
      <c r="L729" s="75"/>
      <c r="M729" s="76"/>
      <c r="N729" s="76"/>
      <c r="O729" s="77"/>
      <c r="P729" s="78"/>
      <c r="Q729" s="78"/>
      <c r="R729" s="92"/>
      <c r="S729" s="92"/>
      <c r="T729" s="92"/>
      <c r="U729" s="92"/>
      <c r="V729" s="52"/>
      <c r="W729" s="52"/>
      <c r="X729" s="52"/>
      <c r="Y729" s="52"/>
      <c r="Z729" s="51"/>
      <c r="AA729" s="73"/>
      <c r="AB729" s="73"/>
      <c r="AC729" s="74"/>
      <c r="AD729" s="80" t="s">
        <v>7301</v>
      </c>
      <c r="AE729" s="85" t="s">
        <v>6354</v>
      </c>
      <c r="AF729" s="80">
        <v>517</v>
      </c>
      <c r="AG729" s="80">
        <v>615</v>
      </c>
      <c r="AH729" s="80">
        <v>717</v>
      </c>
      <c r="AI729" s="80">
        <v>3301</v>
      </c>
      <c r="AJ729" s="80"/>
      <c r="AK729" s="80" t="s">
        <v>9608</v>
      </c>
      <c r="AL729" s="80"/>
      <c r="AM729" s="80"/>
      <c r="AN729" s="80"/>
      <c r="AO729" s="82">
        <v>44313.202222222222</v>
      </c>
      <c r="AP729" s="80"/>
      <c r="AQ729" s="80" t="b">
        <v>1</v>
      </c>
      <c r="AR729" s="80" t="b">
        <v>0</v>
      </c>
      <c r="AS729" s="80" t="b">
        <v>0</v>
      </c>
      <c r="AT729" s="80"/>
      <c r="AU729" s="80">
        <v>0</v>
      </c>
      <c r="AV729" s="80"/>
      <c r="AW729" s="80" t="b">
        <v>0</v>
      </c>
      <c r="AX729" s="80" t="s">
        <v>10746</v>
      </c>
      <c r="AY729" s="87" t="str">
        <f>HYPERLINK("https://twitter.com/vchristyano")</f>
        <v>https://twitter.com/vchristyano</v>
      </c>
      <c r="AZ729" s="80" t="s">
        <v>65</v>
      </c>
      <c r="BA729" s="2"/>
      <c r="BB729" s="3"/>
      <c r="BC729" s="3"/>
      <c r="BD729" s="3"/>
      <c r="BE729" s="3"/>
    </row>
    <row r="730" spans="1:57" x14ac:dyDescent="0.35">
      <c r="A730" s="66" t="s">
        <v>801</v>
      </c>
      <c r="B730" s="67"/>
      <c r="C730" s="67"/>
      <c r="D730" s="68"/>
      <c r="E730" s="70"/>
      <c r="F730" s="109" t="str">
        <f>HYPERLINK("https://pbs.twimg.com/profile_images/1419492047971520514/g7fp_zax_normal.jpg")</f>
        <v>https://pbs.twimg.com/profile_images/1419492047971520514/g7fp_zax_normal.jpg</v>
      </c>
      <c r="G730" s="67"/>
      <c r="H730" s="71"/>
      <c r="I730" s="72"/>
      <c r="J730" s="72"/>
      <c r="K730" s="71" t="s">
        <v>11473</v>
      </c>
      <c r="L730" s="75"/>
      <c r="M730" s="76"/>
      <c r="N730" s="76"/>
      <c r="O730" s="77"/>
      <c r="P730" s="78"/>
      <c r="Q730" s="78"/>
      <c r="R730" s="92"/>
      <c r="S730" s="92"/>
      <c r="T730" s="92"/>
      <c r="U730" s="92"/>
      <c r="V730" s="52"/>
      <c r="W730" s="52"/>
      <c r="X730" s="52"/>
      <c r="Y730" s="52"/>
      <c r="Z730" s="51"/>
      <c r="AA730" s="73"/>
      <c r="AB730" s="73"/>
      <c r="AC730" s="74"/>
      <c r="AD730" s="80" t="s">
        <v>7302</v>
      </c>
      <c r="AE730" s="85" t="s">
        <v>8485</v>
      </c>
      <c r="AF730" s="80">
        <v>502</v>
      </c>
      <c r="AG730" s="80">
        <v>498</v>
      </c>
      <c r="AH730" s="80">
        <v>3474</v>
      </c>
      <c r="AI730" s="80">
        <v>860</v>
      </c>
      <c r="AJ730" s="80"/>
      <c r="AK730" s="80" t="s">
        <v>9609</v>
      </c>
      <c r="AL730" s="80"/>
      <c r="AM730" s="80"/>
      <c r="AN730" s="80"/>
      <c r="AO730" s="82">
        <v>44287.411238425928</v>
      </c>
      <c r="AP730" s="87" t="str">
        <f>HYPERLINK("https://pbs.twimg.com/profile_banners/1377559367898132483/1629643923")</f>
        <v>https://pbs.twimg.com/profile_banners/1377559367898132483/1629643923</v>
      </c>
      <c r="AQ730" s="80" t="b">
        <v>1</v>
      </c>
      <c r="AR730" s="80" t="b">
        <v>0</v>
      </c>
      <c r="AS730" s="80" t="b">
        <v>0</v>
      </c>
      <c r="AT730" s="80"/>
      <c r="AU730" s="80">
        <v>0</v>
      </c>
      <c r="AV730" s="80"/>
      <c r="AW730" s="80" t="b">
        <v>0</v>
      </c>
      <c r="AX730" s="80" t="s">
        <v>10746</v>
      </c>
      <c r="AY730" s="87" t="str">
        <f>HYPERLINK("https://twitter.com/birthhdayboyy")</f>
        <v>https://twitter.com/birthhdayboyy</v>
      </c>
      <c r="AZ730" s="80" t="s">
        <v>66</v>
      </c>
      <c r="BA730" s="2"/>
      <c r="BB730" s="3"/>
      <c r="BC730" s="3"/>
      <c r="BD730" s="3"/>
      <c r="BE730" s="3"/>
    </row>
    <row r="731" spans="1:57" x14ac:dyDescent="0.35">
      <c r="A731" s="66" t="s">
        <v>802</v>
      </c>
      <c r="B731" s="67"/>
      <c r="C731" s="67"/>
      <c r="D731" s="68"/>
      <c r="E731" s="70"/>
      <c r="F731" s="109" t="str">
        <f>HYPERLINK("https://pbs.twimg.com/profile_images/1426141741204140032/2TW5EjWd_normal.jpg")</f>
        <v>https://pbs.twimg.com/profile_images/1426141741204140032/2TW5EjWd_normal.jpg</v>
      </c>
      <c r="G731" s="67"/>
      <c r="H731" s="71"/>
      <c r="I731" s="72"/>
      <c r="J731" s="72"/>
      <c r="K731" s="71" t="s">
        <v>11474</v>
      </c>
      <c r="L731" s="75"/>
      <c r="M731" s="76"/>
      <c r="N731" s="76"/>
      <c r="O731" s="77"/>
      <c r="P731" s="78"/>
      <c r="Q731" s="78"/>
      <c r="R731" s="92"/>
      <c r="S731" s="92"/>
      <c r="T731" s="92"/>
      <c r="U731" s="92"/>
      <c r="V731" s="52"/>
      <c r="W731" s="52"/>
      <c r="X731" s="52"/>
      <c r="Y731" s="52"/>
      <c r="Z731" s="51"/>
      <c r="AA731" s="73"/>
      <c r="AB731" s="73"/>
      <c r="AC731" s="74"/>
      <c r="AD731" s="80" t="s">
        <v>7303</v>
      </c>
      <c r="AE731" s="85" t="s">
        <v>8486</v>
      </c>
      <c r="AF731" s="80">
        <v>197</v>
      </c>
      <c r="AG731" s="80">
        <v>201</v>
      </c>
      <c r="AH731" s="80">
        <v>1275</v>
      </c>
      <c r="AI731" s="80">
        <v>1263</v>
      </c>
      <c r="AJ731" s="80"/>
      <c r="AK731" s="80" t="s">
        <v>9610</v>
      </c>
      <c r="AL731" s="80" t="s">
        <v>10486</v>
      </c>
      <c r="AM731" s="87" t="str">
        <f>HYPERLINK("https://t.co/czgRLq9c84")</f>
        <v>https://t.co/czgRLq9c84</v>
      </c>
      <c r="AN731" s="80"/>
      <c r="AO731" s="82">
        <v>44421.471724537034</v>
      </c>
      <c r="AP731" s="87" t="str">
        <f>HYPERLINK("https://pbs.twimg.com/profile_banners/1426141260549484545/1628954442")</f>
        <v>https://pbs.twimg.com/profile_banners/1426141260549484545/1628954442</v>
      </c>
      <c r="AQ731" s="80" t="b">
        <v>1</v>
      </c>
      <c r="AR731" s="80" t="b">
        <v>0</v>
      </c>
      <c r="AS731" s="80" t="b">
        <v>0</v>
      </c>
      <c r="AT731" s="80"/>
      <c r="AU731" s="80">
        <v>2</v>
      </c>
      <c r="AV731" s="80"/>
      <c r="AW731" s="80" t="b">
        <v>0</v>
      </c>
      <c r="AX731" s="80" t="s">
        <v>10746</v>
      </c>
      <c r="AY731" s="87" t="str">
        <f>HYPERLINK("https://twitter.com/jnvcarts")</f>
        <v>https://twitter.com/jnvcarts</v>
      </c>
      <c r="AZ731" s="80" t="s">
        <v>66</v>
      </c>
      <c r="BA731" s="2"/>
      <c r="BB731" s="3"/>
      <c r="BC731" s="3"/>
      <c r="BD731" s="3"/>
      <c r="BE731" s="3"/>
    </row>
    <row r="732" spans="1:57" x14ac:dyDescent="0.35">
      <c r="A732" s="66" t="s">
        <v>803</v>
      </c>
      <c r="B732" s="67"/>
      <c r="C732" s="67"/>
      <c r="D732" s="68"/>
      <c r="E732" s="70"/>
      <c r="F732" s="109" t="str">
        <f>HYPERLINK("https://pbs.twimg.com/profile_images/1442720404884258816/6TsKYuW3_normal.jpg")</f>
        <v>https://pbs.twimg.com/profile_images/1442720404884258816/6TsKYuW3_normal.jpg</v>
      </c>
      <c r="G732" s="67"/>
      <c r="H732" s="71"/>
      <c r="I732" s="72"/>
      <c r="J732" s="72"/>
      <c r="K732" s="71" t="s">
        <v>11475</v>
      </c>
      <c r="L732" s="75"/>
      <c r="M732" s="76"/>
      <c r="N732" s="76"/>
      <c r="O732" s="77"/>
      <c r="P732" s="78"/>
      <c r="Q732" s="78"/>
      <c r="R732" s="92"/>
      <c r="S732" s="92"/>
      <c r="T732" s="92"/>
      <c r="U732" s="92"/>
      <c r="V732" s="52"/>
      <c r="W732" s="52"/>
      <c r="X732" s="52"/>
      <c r="Y732" s="52"/>
      <c r="Z732" s="51"/>
      <c r="AA732" s="73"/>
      <c r="AB732" s="73"/>
      <c r="AC732" s="74"/>
      <c r="AD732" s="80" t="s">
        <v>7304</v>
      </c>
      <c r="AE732" s="85" t="s">
        <v>8487</v>
      </c>
      <c r="AF732" s="80">
        <v>14</v>
      </c>
      <c r="AG732" s="80">
        <v>1</v>
      </c>
      <c r="AH732" s="80">
        <v>9</v>
      </c>
      <c r="AI732" s="80">
        <v>28</v>
      </c>
      <c r="AJ732" s="80"/>
      <c r="AK732" s="80"/>
      <c r="AL732" s="80"/>
      <c r="AM732" s="80"/>
      <c r="AN732" s="80"/>
      <c r="AO732" s="82">
        <v>44209.672430555554</v>
      </c>
      <c r="AP732" s="87" t="str">
        <f>HYPERLINK("https://pbs.twimg.com/profile_banners/1349387734847156226/1632806345")</f>
        <v>https://pbs.twimg.com/profile_banners/1349387734847156226/1632806345</v>
      </c>
      <c r="AQ732" s="80" t="b">
        <v>1</v>
      </c>
      <c r="AR732" s="80" t="b">
        <v>0</v>
      </c>
      <c r="AS732" s="80" t="b">
        <v>0</v>
      </c>
      <c r="AT732" s="80"/>
      <c r="AU732" s="80">
        <v>0</v>
      </c>
      <c r="AV732" s="80"/>
      <c r="AW732" s="80" t="b">
        <v>0</v>
      </c>
      <c r="AX732" s="80" t="s">
        <v>10746</v>
      </c>
      <c r="AY732" s="87" t="str">
        <f>HYPERLINK("https://twitter.com/meisyarahma0109")</f>
        <v>https://twitter.com/meisyarahma0109</v>
      </c>
      <c r="AZ732" s="80" t="s">
        <v>66</v>
      </c>
      <c r="BA732" s="2"/>
      <c r="BB732" s="3"/>
      <c r="BC732" s="3"/>
      <c r="BD732" s="3"/>
      <c r="BE732" s="3"/>
    </row>
    <row r="733" spans="1:57" x14ac:dyDescent="0.35">
      <c r="A733" s="66" t="s">
        <v>804</v>
      </c>
      <c r="B733" s="67"/>
      <c r="C733" s="67"/>
      <c r="D733" s="68"/>
      <c r="E733" s="70"/>
      <c r="F733" s="109" t="str">
        <f>HYPERLINK("https://pbs.twimg.com/profile_images/1442293094473351169/AuqSC7Ek_normal.jpg")</f>
        <v>https://pbs.twimg.com/profile_images/1442293094473351169/AuqSC7Ek_normal.jpg</v>
      </c>
      <c r="G733" s="67"/>
      <c r="H733" s="71"/>
      <c r="I733" s="72"/>
      <c r="J733" s="72"/>
      <c r="K733" s="71" t="s">
        <v>11476</v>
      </c>
      <c r="L733" s="75"/>
      <c r="M733" s="76"/>
      <c r="N733" s="76"/>
      <c r="O733" s="77"/>
      <c r="P733" s="78"/>
      <c r="Q733" s="78"/>
      <c r="R733" s="92"/>
      <c r="S733" s="92"/>
      <c r="T733" s="92"/>
      <c r="U733" s="92"/>
      <c r="V733" s="52"/>
      <c r="W733" s="52"/>
      <c r="X733" s="52"/>
      <c r="Y733" s="52"/>
      <c r="Z733" s="51"/>
      <c r="AA733" s="73"/>
      <c r="AB733" s="73"/>
      <c r="AC733" s="74"/>
      <c r="AD733" s="80" t="s">
        <v>6522</v>
      </c>
      <c r="AE733" s="85" t="s">
        <v>8488</v>
      </c>
      <c r="AF733" s="80">
        <v>2300</v>
      </c>
      <c r="AG733" s="80">
        <v>23639</v>
      </c>
      <c r="AH733" s="80">
        <v>130996</v>
      </c>
      <c r="AI733" s="80">
        <v>439</v>
      </c>
      <c r="AJ733" s="80"/>
      <c r="AK733" s="80" t="s">
        <v>9611</v>
      </c>
      <c r="AL733" s="80" t="s">
        <v>10487</v>
      </c>
      <c r="AM733" s="87" t="str">
        <f>HYPERLINK("https://t.co/J8elzk0u7K")</f>
        <v>https://t.co/J8elzk0u7K</v>
      </c>
      <c r="AN733" s="80"/>
      <c r="AO733" s="82">
        <v>43823.5390625</v>
      </c>
      <c r="AP733" s="87" t="str">
        <f>HYPERLINK("https://pbs.twimg.com/profile_banners/1209457724599095296/1596856270")</f>
        <v>https://pbs.twimg.com/profile_banners/1209457724599095296/1596856270</v>
      </c>
      <c r="AQ733" s="80" t="b">
        <v>1</v>
      </c>
      <c r="AR733" s="80" t="b">
        <v>0</v>
      </c>
      <c r="AS733" s="80" t="b">
        <v>0</v>
      </c>
      <c r="AT733" s="80"/>
      <c r="AU733" s="80">
        <v>94</v>
      </c>
      <c r="AV733" s="80"/>
      <c r="AW733" s="80" t="b">
        <v>0</v>
      </c>
      <c r="AX733" s="80" t="s">
        <v>10746</v>
      </c>
      <c r="AY733" s="87" t="str">
        <f>HYPERLINK("https://twitter.com/draftanakunpad")</f>
        <v>https://twitter.com/draftanakunpad</v>
      </c>
      <c r="AZ733" s="80" t="s">
        <v>66</v>
      </c>
      <c r="BA733" s="2"/>
      <c r="BB733" s="3"/>
      <c r="BC733" s="3"/>
      <c r="BD733" s="3"/>
      <c r="BE733" s="3"/>
    </row>
    <row r="734" spans="1:57" x14ac:dyDescent="0.35">
      <c r="A734" s="66" t="s">
        <v>805</v>
      </c>
      <c r="B734" s="67"/>
      <c r="C734" s="67"/>
      <c r="D734" s="68"/>
      <c r="E734" s="70"/>
      <c r="F734" s="109" t="str">
        <f>HYPERLINK("https://pbs.twimg.com/profile_images/1439083292297289733/deCd4MOZ_normal.jpg")</f>
        <v>https://pbs.twimg.com/profile_images/1439083292297289733/deCd4MOZ_normal.jpg</v>
      </c>
      <c r="G734" s="67"/>
      <c r="H734" s="71"/>
      <c r="I734" s="72"/>
      <c r="J734" s="72"/>
      <c r="K734" s="71" t="s">
        <v>11477</v>
      </c>
      <c r="L734" s="75"/>
      <c r="M734" s="76"/>
      <c r="N734" s="76"/>
      <c r="O734" s="77"/>
      <c r="P734" s="78"/>
      <c r="Q734" s="78"/>
      <c r="R734" s="92"/>
      <c r="S734" s="92"/>
      <c r="T734" s="92"/>
      <c r="U734" s="92"/>
      <c r="V734" s="52"/>
      <c r="W734" s="52"/>
      <c r="X734" s="52"/>
      <c r="Y734" s="52"/>
      <c r="Z734" s="51"/>
      <c r="AA734" s="73"/>
      <c r="AB734" s="73"/>
      <c r="AC734" s="74"/>
      <c r="AD734" s="80" t="s">
        <v>7305</v>
      </c>
      <c r="AE734" s="85" t="s">
        <v>8489</v>
      </c>
      <c r="AF734" s="80">
        <v>350</v>
      </c>
      <c r="AG734" s="80">
        <v>125</v>
      </c>
      <c r="AH734" s="80">
        <v>3332</v>
      </c>
      <c r="AI734" s="80">
        <v>467</v>
      </c>
      <c r="AJ734" s="80"/>
      <c r="AK734" s="80" t="s">
        <v>9612</v>
      </c>
      <c r="AL734" s="80"/>
      <c r="AM734" s="80"/>
      <c r="AN734" s="80"/>
      <c r="AO734" s="82">
        <v>44029.594976851855</v>
      </c>
      <c r="AP734" s="87" t="str">
        <f>HYPERLINK("https://pbs.twimg.com/profile_banners/1284129784792887297/1630494435")</f>
        <v>https://pbs.twimg.com/profile_banners/1284129784792887297/1630494435</v>
      </c>
      <c r="AQ734" s="80" t="b">
        <v>1</v>
      </c>
      <c r="AR734" s="80" t="b">
        <v>0</v>
      </c>
      <c r="AS734" s="80" t="b">
        <v>0</v>
      </c>
      <c r="AT734" s="80"/>
      <c r="AU734" s="80">
        <v>0</v>
      </c>
      <c r="AV734" s="80"/>
      <c r="AW734" s="80" t="b">
        <v>0</v>
      </c>
      <c r="AX734" s="80" t="s">
        <v>10746</v>
      </c>
      <c r="AY734" s="87" t="str">
        <f>HYPERLINK("https://twitter.com/jieyalahh")</f>
        <v>https://twitter.com/jieyalahh</v>
      </c>
      <c r="AZ734" s="80" t="s">
        <v>66</v>
      </c>
      <c r="BA734" s="2"/>
      <c r="BB734" s="3"/>
      <c r="BC734" s="3"/>
      <c r="BD734" s="3"/>
      <c r="BE734" s="3"/>
    </row>
    <row r="735" spans="1:57" x14ac:dyDescent="0.35">
      <c r="A735" s="66" t="s">
        <v>806</v>
      </c>
      <c r="B735" s="67"/>
      <c r="C735" s="67"/>
      <c r="D735" s="68"/>
      <c r="E735" s="70"/>
      <c r="F735" s="109" t="str">
        <f>HYPERLINK("https://pbs.twimg.com/profile_images/1440120960959406080/3-6w6Qjr_normal.jpg")</f>
        <v>https://pbs.twimg.com/profile_images/1440120960959406080/3-6w6Qjr_normal.jpg</v>
      </c>
      <c r="G735" s="67"/>
      <c r="H735" s="71"/>
      <c r="I735" s="72"/>
      <c r="J735" s="72"/>
      <c r="K735" s="71" t="s">
        <v>11478</v>
      </c>
      <c r="L735" s="75"/>
      <c r="M735" s="76"/>
      <c r="N735" s="76"/>
      <c r="O735" s="77"/>
      <c r="P735" s="78"/>
      <c r="Q735" s="78"/>
      <c r="R735" s="92"/>
      <c r="S735" s="92"/>
      <c r="T735" s="92"/>
      <c r="U735" s="92"/>
      <c r="V735" s="52"/>
      <c r="W735" s="52"/>
      <c r="X735" s="52"/>
      <c r="Y735" s="52"/>
      <c r="Z735" s="51"/>
      <c r="AA735" s="73"/>
      <c r="AB735" s="73"/>
      <c r="AC735" s="74"/>
      <c r="AD735" s="80" t="s">
        <v>7306</v>
      </c>
      <c r="AE735" s="85" t="s">
        <v>8490</v>
      </c>
      <c r="AF735" s="80">
        <v>2150</v>
      </c>
      <c r="AG735" s="80">
        <v>2250</v>
      </c>
      <c r="AH735" s="80">
        <v>9136</v>
      </c>
      <c r="AI735" s="80">
        <v>12430</v>
      </c>
      <c r="AJ735" s="80"/>
      <c r="AK735" s="80" t="s">
        <v>9613</v>
      </c>
      <c r="AL735" s="80" t="s">
        <v>10488</v>
      </c>
      <c r="AM735" s="80"/>
      <c r="AN735" s="80"/>
      <c r="AO735" s="82">
        <v>43595.631076388891</v>
      </c>
      <c r="AP735" s="87" t="str">
        <f>HYPERLINK("https://pbs.twimg.com/profile_banners/1126866673636560896/1630751986")</f>
        <v>https://pbs.twimg.com/profile_banners/1126866673636560896/1630751986</v>
      </c>
      <c r="AQ735" s="80" t="b">
        <v>1</v>
      </c>
      <c r="AR735" s="80" t="b">
        <v>0</v>
      </c>
      <c r="AS735" s="80" t="b">
        <v>0</v>
      </c>
      <c r="AT735" s="80"/>
      <c r="AU735" s="80">
        <v>1</v>
      </c>
      <c r="AV735" s="80"/>
      <c r="AW735" s="80" t="b">
        <v>0</v>
      </c>
      <c r="AX735" s="80" t="s">
        <v>10746</v>
      </c>
      <c r="AY735" s="87" t="str">
        <f>HYPERLINK("https://twitter.com/nauttella")</f>
        <v>https://twitter.com/nauttella</v>
      </c>
      <c r="AZ735" s="80" t="s">
        <v>66</v>
      </c>
      <c r="BA735" s="2"/>
      <c r="BB735" s="3"/>
      <c r="BC735" s="3"/>
      <c r="BD735" s="3"/>
      <c r="BE735" s="3"/>
    </row>
    <row r="736" spans="1:57" x14ac:dyDescent="0.35">
      <c r="A736" s="66" t="s">
        <v>807</v>
      </c>
      <c r="B736" s="67"/>
      <c r="C736" s="67"/>
      <c r="D736" s="68"/>
      <c r="E736" s="70"/>
      <c r="F736" s="109" t="str">
        <f>HYPERLINK("https://pbs.twimg.com/profile_images/1429107008678989827/IdojyRgp_normal.jpg")</f>
        <v>https://pbs.twimg.com/profile_images/1429107008678989827/IdojyRgp_normal.jpg</v>
      </c>
      <c r="G736" s="67"/>
      <c r="H736" s="71"/>
      <c r="I736" s="72"/>
      <c r="J736" s="72"/>
      <c r="K736" s="71" t="s">
        <v>11479</v>
      </c>
      <c r="L736" s="75"/>
      <c r="M736" s="76"/>
      <c r="N736" s="76"/>
      <c r="O736" s="77"/>
      <c r="P736" s="78"/>
      <c r="Q736" s="78"/>
      <c r="R736" s="92"/>
      <c r="S736" s="92"/>
      <c r="T736" s="92"/>
      <c r="U736" s="92"/>
      <c r="V736" s="52"/>
      <c r="W736" s="52"/>
      <c r="X736" s="52"/>
      <c r="Y736" s="52"/>
      <c r="Z736" s="51"/>
      <c r="AA736" s="73"/>
      <c r="AB736" s="73"/>
      <c r="AC736" s="74"/>
      <c r="AD736" s="80" t="s">
        <v>7307</v>
      </c>
      <c r="AE736" s="85" t="s">
        <v>8491</v>
      </c>
      <c r="AF736" s="80">
        <v>447</v>
      </c>
      <c r="AG736" s="80">
        <v>595</v>
      </c>
      <c r="AH736" s="80">
        <v>20352</v>
      </c>
      <c r="AI736" s="80">
        <v>6385</v>
      </c>
      <c r="AJ736" s="80"/>
      <c r="AK736" s="80" t="s">
        <v>9614</v>
      </c>
      <c r="AL736" s="80" t="s">
        <v>6543</v>
      </c>
      <c r="AM736" s="80"/>
      <c r="AN736" s="80"/>
      <c r="AO736" s="82">
        <v>41415.398379629631</v>
      </c>
      <c r="AP736" s="87" t="str">
        <f>HYPERLINK("https://pbs.twimg.com/profile_banners/1445911627/1628780503")</f>
        <v>https://pbs.twimg.com/profile_banners/1445911627/1628780503</v>
      </c>
      <c r="AQ736" s="80" t="b">
        <v>0</v>
      </c>
      <c r="AR736" s="80" t="b">
        <v>0</v>
      </c>
      <c r="AS736" s="80" t="b">
        <v>1</v>
      </c>
      <c r="AT736" s="80"/>
      <c r="AU736" s="80">
        <v>0</v>
      </c>
      <c r="AV736" s="87" t="str">
        <f>HYPERLINK("https://abs.twimg.com/images/themes/theme1/bg.png")</f>
        <v>https://abs.twimg.com/images/themes/theme1/bg.png</v>
      </c>
      <c r="AW736" s="80" t="b">
        <v>0</v>
      </c>
      <c r="AX736" s="80" t="s">
        <v>10746</v>
      </c>
      <c r="AY736" s="87" t="str">
        <f>HYPERLINK("https://twitter.com/idealtouse")</f>
        <v>https://twitter.com/idealtouse</v>
      </c>
      <c r="AZ736" s="80" t="s">
        <v>66</v>
      </c>
      <c r="BA736" s="2"/>
      <c r="BB736" s="3"/>
      <c r="BC736" s="3"/>
      <c r="BD736" s="3"/>
      <c r="BE736" s="3"/>
    </row>
    <row r="737" spans="1:57" x14ac:dyDescent="0.35">
      <c r="A737" s="66" t="s">
        <v>808</v>
      </c>
      <c r="B737" s="67"/>
      <c r="C737" s="67"/>
      <c r="D737" s="68"/>
      <c r="E737" s="70"/>
      <c r="F737" s="109" t="str">
        <f>HYPERLINK("https://pbs.twimg.com/profile_images/1434473050137792514/CApaT34-_normal.jpg")</f>
        <v>https://pbs.twimg.com/profile_images/1434473050137792514/CApaT34-_normal.jpg</v>
      </c>
      <c r="G737" s="67"/>
      <c r="H737" s="71"/>
      <c r="I737" s="72"/>
      <c r="J737" s="72"/>
      <c r="K737" s="71" t="s">
        <v>11480</v>
      </c>
      <c r="L737" s="75"/>
      <c r="M737" s="76"/>
      <c r="N737" s="76"/>
      <c r="O737" s="77"/>
      <c r="P737" s="78"/>
      <c r="Q737" s="78"/>
      <c r="R737" s="92"/>
      <c r="S737" s="92"/>
      <c r="T737" s="92"/>
      <c r="U737" s="92"/>
      <c r="V737" s="52"/>
      <c r="W737" s="52"/>
      <c r="X737" s="52"/>
      <c r="Y737" s="52"/>
      <c r="Z737" s="51"/>
      <c r="AA737" s="73"/>
      <c r="AB737" s="73"/>
      <c r="AC737" s="74"/>
      <c r="AD737" s="80" t="s">
        <v>7308</v>
      </c>
      <c r="AE737" s="85" t="s">
        <v>8492</v>
      </c>
      <c r="AF737" s="80">
        <v>52</v>
      </c>
      <c r="AG737" s="80">
        <v>42</v>
      </c>
      <c r="AH737" s="80">
        <v>1675</v>
      </c>
      <c r="AI737" s="80">
        <v>1</v>
      </c>
      <c r="AJ737" s="80"/>
      <c r="AK737" s="80" t="s">
        <v>9615</v>
      </c>
      <c r="AL737" s="80" t="s">
        <v>10489</v>
      </c>
      <c r="AM737" s="87" t="str">
        <f>HYPERLINK("https://t.co/uFzYjGhtnS")</f>
        <v>https://t.co/uFzYjGhtnS</v>
      </c>
      <c r="AN737" s="80"/>
      <c r="AO737" s="82">
        <v>44251.43246527778</v>
      </c>
      <c r="AP737" s="87" t="str">
        <f>HYPERLINK("https://pbs.twimg.com/profile_banners/1364521091314507778/1632635986")</f>
        <v>https://pbs.twimg.com/profile_banners/1364521091314507778/1632635986</v>
      </c>
      <c r="AQ737" s="80" t="b">
        <v>1</v>
      </c>
      <c r="AR737" s="80" t="b">
        <v>0</v>
      </c>
      <c r="AS737" s="80" t="b">
        <v>0</v>
      </c>
      <c r="AT737" s="80"/>
      <c r="AU737" s="80">
        <v>0</v>
      </c>
      <c r="AV737" s="80"/>
      <c r="AW737" s="80" t="b">
        <v>0</v>
      </c>
      <c r="AX737" s="80" t="s">
        <v>10746</v>
      </c>
      <c r="AY737" s="87" t="str">
        <f>HYPERLINK("https://twitter.com/isrdotcom")</f>
        <v>https://twitter.com/isrdotcom</v>
      </c>
      <c r="AZ737" s="80" t="s">
        <v>66</v>
      </c>
      <c r="BA737" s="2"/>
      <c r="BB737" s="3"/>
      <c r="BC737" s="3"/>
      <c r="BD737" s="3"/>
      <c r="BE737" s="3"/>
    </row>
    <row r="738" spans="1:57" x14ac:dyDescent="0.35">
      <c r="A738" s="66" t="s">
        <v>809</v>
      </c>
      <c r="B738" s="67"/>
      <c r="C738" s="67"/>
      <c r="D738" s="68"/>
      <c r="E738" s="70"/>
      <c r="F738" s="109" t="str">
        <f>HYPERLINK("https://pbs.twimg.com/profile_images/1197502479895711749/2_Xe98P1_normal.jpg")</f>
        <v>https://pbs.twimg.com/profile_images/1197502479895711749/2_Xe98P1_normal.jpg</v>
      </c>
      <c r="G738" s="67"/>
      <c r="H738" s="71"/>
      <c r="I738" s="72"/>
      <c r="J738" s="72"/>
      <c r="K738" s="71" t="s">
        <v>11481</v>
      </c>
      <c r="L738" s="75"/>
      <c r="M738" s="76"/>
      <c r="N738" s="76"/>
      <c r="O738" s="77"/>
      <c r="P738" s="78"/>
      <c r="Q738" s="78"/>
      <c r="R738" s="92"/>
      <c r="S738" s="92"/>
      <c r="T738" s="92"/>
      <c r="U738" s="92"/>
      <c r="V738" s="52"/>
      <c r="W738" s="52"/>
      <c r="X738" s="52"/>
      <c r="Y738" s="52"/>
      <c r="Z738" s="51"/>
      <c r="AA738" s="73"/>
      <c r="AB738" s="73"/>
      <c r="AC738" s="74"/>
      <c r="AD738" s="80" t="s">
        <v>7309</v>
      </c>
      <c r="AE738" s="85" t="s">
        <v>6355</v>
      </c>
      <c r="AF738" s="80">
        <v>385</v>
      </c>
      <c r="AG738" s="80">
        <v>496</v>
      </c>
      <c r="AH738" s="80">
        <v>1521</v>
      </c>
      <c r="AI738" s="80">
        <v>220</v>
      </c>
      <c r="AJ738" s="80"/>
      <c r="AK738" s="80" t="s">
        <v>9616</v>
      </c>
      <c r="AL738" s="80" t="s">
        <v>10490</v>
      </c>
      <c r="AM738" s="87" t="str">
        <f>HYPERLINK("https://t.co/QN5dBV9o90")</f>
        <v>https://t.co/QN5dBV9o90</v>
      </c>
      <c r="AN738" s="80"/>
      <c r="AO738" s="82">
        <v>41639.354201388887</v>
      </c>
      <c r="AP738" s="87" t="str">
        <f>HYPERLINK("https://pbs.twimg.com/profile_banners/2270093233/1629293433")</f>
        <v>https://pbs.twimg.com/profile_banners/2270093233/1629293433</v>
      </c>
      <c r="AQ738" s="80" t="b">
        <v>1</v>
      </c>
      <c r="AR738" s="80" t="b">
        <v>0</v>
      </c>
      <c r="AS738" s="80" t="b">
        <v>1</v>
      </c>
      <c r="AT738" s="80"/>
      <c r="AU738" s="80">
        <v>2</v>
      </c>
      <c r="AV738" s="87" t="str">
        <f>HYPERLINK("https://abs.twimg.com/images/themes/theme1/bg.png")</f>
        <v>https://abs.twimg.com/images/themes/theme1/bg.png</v>
      </c>
      <c r="AW738" s="80" t="b">
        <v>0</v>
      </c>
      <c r="AX738" s="80" t="s">
        <v>10746</v>
      </c>
      <c r="AY738" s="87" t="str">
        <f>HYPERLINK("https://twitter.com/pajakbela")</f>
        <v>https://twitter.com/pajakbela</v>
      </c>
      <c r="AZ738" s="80" t="s">
        <v>66</v>
      </c>
      <c r="BA738" s="2"/>
      <c r="BB738" s="3"/>
      <c r="BC738" s="3"/>
      <c r="BD738" s="3"/>
      <c r="BE738" s="3"/>
    </row>
    <row r="739" spans="1:57" x14ac:dyDescent="0.35">
      <c r="A739" s="66" t="s">
        <v>1402</v>
      </c>
      <c r="B739" s="67"/>
      <c r="C739" s="67"/>
      <c r="D739" s="68"/>
      <c r="E739" s="70"/>
      <c r="F739" s="109" t="str">
        <f>HYPERLINK("https://pbs.twimg.com/profile_images/1080425508494499841/P6_OY-qe_normal.jpg")</f>
        <v>https://pbs.twimg.com/profile_images/1080425508494499841/P6_OY-qe_normal.jpg</v>
      </c>
      <c r="G739" s="67"/>
      <c r="H739" s="71"/>
      <c r="I739" s="72"/>
      <c r="J739" s="72"/>
      <c r="K739" s="71" t="s">
        <v>11482</v>
      </c>
      <c r="L739" s="75"/>
      <c r="M739" s="76"/>
      <c r="N739" s="76"/>
      <c r="O739" s="77"/>
      <c r="P739" s="78"/>
      <c r="Q739" s="78"/>
      <c r="R739" s="92"/>
      <c r="S739" s="92"/>
      <c r="T739" s="92"/>
      <c r="U739" s="92"/>
      <c r="V739" s="52"/>
      <c r="W739" s="52"/>
      <c r="X739" s="52"/>
      <c r="Y739" s="52"/>
      <c r="Z739" s="51"/>
      <c r="AA739" s="73"/>
      <c r="AB739" s="73"/>
      <c r="AC739" s="74"/>
      <c r="AD739" s="80" t="s">
        <v>7310</v>
      </c>
      <c r="AE739" s="85" t="s">
        <v>8493</v>
      </c>
      <c r="AF739" s="80">
        <v>33</v>
      </c>
      <c r="AG739" s="80">
        <v>203098</v>
      </c>
      <c r="AH739" s="80">
        <v>27794</v>
      </c>
      <c r="AI739" s="80">
        <v>49</v>
      </c>
      <c r="AJ739" s="80"/>
      <c r="AK739" s="80" t="s">
        <v>9617</v>
      </c>
      <c r="AL739" s="80" t="s">
        <v>6543</v>
      </c>
      <c r="AM739" s="87" t="str">
        <f>HYPERLINK("https://t.co/KVYY3F85Hk")</f>
        <v>https://t.co/KVYY3F85Hk</v>
      </c>
      <c r="AN739" s="80"/>
      <c r="AO739" s="82">
        <v>41001.431967592594</v>
      </c>
      <c r="AP739" s="87" t="str">
        <f>HYPERLINK("https://pbs.twimg.com/profile_banners/543294959/1599032342")</f>
        <v>https://pbs.twimg.com/profile_banners/543294959/1599032342</v>
      </c>
      <c r="AQ739" s="80" t="b">
        <v>0</v>
      </c>
      <c r="AR739" s="80" t="b">
        <v>0</v>
      </c>
      <c r="AS739" s="80" t="b">
        <v>1</v>
      </c>
      <c r="AT739" s="80"/>
      <c r="AU739" s="80">
        <v>185</v>
      </c>
      <c r="AV739" s="87" t="str">
        <f>HYPERLINK("https://abs.twimg.com/images/themes/theme19/bg.gif")</f>
        <v>https://abs.twimg.com/images/themes/theme19/bg.gif</v>
      </c>
      <c r="AW739" s="80" t="b">
        <v>1</v>
      </c>
      <c r="AX739" s="80" t="s">
        <v>10746</v>
      </c>
      <c r="AY739" s="87" t="str">
        <f>HYPERLINK("https://twitter.com/ditjenpajakri")</f>
        <v>https://twitter.com/ditjenpajakri</v>
      </c>
      <c r="AZ739" s="80" t="s">
        <v>65</v>
      </c>
      <c r="BA739" s="2"/>
      <c r="BB739" s="3"/>
      <c r="BC739" s="3"/>
      <c r="BD739" s="3"/>
      <c r="BE739" s="3"/>
    </row>
    <row r="740" spans="1:57" x14ac:dyDescent="0.35">
      <c r="A740" s="66" t="s">
        <v>810</v>
      </c>
      <c r="B740" s="67"/>
      <c r="C740" s="67"/>
      <c r="D740" s="68"/>
      <c r="E740" s="70"/>
      <c r="F740" s="109" t="str">
        <f>HYPERLINK("https://pbs.twimg.com/profile_images/1224611759006175233/DX5u-J7U_normal.jpg")</f>
        <v>https://pbs.twimg.com/profile_images/1224611759006175233/DX5u-J7U_normal.jpg</v>
      </c>
      <c r="G740" s="67"/>
      <c r="H740" s="71"/>
      <c r="I740" s="72"/>
      <c r="J740" s="72"/>
      <c r="K740" s="71" t="s">
        <v>11483</v>
      </c>
      <c r="L740" s="75"/>
      <c r="M740" s="76"/>
      <c r="N740" s="76"/>
      <c r="O740" s="77"/>
      <c r="P740" s="78"/>
      <c r="Q740" s="78"/>
      <c r="R740" s="92"/>
      <c r="S740" s="92"/>
      <c r="T740" s="92"/>
      <c r="U740" s="92"/>
      <c r="V740" s="52"/>
      <c r="W740" s="52"/>
      <c r="X740" s="52"/>
      <c r="Y740" s="52"/>
      <c r="Z740" s="51"/>
      <c r="AA740" s="73"/>
      <c r="AB740" s="73"/>
      <c r="AC740" s="74"/>
      <c r="AD740" s="80" t="s">
        <v>810</v>
      </c>
      <c r="AE740" s="85" t="s">
        <v>8494</v>
      </c>
      <c r="AF740" s="80">
        <v>16</v>
      </c>
      <c r="AG740" s="80">
        <v>1040</v>
      </c>
      <c r="AH740" s="80">
        <v>755</v>
      </c>
      <c r="AI740" s="80">
        <v>677</v>
      </c>
      <c r="AJ740" s="80"/>
      <c r="AK740" s="80" t="s">
        <v>9618</v>
      </c>
      <c r="AL740" s="80" t="s">
        <v>10491</v>
      </c>
      <c r="AM740" s="80"/>
      <c r="AN740" s="80"/>
      <c r="AO740" s="82">
        <v>42250.608657407407</v>
      </c>
      <c r="AP740" s="87" t="str">
        <f>HYPERLINK("https://pbs.twimg.com/profile_banners/3437837953/1597487118")</f>
        <v>https://pbs.twimg.com/profile_banners/3437837953/1597487118</v>
      </c>
      <c r="AQ740" s="80" t="b">
        <v>1</v>
      </c>
      <c r="AR740" s="80" t="b">
        <v>0</v>
      </c>
      <c r="AS740" s="80" t="b">
        <v>0</v>
      </c>
      <c r="AT740" s="80"/>
      <c r="AU740" s="80">
        <v>0</v>
      </c>
      <c r="AV740" s="87" t="str">
        <f>HYPERLINK("https://abs.twimg.com/images/themes/theme1/bg.png")</f>
        <v>https://abs.twimg.com/images/themes/theme1/bg.png</v>
      </c>
      <c r="AW740" s="80" t="b">
        <v>0</v>
      </c>
      <c r="AX740" s="80" t="s">
        <v>10746</v>
      </c>
      <c r="AY740" s="87" t="str">
        <f>HYPERLINK("https://twitter.com/pajakmanna")</f>
        <v>https://twitter.com/pajakmanna</v>
      </c>
      <c r="AZ740" s="80" t="s">
        <v>66</v>
      </c>
      <c r="BA740" s="2"/>
      <c r="BB740" s="3"/>
      <c r="BC740" s="3"/>
      <c r="BD740" s="3"/>
      <c r="BE740" s="3"/>
    </row>
    <row r="741" spans="1:57" x14ac:dyDescent="0.35">
      <c r="A741" s="66" t="s">
        <v>811</v>
      </c>
      <c r="B741" s="67"/>
      <c r="C741" s="67"/>
      <c r="D741" s="68"/>
      <c r="E741" s="70"/>
      <c r="F741" s="109" t="str">
        <f>HYPERLINK("https://pbs.twimg.com/profile_images/1440316386513850370/n2SpEeqH_normal.jpg")</f>
        <v>https://pbs.twimg.com/profile_images/1440316386513850370/n2SpEeqH_normal.jpg</v>
      </c>
      <c r="G741" s="67"/>
      <c r="H741" s="71"/>
      <c r="I741" s="72"/>
      <c r="J741" s="72"/>
      <c r="K741" s="71" t="s">
        <v>11484</v>
      </c>
      <c r="L741" s="75"/>
      <c r="M741" s="76"/>
      <c r="N741" s="76"/>
      <c r="O741" s="77"/>
      <c r="P741" s="78"/>
      <c r="Q741" s="78"/>
      <c r="R741" s="92"/>
      <c r="S741" s="92"/>
      <c r="T741" s="92"/>
      <c r="U741" s="92"/>
      <c r="V741" s="52"/>
      <c r="W741" s="52"/>
      <c r="X741" s="52"/>
      <c r="Y741" s="52"/>
      <c r="Z741" s="51"/>
      <c r="AA741" s="73"/>
      <c r="AB741" s="73"/>
      <c r="AC741" s="74"/>
      <c r="AD741" s="80" t="s">
        <v>7311</v>
      </c>
      <c r="AE741" s="85" t="s">
        <v>8495</v>
      </c>
      <c r="AF741" s="80">
        <v>487</v>
      </c>
      <c r="AG741" s="80">
        <v>520</v>
      </c>
      <c r="AH741" s="80">
        <v>11727</v>
      </c>
      <c r="AI741" s="80">
        <v>496</v>
      </c>
      <c r="AJ741" s="80"/>
      <c r="AK741" s="80" t="s">
        <v>9619</v>
      </c>
      <c r="AL741" s="80" t="s">
        <v>10492</v>
      </c>
      <c r="AM741" s="80"/>
      <c r="AN741" s="80"/>
      <c r="AO741" s="82">
        <v>42447.068159722221</v>
      </c>
      <c r="AP741" s="87" t="str">
        <f>HYPERLINK("https://pbs.twimg.com/profile_banners/710641408940572672/1632220831")</f>
        <v>https://pbs.twimg.com/profile_banners/710641408940572672/1632220831</v>
      </c>
      <c r="AQ741" s="80" t="b">
        <v>1</v>
      </c>
      <c r="AR741" s="80" t="b">
        <v>0</v>
      </c>
      <c r="AS741" s="80" t="b">
        <v>0</v>
      </c>
      <c r="AT741" s="80"/>
      <c r="AU741" s="80">
        <v>0</v>
      </c>
      <c r="AV741" s="80"/>
      <c r="AW741" s="80" t="b">
        <v>0</v>
      </c>
      <c r="AX741" s="80" t="s">
        <v>10746</v>
      </c>
      <c r="AY741" s="87" t="str">
        <f>HYPERLINK("https://twitter.com/sherlynzlee")</f>
        <v>https://twitter.com/sherlynzlee</v>
      </c>
      <c r="AZ741" s="80" t="s">
        <v>66</v>
      </c>
      <c r="BA741" s="2"/>
      <c r="BB741" s="3"/>
      <c r="BC741" s="3"/>
      <c r="BD741" s="3"/>
      <c r="BE741" s="3"/>
    </row>
    <row r="742" spans="1:57" x14ac:dyDescent="0.35">
      <c r="A742" s="66" t="s">
        <v>812</v>
      </c>
      <c r="B742" s="67"/>
      <c r="C742" s="67"/>
      <c r="D742" s="68"/>
      <c r="E742" s="70"/>
      <c r="F742" s="109" t="str">
        <f>HYPERLINK("https://pbs.twimg.com/profile_images/1442483374593961984/iO-bL88c_normal.jpg")</f>
        <v>https://pbs.twimg.com/profile_images/1442483374593961984/iO-bL88c_normal.jpg</v>
      </c>
      <c r="G742" s="67"/>
      <c r="H742" s="71"/>
      <c r="I742" s="72"/>
      <c r="J742" s="72"/>
      <c r="K742" s="71" t="s">
        <v>11485</v>
      </c>
      <c r="L742" s="75"/>
      <c r="M742" s="76"/>
      <c r="N742" s="76"/>
      <c r="O742" s="77"/>
      <c r="P742" s="78"/>
      <c r="Q742" s="78"/>
      <c r="R742" s="92"/>
      <c r="S742" s="92"/>
      <c r="T742" s="92"/>
      <c r="U742" s="92"/>
      <c r="V742" s="52"/>
      <c r="W742" s="52"/>
      <c r="X742" s="52"/>
      <c r="Y742" s="52"/>
      <c r="Z742" s="51"/>
      <c r="AA742" s="73"/>
      <c r="AB742" s="73"/>
      <c r="AC742" s="74"/>
      <c r="AD742" s="80" t="s">
        <v>7312</v>
      </c>
      <c r="AE742" s="85" t="s">
        <v>8496</v>
      </c>
      <c r="AF742" s="80">
        <v>2161</v>
      </c>
      <c r="AG742" s="80">
        <v>652</v>
      </c>
      <c r="AH742" s="80">
        <v>21342</v>
      </c>
      <c r="AI742" s="80">
        <v>11368</v>
      </c>
      <c r="AJ742" s="80"/>
      <c r="AK742" s="80" t="s">
        <v>9620</v>
      </c>
      <c r="AL742" s="80" t="s">
        <v>10493</v>
      </c>
      <c r="AM742" s="87" t="str">
        <f>HYPERLINK("https://t.co/XwLBMYdGkk")</f>
        <v>https://t.co/XwLBMYdGkk</v>
      </c>
      <c r="AN742" s="80"/>
      <c r="AO742" s="82">
        <v>44246.053101851852</v>
      </c>
      <c r="AP742" s="87" t="str">
        <f>HYPERLINK("https://pbs.twimg.com/profile_banners/1362571418039324673/1629569754")</f>
        <v>https://pbs.twimg.com/profile_banners/1362571418039324673/1629569754</v>
      </c>
      <c r="AQ742" s="80" t="b">
        <v>1</v>
      </c>
      <c r="AR742" s="80" t="b">
        <v>0</v>
      </c>
      <c r="AS742" s="80" t="b">
        <v>0</v>
      </c>
      <c r="AT742" s="80"/>
      <c r="AU742" s="80">
        <v>0</v>
      </c>
      <c r="AV742" s="80"/>
      <c r="AW742" s="80" t="b">
        <v>0</v>
      </c>
      <c r="AX742" s="80" t="s">
        <v>10746</v>
      </c>
      <c r="AY742" s="87" t="str">
        <f>HYPERLINK("https://twitter.com/temandeeptalk")</f>
        <v>https://twitter.com/temandeeptalk</v>
      </c>
      <c r="AZ742" s="80" t="s">
        <v>66</v>
      </c>
      <c r="BA742" s="2"/>
      <c r="BB742" s="3"/>
      <c r="BC742" s="3"/>
      <c r="BD742" s="3"/>
      <c r="BE742" s="3"/>
    </row>
    <row r="743" spans="1:57" x14ac:dyDescent="0.35">
      <c r="A743" s="66" t="s">
        <v>813</v>
      </c>
      <c r="B743" s="67"/>
      <c r="C743" s="67"/>
      <c r="D743" s="68"/>
      <c r="E743" s="70"/>
      <c r="F743" s="109" t="str">
        <f>HYPERLINK("https://pbs.twimg.com/profile_images/1425509431366746116/oZwqppkv_normal.jpg")</f>
        <v>https://pbs.twimg.com/profile_images/1425509431366746116/oZwqppkv_normal.jpg</v>
      </c>
      <c r="G743" s="67"/>
      <c r="H743" s="71"/>
      <c r="I743" s="72"/>
      <c r="J743" s="72"/>
      <c r="K743" s="71" t="s">
        <v>11486</v>
      </c>
      <c r="L743" s="75"/>
      <c r="M743" s="76"/>
      <c r="N743" s="76"/>
      <c r="O743" s="77"/>
      <c r="P743" s="78"/>
      <c r="Q743" s="78"/>
      <c r="R743" s="92"/>
      <c r="S743" s="92"/>
      <c r="T743" s="92"/>
      <c r="U743" s="92"/>
      <c r="V743" s="52"/>
      <c r="W743" s="52"/>
      <c r="X743" s="52"/>
      <c r="Y743" s="52"/>
      <c r="Z743" s="51"/>
      <c r="AA743" s="73"/>
      <c r="AB743" s="73"/>
      <c r="AC743" s="74"/>
      <c r="AD743" s="80" t="s">
        <v>7313</v>
      </c>
      <c r="AE743" s="85" t="s">
        <v>8497</v>
      </c>
      <c r="AF743" s="80">
        <v>246</v>
      </c>
      <c r="AG743" s="80">
        <v>741</v>
      </c>
      <c r="AH743" s="80">
        <v>10847</v>
      </c>
      <c r="AI743" s="80">
        <v>904</v>
      </c>
      <c r="AJ743" s="80"/>
      <c r="AK743" s="80" t="s">
        <v>9621</v>
      </c>
      <c r="AL743" s="80" t="s">
        <v>10494</v>
      </c>
      <c r="AM743" s="80"/>
      <c r="AN743" s="80"/>
      <c r="AO743" s="82">
        <v>40626.334490740737</v>
      </c>
      <c r="AP743" s="87" t="str">
        <f>HYPERLINK("https://pbs.twimg.com/profile_banners/271314800/1612491927")</f>
        <v>https://pbs.twimg.com/profile_banners/271314800/1612491927</v>
      </c>
      <c r="AQ743" s="80" t="b">
        <v>0</v>
      </c>
      <c r="AR743" s="80" t="b">
        <v>0</v>
      </c>
      <c r="AS743" s="80" t="b">
        <v>1</v>
      </c>
      <c r="AT743" s="80"/>
      <c r="AU743" s="80">
        <v>0</v>
      </c>
      <c r="AV743" s="87" t="str">
        <f>HYPERLINK("https://abs.twimg.com/images/themes/theme1/bg.png")</f>
        <v>https://abs.twimg.com/images/themes/theme1/bg.png</v>
      </c>
      <c r="AW743" s="80" t="b">
        <v>0</v>
      </c>
      <c r="AX743" s="80" t="s">
        <v>10746</v>
      </c>
      <c r="AY743" s="87" t="str">
        <f>HYPERLINK("https://twitter.com/dodotcantik")</f>
        <v>https://twitter.com/dodotcantik</v>
      </c>
      <c r="AZ743" s="80" t="s">
        <v>66</v>
      </c>
      <c r="BA743" s="2"/>
      <c r="BB743" s="3"/>
      <c r="BC743" s="3"/>
      <c r="BD743" s="3"/>
      <c r="BE743" s="3"/>
    </row>
    <row r="744" spans="1:57" x14ac:dyDescent="0.35">
      <c r="A744" s="66" t="s">
        <v>814</v>
      </c>
      <c r="B744" s="67"/>
      <c r="C744" s="67"/>
      <c r="D744" s="68"/>
      <c r="E744" s="70"/>
      <c r="F744" s="109" t="str">
        <f>HYPERLINK("https://pbs.twimg.com/profile_images/1436400795201593345/60s4ORzQ_normal.jpg")</f>
        <v>https://pbs.twimg.com/profile_images/1436400795201593345/60s4ORzQ_normal.jpg</v>
      </c>
      <c r="G744" s="67"/>
      <c r="H744" s="71"/>
      <c r="I744" s="72"/>
      <c r="J744" s="72"/>
      <c r="K744" s="71" t="s">
        <v>11487</v>
      </c>
      <c r="L744" s="75"/>
      <c r="M744" s="76"/>
      <c r="N744" s="76"/>
      <c r="O744" s="77"/>
      <c r="P744" s="78"/>
      <c r="Q744" s="78"/>
      <c r="R744" s="92"/>
      <c r="S744" s="92"/>
      <c r="T744" s="92"/>
      <c r="U744" s="92"/>
      <c r="V744" s="52"/>
      <c r="W744" s="52"/>
      <c r="X744" s="52"/>
      <c r="Y744" s="52"/>
      <c r="Z744" s="51"/>
      <c r="AA744" s="73"/>
      <c r="AB744" s="73"/>
      <c r="AC744" s="74"/>
      <c r="AD744" s="80" t="s">
        <v>7314</v>
      </c>
      <c r="AE744" s="85" t="s">
        <v>8498</v>
      </c>
      <c r="AF744" s="80">
        <v>469</v>
      </c>
      <c r="AG744" s="80">
        <v>1238</v>
      </c>
      <c r="AH744" s="80">
        <v>25147</v>
      </c>
      <c r="AI744" s="80">
        <v>16329</v>
      </c>
      <c r="AJ744" s="80"/>
      <c r="AK744" s="80" t="s">
        <v>9622</v>
      </c>
      <c r="AL744" s="80" t="s">
        <v>10495</v>
      </c>
      <c r="AM744" s="87" t="str">
        <f>HYPERLINK("https://t.co/wk0Hq2PUn8")</f>
        <v>https://t.co/wk0Hq2PUn8</v>
      </c>
      <c r="AN744" s="80"/>
      <c r="AO744" s="82">
        <v>43880.58871527778</v>
      </c>
      <c r="AP744" s="87" t="str">
        <f>HYPERLINK("https://pbs.twimg.com/profile_banners/1230131779878604801/1629357607")</f>
        <v>https://pbs.twimg.com/profile_banners/1230131779878604801/1629357607</v>
      </c>
      <c r="AQ744" s="80" t="b">
        <v>1</v>
      </c>
      <c r="AR744" s="80" t="b">
        <v>0</v>
      </c>
      <c r="AS744" s="80" t="b">
        <v>0</v>
      </c>
      <c r="AT744" s="80"/>
      <c r="AU744" s="80">
        <v>0</v>
      </c>
      <c r="AV744" s="80"/>
      <c r="AW744" s="80" t="b">
        <v>0</v>
      </c>
      <c r="AX744" s="80" t="s">
        <v>10746</v>
      </c>
      <c r="AY744" s="87" t="str">
        <f>HYPERLINK("https://twitter.com/shattapyou")</f>
        <v>https://twitter.com/shattapyou</v>
      </c>
      <c r="AZ744" s="80" t="s">
        <v>66</v>
      </c>
      <c r="BA744" s="2"/>
      <c r="BB744" s="3"/>
      <c r="BC744" s="3"/>
      <c r="BD744" s="3"/>
      <c r="BE744" s="3"/>
    </row>
    <row r="745" spans="1:57" x14ac:dyDescent="0.35">
      <c r="A745" s="66" t="s">
        <v>1403</v>
      </c>
      <c r="B745" s="67"/>
      <c r="C745" s="67"/>
      <c r="D745" s="68"/>
      <c r="E745" s="70"/>
      <c r="F745" s="109" t="str">
        <f>HYPERLINK("https://pbs.twimg.com/profile_images/1436726212580155392/Ni7u_tTd_normal.jpg")</f>
        <v>https://pbs.twimg.com/profile_images/1436726212580155392/Ni7u_tTd_normal.jpg</v>
      </c>
      <c r="G745" s="67"/>
      <c r="H745" s="71"/>
      <c r="I745" s="72"/>
      <c r="J745" s="72"/>
      <c r="K745" s="71" t="s">
        <v>11488</v>
      </c>
      <c r="L745" s="75"/>
      <c r="M745" s="76"/>
      <c r="N745" s="76"/>
      <c r="O745" s="77"/>
      <c r="P745" s="78"/>
      <c r="Q745" s="78"/>
      <c r="R745" s="92"/>
      <c r="S745" s="92"/>
      <c r="T745" s="92"/>
      <c r="U745" s="92"/>
      <c r="V745" s="52"/>
      <c r="W745" s="52"/>
      <c r="X745" s="52"/>
      <c r="Y745" s="52"/>
      <c r="Z745" s="51"/>
      <c r="AA745" s="73"/>
      <c r="AB745" s="73"/>
      <c r="AC745" s="74"/>
      <c r="AD745" s="80" t="s">
        <v>7315</v>
      </c>
      <c r="AE745" s="85" t="s">
        <v>6356</v>
      </c>
      <c r="AF745" s="80">
        <v>66</v>
      </c>
      <c r="AG745" s="80">
        <v>34</v>
      </c>
      <c r="AH745" s="80">
        <v>295</v>
      </c>
      <c r="AI745" s="80">
        <v>152</v>
      </c>
      <c r="AJ745" s="80"/>
      <c r="AK745" s="80" t="s">
        <v>9623</v>
      </c>
      <c r="AL745" s="80"/>
      <c r="AM745" s="80"/>
      <c r="AN745" s="80"/>
      <c r="AO745" s="82">
        <v>44414.53979166667</v>
      </c>
      <c r="AP745" s="80"/>
      <c r="AQ745" s="80" t="b">
        <v>1</v>
      </c>
      <c r="AR745" s="80" t="b">
        <v>0</v>
      </c>
      <c r="AS745" s="80" t="b">
        <v>0</v>
      </c>
      <c r="AT745" s="80"/>
      <c r="AU745" s="80">
        <v>0</v>
      </c>
      <c r="AV745" s="80"/>
      <c r="AW745" s="80" t="b">
        <v>0</v>
      </c>
      <c r="AX745" s="80" t="s">
        <v>10746</v>
      </c>
      <c r="AY745" s="87" t="str">
        <f>HYPERLINK("https://twitter.com/lonelyboy77x")</f>
        <v>https://twitter.com/lonelyboy77x</v>
      </c>
      <c r="AZ745" s="80" t="s">
        <v>65</v>
      </c>
      <c r="BA745" s="2"/>
      <c r="BB745" s="3"/>
      <c r="BC745" s="3"/>
      <c r="BD745" s="3"/>
      <c r="BE745" s="3"/>
    </row>
    <row r="746" spans="1:57" x14ac:dyDescent="0.35">
      <c r="A746" s="66" t="s">
        <v>815</v>
      </c>
      <c r="B746" s="67"/>
      <c r="C746" s="67"/>
      <c r="D746" s="68"/>
      <c r="E746" s="70"/>
      <c r="F746" s="109" t="str">
        <f>HYPERLINK("https://pbs.twimg.com/profile_images/1336640123828543491/7YNLJsz__normal.jpg")</f>
        <v>https://pbs.twimg.com/profile_images/1336640123828543491/7YNLJsz__normal.jpg</v>
      </c>
      <c r="G746" s="67"/>
      <c r="H746" s="71"/>
      <c r="I746" s="72"/>
      <c r="J746" s="72"/>
      <c r="K746" s="71" t="s">
        <v>11489</v>
      </c>
      <c r="L746" s="75"/>
      <c r="M746" s="76"/>
      <c r="N746" s="76"/>
      <c r="O746" s="77"/>
      <c r="P746" s="78"/>
      <c r="Q746" s="78"/>
      <c r="R746" s="92"/>
      <c r="S746" s="92"/>
      <c r="T746" s="92"/>
      <c r="U746" s="92"/>
      <c r="V746" s="52"/>
      <c r="W746" s="52"/>
      <c r="X746" s="52"/>
      <c r="Y746" s="52"/>
      <c r="Z746" s="51"/>
      <c r="AA746" s="73"/>
      <c r="AB746" s="73"/>
      <c r="AC746" s="74"/>
      <c r="AD746" s="80" t="s">
        <v>7316</v>
      </c>
      <c r="AE746" s="85" t="s">
        <v>8499</v>
      </c>
      <c r="AF746" s="80">
        <v>486</v>
      </c>
      <c r="AG746" s="80">
        <v>736</v>
      </c>
      <c r="AH746" s="80">
        <v>30240</v>
      </c>
      <c r="AI746" s="80">
        <v>5620</v>
      </c>
      <c r="AJ746" s="80"/>
      <c r="AK746" s="80" t="s">
        <v>9624</v>
      </c>
      <c r="AL746" s="80" t="s">
        <v>10311</v>
      </c>
      <c r="AM746" s="87" t="str">
        <f>HYPERLINK("https://t.co/HineTI8WUH")</f>
        <v>https://t.co/HineTI8WUH</v>
      </c>
      <c r="AN746" s="80"/>
      <c r="AO746" s="82">
        <v>40978.223692129628</v>
      </c>
      <c r="AP746" s="87" t="str">
        <f>HYPERLINK("https://pbs.twimg.com/profile_banners/520116042/1621425193")</f>
        <v>https://pbs.twimg.com/profile_banners/520116042/1621425193</v>
      </c>
      <c r="AQ746" s="80" t="b">
        <v>0</v>
      </c>
      <c r="AR746" s="80" t="b">
        <v>0</v>
      </c>
      <c r="AS746" s="80" t="b">
        <v>1</v>
      </c>
      <c r="AT746" s="80"/>
      <c r="AU746" s="80">
        <v>1</v>
      </c>
      <c r="AV746" s="87" t="str">
        <f>HYPERLINK("https://abs.twimg.com/images/themes/theme1/bg.png")</f>
        <v>https://abs.twimg.com/images/themes/theme1/bg.png</v>
      </c>
      <c r="AW746" s="80" t="b">
        <v>0</v>
      </c>
      <c r="AX746" s="80" t="s">
        <v>10746</v>
      </c>
      <c r="AY746" s="87" t="str">
        <f>HYPERLINK("https://twitter.com/tsyahana")</f>
        <v>https://twitter.com/tsyahana</v>
      </c>
      <c r="AZ746" s="80" t="s">
        <v>66</v>
      </c>
      <c r="BA746" s="2"/>
      <c r="BB746" s="3"/>
      <c r="BC746" s="3"/>
      <c r="BD746" s="3"/>
      <c r="BE746" s="3"/>
    </row>
    <row r="747" spans="1:57" x14ac:dyDescent="0.35">
      <c r="A747" s="66" t="s">
        <v>816</v>
      </c>
      <c r="B747" s="67"/>
      <c r="C747" s="67"/>
      <c r="D747" s="68"/>
      <c r="E747" s="70"/>
      <c r="F747" s="109" t="str">
        <f>HYPERLINK("https://pbs.twimg.com/profile_images/1421067088865611776/SE1sUnJA_normal.jpg")</f>
        <v>https://pbs.twimg.com/profile_images/1421067088865611776/SE1sUnJA_normal.jpg</v>
      </c>
      <c r="G747" s="67"/>
      <c r="H747" s="71"/>
      <c r="I747" s="72"/>
      <c r="J747" s="72"/>
      <c r="K747" s="71" t="s">
        <v>11490</v>
      </c>
      <c r="L747" s="75"/>
      <c r="M747" s="76"/>
      <c r="N747" s="76"/>
      <c r="O747" s="77"/>
      <c r="P747" s="78"/>
      <c r="Q747" s="78"/>
      <c r="R747" s="92"/>
      <c r="S747" s="92"/>
      <c r="T747" s="92"/>
      <c r="U747" s="92"/>
      <c r="V747" s="52"/>
      <c r="W747" s="52"/>
      <c r="X747" s="52"/>
      <c r="Y747" s="52"/>
      <c r="Z747" s="51"/>
      <c r="AA747" s="73"/>
      <c r="AB747" s="73"/>
      <c r="AC747" s="74"/>
      <c r="AD747" s="80" t="s">
        <v>7317</v>
      </c>
      <c r="AE747" s="85" t="s">
        <v>8500</v>
      </c>
      <c r="AF747" s="80">
        <v>181</v>
      </c>
      <c r="AG747" s="80">
        <v>1083</v>
      </c>
      <c r="AH747" s="80">
        <v>5237</v>
      </c>
      <c r="AI747" s="80">
        <v>279</v>
      </c>
      <c r="AJ747" s="80"/>
      <c r="AK747" s="80"/>
      <c r="AL747" s="80"/>
      <c r="AM747" s="80"/>
      <c r="AN747" s="80"/>
      <c r="AO747" s="82">
        <v>44174.178402777776</v>
      </c>
      <c r="AP747" s="87" t="str">
        <f>HYPERLINK("https://pbs.twimg.com/profile_banners/1336525151110754306/1627643696")</f>
        <v>https://pbs.twimg.com/profile_banners/1336525151110754306/1627643696</v>
      </c>
      <c r="AQ747" s="80" t="b">
        <v>1</v>
      </c>
      <c r="AR747" s="80" t="b">
        <v>0</v>
      </c>
      <c r="AS747" s="80" t="b">
        <v>0</v>
      </c>
      <c r="AT747" s="80"/>
      <c r="AU747" s="80">
        <v>2</v>
      </c>
      <c r="AV747" s="80"/>
      <c r="AW747" s="80" t="b">
        <v>0</v>
      </c>
      <c r="AX747" s="80" t="s">
        <v>10746</v>
      </c>
      <c r="AY747" s="87" t="str">
        <f>HYPERLINK("https://twitter.com/deobimarket")</f>
        <v>https://twitter.com/deobimarket</v>
      </c>
      <c r="AZ747" s="80" t="s">
        <v>66</v>
      </c>
      <c r="BA747" s="2"/>
      <c r="BB747" s="3"/>
      <c r="BC747" s="3"/>
      <c r="BD747" s="3"/>
      <c r="BE747" s="3"/>
    </row>
    <row r="748" spans="1:57" x14ac:dyDescent="0.35">
      <c r="A748" s="66" t="s">
        <v>817</v>
      </c>
      <c r="B748" s="67"/>
      <c r="C748" s="67"/>
      <c r="D748" s="68"/>
      <c r="E748" s="70"/>
      <c r="F748" s="109" t="str">
        <f>HYPERLINK("https://pbs.twimg.com/profile_images/1376026828968632324/wlSf4RqP_normal.jpg")</f>
        <v>https://pbs.twimg.com/profile_images/1376026828968632324/wlSf4RqP_normal.jpg</v>
      </c>
      <c r="G748" s="67"/>
      <c r="H748" s="71"/>
      <c r="I748" s="72"/>
      <c r="J748" s="72"/>
      <c r="K748" s="71" t="s">
        <v>11491</v>
      </c>
      <c r="L748" s="75"/>
      <c r="M748" s="76"/>
      <c r="N748" s="76"/>
      <c r="O748" s="77"/>
      <c r="P748" s="78"/>
      <c r="Q748" s="78"/>
      <c r="R748" s="92"/>
      <c r="S748" s="92"/>
      <c r="T748" s="92"/>
      <c r="U748" s="92"/>
      <c r="V748" s="52"/>
      <c r="W748" s="52"/>
      <c r="X748" s="52"/>
      <c r="Y748" s="52"/>
      <c r="Z748" s="51"/>
      <c r="AA748" s="73"/>
      <c r="AB748" s="73"/>
      <c r="AC748" s="74"/>
      <c r="AD748" s="80" t="s">
        <v>7318</v>
      </c>
      <c r="AE748" s="85" t="s">
        <v>8501</v>
      </c>
      <c r="AF748" s="80">
        <v>12</v>
      </c>
      <c r="AG748" s="80">
        <v>2201</v>
      </c>
      <c r="AH748" s="80">
        <v>8490</v>
      </c>
      <c r="AI748" s="80">
        <v>44</v>
      </c>
      <c r="AJ748" s="80"/>
      <c r="AK748" s="80" t="s">
        <v>9625</v>
      </c>
      <c r="AL748" s="80" t="s">
        <v>10182</v>
      </c>
      <c r="AM748" s="87" t="str">
        <f>HYPERLINK("https://t.co/Pp1Qfng7iO")</f>
        <v>https://t.co/Pp1Qfng7iO</v>
      </c>
      <c r="AN748" s="80"/>
      <c r="AO748" s="82">
        <v>44011.092233796298</v>
      </c>
      <c r="AP748" s="87" t="str">
        <f>HYPERLINK("https://pbs.twimg.com/profile_banners/1277424676822646785/1616905464")</f>
        <v>https://pbs.twimg.com/profile_banners/1277424676822646785/1616905464</v>
      </c>
      <c r="AQ748" s="80" t="b">
        <v>1</v>
      </c>
      <c r="AR748" s="80" t="b">
        <v>0</v>
      </c>
      <c r="AS748" s="80" t="b">
        <v>0</v>
      </c>
      <c r="AT748" s="80"/>
      <c r="AU748" s="80">
        <v>5</v>
      </c>
      <c r="AV748" s="80"/>
      <c r="AW748" s="80" t="b">
        <v>0</v>
      </c>
      <c r="AX748" s="80" t="s">
        <v>10746</v>
      </c>
      <c r="AY748" s="87" t="str">
        <f>HYPERLINK("https://twitter.com/pasartheboyzmy")</f>
        <v>https://twitter.com/pasartheboyzmy</v>
      </c>
      <c r="AZ748" s="80" t="s">
        <v>66</v>
      </c>
      <c r="BA748" s="2"/>
      <c r="BB748" s="3"/>
      <c r="BC748" s="3"/>
      <c r="BD748" s="3"/>
      <c r="BE748" s="3"/>
    </row>
    <row r="749" spans="1:57" x14ac:dyDescent="0.35">
      <c r="A749" s="66" t="s">
        <v>818</v>
      </c>
      <c r="B749" s="67"/>
      <c r="C749" s="67"/>
      <c r="D749" s="68"/>
      <c r="E749" s="70"/>
      <c r="F749" s="109" t="str">
        <f>HYPERLINK("https://pbs.twimg.com/profile_images/1378843273834340353/W7B4PMcM_normal.jpg")</f>
        <v>https://pbs.twimg.com/profile_images/1378843273834340353/W7B4PMcM_normal.jpg</v>
      </c>
      <c r="G749" s="67"/>
      <c r="H749" s="71"/>
      <c r="I749" s="72"/>
      <c r="J749" s="72"/>
      <c r="K749" s="71" t="s">
        <v>11492</v>
      </c>
      <c r="L749" s="75"/>
      <c r="M749" s="76"/>
      <c r="N749" s="76"/>
      <c r="O749" s="77"/>
      <c r="P749" s="78"/>
      <c r="Q749" s="78"/>
      <c r="R749" s="92"/>
      <c r="S749" s="92"/>
      <c r="T749" s="92"/>
      <c r="U749" s="92"/>
      <c r="V749" s="52"/>
      <c r="W749" s="52"/>
      <c r="X749" s="52"/>
      <c r="Y749" s="52"/>
      <c r="Z749" s="51"/>
      <c r="AA749" s="73"/>
      <c r="AB749" s="73"/>
      <c r="AC749" s="74"/>
      <c r="AD749" s="80" t="s">
        <v>7319</v>
      </c>
      <c r="AE749" s="85" t="s">
        <v>8502</v>
      </c>
      <c r="AF749" s="80">
        <v>856</v>
      </c>
      <c r="AG749" s="80">
        <v>6</v>
      </c>
      <c r="AH749" s="80">
        <v>6672</v>
      </c>
      <c r="AI749" s="80">
        <v>2</v>
      </c>
      <c r="AJ749" s="80"/>
      <c r="AK749" s="80" t="s">
        <v>9626</v>
      </c>
      <c r="AL749" s="80" t="s">
        <v>10496</v>
      </c>
      <c r="AM749" s="87" t="str">
        <f>HYPERLINK("https://t.co/hIJYN33p4i")</f>
        <v>https://t.co/hIJYN33p4i</v>
      </c>
      <c r="AN749" s="80"/>
      <c r="AO749" s="82">
        <v>44285.033460648148</v>
      </c>
      <c r="AP749" s="87" t="str">
        <f>HYPERLINK("https://pbs.twimg.com/profile_banners/1376697702973501440/1628841494")</f>
        <v>https://pbs.twimg.com/profile_banners/1376697702973501440/1628841494</v>
      </c>
      <c r="AQ749" s="80" t="b">
        <v>1</v>
      </c>
      <c r="AR749" s="80" t="b">
        <v>0</v>
      </c>
      <c r="AS749" s="80" t="b">
        <v>0</v>
      </c>
      <c r="AT749" s="80"/>
      <c r="AU749" s="80">
        <v>0</v>
      </c>
      <c r="AV749" s="80"/>
      <c r="AW749" s="80" t="b">
        <v>0</v>
      </c>
      <c r="AX749" s="80" t="s">
        <v>10746</v>
      </c>
      <c r="AY749" s="87" t="str">
        <f>HYPERLINK("https://twitter.com/mybigbozz")</f>
        <v>https://twitter.com/mybigbozz</v>
      </c>
      <c r="AZ749" s="80" t="s">
        <v>66</v>
      </c>
      <c r="BA749" s="2"/>
      <c r="BB749" s="3"/>
      <c r="BC749" s="3"/>
      <c r="BD749" s="3"/>
      <c r="BE749" s="3"/>
    </row>
    <row r="750" spans="1:57" x14ac:dyDescent="0.35">
      <c r="A750" s="66" t="s">
        <v>819</v>
      </c>
      <c r="B750" s="67"/>
      <c r="C750" s="67"/>
      <c r="D750" s="68"/>
      <c r="E750" s="70"/>
      <c r="F750" s="109" t="str">
        <f>HYPERLINK("https://pbs.twimg.com/profile_images/1425827980761124864/VGZGjAhK_normal.jpg")</f>
        <v>https://pbs.twimg.com/profile_images/1425827980761124864/VGZGjAhK_normal.jpg</v>
      </c>
      <c r="G750" s="67"/>
      <c r="H750" s="71"/>
      <c r="I750" s="72"/>
      <c r="J750" s="72"/>
      <c r="K750" s="71" t="s">
        <v>11493</v>
      </c>
      <c r="L750" s="75"/>
      <c r="M750" s="76"/>
      <c r="N750" s="76"/>
      <c r="O750" s="77"/>
      <c r="P750" s="78"/>
      <c r="Q750" s="78"/>
      <c r="R750" s="92"/>
      <c r="S750" s="92"/>
      <c r="T750" s="92"/>
      <c r="U750" s="92"/>
      <c r="V750" s="52"/>
      <c r="W750" s="52"/>
      <c r="X750" s="52"/>
      <c r="Y750" s="52"/>
      <c r="Z750" s="51"/>
      <c r="AA750" s="73"/>
      <c r="AB750" s="73"/>
      <c r="AC750" s="74"/>
      <c r="AD750" s="80" t="s">
        <v>7320</v>
      </c>
      <c r="AE750" s="85" t="s">
        <v>8503</v>
      </c>
      <c r="AF750" s="80">
        <v>195</v>
      </c>
      <c r="AG750" s="80">
        <v>145</v>
      </c>
      <c r="AH750" s="80">
        <v>618</v>
      </c>
      <c r="AI750" s="80">
        <v>162</v>
      </c>
      <c r="AJ750" s="80"/>
      <c r="AK750" s="80" t="s">
        <v>9627</v>
      </c>
      <c r="AL750" s="80"/>
      <c r="AM750" s="80"/>
      <c r="AN750" s="80"/>
      <c r="AO750" s="82">
        <v>44420.606562499997</v>
      </c>
      <c r="AP750" s="80"/>
      <c r="AQ750" s="80" t="b">
        <v>1</v>
      </c>
      <c r="AR750" s="80" t="b">
        <v>0</v>
      </c>
      <c r="AS750" s="80" t="b">
        <v>0</v>
      </c>
      <c r="AT750" s="80"/>
      <c r="AU750" s="80">
        <v>0</v>
      </c>
      <c r="AV750" s="80"/>
      <c r="AW750" s="80" t="b">
        <v>0</v>
      </c>
      <c r="AX750" s="80" t="s">
        <v>10746</v>
      </c>
      <c r="AY750" s="87" t="str">
        <f>HYPERLINK("https://twitter.com/hyjinjinn")</f>
        <v>https://twitter.com/hyjinjinn</v>
      </c>
      <c r="AZ750" s="80" t="s">
        <v>66</v>
      </c>
      <c r="BA750" s="2"/>
      <c r="BB750" s="3"/>
      <c r="BC750" s="3"/>
      <c r="BD750" s="3"/>
      <c r="BE750" s="3"/>
    </row>
    <row r="751" spans="1:57" x14ac:dyDescent="0.35">
      <c r="A751" s="66" t="s">
        <v>820</v>
      </c>
      <c r="B751" s="67"/>
      <c r="C751" s="67"/>
      <c r="D751" s="68"/>
      <c r="E751" s="70"/>
      <c r="F751" s="109" t="str">
        <f>HYPERLINK("https://pbs.twimg.com/profile_images/1271048734558883841/QbyPPeXW_normal.jpg")</f>
        <v>https://pbs.twimg.com/profile_images/1271048734558883841/QbyPPeXW_normal.jpg</v>
      </c>
      <c r="G751" s="67"/>
      <c r="H751" s="71"/>
      <c r="I751" s="72"/>
      <c r="J751" s="72"/>
      <c r="K751" s="71" t="s">
        <v>11494</v>
      </c>
      <c r="L751" s="75"/>
      <c r="M751" s="76"/>
      <c r="N751" s="76"/>
      <c r="O751" s="77"/>
      <c r="P751" s="78"/>
      <c r="Q751" s="78"/>
      <c r="R751" s="92"/>
      <c r="S751" s="92"/>
      <c r="T751" s="92"/>
      <c r="U751" s="92"/>
      <c r="V751" s="52"/>
      <c r="W751" s="52"/>
      <c r="X751" s="52"/>
      <c r="Y751" s="52"/>
      <c r="Z751" s="51"/>
      <c r="AA751" s="73"/>
      <c r="AB751" s="73"/>
      <c r="AC751" s="74"/>
      <c r="AD751" s="80" t="s">
        <v>7321</v>
      </c>
      <c r="AE751" s="85" t="s">
        <v>8504</v>
      </c>
      <c r="AF751" s="80">
        <v>967</v>
      </c>
      <c r="AG751" s="80">
        <v>2507</v>
      </c>
      <c r="AH751" s="80">
        <v>27201</v>
      </c>
      <c r="AI751" s="80">
        <v>31773</v>
      </c>
      <c r="AJ751" s="80"/>
      <c r="AK751" s="80" t="s">
        <v>9628</v>
      </c>
      <c r="AL751" s="80" t="s">
        <v>10497</v>
      </c>
      <c r="AM751" s="87" t="str">
        <f>HYPERLINK("https://t.co/SgXLfA6Cl5")</f>
        <v>https://t.co/SgXLfA6Cl5</v>
      </c>
      <c r="AN751" s="80"/>
      <c r="AO751" s="82">
        <v>41125.34002314815</v>
      </c>
      <c r="AP751" s="87" t="str">
        <f>HYPERLINK("https://pbs.twimg.com/profile_banners/736343868/1354704999")</f>
        <v>https://pbs.twimg.com/profile_banners/736343868/1354704999</v>
      </c>
      <c r="AQ751" s="80" t="b">
        <v>0</v>
      </c>
      <c r="AR751" s="80" t="b">
        <v>0</v>
      </c>
      <c r="AS751" s="80" t="b">
        <v>1</v>
      </c>
      <c r="AT751" s="80"/>
      <c r="AU751" s="80">
        <v>3</v>
      </c>
      <c r="AV751" s="87" t="str">
        <f>HYPERLINK("https://abs.twimg.com/images/themes/theme1/bg.png")</f>
        <v>https://abs.twimg.com/images/themes/theme1/bg.png</v>
      </c>
      <c r="AW751" s="80" t="b">
        <v>0</v>
      </c>
      <c r="AX751" s="80" t="s">
        <v>10746</v>
      </c>
      <c r="AY751" s="87" t="str">
        <f>HYPERLINK("https://twitter.com/cikguainan")</f>
        <v>https://twitter.com/cikguainan</v>
      </c>
      <c r="AZ751" s="80" t="s">
        <v>66</v>
      </c>
      <c r="BA751" s="2"/>
      <c r="BB751" s="3"/>
      <c r="BC751" s="3"/>
      <c r="BD751" s="3"/>
      <c r="BE751" s="3"/>
    </row>
    <row r="752" spans="1:57" x14ac:dyDescent="0.35">
      <c r="A752" s="66" t="s">
        <v>1404</v>
      </c>
      <c r="B752" s="67"/>
      <c r="C752" s="67"/>
      <c r="D752" s="68"/>
      <c r="E752" s="70"/>
      <c r="F752" s="109" t="str">
        <f>HYPERLINK("https://pbs.twimg.com/profile_images/1433415049083699210/PfysGeYU_normal.jpg")</f>
        <v>https://pbs.twimg.com/profile_images/1433415049083699210/PfysGeYU_normal.jpg</v>
      </c>
      <c r="G752" s="67"/>
      <c r="H752" s="71"/>
      <c r="I752" s="72"/>
      <c r="J752" s="72"/>
      <c r="K752" s="71" t="s">
        <v>11495</v>
      </c>
      <c r="L752" s="75"/>
      <c r="M752" s="76"/>
      <c r="N752" s="76"/>
      <c r="O752" s="77"/>
      <c r="P752" s="78"/>
      <c r="Q752" s="78"/>
      <c r="R752" s="92"/>
      <c r="S752" s="92"/>
      <c r="T752" s="92"/>
      <c r="U752" s="92"/>
      <c r="V752" s="52"/>
      <c r="W752" s="52"/>
      <c r="X752" s="52"/>
      <c r="Y752" s="52"/>
      <c r="Z752" s="51"/>
      <c r="AA752" s="73"/>
      <c r="AB752" s="73"/>
      <c r="AC752" s="74"/>
      <c r="AD752" s="80" t="s">
        <v>7322</v>
      </c>
      <c r="AE752" s="85" t="s">
        <v>6357</v>
      </c>
      <c r="AF752" s="80">
        <v>1716</v>
      </c>
      <c r="AG752" s="80">
        <v>1089</v>
      </c>
      <c r="AH752" s="80">
        <v>19641</v>
      </c>
      <c r="AI752" s="80">
        <v>25429</v>
      </c>
      <c r="AJ752" s="80"/>
      <c r="AK752" s="80" t="s">
        <v>9629</v>
      </c>
      <c r="AL752" s="80" t="s">
        <v>10498</v>
      </c>
      <c r="AM752" s="80"/>
      <c r="AN752" s="80"/>
      <c r="AO752" s="82">
        <v>43949.194479166668</v>
      </c>
      <c r="AP752" s="87" t="str">
        <f>HYPERLINK("https://pbs.twimg.com/profile_banners/1254993707167649793/1632113019")</f>
        <v>https://pbs.twimg.com/profile_banners/1254993707167649793/1632113019</v>
      </c>
      <c r="AQ752" s="80" t="b">
        <v>1</v>
      </c>
      <c r="AR752" s="80" t="b">
        <v>0</v>
      </c>
      <c r="AS752" s="80" t="b">
        <v>0</v>
      </c>
      <c r="AT752" s="80"/>
      <c r="AU752" s="80">
        <v>1</v>
      </c>
      <c r="AV752" s="80"/>
      <c r="AW752" s="80" t="b">
        <v>0</v>
      </c>
      <c r="AX752" s="80" t="s">
        <v>10746</v>
      </c>
      <c r="AY752" s="87" t="str">
        <f>HYPERLINK("https://twitter.com/kam_camelia")</f>
        <v>https://twitter.com/kam_camelia</v>
      </c>
      <c r="AZ752" s="80" t="s">
        <v>65</v>
      </c>
      <c r="BA752" s="2"/>
      <c r="BB752" s="3"/>
      <c r="BC752" s="3"/>
      <c r="BD752" s="3"/>
      <c r="BE752" s="3"/>
    </row>
    <row r="753" spans="1:57" x14ac:dyDescent="0.35">
      <c r="A753" s="66" t="s">
        <v>821</v>
      </c>
      <c r="B753" s="67"/>
      <c r="C753" s="67"/>
      <c r="D753" s="68"/>
      <c r="E753" s="70"/>
      <c r="F753" s="109" t="str">
        <f>HYPERLINK("https://pbs.twimg.com/profile_images/1432594357366841349/NCwOTSOr_normal.jpg")</f>
        <v>https://pbs.twimg.com/profile_images/1432594357366841349/NCwOTSOr_normal.jpg</v>
      </c>
      <c r="G753" s="67"/>
      <c r="H753" s="71"/>
      <c r="I753" s="72"/>
      <c r="J753" s="72"/>
      <c r="K753" s="71" t="s">
        <v>11496</v>
      </c>
      <c r="L753" s="75"/>
      <c r="M753" s="76"/>
      <c r="N753" s="76"/>
      <c r="O753" s="77"/>
      <c r="P753" s="78"/>
      <c r="Q753" s="78"/>
      <c r="R753" s="92"/>
      <c r="S753" s="92"/>
      <c r="T753" s="92"/>
      <c r="U753" s="92"/>
      <c r="V753" s="52"/>
      <c r="W753" s="52"/>
      <c r="X753" s="52"/>
      <c r="Y753" s="52"/>
      <c r="Z753" s="51"/>
      <c r="AA753" s="73"/>
      <c r="AB753" s="73"/>
      <c r="AC753" s="74"/>
      <c r="AD753" s="80" t="s">
        <v>7323</v>
      </c>
      <c r="AE753" s="85" t="s">
        <v>8505</v>
      </c>
      <c r="AF753" s="80">
        <v>45</v>
      </c>
      <c r="AG753" s="80">
        <v>16</v>
      </c>
      <c r="AH753" s="80">
        <v>709</v>
      </c>
      <c r="AI753" s="80">
        <v>424</v>
      </c>
      <c r="AJ753" s="80"/>
      <c r="AK753" s="80" t="s">
        <v>9630</v>
      </c>
      <c r="AL753" s="80"/>
      <c r="AM753" s="80"/>
      <c r="AN753" s="80"/>
      <c r="AO753" s="82">
        <v>44346.489733796298</v>
      </c>
      <c r="AP753" s="87" t="str">
        <f>HYPERLINK("https://pbs.twimg.com/profile_banners/1398968669103820804/1630392106")</f>
        <v>https://pbs.twimg.com/profile_banners/1398968669103820804/1630392106</v>
      </c>
      <c r="AQ753" s="80" t="b">
        <v>1</v>
      </c>
      <c r="AR753" s="80" t="b">
        <v>0</v>
      </c>
      <c r="AS753" s="80" t="b">
        <v>0</v>
      </c>
      <c r="AT753" s="80"/>
      <c r="AU753" s="80">
        <v>0</v>
      </c>
      <c r="AV753" s="80"/>
      <c r="AW753" s="80" t="b">
        <v>0</v>
      </c>
      <c r="AX753" s="80" t="s">
        <v>10746</v>
      </c>
      <c r="AY753" s="87" t="str">
        <f>HYPERLINK("https://twitter.com/bbyerics")</f>
        <v>https://twitter.com/bbyerics</v>
      </c>
      <c r="AZ753" s="80" t="s">
        <v>66</v>
      </c>
      <c r="BA753" s="2"/>
      <c r="BB753" s="3"/>
      <c r="BC753" s="3"/>
      <c r="BD753" s="3"/>
      <c r="BE753" s="3"/>
    </row>
    <row r="754" spans="1:57" x14ac:dyDescent="0.35">
      <c r="A754" s="66" t="s">
        <v>822</v>
      </c>
      <c r="B754" s="67"/>
      <c r="C754" s="67"/>
      <c r="D754" s="68"/>
      <c r="E754" s="70"/>
      <c r="F754" s="109" t="str">
        <f>HYPERLINK("https://pbs.twimg.com/profile_images/1145695805237420033/Nal12BDa_normal.png")</f>
        <v>https://pbs.twimg.com/profile_images/1145695805237420033/Nal12BDa_normal.png</v>
      </c>
      <c r="G754" s="67"/>
      <c r="H754" s="71"/>
      <c r="I754" s="72"/>
      <c r="J754" s="72"/>
      <c r="K754" s="71" t="s">
        <v>11497</v>
      </c>
      <c r="L754" s="75"/>
      <c r="M754" s="76"/>
      <c r="N754" s="76"/>
      <c r="O754" s="77"/>
      <c r="P754" s="78"/>
      <c r="Q754" s="78"/>
      <c r="R754" s="92"/>
      <c r="S754" s="92"/>
      <c r="T754" s="92"/>
      <c r="U754" s="92"/>
      <c r="V754" s="52"/>
      <c r="W754" s="52"/>
      <c r="X754" s="52"/>
      <c r="Y754" s="52"/>
      <c r="Z754" s="51"/>
      <c r="AA754" s="73"/>
      <c r="AB754" s="73"/>
      <c r="AC754" s="74"/>
      <c r="AD754" s="80" t="s">
        <v>7324</v>
      </c>
      <c r="AE754" s="85" t="s">
        <v>8506</v>
      </c>
      <c r="AF754" s="80">
        <v>165</v>
      </c>
      <c r="AG754" s="80">
        <v>66</v>
      </c>
      <c r="AH754" s="80">
        <v>10814</v>
      </c>
      <c r="AI754" s="80">
        <v>1</v>
      </c>
      <c r="AJ754" s="80"/>
      <c r="AK754" s="80" t="s">
        <v>9631</v>
      </c>
      <c r="AL754" s="80" t="s">
        <v>10499</v>
      </c>
      <c r="AM754" s="87" t="str">
        <f>HYPERLINK("http://t.co/WsqzQScwU2")</f>
        <v>http://t.co/WsqzQScwU2</v>
      </c>
      <c r="AN754" s="80"/>
      <c r="AO754" s="82">
        <v>40926.866979166669</v>
      </c>
      <c r="AP754" s="80"/>
      <c r="AQ754" s="80" t="b">
        <v>0</v>
      </c>
      <c r="AR754" s="80" t="b">
        <v>0</v>
      </c>
      <c r="AS754" s="80" t="b">
        <v>0</v>
      </c>
      <c r="AT754" s="80"/>
      <c r="AU754" s="80">
        <v>0</v>
      </c>
      <c r="AV754" s="87" t="str">
        <f>HYPERLINK("https://abs.twimg.com/images/themes/theme1/bg.png")</f>
        <v>https://abs.twimg.com/images/themes/theme1/bg.png</v>
      </c>
      <c r="AW754" s="80" t="b">
        <v>0</v>
      </c>
      <c r="AX754" s="80" t="s">
        <v>10746</v>
      </c>
      <c r="AY754" s="87" t="str">
        <f>HYPERLINK("https://twitter.com/kharismaselaras")</f>
        <v>https://twitter.com/kharismaselaras</v>
      </c>
      <c r="AZ754" s="80" t="s">
        <v>66</v>
      </c>
      <c r="BA754" s="2"/>
      <c r="BB754" s="3"/>
      <c r="BC754" s="3"/>
      <c r="BD754" s="3"/>
      <c r="BE754" s="3"/>
    </row>
    <row r="755" spans="1:57" x14ac:dyDescent="0.35">
      <c r="A755" s="66" t="s">
        <v>823</v>
      </c>
      <c r="B755" s="67"/>
      <c r="C755" s="67"/>
      <c r="D755" s="68"/>
      <c r="E755" s="70"/>
      <c r="F755" s="109" t="str">
        <f>HYPERLINK("https://pbs.twimg.com/profile_images/1347980680597147648/bfOplA4w_normal.jpg")</f>
        <v>https://pbs.twimg.com/profile_images/1347980680597147648/bfOplA4w_normal.jpg</v>
      </c>
      <c r="G755" s="67"/>
      <c r="H755" s="71"/>
      <c r="I755" s="72"/>
      <c r="J755" s="72"/>
      <c r="K755" s="71" t="s">
        <v>11498</v>
      </c>
      <c r="L755" s="75"/>
      <c r="M755" s="76"/>
      <c r="N755" s="76"/>
      <c r="O755" s="77"/>
      <c r="P755" s="78"/>
      <c r="Q755" s="78"/>
      <c r="R755" s="92"/>
      <c r="S755" s="92"/>
      <c r="T755" s="92"/>
      <c r="U755" s="92"/>
      <c r="V755" s="52"/>
      <c r="W755" s="52"/>
      <c r="X755" s="52"/>
      <c r="Y755" s="52"/>
      <c r="Z755" s="51"/>
      <c r="AA755" s="73"/>
      <c r="AB755" s="73"/>
      <c r="AC755" s="74"/>
      <c r="AD755" s="80" t="s">
        <v>7325</v>
      </c>
      <c r="AE755" s="85" t="s">
        <v>8507</v>
      </c>
      <c r="AF755" s="80">
        <v>3</v>
      </c>
      <c r="AG755" s="80">
        <v>25797</v>
      </c>
      <c r="AH755" s="80">
        <v>112615</v>
      </c>
      <c r="AI755" s="80">
        <v>16</v>
      </c>
      <c r="AJ755" s="80"/>
      <c r="AK755" s="80" t="s">
        <v>9632</v>
      </c>
      <c r="AL755" s="80" t="s">
        <v>6543</v>
      </c>
      <c r="AM755" s="80"/>
      <c r="AN755" s="80"/>
      <c r="AO755" s="82">
        <v>40199.597974537035</v>
      </c>
      <c r="AP755" s="87" t="str">
        <f>HYPERLINK("https://pbs.twimg.com/profile_banners/107084867/1610218614")</f>
        <v>https://pbs.twimg.com/profile_banners/107084867/1610218614</v>
      </c>
      <c r="AQ755" s="80" t="b">
        <v>0</v>
      </c>
      <c r="AR755" s="80" t="b">
        <v>0</v>
      </c>
      <c r="AS755" s="80" t="b">
        <v>1</v>
      </c>
      <c r="AT755" s="80"/>
      <c r="AU755" s="80">
        <v>98</v>
      </c>
      <c r="AV755" s="87" t="str">
        <f>HYPERLINK("https://abs.twimg.com/images/themes/theme1/bg.png")</f>
        <v>https://abs.twimg.com/images/themes/theme1/bg.png</v>
      </c>
      <c r="AW755" s="80" t="b">
        <v>0</v>
      </c>
      <c r="AX755" s="80" t="s">
        <v>10746</v>
      </c>
      <c r="AY755" s="87" t="str">
        <f>HYPERLINK("https://twitter.com/bursakerja20")</f>
        <v>https://twitter.com/bursakerja20</v>
      </c>
      <c r="AZ755" s="80" t="s">
        <v>66</v>
      </c>
      <c r="BA755" s="2"/>
      <c r="BB755" s="3"/>
      <c r="BC755" s="3"/>
      <c r="BD755" s="3"/>
      <c r="BE755" s="3"/>
    </row>
    <row r="756" spans="1:57" x14ac:dyDescent="0.35">
      <c r="A756" s="66" t="s">
        <v>824</v>
      </c>
      <c r="B756" s="67"/>
      <c r="C756" s="67"/>
      <c r="D756" s="68"/>
      <c r="E756" s="70"/>
      <c r="F756" s="109" t="str">
        <f>HYPERLINK("https://pbs.twimg.com/profile_images/1442102691753168905/R89yPSDs_normal.jpg")</f>
        <v>https://pbs.twimg.com/profile_images/1442102691753168905/R89yPSDs_normal.jpg</v>
      </c>
      <c r="G756" s="67"/>
      <c r="H756" s="71"/>
      <c r="I756" s="72"/>
      <c r="J756" s="72"/>
      <c r="K756" s="71" t="s">
        <v>11499</v>
      </c>
      <c r="L756" s="75"/>
      <c r="M756" s="76"/>
      <c r="N756" s="76"/>
      <c r="O756" s="77"/>
      <c r="P756" s="78"/>
      <c r="Q756" s="78"/>
      <c r="R756" s="92"/>
      <c r="S756" s="92"/>
      <c r="T756" s="92"/>
      <c r="U756" s="92"/>
      <c r="V756" s="52"/>
      <c r="W756" s="52"/>
      <c r="X756" s="52"/>
      <c r="Y756" s="52"/>
      <c r="Z756" s="51"/>
      <c r="AA756" s="73"/>
      <c r="AB756" s="73"/>
      <c r="AC756" s="74"/>
      <c r="AD756" s="80" t="s">
        <v>7326</v>
      </c>
      <c r="AE756" s="85" t="s">
        <v>8508</v>
      </c>
      <c r="AF756" s="80">
        <v>891</v>
      </c>
      <c r="AG756" s="80">
        <v>953</v>
      </c>
      <c r="AH756" s="80">
        <v>2996</v>
      </c>
      <c r="AI756" s="80">
        <v>1260</v>
      </c>
      <c r="AJ756" s="80"/>
      <c r="AK756" s="80" t="s">
        <v>9633</v>
      </c>
      <c r="AL756" s="80"/>
      <c r="AM756" s="80"/>
      <c r="AN756" s="80"/>
      <c r="AO756" s="82">
        <v>44281.364976851852</v>
      </c>
      <c r="AP756" s="87" t="str">
        <f>HYPERLINK("https://pbs.twimg.com/profile_banners/1375368217560973314/1617669331")</f>
        <v>https://pbs.twimg.com/profile_banners/1375368217560973314/1617669331</v>
      </c>
      <c r="AQ756" s="80" t="b">
        <v>1</v>
      </c>
      <c r="AR756" s="80" t="b">
        <v>0</v>
      </c>
      <c r="AS756" s="80" t="b">
        <v>1</v>
      </c>
      <c r="AT756" s="80"/>
      <c r="AU756" s="80">
        <v>0</v>
      </c>
      <c r="AV756" s="80"/>
      <c r="AW756" s="80" t="b">
        <v>0</v>
      </c>
      <c r="AX756" s="80" t="s">
        <v>10746</v>
      </c>
      <c r="AY756" s="87" t="str">
        <f>HYPERLINK("https://twitter.com/makhlukhalusss")</f>
        <v>https://twitter.com/makhlukhalusss</v>
      </c>
      <c r="AZ756" s="80" t="s">
        <v>66</v>
      </c>
      <c r="BA756" s="2"/>
      <c r="BB756" s="3"/>
      <c r="BC756" s="3"/>
      <c r="BD756" s="3"/>
      <c r="BE756" s="3"/>
    </row>
    <row r="757" spans="1:57" x14ac:dyDescent="0.35">
      <c r="A757" s="66" t="s">
        <v>1405</v>
      </c>
      <c r="B757" s="67"/>
      <c r="C757" s="67"/>
      <c r="D757" s="68"/>
      <c r="E757" s="70"/>
      <c r="F757" s="109" t="str">
        <f>HYPERLINK("https://pbs.twimg.com/profile_images/1431849883267309569/rkF0CRD2_normal.jpg")</f>
        <v>https://pbs.twimg.com/profile_images/1431849883267309569/rkF0CRD2_normal.jpg</v>
      </c>
      <c r="G757" s="67"/>
      <c r="H757" s="71"/>
      <c r="I757" s="72"/>
      <c r="J757" s="72"/>
      <c r="K757" s="71" t="s">
        <v>11500</v>
      </c>
      <c r="L757" s="75"/>
      <c r="M757" s="76"/>
      <c r="N757" s="76"/>
      <c r="O757" s="77"/>
      <c r="P757" s="78"/>
      <c r="Q757" s="78"/>
      <c r="R757" s="92"/>
      <c r="S757" s="92"/>
      <c r="T757" s="92"/>
      <c r="U757" s="92"/>
      <c r="V757" s="52"/>
      <c r="W757" s="52"/>
      <c r="X757" s="52"/>
      <c r="Y757" s="52"/>
      <c r="Z757" s="51"/>
      <c r="AA757" s="73"/>
      <c r="AB757" s="73"/>
      <c r="AC757" s="74"/>
      <c r="AD757" s="80" t="s">
        <v>7327</v>
      </c>
      <c r="AE757" s="85" t="s">
        <v>6358</v>
      </c>
      <c r="AF757" s="80">
        <v>101</v>
      </c>
      <c r="AG757" s="80">
        <v>9668</v>
      </c>
      <c r="AH757" s="80">
        <v>4652</v>
      </c>
      <c r="AI757" s="80">
        <v>17786</v>
      </c>
      <c r="AJ757" s="80"/>
      <c r="AK757" s="80" t="s">
        <v>9634</v>
      </c>
      <c r="AL757" s="80" t="s">
        <v>10500</v>
      </c>
      <c r="AM757" s="80"/>
      <c r="AN757" s="80"/>
      <c r="AO757" s="82">
        <v>44251.191643518519</v>
      </c>
      <c r="AP757" s="87" t="str">
        <f>HYPERLINK("https://pbs.twimg.com/profile_banners/1364433736524197892/1630214588")</f>
        <v>https://pbs.twimg.com/profile_banners/1364433736524197892/1630214588</v>
      </c>
      <c r="AQ757" s="80" t="b">
        <v>1</v>
      </c>
      <c r="AR757" s="80" t="b">
        <v>0</v>
      </c>
      <c r="AS757" s="80" t="b">
        <v>0</v>
      </c>
      <c r="AT757" s="80"/>
      <c r="AU757" s="80">
        <v>11</v>
      </c>
      <c r="AV757" s="80"/>
      <c r="AW757" s="80" t="b">
        <v>0</v>
      </c>
      <c r="AX757" s="80" t="s">
        <v>10746</v>
      </c>
      <c r="AY757" s="87" t="str">
        <f>HYPERLINK("https://twitter.com/squidwrd__")</f>
        <v>https://twitter.com/squidwrd__</v>
      </c>
      <c r="AZ757" s="80" t="s">
        <v>65</v>
      </c>
      <c r="BA757" s="2"/>
      <c r="BB757" s="3"/>
      <c r="BC757" s="3"/>
      <c r="BD757" s="3"/>
      <c r="BE757" s="3"/>
    </row>
    <row r="758" spans="1:57" x14ac:dyDescent="0.35">
      <c r="A758" s="66" t="s">
        <v>825</v>
      </c>
      <c r="B758" s="67"/>
      <c r="C758" s="67"/>
      <c r="D758" s="68"/>
      <c r="E758" s="70"/>
      <c r="F758" s="109" t="str">
        <f>HYPERLINK("https://pbs.twimg.com/profile_images/1421942142407041028/mQngoOcx_normal.jpg")</f>
        <v>https://pbs.twimg.com/profile_images/1421942142407041028/mQngoOcx_normal.jpg</v>
      </c>
      <c r="G758" s="67"/>
      <c r="H758" s="71"/>
      <c r="I758" s="72"/>
      <c r="J758" s="72"/>
      <c r="K758" s="71" t="s">
        <v>11501</v>
      </c>
      <c r="L758" s="75"/>
      <c r="M758" s="76"/>
      <c r="N758" s="76"/>
      <c r="O758" s="77"/>
      <c r="P758" s="78"/>
      <c r="Q758" s="78"/>
      <c r="R758" s="92"/>
      <c r="S758" s="92"/>
      <c r="T758" s="92"/>
      <c r="U758" s="92"/>
      <c r="V758" s="52"/>
      <c r="W758" s="52"/>
      <c r="X758" s="52"/>
      <c r="Y758" s="52"/>
      <c r="Z758" s="51"/>
      <c r="AA758" s="73"/>
      <c r="AB758" s="73"/>
      <c r="AC758" s="74"/>
      <c r="AD758" s="80" t="s">
        <v>7328</v>
      </c>
      <c r="AE758" s="85" t="s">
        <v>8509</v>
      </c>
      <c r="AF758" s="80">
        <v>0</v>
      </c>
      <c r="AG758" s="80">
        <v>132</v>
      </c>
      <c r="AH758" s="80">
        <v>1954</v>
      </c>
      <c r="AI758" s="80">
        <v>122</v>
      </c>
      <c r="AJ758" s="80"/>
      <c r="AK758" s="80" t="s">
        <v>9635</v>
      </c>
      <c r="AL758" s="80"/>
      <c r="AM758" s="80"/>
      <c r="AN758" s="80"/>
      <c r="AO758" s="82">
        <v>44304.590092592596</v>
      </c>
      <c r="AP758" s="87" t="str">
        <f>HYPERLINK("https://pbs.twimg.com/profile_banners/1383784547607736321/1627852400")</f>
        <v>https://pbs.twimg.com/profile_banners/1383784547607736321/1627852400</v>
      </c>
      <c r="AQ758" s="80" t="b">
        <v>1</v>
      </c>
      <c r="AR758" s="80" t="b">
        <v>0</v>
      </c>
      <c r="AS758" s="80" t="b">
        <v>0</v>
      </c>
      <c r="AT758" s="80"/>
      <c r="AU758" s="80">
        <v>0</v>
      </c>
      <c r="AV758" s="80"/>
      <c r="AW758" s="80" t="b">
        <v>0</v>
      </c>
      <c r="AX758" s="80" t="s">
        <v>10746</v>
      </c>
      <c r="AY758" s="87" t="str">
        <f>HYPERLINK("https://twitter.com/bazaardeobi")</f>
        <v>https://twitter.com/bazaardeobi</v>
      </c>
      <c r="AZ758" s="80" t="s">
        <v>66</v>
      </c>
      <c r="BA758" s="2"/>
      <c r="BB758" s="3"/>
      <c r="BC758" s="3"/>
      <c r="BD758" s="3"/>
      <c r="BE758" s="3"/>
    </row>
    <row r="759" spans="1:57" x14ac:dyDescent="0.35">
      <c r="A759" s="66" t="s">
        <v>826</v>
      </c>
      <c r="B759" s="67"/>
      <c r="C759" s="67"/>
      <c r="D759" s="68"/>
      <c r="E759" s="70"/>
      <c r="F759" s="109" t="str">
        <f>HYPERLINK("https://pbs.twimg.com/profile_images/1434556476190642183/_FNctcWC_normal.jpg")</f>
        <v>https://pbs.twimg.com/profile_images/1434556476190642183/_FNctcWC_normal.jpg</v>
      </c>
      <c r="G759" s="67"/>
      <c r="H759" s="71"/>
      <c r="I759" s="72"/>
      <c r="J759" s="72"/>
      <c r="K759" s="71" t="s">
        <v>11502</v>
      </c>
      <c r="L759" s="75"/>
      <c r="M759" s="76"/>
      <c r="N759" s="76"/>
      <c r="O759" s="77"/>
      <c r="P759" s="78"/>
      <c r="Q759" s="78"/>
      <c r="R759" s="92"/>
      <c r="S759" s="92"/>
      <c r="T759" s="92"/>
      <c r="U759" s="92"/>
      <c r="V759" s="52"/>
      <c r="W759" s="52"/>
      <c r="X759" s="52"/>
      <c r="Y759" s="52"/>
      <c r="Z759" s="51"/>
      <c r="AA759" s="73"/>
      <c r="AB759" s="73"/>
      <c r="AC759" s="74"/>
      <c r="AD759" s="80" t="s">
        <v>7329</v>
      </c>
      <c r="AE759" s="85" t="s">
        <v>8510</v>
      </c>
      <c r="AF759" s="80">
        <v>55</v>
      </c>
      <c r="AG759" s="80">
        <v>93</v>
      </c>
      <c r="AH759" s="80">
        <v>1105</v>
      </c>
      <c r="AI759" s="80">
        <v>1312</v>
      </c>
      <c r="AJ759" s="80"/>
      <c r="AK759" s="80" t="s">
        <v>9636</v>
      </c>
      <c r="AL759" s="80"/>
      <c r="AM759" s="80"/>
      <c r="AN759" s="80"/>
      <c r="AO759" s="82">
        <v>43776.681319444448</v>
      </c>
      <c r="AP759" s="87" t="str">
        <f>HYPERLINK("https://pbs.twimg.com/profile_banners/1192477042500980736/1630116386")</f>
        <v>https://pbs.twimg.com/profile_banners/1192477042500980736/1630116386</v>
      </c>
      <c r="AQ759" s="80" t="b">
        <v>1</v>
      </c>
      <c r="AR759" s="80" t="b">
        <v>0</v>
      </c>
      <c r="AS759" s="80" t="b">
        <v>0</v>
      </c>
      <c r="AT759" s="80"/>
      <c r="AU759" s="80">
        <v>1</v>
      </c>
      <c r="AV759" s="80"/>
      <c r="AW759" s="80" t="b">
        <v>0</v>
      </c>
      <c r="AX759" s="80" t="s">
        <v>10746</v>
      </c>
      <c r="AY759" s="87" t="str">
        <f>HYPERLINK("https://twitter.com/haiqal_mahtiar")</f>
        <v>https://twitter.com/haiqal_mahtiar</v>
      </c>
      <c r="AZ759" s="80" t="s">
        <v>66</v>
      </c>
      <c r="BA759" s="2"/>
      <c r="BB759" s="3"/>
      <c r="BC759" s="3"/>
      <c r="BD759" s="3"/>
      <c r="BE759" s="3"/>
    </row>
    <row r="760" spans="1:57" x14ac:dyDescent="0.35">
      <c r="A760" s="66" t="s">
        <v>1406</v>
      </c>
      <c r="B760" s="67"/>
      <c r="C760" s="67"/>
      <c r="D760" s="68"/>
      <c r="E760" s="70"/>
      <c r="F760" s="109" t="str">
        <f>HYPERLINK("https://pbs.twimg.com/profile_images/1440331748336758785/92pe-FJ8_normal.jpg")</f>
        <v>https://pbs.twimg.com/profile_images/1440331748336758785/92pe-FJ8_normal.jpg</v>
      </c>
      <c r="G760" s="67"/>
      <c r="H760" s="71"/>
      <c r="I760" s="72"/>
      <c r="J760" s="72"/>
      <c r="K760" s="71" t="s">
        <v>11503</v>
      </c>
      <c r="L760" s="75"/>
      <c r="M760" s="76"/>
      <c r="N760" s="76"/>
      <c r="O760" s="77"/>
      <c r="P760" s="78"/>
      <c r="Q760" s="78"/>
      <c r="R760" s="92"/>
      <c r="S760" s="92"/>
      <c r="T760" s="92"/>
      <c r="U760" s="92"/>
      <c r="V760" s="52"/>
      <c r="W760" s="52"/>
      <c r="X760" s="52"/>
      <c r="Y760" s="52"/>
      <c r="Z760" s="51"/>
      <c r="AA760" s="73"/>
      <c r="AB760" s="73"/>
      <c r="AC760" s="74"/>
      <c r="AD760" s="80" t="s">
        <v>7330</v>
      </c>
      <c r="AE760" s="85" t="s">
        <v>6359</v>
      </c>
      <c r="AF760" s="80">
        <v>142</v>
      </c>
      <c r="AG760" s="80">
        <v>130</v>
      </c>
      <c r="AH760" s="80">
        <v>7701</v>
      </c>
      <c r="AI760" s="80">
        <v>12237</v>
      </c>
      <c r="AJ760" s="80"/>
      <c r="AK760" s="80">
        <v>888</v>
      </c>
      <c r="AL760" s="80"/>
      <c r="AM760" s="80"/>
      <c r="AN760" s="80"/>
      <c r="AO760" s="82">
        <v>43047.327349537038</v>
      </c>
      <c r="AP760" s="87" t="str">
        <f>HYPERLINK("https://pbs.twimg.com/profile_banners/928168055816859648/1624715513")</f>
        <v>https://pbs.twimg.com/profile_banners/928168055816859648/1624715513</v>
      </c>
      <c r="AQ760" s="80" t="b">
        <v>0</v>
      </c>
      <c r="AR760" s="80" t="b">
        <v>0</v>
      </c>
      <c r="AS760" s="80" t="b">
        <v>1</v>
      </c>
      <c r="AT760" s="80"/>
      <c r="AU760" s="80">
        <v>0</v>
      </c>
      <c r="AV760" s="87" t="str">
        <f>HYPERLINK("https://abs.twimg.com/images/themes/theme1/bg.png")</f>
        <v>https://abs.twimg.com/images/themes/theme1/bg.png</v>
      </c>
      <c r="AW760" s="80" t="b">
        <v>0</v>
      </c>
      <c r="AX760" s="80" t="s">
        <v>10746</v>
      </c>
      <c r="AY760" s="87" t="str">
        <f>HYPERLINK("https://twitter.com/aly4chan")</f>
        <v>https://twitter.com/aly4chan</v>
      </c>
      <c r="AZ760" s="80" t="s">
        <v>65</v>
      </c>
      <c r="BA760" s="2"/>
      <c r="BB760" s="3"/>
      <c r="BC760" s="3"/>
      <c r="BD760" s="3"/>
      <c r="BE760" s="3"/>
    </row>
    <row r="761" spans="1:57" x14ac:dyDescent="0.35">
      <c r="A761" s="66" t="s">
        <v>827</v>
      </c>
      <c r="B761" s="67"/>
      <c r="C761" s="67"/>
      <c r="D761" s="68"/>
      <c r="E761" s="70"/>
      <c r="F761" s="109" t="str">
        <f>HYPERLINK("https://pbs.twimg.com/profile_images/1432384830486941696/VjHBj8OX_normal.jpg")</f>
        <v>https://pbs.twimg.com/profile_images/1432384830486941696/VjHBj8OX_normal.jpg</v>
      </c>
      <c r="G761" s="67"/>
      <c r="H761" s="71"/>
      <c r="I761" s="72"/>
      <c r="J761" s="72"/>
      <c r="K761" s="71" t="s">
        <v>11504</v>
      </c>
      <c r="L761" s="75"/>
      <c r="M761" s="76"/>
      <c r="N761" s="76"/>
      <c r="O761" s="77"/>
      <c r="P761" s="78"/>
      <c r="Q761" s="78"/>
      <c r="R761" s="92"/>
      <c r="S761" s="92"/>
      <c r="T761" s="92"/>
      <c r="U761" s="92"/>
      <c r="V761" s="52"/>
      <c r="W761" s="52"/>
      <c r="X761" s="52"/>
      <c r="Y761" s="52"/>
      <c r="Z761" s="51"/>
      <c r="AA761" s="73"/>
      <c r="AB761" s="73"/>
      <c r="AC761" s="74"/>
      <c r="AD761" s="80" t="s">
        <v>7331</v>
      </c>
      <c r="AE761" s="85" t="s">
        <v>8511</v>
      </c>
      <c r="AF761" s="80">
        <v>163</v>
      </c>
      <c r="AG761" s="80">
        <v>177</v>
      </c>
      <c r="AH761" s="80">
        <v>18769</v>
      </c>
      <c r="AI761" s="80">
        <v>5620</v>
      </c>
      <c r="AJ761" s="80"/>
      <c r="AK761" s="80" t="s">
        <v>9637</v>
      </c>
      <c r="AL761" s="80" t="s">
        <v>10154</v>
      </c>
      <c r="AM761" s="80"/>
      <c r="AN761" s="80"/>
      <c r="AO761" s="82">
        <v>43946.243668981479</v>
      </c>
      <c r="AP761" s="87" t="str">
        <f>HYPERLINK("https://pbs.twimg.com/profile_banners/1253924390590312448/1601223953")</f>
        <v>https://pbs.twimg.com/profile_banners/1253924390590312448/1601223953</v>
      </c>
      <c r="AQ761" s="80" t="b">
        <v>1</v>
      </c>
      <c r="AR761" s="80" t="b">
        <v>0</v>
      </c>
      <c r="AS761" s="80" t="b">
        <v>0</v>
      </c>
      <c r="AT761" s="80"/>
      <c r="AU761" s="80">
        <v>4</v>
      </c>
      <c r="AV761" s="80"/>
      <c r="AW761" s="80" t="b">
        <v>0</v>
      </c>
      <c r="AX761" s="80" t="s">
        <v>10746</v>
      </c>
      <c r="AY761" s="87" t="str">
        <f>HYPERLINK("https://twitter.com/pingpongshh")</f>
        <v>https://twitter.com/pingpongshh</v>
      </c>
      <c r="AZ761" s="80" t="s">
        <v>66</v>
      </c>
      <c r="BA761" s="2"/>
      <c r="BB761" s="3"/>
      <c r="BC761" s="3"/>
      <c r="BD761" s="3"/>
      <c r="BE761" s="3"/>
    </row>
    <row r="762" spans="1:57" x14ac:dyDescent="0.35">
      <c r="A762" s="66" t="s">
        <v>828</v>
      </c>
      <c r="B762" s="67"/>
      <c r="C762" s="67"/>
      <c r="D762" s="68"/>
      <c r="E762" s="70"/>
      <c r="F762" s="109" t="str">
        <f>HYPERLINK("https://pbs.twimg.com/profile_images/1430850932766429189/8OqrK0Mr_normal.jpg")</f>
        <v>https://pbs.twimg.com/profile_images/1430850932766429189/8OqrK0Mr_normal.jpg</v>
      </c>
      <c r="G762" s="67"/>
      <c r="H762" s="71"/>
      <c r="I762" s="72"/>
      <c r="J762" s="72"/>
      <c r="K762" s="71" t="s">
        <v>11505</v>
      </c>
      <c r="L762" s="75"/>
      <c r="M762" s="76"/>
      <c r="N762" s="76"/>
      <c r="O762" s="77"/>
      <c r="P762" s="78"/>
      <c r="Q762" s="78"/>
      <c r="R762" s="92"/>
      <c r="S762" s="92"/>
      <c r="T762" s="92"/>
      <c r="U762" s="92"/>
      <c r="V762" s="52"/>
      <c r="W762" s="52"/>
      <c r="X762" s="52"/>
      <c r="Y762" s="52"/>
      <c r="Z762" s="51"/>
      <c r="AA762" s="73"/>
      <c r="AB762" s="73"/>
      <c r="AC762" s="74"/>
      <c r="AD762" s="80" t="s">
        <v>7332</v>
      </c>
      <c r="AE762" s="85" t="s">
        <v>8512</v>
      </c>
      <c r="AF762" s="80">
        <v>206</v>
      </c>
      <c r="AG762" s="80">
        <v>190</v>
      </c>
      <c r="AH762" s="80">
        <v>60046</v>
      </c>
      <c r="AI762" s="80">
        <v>15182</v>
      </c>
      <c r="AJ762" s="80"/>
      <c r="AK762" s="80" t="s">
        <v>9638</v>
      </c>
      <c r="AL762" s="80" t="s">
        <v>10501</v>
      </c>
      <c r="AM762" s="80"/>
      <c r="AN762" s="80"/>
      <c r="AO762" s="82">
        <v>40205.377314814818</v>
      </c>
      <c r="AP762" s="87" t="str">
        <f>HYPERLINK("https://pbs.twimg.com/profile_banners/108883401/1620360076")</f>
        <v>https://pbs.twimg.com/profile_banners/108883401/1620360076</v>
      </c>
      <c r="AQ762" s="80" t="b">
        <v>1</v>
      </c>
      <c r="AR762" s="80" t="b">
        <v>0</v>
      </c>
      <c r="AS762" s="80" t="b">
        <v>0</v>
      </c>
      <c r="AT762" s="80"/>
      <c r="AU762" s="80">
        <v>5</v>
      </c>
      <c r="AV762" s="87" t="str">
        <f>HYPERLINK("https://abs.twimg.com/images/themes/theme1/bg.png")</f>
        <v>https://abs.twimg.com/images/themes/theme1/bg.png</v>
      </c>
      <c r="AW762" s="80" t="b">
        <v>0</v>
      </c>
      <c r="AX762" s="80" t="s">
        <v>10746</v>
      </c>
      <c r="AY762" s="87" t="str">
        <f>HYPERLINK("https://twitter.com/ajisaazeez")</f>
        <v>https://twitter.com/ajisaazeez</v>
      </c>
      <c r="AZ762" s="80" t="s">
        <v>66</v>
      </c>
      <c r="BA762" s="2"/>
      <c r="BB762" s="3"/>
      <c r="BC762" s="3"/>
      <c r="BD762" s="3"/>
      <c r="BE762" s="3"/>
    </row>
    <row r="763" spans="1:57" x14ac:dyDescent="0.35">
      <c r="A763" s="66" t="s">
        <v>829</v>
      </c>
      <c r="B763" s="67"/>
      <c r="C763" s="67"/>
      <c r="D763" s="68"/>
      <c r="E763" s="70"/>
      <c r="F763" s="109" t="str">
        <f>HYPERLINK("https://pbs.twimg.com/profile_images/1441673218704637959/fJS5PKEO_normal.jpg")</f>
        <v>https://pbs.twimg.com/profile_images/1441673218704637959/fJS5PKEO_normal.jpg</v>
      </c>
      <c r="G763" s="67"/>
      <c r="H763" s="71"/>
      <c r="I763" s="72"/>
      <c r="J763" s="72"/>
      <c r="K763" s="71" t="s">
        <v>11506</v>
      </c>
      <c r="L763" s="75"/>
      <c r="M763" s="76"/>
      <c r="N763" s="76"/>
      <c r="O763" s="77"/>
      <c r="P763" s="78"/>
      <c r="Q763" s="78"/>
      <c r="R763" s="92"/>
      <c r="S763" s="92"/>
      <c r="T763" s="92"/>
      <c r="U763" s="92"/>
      <c r="V763" s="52"/>
      <c r="W763" s="52"/>
      <c r="X763" s="52"/>
      <c r="Y763" s="52"/>
      <c r="Z763" s="51"/>
      <c r="AA763" s="73"/>
      <c r="AB763" s="73"/>
      <c r="AC763" s="74"/>
      <c r="AD763" s="80" t="s">
        <v>7333</v>
      </c>
      <c r="AE763" s="85" t="s">
        <v>8513</v>
      </c>
      <c r="AF763" s="80">
        <v>289</v>
      </c>
      <c r="AG763" s="80">
        <v>143</v>
      </c>
      <c r="AH763" s="80">
        <v>109713</v>
      </c>
      <c r="AI763" s="80">
        <v>10106</v>
      </c>
      <c r="AJ763" s="80"/>
      <c r="AK763" s="80" t="s">
        <v>9639</v>
      </c>
      <c r="AL763" s="80" t="s">
        <v>10502</v>
      </c>
      <c r="AM763" s="80"/>
      <c r="AN763" s="80"/>
      <c r="AO763" s="82">
        <v>43308.516481481478</v>
      </c>
      <c r="AP763" s="87" t="str">
        <f>HYPERLINK("https://pbs.twimg.com/profile_banners/1022819827658850304/1631385772")</f>
        <v>https://pbs.twimg.com/profile_banners/1022819827658850304/1631385772</v>
      </c>
      <c r="AQ763" s="80" t="b">
        <v>1</v>
      </c>
      <c r="AR763" s="80" t="b">
        <v>0</v>
      </c>
      <c r="AS763" s="80" t="b">
        <v>0</v>
      </c>
      <c r="AT763" s="80"/>
      <c r="AU763" s="80">
        <v>2</v>
      </c>
      <c r="AV763" s="80"/>
      <c r="AW763" s="80" t="b">
        <v>0</v>
      </c>
      <c r="AX763" s="80" t="s">
        <v>10746</v>
      </c>
      <c r="AY763" s="87" t="str">
        <f>HYPERLINK("https://twitter.com/ireneizbaee")</f>
        <v>https://twitter.com/ireneizbaee</v>
      </c>
      <c r="AZ763" s="80" t="s">
        <v>66</v>
      </c>
      <c r="BA763" s="2"/>
      <c r="BB763" s="3"/>
      <c r="BC763" s="3"/>
      <c r="BD763" s="3"/>
      <c r="BE763" s="3"/>
    </row>
    <row r="764" spans="1:57" x14ac:dyDescent="0.35">
      <c r="A764" s="66" t="s">
        <v>830</v>
      </c>
      <c r="B764" s="67"/>
      <c r="C764" s="67"/>
      <c r="D764" s="68"/>
      <c r="E764" s="70"/>
      <c r="F764" s="109" t="str">
        <f>HYPERLINK("https://pbs.twimg.com/profile_images/1438872335147143175/wdSmCQd0_normal.jpg")</f>
        <v>https://pbs.twimg.com/profile_images/1438872335147143175/wdSmCQd0_normal.jpg</v>
      </c>
      <c r="G764" s="67"/>
      <c r="H764" s="71"/>
      <c r="I764" s="72"/>
      <c r="J764" s="72"/>
      <c r="K764" s="71" t="s">
        <v>11507</v>
      </c>
      <c r="L764" s="75"/>
      <c r="M764" s="76"/>
      <c r="N764" s="76"/>
      <c r="O764" s="77"/>
      <c r="P764" s="78"/>
      <c r="Q764" s="78"/>
      <c r="R764" s="92"/>
      <c r="S764" s="92"/>
      <c r="T764" s="92"/>
      <c r="U764" s="92"/>
      <c r="V764" s="52"/>
      <c r="W764" s="52"/>
      <c r="X764" s="52"/>
      <c r="Y764" s="52"/>
      <c r="Z764" s="51"/>
      <c r="AA764" s="73"/>
      <c r="AB764" s="73"/>
      <c r="AC764" s="74"/>
      <c r="AD764" s="80" t="s">
        <v>7334</v>
      </c>
      <c r="AE764" s="85" t="s">
        <v>8514</v>
      </c>
      <c r="AF764" s="80">
        <v>197</v>
      </c>
      <c r="AG764" s="80">
        <v>278</v>
      </c>
      <c r="AH764" s="80">
        <v>16057</v>
      </c>
      <c r="AI764" s="80">
        <v>19091</v>
      </c>
      <c r="AJ764" s="80"/>
      <c r="AK764" s="80" t="s">
        <v>9640</v>
      </c>
      <c r="AL764" s="80"/>
      <c r="AM764" s="80"/>
      <c r="AN764" s="80"/>
      <c r="AO764" s="82">
        <v>43181.381111111114</v>
      </c>
      <c r="AP764" s="87" t="str">
        <f>HYPERLINK("https://pbs.twimg.com/profile_banners/976747508968796160/1628262120")</f>
        <v>https://pbs.twimg.com/profile_banners/976747508968796160/1628262120</v>
      </c>
      <c r="AQ764" s="80" t="b">
        <v>1</v>
      </c>
      <c r="AR764" s="80" t="b">
        <v>0</v>
      </c>
      <c r="AS764" s="80" t="b">
        <v>0</v>
      </c>
      <c r="AT764" s="80"/>
      <c r="AU764" s="80">
        <v>1</v>
      </c>
      <c r="AV764" s="80"/>
      <c r="AW764" s="80" t="b">
        <v>0</v>
      </c>
      <c r="AX764" s="80" t="s">
        <v>10746</v>
      </c>
      <c r="AY764" s="87" t="str">
        <f>HYPERLINK("https://twitter.com/nraisyah_12")</f>
        <v>https://twitter.com/nraisyah_12</v>
      </c>
      <c r="AZ764" s="80" t="s">
        <v>66</v>
      </c>
      <c r="BA764" s="2"/>
      <c r="BB764" s="3"/>
      <c r="BC764" s="3"/>
      <c r="BD764" s="3"/>
      <c r="BE764" s="3"/>
    </row>
    <row r="765" spans="1:57" x14ac:dyDescent="0.35">
      <c r="A765" s="66" t="s">
        <v>832</v>
      </c>
      <c r="B765" s="67"/>
      <c r="C765" s="67"/>
      <c r="D765" s="68"/>
      <c r="E765" s="70"/>
      <c r="F765" s="109" t="str">
        <f>HYPERLINK("https://pbs.twimg.com/profile_images/1333014117100056576/ubbT06vT_normal.jpg")</f>
        <v>https://pbs.twimg.com/profile_images/1333014117100056576/ubbT06vT_normal.jpg</v>
      </c>
      <c r="G765" s="67"/>
      <c r="H765" s="71"/>
      <c r="I765" s="72"/>
      <c r="J765" s="72"/>
      <c r="K765" s="71" t="s">
        <v>11508</v>
      </c>
      <c r="L765" s="75"/>
      <c r="M765" s="76"/>
      <c r="N765" s="76"/>
      <c r="O765" s="77"/>
      <c r="P765" s="78"/>
      <c r="Q765" s="78"/>
      <c r="R765" s="92"/>
      <c r="S765" s="92"/>
      <c r="T765" s="92"/>
      <c r="U765" s="92"/>
      <c r="V765" s="52"/>
      <c r="W765" s="52"/>
      <c r="X765" s="52"/>
      <c r="Y765" s="52"/>
      <c r="Z765" s="51"/>
      <c r="AA765" s="73"/>
      <c r="AB765" s="73"/>
      <c r="AC765" s="74"/>
      <c r="AD765" s="80" t="s">
        <v>7335</v>
      </c>
      <c r="AE765" s="85" t="s">
        <v>8515</v>
      </c>
      <c r="AF765" s="80">
        <v>257</v>
      </c>
      <c r="AG765" s="80">
        <v>6515</v>
      </c>
      <c r="AH765" s="80">
        <v>52076</v>
      </c>
      <c r="AI765" s="80">
        <v>562</v>
      </c>
      <c r="AJ765" s="80"/>
      <c r="AK765" s="80" t="s">
        <v>9641</v>
      </c>
      <c r="AL765" s="80" t="s">
        <v>10503</v>
      </c>
      <c r="AM765" s="87" t="str">
        <f>HYPERLINK("https://t.co/T1yeoi7vAg")</f>
        <v>https://t.co/T1yeoi7vAg</v>
      </c>
      <c r="AN765" s="80"/>
      <c r="AO765" s="82">
        <v>40913.364074074074</v>
      </c>
      <c r="AP765" s="87" t="str">
        <f>HYPERLINK("https://pbs.twimg.com/profile_banners/455594753/1410885256")</f>
        <v>https://pbs.twimg.com/profile_banners/455594753/1410885256</v>
      </c>
      <c r="AQ765" s="80" t="b">
        <v>0</v>
      </c>
      <c r="AR765" s="80" t="b">
        <v>0</v>
      </c>
      <c r="AS765" s="80" t="b">
        <v>1</v>
      </c>
      <c r="AT765" s="80"/>
      <c r="AU765" s="80">
        <v>14</v>
      </c>
      <c r="AV765" s="87" t="str">
        <f>HYPERLINK("https://abs.twimg.com/images/themes/theme14/bg.gif")</f>
        <v>https://abs.twimg.com/images/themes/theme14/bg.gif</v>
      </c>
      <c r="AW765" s="80" t="b">
        <v>0</v>
      </c>
      <c r="AX765" s="80" t="s">
        <v>10746</v>
      </c>
      <c r="AY765" s="87" t="str">
        <f>HYPERLINK("https://twitter.com/pks_psrebo")</f>
        <v>https://twitter.com/pks_psrebo</v>
      </c>
      <c r="AZ765" s="80" t="s">
        <v>66</v>
      </c>
      <c r="BA765" s="2"/>
      <c r="BB765" s="3"/>
      <c r="BC765" s="3"/>
      <c r="BD765" s="3"/>
      <c r="BE765" s="3"/>
    </row>
    <row r="766" spans="1:57" x14ac:dyDescent="0.35">
      <c r="A766" s="66" t="s">
        <v>833</v>
      </c>
      <c r="B766" s="67"/>
      <c r="C766" s="67"/>
      <c r="D766" s="68"/>
      <c r="E766" s="70"/>
      <c r="F766" s="109" t="str">
        <f>HYPERLINK("https://pbs.twimg.com/profile_images/1418924602814775299/0OT3n5Q8_normal.jpg")</f>
        <v>https://pbs.twimg.com/profile_images/1418924602814775299/0OT3n5Q8_normal.jpg</v>
      </c>
      <c r="G766" s="67"/>
      <c r="H766" s="71"/>
      <c r="I766" s="72"/>
      <c r="J766" s="72"/>
      <c r="K766" s="71" t="s">
        <v>11509</v>
      </c>
      <c r="L766" s="75"/>
      <c r="M766" s="76"/>
      <c r="N766" s="76"/>
      <c r="O766" s="77"/>
      <c r="P766" s="78"/>
      <c r="Q766" s="78"/>
      <c r="R766" s="92"/>
      <c r="S766" s="92"/>
      <c r="T766" s="92"/>
      <c r="U766" s="92"/>
      <c r="V766" s="52"/>
      <c r="W766" s="52"/>
      <c r="X766" s="52"/>
      <c r="Y766" s="52"/>
      <c r="Z766" s="51"/>
      <c r="AA766" s="73"/>
      <c r="AB766" s="73"/>
      <c r="AC766" s="74"/>
      <c r="AD766" s="80" t="s">
        <v>7336</v>
      </c>
      <c r="AE766" s="85" t="s">
        <v>8516</v>
      </c>
      <c r="AF766" s="80">
        <v>1228</v>
      </c>
      <c r="AG766" s="80">
        <v>893</v>
      </c>
      <c r="AH766" s="80">
        <v>13059</v>
      </c>
      <c r="AI766" s="80">
        <v>6873</v>
      </c>
      <c r="AJ766" s="80"/>
      <c r="AK766" s="80" t="s">
        <v>9642</v>
      </c>
      <c r="AL766" s="80"/>
      <c r="AM766" s="80"/>
      <c r="AN766" s="80"/>
      <c r="AO766" s="82">
        <v>44058.506990740738</v>
      </c>
      <c r="AP766" s="87" t="str">
        <f>HYPERLINK("https://pbs.twimg.com/profile_banners/1294607244558872576/1597493954")</f>
        <v>https://pbs.twimg.com/profile_banners/1294607244558872576/1597493954</v>
      </c>
      <c r="AQ766" s="80" t="b">
        <v>1</v>
      </c>
      <c r="AR766" s="80" t="b">
        <v>0</v>
      </c>
      <c r="AS766" s="80" t="b">
        <v>0</v>
      </c>
      <c r="AT766" s="80"/>
      <c r="AU766" s="80">
        <v>0</v>
      </c>
      <c r="AV766" s="80"/>
      <c r="AW766" s="80" t="b">
        <v>0</v>
      </c>
      <c r="AX766" s="80" t="s">
        <v>10746</v>
      </c>
      <c r="AY766" s="87" t="str">
        <f>HYPERLINK("https://twitter.com/soorisaa")</f>
        <v>https://twitter.com/soorisaa</v>
      </c>
      <c r="AZ766" s="80" t="s">
        <v>66</v>
      </c>
      <c r="BA766" s="2"/>
      <c r="BB766" s="3"/>
      <c r="BC766" s="3"/>
      <c r="BD766" s="3"/>
      <c r="BE766" s="3"/>
    </row>
    <row r="767" spans="1:57" x14ac:dyDescent="0.35">
      <c r="A767" s="66" t="s">
        <v>907</v>
      </c>
      <c r="B767" s="67"/>
      <c r="C767" s="67"/>
      <c r="D767" s="68"/>
      <c r="E767" s="70"/>
      <c r="F767" s="109" t="str">
        <f>HYPERLINK("https://pbs.twimg.com/profile_images/1442274400594640908/QsIuAivm_normal.jpg")</f>
        <v>https://pbs.twimg.com/profile_images/1442274400594640908/QsIuAivm_normal.jpg</v>
      </c>
      <c r="G767" s="67"/>
      <c r="H767" s="71"/>
      <c r="I767" s="72"/>
      <c r="J767" s="72"/>
      <c r="K767" s="71" t="s">
        <v>11510</v>
      </c>
      <c r="L767" s="75"/>
      <c r="M767" s="76"/>
      <c r="N767" s="76"/>
      <c r="O767" s="77"/>
      <c r="P767" s="78"/>
      <c r="Q767" s="78"/>
      <c r="R767" s="92"/>
      <c r="S767" s="92"/>
      <c r="T767" s="92"/>
      <c r="U767" s="92"/>
      <c r="V767" s="52"/>
      <c r="W767" s="52"/>
      <c r="X767" s="52"/>
      <c r="Y767" s="52"/>
      <c r="Z767" s="51"/>
      <c r="AA767" s="73"/>
      <c r="AB767" s="73"/>
      <c r="AC767" s="74"/>
      <c r="AD767" s="80" t="s">
        <v>7337</v>
      </c>
      <c r="AE767" s="85" t="s">
        <v>8517</v>
      </c>
      <c r="AF767" s="80">
        <v>83</v>
      </c>
      <c r="AG767" s="80">
        <v>50</v>
      </c>
      <c r="AH767" s="80">
        <v>5129</v>
      </c>
      <c r="AI767" s="80">
        <v>23035</v>
      </c>
      <c r="AJ767" s="80"/>
      <c r="AK767" s="80" t="s">
        <v>9643</v>
      </c>
      <c r="AL767" s="80" t="s">
        <v>10157</v>
      </c>
      <c r="AM767" s="80"/>
      <c r="AN767" s="80"/>
      <c r="AO767" s="82">
        <v>44086.522731481484</v>
      </c>
      <c r="AP767" s="87" t="str">
        <f>HYPERLINK("https://pbs.twimg.com/profile_banners/1304759703302336512/1631113771")</f>
        <v>https://pbs.twimg.com/profile_banners/1304759703302336512/1631113771</v>
      </c>
      <c r="AQ767" s="80" t="b">
        <v>1</v>
      </c>
      <c r="AR767" s="80" t="b">
        <v>0</v>
      </c>
      <c r="AS767" s="80" t="b">
        <v>0</v>
      </c>
      <c r="AT767" s="80"/>
      <c r="AU767" s="80">
        <v>1</v>
      </c>
      <c r="AV767" s="80"/>
      <c r="AW767" s="80" t="b">
        <v>0</v>
      </c>
      <c r="AX767" s="80" t="s">
        <v>10746</v>
      </c>
      <c r="AY767" s="87" t="str">
        <f>HYPERLINK("https://twitter.com/seungvocado22")</f>
        <v>https://twitter.com/seungvocado22</v>
      </c>
      <c r="AZ767" s="80" t="s">
        <v>66</v>
      </c>
      <c r="BA767" s="2"/>
      <c r="BB767" s="3"/>
      <c r="BC767" s="3"/>
      <c r="BD767" s="3"/>
      <c r="BE767" s="3"/>
    </row>
    <row r="768" spans="1:57" x14ac:dyDescent="0.35">
      <c r="A768" s="66" t="s">
        <v>834</v>
      </c>
      <c r="B768" s="67"/>
      <c r="C768" s="67"/>
      <c r="D768" s="68"/>
      <c r="E768" s="70"/>
      <c r="F768" s="109" t="str">
        <f>HYPERLINK("https://pbs.twimg.com/profile_images/1442514211095994370/_OqP6xmd_normal.jpg")</f>
        <v>https://pbs.twimg.com/profile_images/1442514211095994370/_OqP6xmd_normal.jpg</v>
      </c>
      <c r="G768" s="67"/>
      <c r="H768" s="71"/>
      <c r="I768" s="72"/>
      <c r="J768" s="72"/>
      <c r="K768" s="71" t="s">
        <v>11511</v>
      </c>
      <c r="L768" s="75"/>
      <c r="M768" s="76"/>
      <c r="N768" s="76"/>
      <c r="O768" s="77"/>
      <c r="P768" s="78"/>
      <c r="Q768" s="78"/>
      <c r="R768" s="92"/>
      <c r="S768" s="92"/>
      <c r="T768" s="92"/>
      <c r="U768" s="92"/>
      <c r="V768" s="52"/>
      <c r="W768" s="52"/>
      <c r="X768" s="52"/>
      <c r="Y768" s="52"/>
      <c r="Z768" s="51"/>
      <c r="AA768" s="73"/>
      <c r="AB768" s="73"/>
      <c r="AC768" s="74"/>
      <c r="AD768" s="80" t="s">
        <v>7338</v>
      </c>
      <c r="AE768" s="85" t="s">
        <v>8518</v>
      </c>
      <c r="AF768" s="80">
        <v>1604</v>
      </c>
      <c r="AG768" s="80">
        <v>1425</v>
      </c>
      <c r="AH768" s="80">
        <v>18081</v>
      </c>
      <c r="AI768" s="80">
        <v>77968</v>
      </c>
      <c r="AJ768" s="80"/>
      <c r="AK768" s="80" t="s">
        <v>9644</v>
      </c>
      <c r="AL768" s="80" t="s">
        <v>10504</v>
      </c>
      <c r="AM768" s="80"/>
      <c r="AN768" s="80"/>
      <c r="AO768" s="82">
        <v>43762.452974537038</v>
      </c>
      <c r="AP768" s="87" t="str">
        <f>HYPERLINK("https://pbs.twimg.com/profile_banners/1187320768977260544/1632467096")</f>
        <v>https://pbs.twimg.com/profile_banners/1187320768977260544/1632467096</v>
      </c>
      <c r="AQ768" s="80" t="b">
        <v>1</v>
      </c>
      <c r="AR768" s="80" t="b">
        <v>0</v>
      </c>
      <c r="AS768" s="80" t="b">
        <v>0</v>
      </c>
      <c r="AT768" s="80"/>
      <c r="AU768" s="80">
        <v>5</v>
      </c>
      <c r="AV768" s="80"/>
      <c r="AW768" s="80" t="b">
        <v>0</v>
      </c>
      <c r="AX768" s="80" t="s">
        <v>10746</v>
      </c>
      <c r="AY768" s="87" t="str">
        <f>HYPERLINK("https://twitter.com/lcvely_wn")</f>
        <v>https://twitter.com/lcvely_wn</v>
      </c>
      <c r="AZ768" s="80" t="s">
        <v>66</v>
      </c>
      <c r="BA768" s="2"/>
      <c r="BB768" s="3"/>
      <c r="BC768" s="3"/>
      <c r="BD768" s="3"/>
      <c r="BE768" s="3"/>
    </row>
    <row r="769" spans="1:57" x14ac:dyDescent="0.35">
      <c r="A769" s="66" t="s">
        <v>835</v>
      </c>
      <c r="B769" s="67"/>
      <c r="C769" s="67"/>
      <c r="D769" s="68"/>
      <c r="E769" s="70"/>
      <c r="F769" s="109" t="str">
        <f>HYPERLINK("https://pbs.twimg.com/profile_images/1413423289272131588/kvf9DODN_normal.jpg")</f>
        <v>https://pbs.twimg.com/profile_images/1413423289272131588/kvf9DODN_normal.jpg</v>
      </c>
      <c r="G769" s="67"/>
      <c r="H769" s="71"/>
      <c r="I769" s="72"/>
      <c r="J769" s="72"/>
      <c r="K769" s="71" t="s">
        <v>11512</v>
      </c>
      <c r="L769" s="75"/>
      <c r="M769" s="76"/>
      <c r="N769" s="76"/>
      <c r="O769" s="77"/>
      <c r="P769" s="78"/>
      <c r="Q769" s="78"/>
      <c r="R769" s="92"/>
      <c r="S769" s="92"/>
      <c r="T769" s="92"/>
      <c r="U769" s="92"/>
      <c r="V769" s="52"/>
      <c r="W769" s="52"/>
      <c r="X769" s="52"/>
      <c r="Y769" s="52"/>
      <c r="Z769" s="51"/>
      <c r="AA769" s="73"/>
      <c r="AB769" s="73"/>
      <c r="AC769" s="74"/>
      <c r="AD769" s="80" t="s">
        <v>7339</v>
      </c>
      <c r="AE769" s="85" t="s">
        <v>8519</v>
      </c>
      <c r="AF769" s="80">
        <v>305</v>
      </c>
      <c r="AG769" s="80">
        <v>143</v>
      </c>
      <c r="AH769" s="80">
        <v>4705</v>
      </c>
      <c r="AI769" s="80">
        <v>296</v>
      </c>
      <c r="AJ769" s="80"/>
      <c r="AK769" s="80" t="s">
        <v>9645</v>
      </c>
      <c r="AL769" s="80" t="s">
        <v>10505</v>
      </c>
      <c r="AM769" s="80"/>
      <c r="AN769" s="80"/>
      <c r="AO769" s="82">
        <v>41616.337141203701</v>
      </c>
      <c r="AP769" s="87" t="str">
        <f>HYPERLINK("https://pbs.twimg.com/profile_banners/2235718165/1401166002")</f>
        <v>https://pbs.twimg.com/profile_banners/2235718165/1401166002</v>
      </c>
      <c r="AQ769" s="80" t="b">
        <v>0</v>
      </c>
      <c r="AR769" s="80" t="b">
        <v>0</v>
      </c>
      <c r="AS769" s="80" t="b">
        <v>1</v>
      </c>
      <c r="AT769" s="80"/>
      <c r="AU769" s="80">
        <v>0</v>
      </c>
      <c r="AV769" s="87" t="str">
        <f>HYPERLINK("https://abs.twimg.com/images/themes/theme1/bg.png")</f>
        <v>https://abs.twimg.com/images/themes/theme1/bg.png</v>
      </c>
      <c r="AW769" s="80" t="b">
        <v>0</v>
      </c>
      <c r="AX769" s="80" t="s">
        <v>10746</v>
      </c>
      <c r="AY769" s="87" t="str">
        <f>HYPERLINK("https://twitter.com/widodo025")</f>
        <v>https://twitter.com/widodo025</v>
      </c>
      <c r="AZ769" s="80" t="s">
        <v>66</v>
      </c>
      <c r="BA769" s="2"/>
      <c r="BB769" s="3"/>
      <c r="BC769" s="3"/>
      <c r="BD769" s="3"/>
      <c r="BE769" s="3"/>
    </row>
    <row r="770" spans="1:57" x14ac:dyDescent="0.35">
      <c r="A770" s="66" t="s">
        <v>1407</v>
      </c>
      <c r="B770" s="67"/>
      <c r="C770" s="67"/>
      <c r="D770" s="68"/>
      <c r="E770" s="70"/>
      <c r="F770" s="109" t="str">
        <f>HYPERLINK("https://pbs.twimg.com/profile_images/1390780108957310977/eO65iV3I_normal.jpg")</f>
        <v>https://pbs.twimg.com/profile_images/1390780108957310977/eO65iV3I_normal.jpg</v>
      </c>
      <c r="G770" s="67"/>
      <c r="H770" s="71"/>
      <c r="I770" s="72"/>
      <c r="J770" s="72"/>
      <c r="K770" s="71" t="s">
        <v>11513</v>
      </c>
      <c r="L770" s="75"/>
      <c r="M770" s="76"/>
      <c r="N770" s="76"/>
      <c r="O770" s="77"/>
      <c r="P770" s="78"/>
      <c r="Q770" s="78"/>
      <c r="R770" s="92"/>
      <c r="S770" s="92"/>
      <c r="T770" s="92"/>
      <c r="U770" s="92"/>
      <c r="V770" s="52"/>
      <c r="W770" s="52"/>
      <c r="X770" s="52"/>
      <c r="Y770" s="52"/>
      <c r="Z770" s="51"/>
      <c r="AA770" s="73"/>
      <c r="AB770" s="73"/>
      <c r="AC770" s="74"/>
      <c r="AD770" s="80" t="s">
        <v>7340</v>
      </c>
      <c r="AE770" s="85" t="s">
        <v>6360</v>
      </c>
      <c r="AF770" s="80">
        <v>76</v>
      </c>
      <c r="AG770" s="80">
        <v>27</v>
      </c>
      <c r="AH770" s="80">
        <v>175</v>
      </c>
      <c r="AI770" s="80">
        <v>848</v>
      </c>
      <c r="AJ770" s="80"/>
      <c r="AK770" s="80" t="s">
        <v>9646</v>
      </c>
      <c r="AL770" s="80" t="s">
        <v>10506</v>
      </c>
      <c r="AM770" s="80"/>
      <c r="AN770" s="80"/>
      <c r="AO770" s="82">
        <v>43579.384976851848</v>
      </c>
      <c r="AP770" s="87" t="str">
        <f>HYPERLINK("https://pbs.twimg.com/profile_banners/1120979284074434560/1620422772")</f>
        <v>https://pbs.twimg.com/profile_banners/1120979284074434560/1620422772</v>
      </c>
      <c r="AQ770" s="80" t="b">
        <v>1</v>
      </c>
      <c r="AR770" s="80" t="b">
        <v>0</v>
      </c>
      <c r="AS770" s="80" t="b">
        <v>1</v>
      </c>
      <c r="AT770" s="80"/>
      <c r="AU770" s="80">
        <v>0</v>
      </c>
      <c r="AV770" s="80"/>
      <c r="AW770" s="80" t="b">
        <v>0</v>
      </c>
      <c r="AX770" s="80" t="s">
        <v>10746</v>
      </c>
      <c r="AY770" s="87" t="str">
        <f>HYPERLINK("https://twitter.com/bettylhestariie")</f>
        <v>https://twitter.com/bettylhestariie</v>
      </c>
      <c r="AZ770" s="80" t="s">
        <v>65</v>
      </c>
      <c r="BA770" s="2"/>
      <c r="BB770" s="3"/>
      <c r="BC770" s="3"/>
      <c r="BD770" s="3"/>
      <c r="BE770" s="3"/>
    </row>
    <row r="771" spans="1:57" x14ac:dyDescent="0.35">
      <c r="A771" s="66" t="s">
        <v>836</v>
      </c>
      <c r="B771" s="67"/>
      <c r="C771" s="67"/>
      <c r="D771" s="68"/>
      <c r="E771" s="70"/>
      <c r="F771" s="109" t="str">
        <f>HYPERLINK("https://pbs.twimg.com/profile_images/1305458527683506178/4nCYgxVn_normal.jpg")</f>
        <v>https://pbs.twimg.com/profile_images/1305458527683506178/4nCYgxVn_normal.jpg</v>
      </c>
      <c r="G771" s="67"/>
      <c r="H771" s="71"/>
      <c r="I771" s="72"/>
      <c r="J771" s="72"/>
      <c r="K771" s="71" t="s">
        <v>11514</v>
      </c>
      <c r="L771" s="75"/>
      <c r="M771" s="76"/>
      <c r="N771" s="76"/>
      <c r="O771" s="77"/>
      <c r="P771" s="78"/>
      <c r="Q771" s="78"/>
      <c r="R771" s="92"/>
      <c r="S771" s="92"/>
      <c r="T771" s="92"/>
      <c r="U771" s="92"/>
      <c r="V771" s="52"/>
      <c r="W771" s="52"/>
      <c r="X771" s="52"/>
      <c r="Y771" s="52"/>
      <c r="Z771" s="51"/>
      <c r="AA771" s="73"/>
      <c r="AB771" s="73"/>
      <c r="AC771" s="74"/>
      <c r="AD771" s="80" t="s">
        <v>7341</v>
      </c>
      <c r="AE771" s="85" t="s">
        <v>8520</v>
      </c>
      <c r="AF771" s="80">
        <v>222</v>
      </c>
      <c r="AG771" s="80">
        <v>325</v>
      </c>
      <c r="AH771" s="80">
        <v>9460</v>
      </c>
      <c r="AI771" s="80">
        <v>238</v>
      </c>
      <c r="AJ771" s="80"/>
      <c r="AK771" s="80"/>
      <c r="AL771" s="80"/>
      <c r="AM771" s="80"/>
      <c r="AN771" s="80"/>
      <c r="AO771" s="82">
        <v>40522.364768518521</v>
      </c>
      <c r="AP771" s="87" t="str">
        <f>HYPERLINK("https://pbs.twimg.com/profile_banners/224956276/1601386782")</f>
        <v>https://pbs.twimg.com/profile_banners/224956276/1601386782</v>
      </c>
      <c r="AQ771" s="80" t="b">
        <v>1</v>
      </c>
      <c r="AR771" s="80" t="b">
        <v>0</v>
      </c>
      <c r="AS771" s="80" t="b">
        <v>1</v>
      </c>
      <c r="AT771" s="80"/>
      <c r="AU771" s="80">
        <v>0</v>
      </c>
      <c r="AV771" s="87" t="str">
        <f>HYPERLINK("https://abs.twimg.com/images/themes/theme1/bg.png")</f>
        <v>https://abs.twimg.com/images/themes/theme1/bg.png</v>
      </c>
      <c r="AW771" s="80" t="b">
        <v>0</v>
      </c>
      <c r="AX771" s="80" t="s">
        <v>10746</v>
      </c>
      <c r="AY771" s="87" t="str">
        <f>HYPERLINK("https://twitter.com/nabilaaptrs")</f>
        <v>https://twitter.com/nabilaaptrs</v>
      </c>
      <c r="AZ771" s="80" t="s">
        <v>66</v>
      </c>
      <c r="BA771" s="2"/>
      <c r="BB771" s="3"/>
      <c r="BC771" s="3"/>
      <c r="BD771" s="3"/>
      <c r="BE771" s="3"/>
    </row>
    <row r="772" spans="1:57" x14ac:dyDescent="0.35">
      <c r="A772" s="66" t="s">
        <v>837</v>
      </c>
      <c r="B772" s="67"/>
      <c r="C772" s="67"/>
      <c r="D772" s="68"/>
      <c r="E772" s="70"/>
      <c r="F772" s="109" t="str">
        <f>HYPERLINK("https://pbs.twimg.com/profile_images/1439556159824797699/BS2cgdfr_normal.jpg")</f>
        <v>https://pbs.twimg.com/profile_images/1439556159824797699/BS2cgdfr_normal.jpg</v>
      </c>
      <c r="G772" s="67"/>
      <c r="H772" s="71"/>
      <c r="I772" s="72"/>
      <c r="J772" s="72"/>
      <c r="K772" s="71" t="s">
        <v>11515</v>
      </c>
      <c r="L772" s="75"/>
      <c r="M772" s="76"/>
      <c r="N772" s="76"/>
      <c r="O772" s="77"/>
      <c r="P772" s="78"/>
      <c r="Q772" s="78"/>
      <c r="R772" s="92"/>
      <c r="S772" s="92"/>
      <c r="T772" s="92"/>
      <c r="U772" s="92"/>
      <c r="V772" s="52"/>
      <c r="W772" s="52"/>
      <c r="X772" s="52"/>
      <c r="Y772" s="52"/>
      <c r="Z772" s="51"/>
      <c r="AA772" s="73"/>
      <c r="AB772" s="73"/>
      <c r="AC772" s="74"/>
      <c r="AD772" s="80" t="s">
        <v>7342</v>
      </c>
      <c r="AE772" s="85" t="s">
        <v>8521</v>
      </c>
      <c r="AF772" s="80">
        <v>36</v>
      </c>
      <c r="AG772" s="80">
        <v>19</v>
      </c>
      <c r="AH772" s="80">
        <v>224</v>
      </c>
      <c r="AI772" s="80">
        <v>2168</v>
      </c>
      <c r="AJ772" s="80"/>
      <c r="AK772" s="80" t="s">
        <v>9647</v>
      </c>
      <c r="AL772" s="80"/>
      <c r="AM772" s="80"/>
      <c r="AN772" s="80"/>
      <c r="AO772" s="82">
        <v>44332.491238425922</v>
      </c>
      <c r="AP772" s="87" t="str">
        <f>HYPERLINK("https://pbs.twimg.com/profile_banners/1393895807418470403/1632052247")</f>
        <v>https://pbs.twimg.com/profile_banners/1393895807418470403/1632052247</v>
      </c>
      <c r="AQ772" s="80" t="b">
        <v>1</v>
      </c>
      <c r="AR772" s="80" t="b">
        <v>0</v>
      </c>
      <c r="AS772" s="80" t="b">
        <v>0</v>
      </c>
      <c r="AT772" s="80"/>
      <c r="AU772" s="80">
        <v>0</v>
      </c>
      <c r="AV772" s="80"/>
      <c r="AW772" s="80" t="b">
        <v>0</v>
      </c>
      <c r="AX772" s="80" t="s">
        <v>10746</v>
      </c>
      <c r="AY772" s="87" t="str">
        <f>HYPERLINK("https://twitter.com/shadatuzn")</f>
        <v>https://twitter.com/shadatuzn</v>
      </c>
      <c r="AZ772" s="80" t="s">
        <v>66</v>
      </c>
      <c r="BA772" s="2"/>
      <c r="BB772" s="3"/>
      <c r="BC772" s="3"/>
      <c r="BD772" s="3"/>
      <c r="BE772" s="3"/>
    </row>
    <row r="773" spans="1:57" x14ac:dyDescent="0.35">
      <c r="A773" s="66" t="s">
        <v>838</v>
      </c>
      <c r="B773" s="67"/>
      <c r="C773" s="67"/>
      <c r="D773" s="68"/>
      <c r="E773" s="70"/>
      <c r="F773" s="109" t="str">
        <f>HYPERLINK("https://pbs.twimg.com/profile_images/1434777401884479490/ZTfkGSB8_normal.jpg")</f>
        <v>https://pbs.twimg.com/profile_images/1434777401884479490/ZTfkGSB8_normal.jpg</v>
      </c>
      <c r="G773" s="67"/>
      <c r="H773" s="71"/>
      <c r="I773" s="72"/>
      <c r="J773" s="72"/>
      <c r="K773" s="71" t="s">
        <v>11516</v>
      </c>
      <c r="L773" s="75"/>
      <c r="M773" s="76"/>
      <c r="N773" s="76"/>
      <c r="O773" s="77"/>
      <c r="P773" s="78"/>
      <c r="Q773" s="78"/>
      <c r="R773" s="92"/>
      <c r="S773" s="92"/>
      <c r="T773" s="92"/>
      <c r="U773" s="92"/>
      <c r="V773" s="52"/>
      <c r="W773" s="52"/>
      <c r="X773" s="52"/>
      <c r="Y773" s="52"/>
      <c r="Z773" s="51"/>
      <c r="AA773" s="73"/>
      <c r="AB773" s="73"/>
      <c r="AC773" s="74"/>
      <c r="AD773" s="80" t="s">
        <v>7343</v>
      </c>
      <c r="AE773" s="85" t="s">
        <v>8522</v>
      </c>
      <c r="AF773" s="80">
        <v>49</v>
      </c>
      <c r="AG773" s="80">
        <v>5</v>
      </c>
      <c r="AH773" s="80">
        <v>460</v>
      </c>
      <c r="AI773" s="80">
        <v>151</v>
      </c>
      <c r="AJ773" s="80"/>
      <c r="AK773" s="80" t="s">
        <v>9648</v>
      </c>
      <c r="AL773" s="80" t="s">
        <v>10154</v>
      </c>
      <c r="AM773" s="80"/>
      <c r="AN773" s="80"/>
      <c r="AO773" s="82">
        <v>44431.612569444442</v>
      </c>
      <c r="AP773" s="87" t="str">
        <f>HYPERLINK("https://pbs.twimg.com/profile_banners/1429815900836810757/1631245079")</f>
        <v>https://pbs.twimg.com/profile_banners/1429815900836810757/1631245079</v>
      </c>
      <c r="AQ773" s="80" t="b">
        <v>1</v>
      </c>
      <c r="AR773" s="80" t="b">
        <v>0</v>
      </c>
      <c r="AS773" s="80" t="b">
        <v>0</v>
      </c>
      <c r="AT773" s="80"/>
      <c r="AU773" s="80">
        <v>0</v>
      </c>
      <c r="AV773" s="80"/>
      <c r="AW773" s="80" t="b">
        <v>0</v>
      </c>
      <c r="AX773" s="80" t="s">
        <v>10746</v>
      </c>
      <c r="AY773" s="87" t="str">
        <f>HYPERLINK("https://twitter.com/jeonginfoxyy")</f>
        <v>https://twitter.com/jeonginfoxyy</v>
      </c>
      <c r="AZ773" s="80" t="s">
        <v>66</v>
      </c>
      <c r="BA773" s="2"/>
      <c r="BB773" s="3"/>
      <c r="BC773" s="3"/>
      <c r="BD773" s="3"/>
      <c r="BE773" s="3"/>
    </row>
    <row r="774" spans="1:57" x14ac:dyDescent="0.35">
      <c r="A774" s="66" t="s">
        <v>839</v>
      </c>
      <c r="B774" s="67"/>
      <c r="C774" s="67"/>
      <c r="D774" s="68"/>
      <c r="E774" s="70"/>
      <c r="F774" s="109" t="str">
        <f>HYPERLINK("https://pbs.twimg.com/profile_images/1423275992999550978/j-AoRFXl_normal.jpg")</f>
        <v>https://pbs.twimg.com/profile_images/1423275992999550978/j-AoRFXl_normal.jpg</v>
      </c>
      <c r="G774" s="67"/>
      <c r="H774" s="71"/>
      <c r="I774" s="72"/>
      <c r="J774" s="72"/>
      <c r="K774" s="71" t="s">
        <v>11517</v>
      </c>
      <c r="L774" s="75"/>
      <c r="M774" s="76"/>
      <c r="N774" s="76"/>
      <c r="O774" s="77"/>
      <c r="P774" s="78"/>
      <c r="Q774" s="78"/>
      <c r="R774" s="92"/>
      <c r="S774" s="92"/>
      <c r="T774" s="92"/>
      <c r="U774" s="92"/>
      <c r="V774" s="52"/>
      <c r="W774" s="52"/>
      <c r="X774" s="52"/>
      <c r="Y774" s="52"/>
      <c r="Z774" s="51"/>
      <c r="AA774" s="73"/>
      <c r="AB774" s="73"/>
      <c r="AC774" s="74"/>
      <c r="AD774" s="80" t="s">
        <v>7344</v>
      </c>
      <c r="AE774" s="85" t="s">
        <v>8523</v>
      </c>
      <c r="AF774" s="80">
        <v>693</v>
      </c>
      <c r="AG774" s="80">
        <v>688</v>
      </c>
      <c r="AH774" s="80">
        <v>3453</v>
      </c>
      <c r="AI774" s="80">
        <v>26090</v>
      </c>
      <c r="AJ774" s="80"/>
      <c r="AK774" s="80" t="s">
        <v>9649</v>
      </c>
      <c r="AL774" s="80" t="s">
        <v>10157</v>
      </c>
      <c r="AM774" s="80"/>
      <c r="AN774" s="80"/>
      <c r="AO774" s="82">
        <v>43807.137129629627</v>
      </c>
      <c r="AP774" s="87" t="str">
        <f>HYPERLINK("https://pbs.twimg.com/profile_banners/1203513796129476608/1628170414")</f>
        <v>https://pbs.twimg.com/profile_banners/1203513796129476608/1628170414</v>
      </c>
      <c r="AQ774" s="80" t="b">
        <v>1</v>
      </c>
      <c r="AR774" s="80" t="b">
        <v>0</v>
      </c>
      <c r="AS774" s="80" t="b">
        <v>0</v>
      </c>
      <c r="AT774" s="80"/>
      <c r="AU774" s="80">
        <v>2</v>
      </c>
      <c r="AV774" s="80"/>
      <c r="AW774" s="80" t="b">
        <v>0</v>
      </c>
      <c r="AX774" s="80" t="s">
        <v>10746</v>
      </c>
      <c r="AY774" s="87" t="str">
        <f>HYPERLINK("https://twitter.com/teutoong21")</f>
        <v>https://twitter.com/teutoong21</v>
      </c>
      <c r="AZ774" s="80" t="s">
        <v>66</v>
      </c>
      <c r="BA774" s="2"/>
      <c r="BB774" s="3"/>
      <c r="BC774" s="3"/>
      <c r="BD774" s="3"/>
      <c r="BE774" s="3"/>
    </row>
    <row r="775" spans="1:57" x14ac:dyDescent="0.35">
      <c r="A775" s="66" t="s">
        <v>840</v>
      </c>
      <c r="B775" s="67"/>
      <c r="C775" s="67"/>
      <c r="D775" s="68"/>
      <c r="E775" s="70"/>
      <c r="F775" s="109" t="str">
        <f>HYPERLINK("https://pbs.twimg.com/profile_images/1440666330298863618/DhYKA586_normal.jpg")</f>
        <v>https://pbs.twimg.com/profile_images/1440666330298863618/DhYKA586_normal.jpg</v>
      </c>
      <c r="G775" s="67"/>
      <c r="H775" s="71"/>
      <c r="I775" s="72"/>
      <c r="J775" s="72"/>
      <c r="K775" s="71" t="s">
        <v>11518</v>
      </c>
      <c r="L775" s="75"/>
      <c r="M775" s="76"/>
      <c r="N775" s="76"/>
      <c r="O775" s="77"/>
      <c r="P775" s="78"/>
      <c r="Q775" s="78"/>
      <c r="R775" s="92"/>
      <c r="S775" s="92"/>
      <c r="T775" s="92"/>
      <c r="U775" s="92"/>
      <c r="V775" s="52"/>
      <c r="W775" s="52"/>
      <c r="X775" s="52"/>
      <c r="Y775" s="52"/>
      <c r="Z775" s="51"/>
      <c r="AA775" s="73"/>
      <c r="AB775" s="73"/>
      <c r="AC775" s="74"/>
      <c r="AD775" s="80" t="s">
        <v>7345</v>
      </c>
      <c r="AE775" s="85" t="s">
        <v>8524</v>
      </c>
      <c r="AF775" s="80">
        <v>734</v>
      </c>
      <c r="AG775" s="80">
        <v>686</v>
      </c>
      <c r="AH775" s="80">
        <v>22190</v>
      </c>
      <c r="AI775" s="80">
        <v>142</v>
      </c>
      <c r="AJ775" s="80"/>
      <c r="AK775" s="80" t="s">
        <v>9650</v>
      </c>
      <c r="AL775" s="80" t="s">
        <v>10507</v>
      </c>
      <c r="AM775" s="80"/>
      <c r="AN775" s="80"/>
      <c r="AO775" s="82">
        <v>40333.534872685188</v>
      </c>
      <c r="AP775" s="87" t="str">
        <f>HYPERLINK("https://pbs.twimg.com/profile_banners/151862643/1632013718")</f>
        <v>https://pbs.twimg.com/profile_banners/151862643/1632013718</v>
      </c>
      <c r="AQ775" s="80" t="b">
        <v>0</v>
      </c>
      <c r="AR775" s="80" t="b">
        <v>0</v>
      </c>
      <c r="AS775" s="80" t="b">
        <v>1</v>
      </c>
      <c r="AT775" s="80"/>
      <c r="AU775" s="80">
        <v>4</v>
      </c>
      <c r="AV775" s="87" t="str">
        <f>HYPERLINK("https://abs.twimg.com/images/themes/theme1/bg.png")</f>
        <v>https://abs.twimg.com/images/themes/theme1/bg.png</v>
      </c>
      <c r="AW775" s="80" t="b">
        <v>0</v>
      </c>
      <c r="AX775" s="80" t="s">
        <v>10746</v>
      </c>
      <c r="AY775" s="87" t="str">
        <f>HYPERLINK("https://twitter.com/guardianfa")</f>
        <v>https://twitter.com/guardianfa</v>
      </c>
      <c r="AZ775" s="80" t="s">
        <v>66</v>
      </c>
      <c r="BA775" s="2"/>
      <c r="BB775" s="3"/>
      <c r="BC775" s="3"/>
      <c r="BD775" s="3"/>
      <c r="BE775" s="3"/>
    </row>
    <row r="776" spans="1:57" x14ac:dyDescent="0.35">
      <c r="A776" s="66" t="s">
        <v>1408</v>
      </c>
      <c r="B776" s="67"/>
      <c r="C776" s="67"/>
      <c r="D776" s="68"/>
      <c r="E776" s="70"/>
      <c r="F776" s="109" t="str">
        <f>HYPERLINK("https://pbs.twimg.com/profile_images/1378533914038300673/QOOh1Blz_normal.jpg")</f>
        <v>https://pbs.twimg.com/profile_images/1378533914038300673/QOOh1Blz_normal.jpg</v>
      </c>
      <c r="G776" s="67"/>
      <c r="H776" s="71"/>
      <c r="I776" s="72"/>
      <c r="J776" s="72"/>
      <c r="K776" s="71" t="s">
        <v>11519</v>
      </c>
      <c r="L776" s="75"/>
      <c r="M776" s="76"/>
      <c r="N776" s="76"/>
      <c r="O776" s="77"/>
      <c r="P776" s="78"/>
      <c r="Q776" s="78"/>
      <c r="R776" s="92"/>
      <c r="S776" s="92"/>
      <c r="T776" s="92"/>
      <c r="U776" s="92"/>
      <c r="V776" s="52"/>
      <c r="W776" s="52"/>
      <c r="X776" s="52"/>
      <c r="Y776" s="52"/>
      <c r="Z776" s="51"/>
      <c r="AA776" s="73"/>
      <c r="AB776" s="73"/>
      <c r="AC776" s="74"/>
      <c r="AD776" s="80" t="s">
        <v>7346</v>
      </c>
      <c r="AE776" s="85" t="s">
        <v>6361</v>
      </c>
      <c r="AF776" s="80">
        <v>869</v>
      </c>
      <c r="AG776" s="80">
        <v>642</v>
      </c>
      <c r="AH776" s="80">
        <v>26651</v>
      </c>
      <c r="AI776" s="80">
        <v>2226</v>
      </c>
      <c r="AJ776" s="80"/>
      <c r="AK776" s="80"/>
      <c r="AL776" s="80"/>
      <c r="AM776" s="80"/>
      <c r="AN776" s="80"/>
      <c r="AO776" s="82">
        <v>40845.114085648151</v>
      </c>
      <c r="AP776" s="87" t="str">
        <f>HYPERLINK("https://pbs.twimg.com/profile_banners/400467553/1587129094")</f>
        <v>https://pbs.twimg.com/profile_banners/400467553/1587129094</v>
      </c>
      <c r="AQ776" s="80" t="b">
        <v>0</v>
      </c>
      <c r="AR776" s="80" t="b">
        <v>0</v>
      </c>
      <c r="AS776" s="80" t="b">
        <v>1</v>
      </c>
      <c r="AT776" s="80"/>
      <c r="AU776" s="80">
        <v>0</v>
      </c>
      <c r="AV776" s="87" t="str">
        <f>HYPERLINK("https://abs.twimg.com/images/themes/theme1/bg.png")</f>
        <v>https://abs.twimg.com/images/themes/theme1/bg.png</v>
      </c>
      <c r="AW776" s="80" t="b">
        <v>0</v>
      </c>
      <c r="AX776" s="80" t="s">
        <v>10746</v>
      </c>
      <c r="AY776" s="87" t="str">
        <f>HYPERLINK("https://twitter.com/nastitintan")</f>
        <v>https://twitter.com/nastitintan</v>
      </c>
      <c r="AZ776" s="80" t="s">
        <v>65</v>
      </c>
      <c r="BA776" s="2"/>
      <c r="BB776" s="3"/>
      <c r="BC776" s="3"/>
      <c r="BD776" s="3"/>
      <c r="BE776" s="3"/>
    </row>
    <row r="777" spans="1:57" x14ac:dyDescent="0.35">
      <c r="A777" s="66" t="s">
        <v>841</v>
      </c>
      <c r="B777" s="67"/>
      <c r="C777" s="67"/>
      <c r="D777" s="68"/>
      <c r="E777" s="70"/>
      <c r="F777" s="109" t="str">
        <f>HYPERLINK("https://pbs.twimg.com/profile_images/1437571689877938182/n-DYWW72_normal.jpg")</f>
        <v>https://pbs.twimg.com/profile_images/1437571689877938182/n-DYWW72_normal.jpg</v>
      </c>
      <c r="G777" s="67"/>
      <c r="H777" s="71"/>
      <c r="I777" s="72"/>
      <c r="J777" s="72"/>
      <c r="K777" s="71" t="s">
        <v>11520</v>
      </c>
      <c r="L777" s="75"/>
      <c r="M777" s="76"/>
      <c r="N777" s="76"/>
      <c r="O777" s="77"/>
      <c r="P777" s="78"/>
      <c r="Q777" s="78"/>
      <c r="R777" s="92"/>
      <c r="S777" s="92"/>
      <c r="T777" s="92"/>
      <c r="U777" s="92"/>
      <c r="V777" s="52"/>
      <c r="W777" s="52"/>
      <c r="X777" s="52"/>
      <c r="Y777" s="52"/>
      <c r="Z777" s="51"/>
      <c r="AA777" s="73"/>
      <c r="AB777" s="73"/>
      <c r="AC777" s="74"/>
      <c r="AD777" s="80" t="s">
        <v>7347</v>
      </c>
      <c r="AE777" s="85" t="s">
        <v>8525</v>
      </c>
      <c r="AF777" s="80">
        <v>102</v>
      </c>
      <c r="AG777" s="80">
        <v>80</v>
      </c>
      <c r="AH777" s="80">
        <v>45</v>
      </c>
      <c r="AI777" s="80">
        <v>29</v>
      </c>
      <c r="AJ777" s="80"/>
      <c r="AK777" s="80"/>
      <c r="AL777" s="80"/>
      <c r="AM777" s="80"/>
      <c r="AN777" s="80"/>
      <c r="AO777" s="82">
        <v>44207.505266203705</v>
      </c>
      <c r="AP777" s="87" t="str">
        <f>HYPERLINK("https://pbs.twimg.com/profile_banners/1348602344666062848/1629613981")</f>
        <v>https://pbs.twimg.com/profile_banners/1348602344666062848/1629613981</v>
      </c>
      <c r="AQ777" s="80" t="b">
        <v>1</v>
      </c>
      <c r="AR777" s="80" t="b">
        <v>0</v>
      </c>
      <c r="AS777" s="80" t="b">
        <v>0</v>
      </c>
      <c r="AT777" s="80"/>
      <c r="AU777" s="80">
        <v>0</v>
      </c>
      <c r="AV777" s="80"/>
      <c r="AW777" s="80" t="b">
        <v>0</v>
      </c>
      <c r="AX777" s="80" t="s">
        <v>10746</v>
      </c>
      <c r="AY777" s="87" t="str">
        <f>HYPERLINK("https://twitter.com/iyenstars")</f>
        <v>https://twitter.com/iyenstars</v>
      </c>
      <c r="AZ777" s="80" t="s">
        <v>66</v>
      </c>
      <c r="BA777" s="2"/>
      <c r="BB777" s="3"/>
      <c r="BC777" s="3"/>
      <c r="BD777" s="3"/>
      <c r="BE777" s="3"/>
    </row>
    <row r="778" spans="1:57" x14ac:dyDescent="0.35">
      <c r="A778" s="66" t="s">
        <v>842</v>
      </c>
      <c r="B778" s="67"/>
      <c r="C778" s="67"/>
      <c r="D778" s="68"/>
      <c r="E778" s="70"/>
      <c r="F778" s="109" t="str">
        <f>HYPERLINK("https://pbs.twimg.com/profile_images/1435526693821640712/0uhnL1Qm_normal.jpg")</f>
        <v>https://pbs.twimg.com/profile_images/1435526693821640712/0uhnL1Qm_normal.jpg</v>
      </c>
      <c r="G778" s="67"/>
      <c r="H778" s="71"/>
      <c r="I778" s="72"/>
      <c r="J778" s="72"/>
      <c r="K778" s="71" t="s">
        <v>11521</v>
      </c>
      <c r="L778" s="75"/>
      <c r="M778" s="76"/>
      <c r="N778" s="76"/>
      <c r="O778" s="77"/>
      <c r="P778" s="78"/>
      <c r="Q778" s="78"/>
      <c r="R778" s="92"/>
      <c r="S778" s="92"/>
      <c r="T778" s="92"/>
      <c r="U778" s="92"/>
      <c r="V778" s="52"/>
      <c r="W778" s="52"/>
      <c r="X778" s="52"/>
      <c r="Y778" s="52"/>
      <c r="Z778" s="51"/>
      <c r="AA778" s="73"/>
      <c r="AB778" s="73"/>
      <c r="AC778" s="74"/>
      <c r="AD778" s="80" t="s">
        <v>7348</v>
      </c>
      <c r="AE778" s="85" t="s">
        <v>8526</v>
      </c>
      <c r="AF778" s="80">
        <v>20</v>
      </c>
      <c r="AG778" s="80">
        <v>2</v>
      </c>
      <c r="AH778" s="80">
        <v>836</v>
      </c>
      <c r="AI778" s="80">
        <v>251</v>
      </c>
      <c r="AJ778" s="80"/>
      <c r="AK778" s="80" t="s">
        <v>9651</v>
      </c>
      <c r="AL778" s="80" t="s">
        <v>10508</v>
      </c>
      <c r="AM778" s="87" t="str">
        <f>HYPERLINK("https://t.co/yZS4GFpoCT")</f>
        <v>https://t.co/yZS4GFpoCT</v>
      </c>
      <c r="AN778" s="80"/>
      <c r="AO778" s="82">
        <v>43953.118321759262</v>
      </c>
      <c r="AP778" s="87" t="str">
        <f>HYPERLINK("https://pbs.twimg.com/profile_banners/1256415432300326914/1631420105")</f>
        <v>https://pbs.twimg.com/profile_banners/1256415432300326914/1631420105</v>
      </c>
      <c r="AQ778" s="80" t="b">
        <v>1</v>
      </c>
      <c r="AR778" s="80" t="b">
        <v>0</v>
      </c>
      <c r="AS778" s="80" t="b">
        <v>0</v>
      </c>
      <c r="AT778" s="80"/>
      <c r="AU778" s="80">
        <v>0</v>
      </c>
      <c r="AV778" s="80"/>
      <c r="AW778" s="80" t="b">
        <v>0</v>
      </c>
      <c r="AX778" s="80" t="s">
        <v>10746</v>
      </c>
      <c r="AY778" s="87" t="str">
        <f>HYPERLINK("https://twitter.com/iouhrj")</f>
        <v>https://twitter.com/iouhrj</v>
      </c>
      <c r="AZ778" s="80" t="s">
        <v>66</v>
      </c>
      <c r="BA778" s="2"/>
      <c r="BB778" s="3"/>
      <c r="BC778" s="3"/>
      <c r="BD778" s="3"/>
      <c r="BE778" s="3"/>
    </row>
    <row r="779" spans="1:57" x14ac:dyDescent="0.35">
      <c r="A779" s="66" t="s">
        <v>843</v>
      </c>
      <c r="B779" s="67"/>
      <c r="C779" s="67"/>
      <c r="D779" s="68"/>
      <c r="E779" s="70"/>
      <c r="F779" s="109" t="str">
        <f>HYPERLINK("https://pbs.twimg.com/profile_images/1412073242286641152/9aetRgF5_normal.jpg")</f>
        <v>https://pbs.twimg.com/profile_images/1412073242286641152/9aetRgF5_normal.jpg</v>
      </c>
      <c r="G779" s="67"/>
      <c r="H779" s="71"/>
      <c r="I779" s="72"/>
      <c r="J779" s="72"/>
      <c r="K779" s="71" t="s">
        <v>11522</v>
      </c>
      <c r="L779" s="75"/>
      <c r="M779" s="76"/>
      <c r="N779" s="76"/>
      <c r="O779" s="77"/>
      <c r="P779" s="78"/>
      <c r="Q779" s="78"/>
      <c r="R779" s="92"/>
      <c r="S779" s="92"/>
      <c r="T779" s="92"/>
      <c r="U779" s="92"/>
      <c r="V779" s="52"/>
      <c r="W779" s="52"/>
      <c r="X779" s="52"/>
      <c r="Y779" s="52"/>
      <c r="Z779" s="51"/>
      <c r="AA779" s="73"/>
      <c r="AB779" s="73"/>
      <c r="AC779" s="74"/>
      <c r="AD779" s="80" t="s">
        <v>7349</v>
      </c>
      <c r="AE779" s="85" t="s">
        <v>8527</v>
      </c>
      <c r="AF779" s="80">
        <v>53</v>
      </c>
      <c r="AG779" s="80">
        <v>7</v>
      </c>
      <c r="AH779" s="80">
        <v>93</v>
      </c>
      <c r="AI779" s="80">
        <v>141</v>
      </c>
      <c r="AJ779" s="80"/>
      <c r="AK779" s="80" t="s">
        <v>9652</v>
      </c>
      <c r="AL779" s="80"/>
      <c r="AM779" s="80"/>
      <c r="AN779" s="80"/>
      <c r="AO779" s="82">
        <v>44327.973333333335</v>
      </c>
      <c r="AP779" s="87" t="str">
        <f>HYPERLINK("https://pbs.twimg.com/profile_banners/1392258574688997382/1632227106")</f>
        <v>https://pbs.twimg.com/profile_banners/1392258574688997382/1632227106</v>
      </c>
      <c r="AQ779" s="80" t="b">
        <v>1</v>
      </c>
      <c r="AR779" s="80" t="b">
        <v>0</v>
      </c>
      <c r="AS779" s="80" t="b">
        <v>0</v>
      </c>
      <c r="AT779" s="80"/>
      <c r="AU779" s="80">
        <v>0</v>
      </c>
      <c r="AV779" s="80"/>
      <c r="AW779" s="80" t="b">
        <v>0</v>
      </c>
      <c r="AX779" s="80" t="s">
        <v>10746</v>
      </c>
      <c r="AY779" s="87" t="str">
        <f>HYPERLINK("https://twitter.com/cthe0luvr")</f>
        <v>https://twitter.com/cthe0luvr</v>
      </c>
      <c r="AZ779" s="80" t="s">
        <v>66</v>
      </c>
      <c r="BA779" s="2"/>
      <c r="BB779" s="3"/>
      <c r="BC779" s="3"/>
      <c r="BD779" s="3"/>
      <c r="BE779" s="3"/>
    </row>
    <row r="780" spans="1:57" x14ac:dyDescent="0.35">
      <c r="A780" s="66" t="s">
        <v>844</v>
      </c>
      <c r="B780" s="67"/>
      <c r="C780" s="67"/>
      <c r="D780" s="68"/>
      <c r="E780" s="70"/>
      <c r="F780" s="109" t="str">
        <f>HYPERLINK("https://pbs.twimg.com/profile_images/1439437047396282374/mcFO4rGG_normal.jpg")</f>
        <v>https://pbs.twimg.com/profile_images/1439437047396282374/mcFO4rGG_normal.jpg</v>
      </c>
      <c r="G780" s="67"/>
      <c r="H780" s="71"/>
      <c r="I780" s="72"/>
      <c r="J780" s="72"/>
      <c r="K780" s="71" t="s">
        <v>11523</v>
      </c>
      <c r="L780" s="75"/>
      <c r="M780" s="76"/>
      <c r="N780" s="76"/>
      <c r="O780" s="77"/>
      <c r="P780" s="78"/>
      <c r="Q780" s="78"/>
      <c r="R780" s="92"/>
      <c r="S780" s="92"/>
      <c r="T780" s="92"/>
      <c r="U780" s="92"/>
      <c r="V780" s="52"/>
      <c r="W780" s="52"/>
      <c r="X780" s="52"/>
      <c r="Y780" s="52"/>
      <c r="Z780" s="51"/>
      <c r="AA780" s="73"/>
      <c r="AB780" s="73"/>
      <c r="AC780" s="74"/>
      <c r="AD780" s="80" t="s">
        <v>7350</v>
      </c>
      <c r="AE780" s="85" t="s">
        <v>6362</v>
      </c>
      <c r="AF780" s="80">
        <v>256</v>
      </c>
      <c r="AG780" s="80">
        <v>163</v>
      </c>
      <c r="AH780" s="80">
        <v>3924</v>
      </c>
      <c r="AI780" s="80">
        <v>1280</v>
      </c>
      <c r="AJ780" s="80"/>
      <c r="AK780" s="80"/>
      <c r="AL780" s="80"/>
      <c r="AM780" s="80"/>
      <c r="AN780" s="80"/>
      <c r="AO780" s="82">
        <v>44161.310717592591</v>
      </c>
      <c r="AP780" s="87" t="str">
        <f>HYPERLINK("https://pbs.twimg.com/profile_banners/1331862071273656320/1621275299")</f>
        <v>https://pbs.twimg.com/profile_banners/1331862071273656320/1621275299</v>
      </c>
      <c r="AQ780" s="80" t="b">
        <v>1</v>
      </c>
      <c r="AR780" s="80" t="b">
        <v>0</v>
      </c>
      <c r="AS780" s="80" t="b">
        <v>1</v>
      </c>
      <c r="AT780" s="80"/>
      <c r="AU780" s="80">
        <v>0</v>
      </c>
      <c r="AV780" s="80"/>
      <c r="AW780" s="80" t="b">
        <v>0</v>
      </c>
      <c r="AX780" s="80" t="s">
        <v>10746</v>
      </c>
      <c r="AY780" s="87" t="str">
        <f>HYPERLINK("https://twitter.com/briankhis")</f>
        <v>https://twitter.com/briankhis</v>
      </c>
      <c r="AZ780" s="80" t="s">
        <v>66</v>
      </c>
      <c r="BA780" s="2"/>
      <c r="BB780" s="3"/>
      <c r="BC780" s="3"/>
      <c r="BD780" s="3"/>
      <c r="BE780" s="3"/>
    </row>
    <row r="781" spans="1:57" x14ac:dyDescent="0.35">
      <c r="A781" s="66" t="s">
        <v>845</v>
      </c>
      <c r="B781" s="67"/>
      <c r="C781" s="67"/>
      <c r="D781" s="68"/>
      <c r="E781" s="70"/>
      <c r="F781" s="109" t="str">
        <f>HYPERLINK("https://pbs.twimg.com/profile_images/1436728340748980228/BbUga0Sv_normal.jpg")</f>
        <v>https://pbs.twimg.com/profile_images/1436728340748980228/BbUga0Sv_normal.jpg</v>
      </c>
      <c r="G781" s="67"/>
      <c r="H781" s="71"/>
      <c r="I781" s="72"/>
      <c r="J781" s="72"/>
      <c r="K781" s="71" t="s">
        <v>11524</v>
      </c>
      <c r="L781" s="75"/>
      <c r="M781" s="76"/>
      <c r="N781" s="76"/>
      <c r="O781" s="77"/>
      <c r="P781" s="78"/>
      <c r="Q781" s="78"/>
      <c r="R781" s="92"/>
      <c r="S781" s="92"/>
      <c r="T781" s="92"/>
      <c r="U781" s="92"/>
      <c r="V781" s="52"/>
      <c r="W781" s="52"/>
      <c r="X781" s="52"/>
      <c r="Y781" s="52"/>
      <c r="Z781" s="51"/>
      <c r="AA781" s="73"/>
      <c r="AB781" s="73"/>
      <c r="AC781" s="74"/>
      <c r="AD781" s="80" t="s">
        <v>7351</v>
      </c>
      <c r="AE781" s="85" t="s">
        <v>8528</v>
      </c>
      <c r="AF781" s="80">
        <v>1756</v>
      </c>
      <c r="AG781" s="80">
        <v>4667</v>
      </c>
      <c r="AH781" s="80">
        <v>30868</v>
      </c>
      <c r="AI781" s="80">
        <v>8454</v>
      </c>
      <c r="AJ781" s="80"/>
      <c r="AK781" s="80" t="s">
        <v>9653</v>
      </c>
      <c r="AL781" s="80"/>
      <c r="AM781" s="87" t="str">
        <f>HYPERLINK("https://t.co/GN9FKoLHdE")</f>
        <v>https://t.co/GN9FKoLHdE</v>
      </c>
      <c r="AN781" s="80"/>
      <c r="AO781" s="82">
        <v>41598.402569444443</v>
      </c>
      <c r="AP781" s="87" t="str">
        <f>HYPERLINK("https://pbs.twimg.com/profile_banners/2204607402/1630520243")</f>
        <v>https://pbs.twimg.com/profile_banners/2204607402/1630520243</v>
      </c>
      <c r="AQ781" s="80" t="b">
        <v>1</v>
      </c>
      <c r="AR781" s="80" t="b">
        <v>0</v>
      </c>
      <c r="AS781" s="80" t="b">
        <v>0</v>
      </c>
      <c r="AT781" s="80"/>
      <c r="AU781" s="80">
        <v>7</v>
      </c>
      <c r="AV781" s="87" t="str">
        <f>HYPERLINK("https://abs.twimg.com/images/themes/theme1/bg.png")</f>
        <v>https://abs.twimg.com/images/themes/theme1/bg.png</v>
      </c>
      <c r="AW781" s="80" t="b">
        <v>0</v>
      </c>
      <c r="AX781" s="80" t="s">
        <v>10746</v>
      </c>
      <c r="AY781" s="87" t="str">
        <f>HYPERLINK("https://twitter.com/ainthesame")</f>
        <v>https://twitter.com/ainthesame</v>
      </c>
      <c r="AZ781" s="80" t="s">
        <v>66</v>
      </c>
      <c r="BA781" s="2"/>
      <c r="BB781" s="3"/>
      <c r="BC781" s="3"/>
      <c r="BD781" s="3"/>
      <c r="BE781" s="3"/>
    </row>
    <row r="782" spans="1:57" x14ac:dyDescent="0.35">
      <c r="A782" s="66" t="s">
        <v>846</v>
      </c>
      <c r="B782" s="67"/>
      <c r="C782" s="67"/>
      <c r="D782" s="68"/>
      <c r="E782" s="70"/>
      <c r="F782" s="109" t="str">
        <f>HYPERLINK("https://pbs.twimg.com/profile_images/1441792797640515591/KG3GN7gn_normal.jpg")</f>
        <v>https://pbs.twimg.com/profile_images/1441792797640515591/KG3GN7gn_normal.jpg</v>
      </c>
      <c r="G782" s="67"/>
      <c r="H782" s="71"/>
      <c r="I782" s="72"/>
      <c r="J782" s="72"/>
      <c r="K782" s="71" t="s">
        <v>11525</v>
      </c>
      <c r="L782" s="75"/>
      <c r="M782" s="76"/>
      <c r="N782" s="76"/>
      <c r="O782" s="77"/>
      <c r="P782" s="78"/>
      <c r="Q782" s="78"/>
      <c r="R782" s="92"/>
      <c r="S782" s="92"/>
      <c r="T782" s="92"/>
      <c r="U782" s="92"/>
      <c r="V782" s="52"/>
      <c r="W782" s="52"/>
      <c r="X782" s="52"/>
      <c r="Y782" s="52"/>
      <c r="Z782" s="51"/>
      <c r="AA782" s="73"/>
      <c r="AB782" s="73"/>
      <c r="AC782" s="74"/>
      <c r="AD782" s="80" t="s">
        <v>7352</v>
      </c>
      <c r="AE782" s="85" t="s">
        <v>8529</v>
      </c>
      <c r="AF782" s="80">
        <v>760</v>
      </c>
      <c r="AG782" s="80">
        <v>1275</v>
      </c>
      <c r="AH782" s="80">
        <v>10074</v>
      </c>
      <c r="AI782" s="80">
        <v>224</v>
      </c>
      <c r="AJ782" s="80"/>
      <c r="AK782" s="80" t="s">
        <v>9654</v>
      </c>
      <c r="AL782" s="80" t="s">
        <v>10509</v>
      </c>
      <c r="AM782" s="80"/>
      <c r="AN782" s="80"/>
      <c r="AO782" s="82">
        <v>44168.176689814813</v>
      </c>
      <c r="AP782" s="87" t="str">
        <f>HYPERLINK("https://pbs.twimg.com/profile_banners/1334350185082671104/1616871765")</f>
        <v>https://pbs.twimg.com/profile_banners/1334350185082671104/1616871765</v>
      </c>
      <c r="AQ782" s="80" t="b">
        <v>1</v>
      </c>
      <c r="AR782" s="80" t="b">
        <v>0</v>
      </c>
      <c r="AS782" s="80" t="b">
        <v>0</v>
      </c>
      <c r="AT782" s="80"/>
      <c r="AU782" s="80">
        <v>1</v>
      </c>
      <c r="AV782" s="80"/>
      <c r="AW782" s="80" t="b">
        <v>0</v>
      </c>
      <c r="AX782" s="80" t="s">
        <v>10746</v>
      </c>
      <c r="AY782" s="87" t="str">
        <f>HYPERLINK("https://twitter.com/hopills")</f>
        <v>https://twitter.com/hopills</v>
      </c>
      <c r="AZ782" s="80" t="s">
        <v>66</v>
      </c>
      <c r="BA782" s="2"/>
      <c r="BB782" s="3"/>
      <c r="BC782" s="3"/>
      <c r="BD782" s="3"/>
      <c r="BE782" s="3"/>
    </row>
    <row r="783" spans="1:57" x14ac:dyDescent="0.35">
      <c r="A783" s="66" t="s">
        <v>1409</v>
      </c>
      <c r="B783" s="67"/>
      <c r="C783" s="67"/>
      <c r="D783" s="68"/>
      <c r="E783" s="70"/>
      <c r="F783" s="109" t="str">
        <f>HYPERLINK("https://pbs.twimg.com/profile_images/1250371584981749761/hRz60e0j_normal.png")</f>
        <v>https://pbs.twimg.com/profile_images/1250371584981749761/hRz60e0j_normal.png</v>
      </c>
      <c r="G783" s="67"/>
      <c r="H783" s="71"/>
      <c r="I783" s="72"/>
      <c r="J783" s="72"/>
      <c r="K783" s="71" t="s">
        <v>11526</v>
      </c>
      <c r="L783" s="75"/>
      <c r="M783" s="76"/>
      <c r="N783" s="76"/>
      <c r="O783" s="77"/>
      <c r="P783" s="78"/>
      <c r="Q783" s="78"/>
      <c r="R783" s="92"/>
      <c r="S783" s="92"/>
      <c r="T783" s="92"/>
      <c r="U783" s="92"/>
      <c r="V783" s="52"/>
      <c r="W783" s="52"/>
      <c r="X783" s="52"/>
      <c r="Y783" s="52"/>
      <c r="Z783" s="51"/>
      <c r="AA783" s="73"/>
      <c r="AB783" s="73"/>
      <c r="AC783" s="74"/>
      <c r="AD783" s="80" t="s">
        <v>7353</v>
      </c>
      <c r="AE783" s="85" t="s">
        <v>6363</v>
      </c>
      <c r="AF783" s="80">
        <v>2489</v>
      </c>
      <c r="AG783" s="80">
        <v>15898</v>
      </c>
      <c r="AH783" s="80">
        <v>177828</v>
      </c>
      <c r="AI783" s="80">
        <v>80</v>
      </c>
      <c r="AJ783" s="80"/>
      <c r="AK783" s="80" t="s">
        <v>9655</v>
      </c>
      <c r="AL783" s="80" t="s">
        <v>10510</v>
      </c>
      <c r="AM783" s="87" t="str">
        <f>HYPERLINK("https://t.co/mT6aysu8wz")</f>
        <v>https://t.co/mT6aysu8wz</v>
      </c>
      <c r="AN783" s="80"/>
      <c r="AO783" s="82">
        <v>41894.39671296296</v>
      </c>
      <c r="AP783" s="87" t="str">
        <f>HYPERLINK("https://pbs.twimg.com/profile_banners/2805255902/1586945788")</f>
        <v>https://pbs.twimg.com/profile_banners/2805255902/1586945788</v>
      </c>
      <c r="AQ783" s="80" t="b">
        <v>1</v>
      </c>
      <c r="AR783" s="80" t="b">
        <v>0</v>
      </c>
      <c r="AS783" s="80" t="b">
        <v>0</v>
      </c>
      <c r="AT783" s="80"/>
      <c r="AU783" s="80">
        <v>346</v>
      </c>
      <c r="AV783" s="87" t="str">
        <f>HYPERLINK("https://abs.twimg.com/images/themes/theme1/bg.png")</f>
        <v>https://abs.twimg.com/images/themes/theme1/bg.png</v>
      </c>
      <c r="AW783" s="80" t="b">
        <v>0</v>
      </c>
      <c r="AX783" s="80" t="s">
        <v>10746</v>
      </c>
      <c r="AY783" s="87" t="str">
        <f>HYPERLINK("https://twitter.com/pacarbighit")</f>
        <v>https://twitter.com/pacarbighit</v>
      </c>
      <c r="AZ783" s="80" t="s">
        <v>65</v>
      </c>
      <c r="BA783" s="2"/>
      <c r="BB783" s="3"/>
      <c r="BC783" s="3"/>
      <c r="BD783" s="3"/>
      <c r="BE783" s="3"/>
    </row>
    <row r="784" spans="1:57" x14ac:dyDescent="0.35">
      <c r="A784" s="66" t="s">
        <v>847</v>
      </c>
      <c r="B784" s="67"/>
      <c r="C784" s="67"/>
      <c r="D784" s="68"/>
      <c r="E784" s="70"/>
      <c r="F784" s="109" t="str">
        <f>HYPERLINK("https://pbs.twimg.com/profile_images/1423454406217900032/DFW-q7HU_normal.jpg")</f>
        <v>https://pbs.twimg.com/profile_images/1423454406217900032/DFW-q7HU_normal.jpg</v>
      </c>
      <c r="G784" s="67"/>
      <c r="H784" s="71"/>
      <c r="I784" s="72"/>
      <c r="J784" s="72"/>
      <c r="K784" s="71" t="s">
        <v>11527</v>
      </c>
      <c r="L784" s="75"/>
      <c r="M784" s="76"/>
      <c r="N784" s="76"/>
      <c r="O784" s="77"/>
      <c r="P784" s="78"/>
      <c r="Q784" s="78"/>
      <c r="R784" s="92"/>
      <c r="S784" s="92"/>
      <c r="T784" s="92"/>
      <c r="U784" s="92"/>
      <c r="V784" s="52"/>
      <c r="W784" s="52"/>
      <c r="X784" s="52"/>
      <c r="Y784" s="52"/>
      <c r="Z784" s="51"/>
      <c r="AA784" s="73"/>
      <c r="AB784" s="73"/>
      <c r="AC784" s="74"/>
      <c r="AD784" s="80" t="s">
        <v>7354</v>
      </c>
      <c r="AE784" s="85" t="s">
        <v>8530</v>
      </c>
      <c r="AF784" s="80">
        <v>3</v>
      </c>
      <c r="AG784" s="80">
        <v>338</v>
      </c>
      <c r="AH784" s="80">
        <v>576</v>
      </c>
      <c r="AI784" s="80">
        <v>11</v>
      </c>
      <c r="AJ784" s="80"/>
      <c r="AK784" s="80" t="s">
        <v>9656</v>
      </c>
      <c r="AL784" s="80" t="s">
        <v>10182</v>
      </c>
      <c r="AM784" s="80"/>
      <c r="AN784" s="80"/>
      <c r="AO784" s="82">
        <v>43152.621481481481</v>
      </c>
      <c r="AP784" s="87" t="str">
        <f>HYPERLINK("https://pbs.twimg.com/profile_banners/966325368931024898/1609903993")</f>
        <v>https://pbs.twimg.com/profile_banners/966325368931024898/1609903993</v>
      </c>
      <c r="AQ784" s="80" t="b">
        <v>1</v>
      </c>
      <c r="AR784" s="80" t="b">
        <v>0</v>
      </c>
      <c r="AS784" s="80" t="b">
        <v>0</v>
      </c>
      <c r="AT784" s="80"/>
      <c r="AU784" s="80">
        <v>2</v>
      </c>
      <c r="AV784" s="80"/>
      <c r="AW784" s="80" t="b">
        <v>0</v>
      </c>
      <c r="AX784" s="80" t="s">
        <v>10746</v>
      </c>
      <c r="AY784" s="87" t="str">
        <f>HYPERLINK("https://twitter.com/pasarpiwon")</f>
        <v>https://twitter.com/pasarpiwon</v>
      </c>
      <c r="AZ784" s="80" t="s">
        <v>66</v>
      </c>
      <c r="BA784" s="2"/>
      <c r="BB784" s="3"/>
      <c r="BC784" s="3"/>
      <c r="BD784" s="3"/>
      <c r="BE784" s="3"/>
    </row>
    <row r="785" spans="1:57" x14ac:dyDescent="0.35">
      <c r="A785" s="66" t="s">
        <v>849</v>
      </c>
      <c r="B785" s="67"/>
      <c r="C785" s="67"/>
      <c r="D785" s="68"/>
      <c r="E785" s="70"/>
      <c r="F785" s="109" t="str">
        <f>HYPERLINK("https://pbs.twimg.com/profile_images/1420417804528873476/RaiIVA-r_normal.jpg")</f>
        <v>https://pbs.twimg.com/profile_images/1420417804528873476/RaiIVA-r_normal.jpg</v>
      </c>
      <c r="G785" s="67"/>
      <c r="H785" s="71"/>
      <c r="I785" s="72"/>
      <c r="J785" s="72"/>
      <c r="K785" s="71" t="s">
        <v>11528</v>
      </c>
      <c r="L785" s="75"/>
      <c r="M785" s="76"/>
      <c r="N785" s="76"/>
      <c r="O785" s="77"/>
      <c r="P785" s="78"/>
      <c r="Q785" s="78"/>
      <c r="R785" s="92"/>
      <c r="S785" s="92"/>
      <c r="T785" s="92"/>
      <c r="U785" s="92"/>
      <c r="V785" s="52"/>
      <c r="W785" s="52"/>
      <c r="X785" s="52"/>
      <c r="Y785" s="52"/>
      <c r="Z785" s="51"/>
      <c r="AA785" s="73"/>
      <c r="AB785" s="73"/>
      <c r="AC785" s="74"/>
      <c r="AD785" s="80" t="s">
        <v>7355</v>
      </c>
      <c r="AE785" s="85" t="s">
        <v>8531</v>
      </c>
      <c r="AF785" s="80">
        <v>333</v>
      </c>
      <c r="AG785" s="80">
        <v>1724</v>
      </c>
      <c r="AH785" s="80">
        <v>13995</v>
      </c>
      <c r="AI785" s="80">
        <v>31472</v>
      </c>
      <c r="AJ785" s="80"/>
      <c r="AK785" s="80" t="s">
        <v>9657</v>
      </c>
      <c r="AL785" s="80" t="s">
        <v>7212</v>
      </c>
      <c r="AM785" s="87" t="str">
        <f>HYPERLINK("https://t.co/GoDnoGiwqT")</f>
        <v>https://t.co/GoDnoGiwqT</v>
      </c>
      <c r="AN785" s="80"/>
      <c r="AO785" s="82">
        <v>44074.491539351853</v>
      </c>
      <c r="AP785" s="87" t="str">
        <f>HYPERLINK("https://pbs.twimg.com/profile_banners/1300399843727167490/1626705460")</f>
        <v>https://pbs.twimg.com/profile_banners/1300399843727167490/1626705460</v>
      </c>
      <c r="AQ785" s="80" t="b">
        <v>1</v>
      </c>
      <c r="AR785" s="80" t="b">
        <v>0</v>
      </c>
      <c r="AS785" s="80" t="b">
        <v>1</v>
      </c>
      <c r="AT785" s="80"/>
      <c r="AU785" s="80">
        <v>15</v>
      </c>
      <c r="AV785" s="80"/>
      <c r="AW785" s="80" t="b">
        <v>0</v>
      </c>
      <c r="AX785" s="80" t="s">
        <v>10746</v>
      </c>
      <c r="AY785" s="87" t="str">
        <f>HYPERLINK("https://twitter.com/jeromechanhee")</f>
        <v>https://twitter.com/jeromechanhee</v>
      </c>
      <c r="AZ785" s="80" t="s">
        <v>66</v>
      </c>
      <c r="BA785" s="2"/>
      <c r="BB785" s="3"/>
      <c r="BC785" s="3"/>
      <c r="BD785" s="3"/>
      <c r="BE785" s="3"/>
    </row>
    <row r="786" spans="1:57" x14ac:dyDescent="0.35">
      <c r="A786" s="66" t="s">
        <v>850</v>
      </c>
      <c r="B786" s="67"/>
      <c r="C786" s="67"/>
      <c r="D786" s="68"/>
      <c r="E786" s="70"/>
      <c r="F786" s="109" t="str">
        <f>HYPERLINK("https://pbs.twimg.com/profile_images/1442519116359684108/hNaELLb7_normal.jpg")</f>
        <v>https://pbs.twimg.com/profile_images/1442519116359684108/hNaELLb7_normal.jpg</v>
      </c>
      <c r="G786" s="67"/>
      <c r="H786" s="71"/>
      <c r="I786" s="72"/>
      <c r="J786" s="72"/>
      <c r="K786" s="71" t="s">
        <v>11529</v>
      </c>
      <c r="L786" s="75"/>
      <c r="M786" s="76"/>
      <c r="N786" s="76"/>
      <c r="O786" s="77"/>
      <c r="P786" s="78"/>
      <c r="Q786" s="78"/>
      <c r="R786" s="92"/>
      <c r="S786" s="92"/>
      <c r="T786" s="92"/>
      <c r="U786" s="92"/>
      <c r="V786" s="52"/>
      <c r="W786" s="52"/>
      <c r="X786" s="52"/>
      <c r="Y786" s="52"/>
      <c r="Z786" s="51"/>
      <c r="AA786" s="73"/>
      <c r="AB786" s="73"/>
      <c r="AC786" s="74"/>
      <c r="AD786" s="80" t="s">
        <v>7356</v>
      </c>
      <c r="AE786" s="85" t="s">
        <v>8532</v>
      </c>
      <c r="AF786" s="80">
        <v>649</v>
      </c>
      <c r="AG786" s="80">
        <v>623</v>
      </c>
      <c r="AH786" s="80">
        <v>45897</v>
      </c>
      <c r="AI786" s="80">
        <v>16034</v>
      </c>
      <c r="AJ786" s="80"/>
      <c r="AK786" s="80" t="s">
        <v>9658</v>
      </c>
      <c r="AL786" s="80" t="s">
        <v>10511</v>
      </c>
      <c r="AM786" s="87" t="str">
        <f>HYPERLINK("https://t.co/FqkBPN8WEN")</f>
        <v>https://t.co/FqkBPN8WEN</v>
      </c>
      <c r="AN786" s="80"/>
      <c r="AO786" s="82">
        <v>44012.696122685185</v>
      </c>
      <c r="AP786" s="87" t="str">
        <f>HYPERLINK("https://pbs.twimg.com/profile_banners/1278005933679894528/1632758303")</f>
        <v>https://pbs.twimg.com/profile_banners/1278005933679894528/1632758303</v>
      </c>
      <c r="AQ786" s="80" t="b">
        <v>1</v>
      </c>
      <c r="AR786" s="80" t="b">
        <v>0</v>
      </c>
      <c r="AS786" s="80" t="b">
        <v>1</v>
      </c>
      <c r="AT786" s="80"/>
      <c r="AU786" s="80">
        <v>2</v>
      </c>
      <c r="AV786" s="80"/>
      <c r="AW786" s="80" t="b">
        <v>0</v>
      </c>
      <c r="AX786" s="80" t="s">
        <v>10746</v>
      </c>
      <c r="AY786" s="87" t="str">
        <f>HYPERLINK("https://twitter.com/depoksenju")</f>
        <v>https://twitter.com/depoksenju</v>
      </c>
      <c r="AZ786" s="80" t="s">
        <v>66</v>
      </c>
      <c r="BA786" s="2"/>
      <c r="BB786" s="3"/>
      <c r="BC786" s="3"/>
      <c r="BD786" s="3"/>
      <c r="BE786" s="3"/>
    </row>
    <row r="787" spans="1:57" x14ac:dyDescent="0.35">
      <c r="A787" s="66" t="s">
        <v>851</v>
      </c>
      <c r="B787" s="67"/>
      <c r="C787" s="67"/>
      <c r="D787" s="68"/>
      <c r="E787" s="70"/>
      <c r="F787" s="109" t="str">
        <f>HYPERLINK("https://pbs.twimg.com/profile_images/1441471774227505153/8BMqqhsA_normal.jpg")</f>
        <v>https://pbs.twimg.com/profile_images/1441471774227505153/8BMqqhsA_normal.jpg</v>
      </c>
      <c r="G787" s="67"/>
      <c r="H787" s="71"/>
      <c r="I787" s="72"/>
      <c r="J787" s="72"/>
      <c r="K787" s="71" t="s">
        <v>11530</v>
      </c>
      <c r="L787" s="75"/>
      <c r="M787" s="76"/>
      <c r="N787" s="76"/>
      <c r="O787" s="77"/>
      <c r="P787" s="78"/>
      <c r="Q787" s="78"/>
      <c r="R787" s="92"/>
      <c r="S787" s="92"/>
      <c r="T787" s="92"/>
      <c r="U787" s="92"/>
      <c r="V787" s="52"/>
      <c r="W787" s="52"/>
      <c r="X787" s="52"/>
      <c r="Y787" s="52"/>
      <c r="Z787" s="51"/>
      <c r="AA787" s="73"/>
      <c r="AB787" s="73"/>
      <c r="AC787" s="74"/>
      <c r="AD787" s="80" t="s">
        <v>6899</v>
      </c>
      <c r="AE787" s="85" t="s">
        <v>8533</v>
      </c>
      <c r="AF787" s="80">
        <v>389</v>
      </c>
      <c r="AG787" s="80">
        <v>80</v>
      </c>
      <c r="AH787" s="80">
        <v>16854</v>
      </c>
      <c r="AI787" s="80">
        <v>3422</v>
      </c>
      <c r="AJ787" s="80"/>
      <c r="AK787" s="80" t="s">
        <v>9659</v>
      </c>
      <c r="AL787" s="80"/>
      <c r="AM787" s="80"/>
      <c r="AN787" s="80"/>
      <c r="AO787" s="82">
        <v>44133.586388888885</v>
      </c>
      <c r="AP787" s="87" t="str">
        <f>HYPERLINK("https://pbs.twimg.com/profile_banners/1321815115612647424/1630260369")</f>
        <v>https://pbs.twimg.com/profile_banners/1321815115612647424/1630260369</v>
      </c>
      <c r="AQ787" s="80" t="b">
        <v>1</v>
      </c>
      <c r="AR787" s="80" t="b">
        <v>0</v>
      </c>
      <c r="AS787" s="80" t="b">
        <v>0</v>
      </c>
      <c r="AT787" s="80"/>
      <c r="AU787" s="80">
        <v>0</v>
      </c>
      <c r="AV787" s="80"/>
      <c r="AW787" s="80" t="b">
        <v>0</v>
      </c>
      <c r="AX787" s="80" t="s">
        <v>10746</v>
      </c>
      <c r="AY787" s="87" t="str">
        <f>HYPERLINK("https://twitter.com/worriwart")</f>
        <v>https://twitter.com/worriwart</v>
      </c>
      <c r="AZ787" s="80" t="s">
        <v>66</v>
      </c>
      <c r="BA787" s="2"/>
      <c r="BB787" s="3"/>
      <c r="BC787" s="3"/>
      <c r="BD787" s="3"/>
      <c r="BE787" s="3"/>
    </row>
    <row r="788" spans="1:57" x14ac:dyDescent="0.35">
      <c r="A788" s="66" t="s">
        <v>852</v>
      </c>
      <c r="B788" s="67"/>
      <c r="C788" s="67"/>
      <c r="D788" s="68"/>
      <c r="E788" s="70"/>
      <c r="F788" s="109" t="str">
        <f>HYPERLINK("https://pbs.twimg.com/profile_images/1297464217235144705/dQbs0cA9_normal.jpg")</f>
        <v>https://pbs.twimg.com/profile_images/1297464217235144705/dQbs0cA9_normal.jpg</v>
      </c>
      <c r="G788" s="67"/>
      <c r="H788" s="71"/>
      <c r="I788" s="72"/>
      <c r="J788" s="72"/>
      <c r="K788" s="71" t="s">
        <v>11531</v>
      </c>
      <c r="L788" s="75"/>
      <c r="M788" s="76"/>
      <c r="N788" s="76"/>
      <c r="O788" s="77"/>
      <c r="P788" s="78"/>
      <c r="Q788" s="78"/>
      <c r="R788" s="92"/>
      <c r="S788" s="92"/>
      <c r="T788" s="92"/>
      <c r="U788" s="92"/>
      <c r="V788" s="52"/>
      <c r="W788" s="52"/>
      <c r="X788" s="52"/>
      <c r="Y788" s="52"/>
      <c r="Z788" s="51"/>
      <c r="AA788" s="73"/>
      <c r="AB788" s="73"/>
      <c r="AC788" s="74"/>
      <c r="AD788" s="80" t="s">
        <v>7357</v>
      </c>
      <c r="AE788" s="85" t="s">
        <v>8534</v>
      </c>
      <c r="AF788" s="80">
        <v>690</v>
      </c>
      <c r="AG788" s="80">
        <v>310</v>
      </c>
      <c r="AH788" s="80">
        <v>7246</v>
      </c>
      <c r="AI788" s="80">
        <v>3148</v>
      </c>
      <c r="AJ788" s="80"/>
      <c r="AK788" s="80" t="s">
        <v>9660</v>
      </c>
      <c r="AL788" s="80" t="s">
        <v>6547</v>
      </c>
      <c r="AM788" s="87" t="str">
        <f>HYPERLINK("https://t.co/yp3HdxzjAf")</f>
        <v>https://t.co/yp3HdxzjAf</v>
      </c>
      <c r="AN788" s="80"/>
      <c r="AO788" s="82">
        <v>40212.345266203702</v>
      </c>
      <c r="AP788" s="87" t="str">
        <f>HYPERLINK("https://pbs.twimg.com/profile_banners/110940117/1427443668")</f>
        <v>https://pbs.twimg.com/profile_banners/110940117/1427443668</v>
      </c>
      <c r="AQ788" s="80" t="b">
        <v>0</v>
      </c>
      <c r="AR788" s="80" t="b">
        <v>0</v>
      </c>
      <c r="AS788" s="80" t="b">
        <v>1</v>
      </c>
      <c r="AT788" s="80"/>
      <c r="AU788" s="80">
        <v>0</v>
      </c>
      <c r="AV788" s="87" t="str">
        <f>HYPERLINK("https://abs.twimg.com/images/themes/theme1/bg.png")</f>
        <v>https://abs.twimg.com/images/themes/theme1/bg.png</v>
      </c>
      <c r="AW788" s="80" t="b">
        <v>0</v>
      </c>
      <c r="AX788" s="80" t="s">
        <v>10746</v>
      </c>
      <c r="AY788" s="87" t="str">
        <f>HYPERLINK("https://twitter.com/kusumastianto")</f>
        <v>https://twitter.com/kusumastianto</v>
      </c>
      <c r="AZ788" s="80" t="s">
        <v>66</v>
      </c>
      <c r="BA788" s="2"/>
      <c r="BB788" s="3"/>
      <c r="BC788" s="3"/>
      <c r="BD788" s="3"/>
      <c r="BE788" s="3"/>
    </row>
    <row r="789" spans="1:57" x14ac:dyDescent="0.35">
      <c r="A789" s="66" t="s">
        <v>853</v>
      </c>
      <c r="B789" s="67"/>
      <c r="C789" s="67"/>
      <c r="D789" s="68"/>
      <c r="E789" s="70"/>
      <c r="F789" s="109" t="str">
        <f>HYPERLINK("https://abs.twimg.com/sticky/default_profile_images/default_profile_normal.png")</f>
        <v>https://abs.twimg.com/sticky/default_profile_images/default_profile_normal.png</v>
      </c>
      <c r="G789" s="67"/>
      <c r="H789" s="71"/>
      <c r="I789" s="72"/>
      <c r="J789" s="72"/>
      <c r="K789" s="71" t="s">
        <v>11532</v>
      </c>
      <c r="L789" s="75"/>
      <c r="M789" s="76"/>
      <c r="N789" s="76"/>
      <c r="O789" s="77"/>
      <c r="P789" s="78"/>
      <c r="Q789" s="78"/>
      <c r="R789" s="92"/>
      <c r="S789" s="92"/>
      <c r="T789" s="92"/>
      <c r="U789" s="92"/>
      <c r="V789" s="52"/>
      <c r="W789" s="52"/>
      <c r="X789" s="52"/>
      <c r="Y789" s="52"/>
      <c r="Z789" s="51"/>
      <c r="AA789" s="73"/>
      <c r="AB789" s="73"/>
      <c r="AC789" s="74"/>
      <c r="AD789" s="80" t="s">
        <v>7358</v>
      </c>
      <c r="AE789" s="85" t="s">
        <v>8535</v>
      </c>
      <c r="AF789" s="80">
        <v>242</v>
      </c>
      <c r="AG789" s="80">
        <v>3</v>
      </c>
      <c r="AH789" s="80">
        <v>885</v>
      </c>
      <c r="AI789" s="80">
        <v>223</v>
      </c>
      <c r="AJ789" s="80"/>
      <c r="AK789" s="80" t="s">
        <v>9661</v>
      </c>
      <c r="AL789" s="80"/>
      <c r="AM789" s="80"/>
      <c r="AN789" s="80"/>
      <c r="AO789" s="82">
        <v>43994.840185185189</v>
      </c>
      <c r="AP789" s="80"/>
      <c r="AQ789" s="80" t="b">
        <v>1</v>
      </c>
      <c r="AR789" s="80" t="b">
        <v>1</v>
      </c>
      <c r="AS789" s="80" t="b">
        <v>0</v>
      </c>
      <c r="AT789" s="80"/>
      <c r="AU789" s="80">
        <v>0</v>
      </c>
      <c r="AV789" s="80"/>
      <c r="AW789" s="80" t="b">
        <v>0</v>
      </c>
      <c r="AX789" s="80" t="s">
        <v>10746</v>
      </c>
      <c r="AY789" s="87" t="str">
        <f>HYPERLINK("https://twitter.com/bluebir56633512")</f>
        <v>https://twitter.com/bluebir56633512</v>
      </c>
      <c r="AZ789" s="80" t="s">
        <v>66</v>
      </c>
      <c r="BA789" s="2"/>
      <c r="BB789" s="3"/>
      <c r="BC789" s="3"/>
      <c r="BD789" s="3"/>
      <c r="BE789" s="3"/>
    </row>
    <row r="790" spans="1:57" x14ac:dyDescent="0.35">
      <c r="A790" s="66" t="s">
        <v>854</v>
      </c>
      <c r="B790" s="67"/>
      <c r="C790" s="67"/>
      <c r="D790" s="68"/>
      <c r="E790" s="70"/>
      <c r="F790" s="109" t="str">
        <f>HYPERLINK("https://pbs.twimg.com/profile_images/1421106476467200005/Fk1SD4BB_normal.jpg")</f>
        <v>https://pbs.twimg.com/profile_images/1421106476467200005/Fk1SD4BB_normal.jpg</v>
      </c>
      <c r="G790" s="67"/>
      <c r="H790" s="71"/>
      <c r="I790" s="72"/>
      <c r="J790" s="72"/>
      <c r="K790" s="71" t="s">
        <v>11533</v>
      </c>
      <c r="L790" s="75"/>
      <c r="M790" s="76"/>
      <c r="N790" s="76"/>
      <c r="O790" s="77"/>
      <c r="P790" s="78"/>
      <c r="Q790" s="78"/>
      <c r="R790" s="92"/>
      <c r="S790" s="92"/>
      <c r="T790" s="92"/>
      <c r="U790" s="92"/>
      <c r="V790" s="52"/>
      <c r="W790" s="52"/>
      <c r="X790" s="52"/>
      <c r="Y790" s="52"/>
      <c r="Z790" s="51"/>
      <c r="AA790" s="73"/>
      <c r="AB790" s="73"/>
      <c r="AC790" s="74"/>
      <c r="AD790" s="80" t="s">
        <v>7359</v>
      </c>
      <c r="AE790" s="85" t="s">
        <v>8536</v>
      </c>
      <c r="AF790" s="80">
        <v>488</v>
      </c>
      <c r="AG790" s="80">
        <v>547</v>
      </c>
      <c r="AH790" s="80">
        <v>10252</v>
      </c>
      <c r="AI790" s="80">
        <v>44922</v>
      </c>
      <c r="AJ790" s="80"/>
      <c r="AK790" s="80" t="s">
        <v>9662</v>
      </c>
      <c r="AL790" s="80" t="s">
        <v>10512</v>
      </c>
      <c r="AM790" s="80"/>
      <c r="AN790" s="80"/>
      <c r="AO790" s="82">
        <v>42571.375787037039</v>
      </c>
      <c r="AP790" s="87" t="str">
        <f>HYPERLINK("https://pbs.twimg.com/profile_banners/755688983061864448/1627653198")</f>
        <v>https://pbs.twimg.com/profile_banners/755688983061864448/1627653198</v>
      </c>
      <c r="AQ790" s="80" t="b">
        <v>1</v>
      </c>
      <c r="AR790" s="80" t="b">
        <v>0</v>
      </c>
      <c r="AS790" s="80" t="b">
        <v>0</v>
      </c>
      <c r="AT790" s="80"/>
      <c r="AU790" s="80">
        <v>5</v>
      </c>
      <c r="AV790" s="80"/>
      <c r="AW790" s="80" t="b">
        <v>0</v>
      </c>
      <c r="AX790" s="80" t="s">
        <v>10746</v>
      </c>
      <c r="AY790" s="87" t="str">
        <f>HYPERLINK("https://twitter.com/egghannie")</f>
        <v>https://twitter.com/egghannie</v>
      </c>
      <c r="AZ790" s="80" t="s">
        <v>66</v>
      </c>
      <c r="BA790" s="2"/>
      <c r="BB790" s="3"/>
      <c r="BC790" s="3"/>
      <c r="BD790" s="3"/>
      <c r="BE790" s="3"/>
    </row>
    <row r="791" spans="1:57" x14ac:dyDescent="0.35">
      <c r="A791" s="66" t="s">
        <v>856</v>
      </c>
      <c r="B791" s="67"/>
      <c r="C791" s="67"/>
      <c r="D791" s="68"/>
      <c r="E791" s="70"/>
      <c r="F791" s="109" t="str">
        <f>HYPERLINK("https://pbs.twimg.com/profile_images/876720006435753985/_XZzThFP_normal.jpg")</f>
        <v>https://pbs.twimg.com/profile_images/876720006435753985/_XZzThFP_normal.jpg</v>
      </c>
      <c r="G791" s="67"/>
      <c r="H791" s="71"/>
      <c r="I791" s="72"/>
      <c r="J791" s="72"/>
      <c r="K791" s="71" t="s">
        <v>11534</v>
      </c>
      <c r="L791" s="75"/>
      <c r="M791" s="76"/>
      <c r="N791" s="76"/>
      <c r="O791" s="77"/>
      <c r="P791" s="78"/>
      <c r="Q791" s="78"/>
      <c r="R791" s="92"/>
      <c r="S791" s="92"/>
      <c r="T791" s="92"/>
      <c r="U791" s="92"/>
      <c r="V791" s="52"/>
      <c r="W791" s="52"/>
      <c r="X791" s="52"/>
      <c r="Y791" s="52"/>
      <c r="Z791" s="51"/>
      <c r="AA791" s="73"/>
      <c r="AB791" s="73"/>
      <c r="AC791" s="74"/>
      <c r="AD791" s="80" t="s">
        <v>7360</v>
      </c>
      <c r="AE791" s="85" t="s">
        <v>8537</v>
      </c>
      <c r="AF791" s="80">
        <v>46</v>
      </c>
      <c r="AG791" s="80">
        <v>1462</v>
      </c>
      <c r="AH791" s="80">
        <v>16705</v>
      </c>
      <c r="AI791" s="80">
        <v>14996</v>
      </c>
      <c r="AJ791" s="80"/>
      <c r="AK791" s="80"/>
      <c r="AL791" s="80" t="s">
        <v>6543</v>
      </c>
      <c r="AM791" s="80"/>
      <c r="AN791" s="80"/>
      <c r="AO791" s="82">
        <v>41731.446342592593</v>
      </c>
      <c r="AP791" s="87" t="str">
        <f>HYPERLINK("https://pbs.twimg.com/profile_banners/2423608663/1497861380")</f>
        <v>https://pbs.twimg.com/profile_banners/2423608663/1497861380</v>
      </c>
      <c r="AQ791" s="80" t="b">
        <v>0</v>
      </c>
      <c r="AR791" s="80" t="b">
        <v>0</v>
      </c>
      <c r="AS791" s="80" t="b">
        <v>0</v>
      </c>
      <c r="AT791" s="80"/>
      <c r="AU791" s="80">
        <v>2</v>
      </c>
      <c r="AV791" s="87" t="str">
        <f>HYPERLINK("https://abs.twimg.com/images/themes/theme1/bg.png")</f>
        <v>https://abs.twimg.com/images/themes/theme1/bg.png</v>
      </c>
      <c r="AW791" s="80" t="b">
        <v>0</v>
      </c>
      <c r="AX791" s="80" t="s">
        <v>10746</v>
      </c>
      <c r="AY791" s="87" t="str">
        <f>HYPERLINK("https://twitter.com/spartanwisata")</f>
        <v>https://twitter.com/spartanwisata</v>
      </c>
      <c r="AZ791" s="80" t="s">
        <v>66</v>
      </c>
      <c r="BA791" s="2"/>
      <c r="BB791" s="3"/>
      <c r="BC791" s="3"/>
      <c r="BD791" s="3"/>
      <c r="BE791" s="3"/>
    </row>
    <row r="792" spans="1:57" x14ac:dyDescent="0.35">
      <c r="A792" s="66" t="s">
        <v>857</v>
      </c>
      <c r="B792" s="67"/>
      <c r="C792" s="67"/>
      <c r="D792" s="68"/>
      <c r="E792" s="70"/>
      <c r="F792" s="109" t="str">
        <f>HYPERLINK("https://pbs.twimg.com/profile_images/1440574171356880896/Vkd2KQbq_normal.jpg")</f>
        <v>https://pbs.twimg.com/profile_images/1440574171356880896/Vkd2KQbq_normal.jpg</v>
      </c>
      <c r="G792" s="67"/>
      <c r="H792" s="71"/>
      <c r="I792" s="72"/>
      <c r="J792" s="72"/>
      <c r="K792" s="71" t="s">
        <v>11535</v>
      </c>
      <c r="L792" s="75"/>
      <c r="M792" s="76"/>
      <c r="N792" s="76"/>
      <c r="O792" s="77"/>
      <c r="P792" s="78"/>
      <c r="Q792" s="78"/>
      <c r="R792" s="92"/>
      <c r="S792" s="92"/>
      <c r="T792" s="92"/>
      <c r="U792" s="92"/>
      <c r="V792" s="52"/>
      <c r="W792" s="52"/>
      <c r="X792" s="52"/>
      <c r="Y792" s="52"/>
      <c r="Z792" s="51"/>
      <c r="AA792" s="73"/>
      <c r="AB792" s="73"/>
      <c r="AC792" s="74"/>
      <c r="AD792" s="80" t="s">
        <v>6899</v>
      </c>
      <c r="AE792" s="85" t="s">
        <v>8538</v>
      </c>
      <c r="AF792" s="80">
        <v>42</v>
      </c>
      <c r="AG792" s="80">
        <v>8</v>
      </c>
      <c r="AH792" s="80">
        <v>51</v>
      </c>
      <c r="AI792" s="80">
        <v>43</v>
      </c>
      <c r="AJ792" s="80"/>
      <c r="AK792" s="80" t="s">
        <v>9663</v>
      </c>
      <c r="AL792" s="80" t="s">
        <v>10208</v>
      </c>
      <c r="AM792" s="80"/>
      <c r="AN792" s="80"/>
      <c r="AO792" s="82">
        <v>44389.287534722222</v>
      </c>
      <c r="AP792" s="87" t="str">
        <f>HYPERLINK("https://pbs.twimg.com/profile_banners/1414478114600624131/1632294622")</f>
        <v>https://pbs.twimg.com/profile_banners/1414478114600624131/1632294622</v>
      </c>
      <c r="AQ792" s="80" t="b">
        <v>1</v>
      </c>
      <c r="AR792" s="80" t="b">
        <v>0</v>
      </c>
      <c r="AS792" s="80" t="b">
        <v>0</v>
      </c>
      <c r="AT792" s="80"/>
      <c r="AU792" s="80">
        <v>0</v>
      </c>
      <c r="AV792" s="80"/>
      <c r="AW792" s="80" t="b">
        <v>0</v>
      </c>
      <c r="AX792" s="80" t="s">
        <v>10746</v>
      </c>
      <c r="AY792" s="87" t="str">
        <f>HYPERLINK("https://twitter.com/sohyunjae")</f>
        <v>https://twitter.com/sohyunjae</v>
      </c>
      <c r="AZ792" s="80" t="s">
        <v>66</v>
      </c>
      <c r="BA792" s="2"/>
      <c r="BB792" s="3"/>
      <c r="BC792" s="3"/>
      <c r="BD792" s="3"/>
      <c r="BE792" s="3"/>
    </row>
    <row r="793" spans="1:57" x14ac:dyDescent="0.35">
      <c r="A793" s="66" t="s">
        <v>1410</v>
      </c>
      <c r="B793" s="67"/>
      <c r="C793" s="67"/>
      <c r="D793" s="68"/>
      <c r="E793" s="70"/>
      <c r="F793" s="109" t="str">
        <f>HYPERLINK("https://pbs.twimg.com/profile_images/1388888436950532097/ZLlYmXPX_normal.jpg")</f>
        <v>https://pbs.twimg.com/profile_images/1388888436950532097/ZLlYmXPX_normal.jpg</v>
      </c>
      <c r="G793" s="67"/>
      <c r="H793" s="71"/>
      <c r="I793" s="72"/>
      <c r="J793" s="72"/>
      <c r="K793" s="71" t="s">
        <v>11536</v>
      </c>
      <c r="L793" s="75"/>
      <c r="M793" s="76"/>
      <c r="N793" s="76"/>
      <c r="O793" s="77"/>
      <c r="P793" s="78"/>
      <c r="Q793" s="78"/>
      <c r="R793" s="92"/>
      <c r="S793" s="92"/>
      <c r="T793" s="92"/>
      <c r="U793" s="92"/>
      <c r="V793" s="52"/>
      <c r="W793" s="52"/>
      <c r="X793" s="52"/>
      <c r="Y793" s="52"/>
      <c r="Z793" s="51"/>
      <c r="AA793" s="73"/>
      <c r="AB793" s="73"/>
      <c r="AC793" s="74"/>
      <c r="AD793" s="80" t="s">
        <v>7361</v>
      </c>
      <c r="AE793" s="85" t="s">
        <v>8539</v>
      </c>
      <c r="AF793" s="80">
        <v>3</v>
      </c>
      <c r="AG793" s="80">
        <v>8943</v>
      </c>
      <c r="AH793" s="80">
        <v>20155</v>
      </c>
      <c r="AI793" s="80">
        <v>246</v>
      </c>
      <c r="AJ793" s="80"/>
      <c r="AK793" s="80" t="s">
        <v>9664</v>
      </c>
      <c r="AL793" s="80" t="s">
        <v>10182</v>
      </c>
      <c r="AM793" s="87" t="str">
        <f>HYPERLINK("https://t.co/qtGsk5MzdA")</f>
        <v>https://t.co/qtGsk5MzdA</v>
      </c>
      <c r="AN793" s="80"/>
      <c r="AO793" s="82">
        <v>43041.441458333335</v>
      </c>
      <c r="AP793" s="87" t="str">
        <f>HYPERLINK("https://pbs.twimg.com/profile_banners/926035077946998784/1624378396")</f>
        <v>https://pbs.twimg.com/profile_banners/926035077946998784/1624378396</v>
      </c>
      <c r="AQ793" s="80" t="b">
        <v>1</v>
      </c>
      <c r="AR793" s="80" t="b">
        <v>0</v>
      </c>
      <c r="AS793" s="80" t="b">
        <v>0</v>
      </c>
      <c r="AT793" s="80"/>
      <c r="AU793" s="80">
        <v>24</v>
      </c>
      <c r="AV793" s="80"/>
      <c r="AW793" s="80" t="b">
        <v>0</v>
      </c>
      <c r="AX793" s="80" t="s">
        <v>10746</v>
      </c>
      <c r="AY793" s="87" t="str">
        <f>HYPERLINK("https://twitter.com/btstrading_my")</f>
        <v>https://twitter.com/btstrading_my</v>
      </c>
      <c r="AZ793" s="80" t="s">
        <v>65</v>
      </c>
      <c r="BA793" s="2"/>
      <c r="BB793" s="3"/>
      <c r="BC793" s="3"/>
      <c r="BD793" s="3"/>
      <c r="BE793" s="3"/>
    </row>
    <row r="794" spans="1:57" x14ac:dyDescent="0.35">
      <c r="A794" s="66" t="s">
        <v>1411</v>
      </c>
      <c r="B794" s="67"/>
      <c r="C794" s="67"/>
      <c r="D794" s="68"/>
      <c r="E794" s="70"/>
      <c r="F794" s="109" t="str">
        <f>HYPERLINK("https://pbs.twimg.com/profile_images/1351179329775030279/Gru-z13J_normal.jpg")</f>
        <v>https://pbs.twimg.com/profile_images/1351179329775030279/Gru-z13J_normal.jpg</v>
      </c>
      <c r="G794" s="67"/>
      <c r="H794" s="71"/>
      <c r="I794" s="72"/>
      <c r="J794" s="72"/>
      <c r="K794" s="71" t="s">
        <v>11537</v>
      </c>
      <c r="L794" s="75"/>
      <c r="M794" s="76"/>
      <c r="N794" s="76"/>
      <c r="O794" s="77"/>
      <c r="P794" s="78"/>
      <c r="Q794" s="78"/>
      <c r="R794" s="92"/>
      <c r="S794" s="92"/>
      <c r="T794" s="92"/>
      <c r="U794" s="92"/>
      <c r="V794" s="52"/>
      <c r="W794" s="52"/>
      <c r="X794" s="52"/>
      <c r="Y794" s="52"/>
      <c r="Z794" s="51"/>
      <c r="AA794" s="73"/>
      <c r="AB794" s="73"/>
      <c r="AC794" s="74"/>
      <c r="AD794" s="80" t="s">
        <v>7362</v>
      </c>
      <c r="AE794" s="85" t="s">
        <v>8540</v>
      </c>
      <c r="AF794" s="80">
        <v>0</v>
      </c>
      <c r="AG794" s="80">
        <v>1396</v>
      </c>
      <c r="AH794" s="80">
        <v>10268</v>
      </c>
      <c r="AI794" s="80">
        <v>0</v>
      </c>
      <c r="AJ794" s="80"/>
      <c r="AK794" s="80" t="s">
        <v>9665</v>
      </c>
      <c r="AL794" s="80" t="s">
        <v>10182</v>
      </c>
      <c r="AM794" s="80"/>
      <c r="AN794" s="80"/>
      <c r="AO794" s="82">
        <v>44089.514745370368</v>
      </c>
      <c r="AP794" s="87" t="str">
        <f>HYPERLINK("https://pbs.twimg.com/profile_banners/1305844067733962754/1619841538")</f>
        <v>https://pbs.twimg.com/profile_banners/1305844067733962754/1619841538</v>
      </c>
      <c r="AQ794" s="80" t="b">
        <v>1</v>
      </c>
      <c r="AR794" s="80" t="b">
        <v>0</v>
      </c>
      <c r="AS794" s="80" t="b">
        <v>0</v>
      </c>
      <c r="AT794" s="80"/>
      <c r="AU794" s="80">
        <v>1</v>
      </c>
      <c r="AV794" s="80"/>
      <c r="AW794" s="80" t="b">
        <v>0</v>
      </c>
      <c r="AX794" s="80" t="s">
        <v>10746</v>
      </c>
      <c r="AY794" s="87" t="str">
        <f>HYPERLINK("https://twitter.com/kpopsellingmy_")</f>
        <v>https://twitter.com/kpopsellingmy_</v>
      </c>
      <c r="AZ794" s="80" t="s">
        <v>65</v>
      </c>
      <c r="BA794" s="2"/>
      <c r="BB794" s="3"/>
      <c r="BC794" s="3"/>
      <c r="BD794" s="3"/>
      <c r="BE794" s="3"/>
    </row>
    <row r="795" spans="1:57" x14ac:dyDescent="0.35">
      <c r="A795" s="66" t="s">
        <v>1412</v>
      </c>
      <c r="B795" s="67"/>
      <c r="C795" s="67"/>
      <c r="D795" s="68"/>
      <c r="E795" s="70"/>
      <c r="F795" s="109" t="str">
        <f>HYPERLINK("https://pbs.twimg.com/profile_images/1054229450408120321/4qZ4Gizm_normal.jpg")</f>
        <v>https://pbs.twimg.com/profile_images/1054229450408120321/4qZ4Gizm_normal.jpg</v>
      </c>
      <c r="G795" s="67"/>
      <c r="H795" s="71"/>
      <c r="I795" s="72"/>
      <c r="J795" s="72"/>
      <c r="K795" s="71" t="s">
        <v>11538</v>
      </c>
      <c r="L795" s="75"/>
      <c r="M795" s="76"/>
      <c r="N795" s="76"/>
      <c r="O795" s="77"/>
      <c r="P795" s="78"/>
      <c r="Q795" s="78"/>
      <c r="R795" s="92"/>
      <c r="S795" s="92"/>
      <c r="T795" s="92"/>
      <c r="U795" s="92"/>
      <c r="V795" s="52"/>
      <c r="W795" s="52"/>
      <c r="X795" s="52"/>
      <c r="Y795" s="52"/>
      <c r="Z795" s="51"/>
      <c r="AA795" s="73"/>
      <c r="AB795" s="73"/>
      <c r="AC795" s="74"/>
      <c r="AD795" s="80" t="s">
        <v>7363</v>
      </c>
      <c r="AE795" s="85" t="s">
        <v>8541</v>
      </c>
      <c r="AF795" s="80">
        <v>0</v>
      </c>
      <c r="AG795" s="80">
        <v>1203</v>
      </c>
      <c r="AH795" s="80">
        <v>1678</v>
      </c>
      <c r="AI795" s="80">
        <v>3</v>
      </c>
      <c r="AJ795" s="80"/>
      <c r="AK795" s="80" t="s">
        <v>9666</v>
      </c>
      <c r="AL795" s="80" t="s">
        <v>10140</v>
      </c>
      <c r="AM795" s="80"/>
      <c r="AN795" s="80"/>
      <c r="AO795" s="82">
        <v>43395.186863425923</v>
      </c>
      <c r="AP795" s="80"/>
      <c r="AQ795" s="80" t="b">
        <v>1</v>
      </c>
      <c r="AR795" s="80" t="b">
        <v>0</v>
      </c>
      <c r="AS795" s="80" t="b">
        <v>0</v>
      </c>
      <c r="AT795" s="80"/>
      <c r="AU795" s="80">
        <v>1</v>
      </c>
      <c r="AV795" s="80"/>
      <c r="AW795" s="80" t="b">
        <v>0</v>
      </c>
      <c r="AX795" s="80" t="s">
        <v>10746</v>
      </c>
      <c r="AY795" s="87" t="str">
        <f>HYPERLINK("https://twitter.com/malaysia_trade")</f>
        <v>https://twitter.com/malaysia_trade</v>
      </c>
      <c r="AZ795" s="80" t="s">
        <v>65</v>
      </c>
      <c r="BA795" s="2"/>
      <c r="BB795" s="3"/>
      <c r="BC795" s="3"/>
      <c r="BD795" s="3"/>
      <c r="BE795" s="3"/>
    </row>
    <row r="796" spans="1:57" x14ac:dyDescent="0.35">
      <c r="A796" s="66" t="s">
        <v>1413</v>
      </c>
      <c r="B796" s="67"/>
      <c r="C796" s="67"/>
      <c r="D796" s="68"/>
      <c r="E796" s="70"/>
      <c r="F796" s="109" t="str">
        <f>HYPERLINK("https://pbs.twimg.com/profile_images/1353385100021362688/K2wbKzTV_normal.jpg")</f>
        <v>https://pbs.twimg.com/profile_images/1353385100021362688/K2wbKzTV_normal.jpg</v>
      </c>
      <c r="G796" s="67"/>
      <c r="H796" s="71"/>
      <c r="I796" s="72"/>
      <c r="J796" s="72"/>
      <c r="K796" s="71" t="s">
        <v>11539</v>
      </c>
      <c r="L796" s="75"/>
      <c r="M796" s="76"/>
      <c r="N796" s="76"/>
      <c r="O796" s="77"/>
      <c r="P796" s="78"/>
      <c r="Q796" s="78"/>
      <c r="R796" s="92"/>
      <c r="S796" s="92"/>
      <c r="T796" s="92"/>
      <c r="U796" s="92"/>
      <c r="V796" s="52"/>
      <c r="W796" s="52"/>
      <c r="X796" s="52"/>
      <c r="Y796" s="52"/>
      <c r="Z796" s="51"/>
      <c r="AA796" s="73"/>
      <c r="AB796" s="73"/>
      <c r="AC796" s="74"/>
      <c r="AD796" s="80" t="s">
        <v>7364</v>
      </c>
      <c r="AE796" s="85" t="s">
        <v>8542</v>
      </c>
      <c r="AF796" s="80">
        <v>2</v>
      </c>
      <c r="AG796" s="80">
        <v>4479</v>
      </c>
      <c r="AH796" s="80">
        <v>1326</v>
      </c>
      <c r="AI796" s="80">
        <v>0</v>
      </c>
      <c r="AJ796" s="80"/>
      <c r="AK796" s="80" t="s">
        <v>9667</v>
      </c>
      <c r="AL796" s="80">
        <v>60</v>
      </c>
      <c r="AM796" s="87" t="str">
        <f>HYPERLINK("https://t.co/Tl8xL6U7Tc")</f>
        <v>https://t.co/Tl8xL6U7Tc</v>
      </c>
      <c r="AN796" s="80"/>
      <c r="AO796" s="82">
        <v>44220.69635416667</v>
      </c>
      <c r="AP796" s="80"/>
      <c r="AQ796" s="80" t="b">
        <v>1</v>
      </c>
      <c r="AR796" s="80" t="b">
        <v>0</v>
      </c>
      <c r="AS796" s="80" t="b">
        <v>0</v>
      </c>
      <c r="AT796" s="80"/>
      <c r="AU796" s="80">
        <v>9</v>
      </c>
      <c r="AV796" s="80"/>
      <c r="AW796" s="80" t="b">
        <v>0</v>
      </c>
      <c r="AX796" s="80" t="s">
        <v>10746</v>
      </c>
      <c r="AY796" s="87" t="str">
        <f>HYPERLINK("https://twitter.com/pasarbts")</f>
        <v>https://twitter.com/pasarbts</v>
      </c>
      <c r="AZ796" s="80" t="s">
        <v>65</v>
      </c>
      <c r="BA796" s="2"/>
      <c r="BB796" s="3"/>
      <c r="BC796" s="3"/>
      <c r="BD796" s="3"/>
      <c r="BE796" s="3"/>
    </row>
    <row r="797" spans="1:57" x14ac:dyDescent="0.35">
      <c r="A797" s="66" t="s">
        <v>990</v>
      </c>
      <c r="B797" s="67"/>
      <c r="C797" s="67"/>
      <c r="D797" s="68"/>
      <c r="E797" s="70"/>
      <c r="F797" s="109" t="str">
        <f>HYPERLINK("https://pbs.twimg.com/profile_images/1442109259521556484/VfxfvPed_normal.jpg")</f>
        <v>https://pbs.twimg.com/profile_images/1442109259521556484/VfxfvPed_normal.jpg</v>
      </c>
      <c r="G797" s="67"/>
      <c r="H797" s="71"/>
      <c r="I797" s="72"/>
      <c r="J797" s="72"/>
      <c r="K797" s="71" t="s">
        <v>11540</v>
      </c>
      <c r="L797" s="75"/>
      <c r="M797" s="76"/>
      <c r="N797" s="76"/>
      <c r="O797" s="77"/>
      <c r="P797" s="78"/>
      <c r="Q797" s="78"/>
      <c r="R797" s="92"/>
      <c r="S797" s="92"/>
      <c r="T797" s="92"/>
      <c r="U797" s="92"/>
      <c r="V797" s="52"/>
      <c r="W797" s="52"/>
      <c r="X797" s="52"/>
      <c r="Y797" s="52"/>
      <c r="Z797" s="51"/>
      <c r="AA797" s="73"/>
      <c r="AB797" s="73"/>
      <c r="AC797" s="74"/>
      <c r="AD797" s="80" t="s">
        <v>7365</v>
      </c>
      <c r="AE797" s="85" t="s">
        <v>8543</v>
      </c>
      <c r="AF797" s="80">
        <v>476</v>
      </c>
      <c r="AG797" s="80">
        <v>170</v>
      </c>
      <c r="AH797" s="80">
        <v>5845</v>
      </c>
      <c r="AI797" s="80">
        <v>19396</v>
      </c>
      <c r="AJ797" s="80"/>
      <c r="AK797" s="80" t="s">
        <v>9668</v>
      </c>
      <c r="AL797" s="80" t="s">
        <v>10513</v>
      </c>
      <c r="AM797" s="87" t="str">
        <f>HYPERLINK("https://t.co/rND6YWjtBo")</f>
        <v>https://t.co/rND6YWjtBo</v>
      </c>
      <c r="AN797" s="80"/>
      <c r="AO797" s="82">
        <v>43977.433368055557</v>
      </c>
      <c r="AP797" s="87" t="str">
        <f>HYPERLINK("https://pbs.twimg.com/profile_banners/1265227144516362242/1632453106")</f>
        <v>https://pbs.twimg.com/profile_banners/1265227144516362242/1632453106</v>
      </c>
      <c r="AQ797" s="80" t="b">
        <v>1</v>
      </c>
      <c r="AR797" s="80" t="b">
        <v>0</v>
      </c>
      <c r="AS797" s="80" t="b">
        <v>0</v>
      </c>
      <c r="AT797" s="80"/>
      <c r="AU797" s="80">
        <v>0</v>
      </c>
      <c r="AV797" s="80"/>
      <c r="AW797" s="80" t="b">
        <v>0</v>
      </c>
      <c r="AX797" s="80" t="s">
        <v>10746</v>
      </c>
      <c r="AY797" s="87" t="str">
        <f>HYPERLINK("https://twitter.com/vointeuir")</f>
        <v>https://twitter.com/vointeuir</v>
      </c>
      <c r="AZ797" s="80" t="s">
        <v>66</v>
      </c>
      <c r="BA797" s="2"/>
      <c r="BB797" s="3"/>
      <c r="BC797" s="3"/>
      <c r="BD797" s="3"/>
      <c r="BE797" s="3"/>
    </row>
    <row r="798" spans="1:57" x14ac:dyDescent="0.35">
      <c r="A798" s="66" t="s">
        <v>859</v>
      </c>
      <c r="B798" s="67"/>
      <c r="C798" s="67"/>
      <c r="D798" s="68"/>
      <c r="E798" s="70"/>
      <c r="F798" s="109" t="str">
        <f>HYPERLINK("https://pbs.twimg.com/profile_images/1442506246469275657/3vDwxCc8_normal.jpg")</f>
        <v>https://pbs.twimg.com/profile_images/1442506246469275657/3vDwxCc8_normal.jpg</v>
      </c>
      <c r="G798" s="67"/>
      <c r="H798" s="71"/>
      <c r="I798" s="72"/>
      <c r="J798" s="72"/>
      <c r="K798" s="71" t="s">
        <v>11541</v>
      </c>
      <c r="L798" s="75"/>
      <c r="M798" s="76"/>
      <c r="N798" s="76"/>
      <c r="O798" s="77"/>
      <c r="P798" s="78"/>
      <c r="Q798" s="78"/>
      <c r="R798" s="92"/>
      <c r="S798" s="92"/>
      <c r="T798" s="92"/>
      <c r="U798" s="92"/>
      <c r="V798" s="52"/>
      <c r="W798" s="52"/>
      <c r="X798" s="52"/>
      <c r="Y798" s="52"/>
      <c r="Z798" s="51"/>
      <c r="AA798" s="73"/>
      <c r="AB798" s="73"/>
      <c r="AC798" s="74"/>
      <c r="AD798" s="80" t="s">
        <v>7366</v>
      </c>
      <c r="AE798" s="85" t="s">
        <v>8544</v>
      </c>
      <c r="AF798" s="80">
        <v>754</v>
      </c>
      <c r="AG798" s="80">
        <v>680</v>
      </c>
      <c r="AH798" s="80">
        <v>47895</v>
      </c>
      <c r="AI798" s="80">
        <v>6308</v>
      </c>
      <c r="AJ798" s="80"/>
      <c r="AK798" s="80" t="s">
        <v>9669</v>
      </c>
      <c r="AL798" s="80" t="s">
        <v>10514</v>
      </c>
      <c r="AM798" s="87" t="str">
        <f>HYPERLINK("https://t.co/FtgmA4qrd5")</f>
        <v>https://t.co/FtgmA4qrd5</v>
      </c>
      <c r="AN798" s="80"/>
      <c r="AO798" s="82">
        <v>44166.351481481484</v>
      </c>
      <c r="AP798" s="87" t="str">
        <f>HYPERLINK("https://pbs.twimg.com/profile_banners/1333688642087186433/1632755264")</f>
        <v>https://pbs.twimg.com/profile_banners/1333688642087186433/1632755264</v>
      </c>
      <c r="AQ798" s="80" t="b">
        <v>1</v>
      </c>
      <c r="AR798" s="80" t="b">
        <v>0</v>
      </c>
      <c r="AS798" s="80" t="b">
        <v>0</v>
      </c>
      <c r="AT798" s="80"/>
      <c r="AU798" s="80">
        <v>8</v>
      </c>
      <c r="AV798" s="80"/>
      <c r="AW798" s="80" t="b">
        <v>0</v>
      </c>
      <c r="AX798" s="80" t="s">
        <v>10746</v>
      </c>
      <c r="AY798" s="87" t="str">
        <f>HYPERLINK("https://twitter.com/vssyie")</f>
        <v>https://twitter.com/vssyie</v>
      </c>
      <c r="AZ798" s="80" t="s">
        <v>66</v>
      </c>
      <c r="BA798" s="2"/>
      <c r="BB798" s="3"/>
      <c r="BC798" s="3"/>
      <c r="BD798" s="3"/>
      <c r="BE798" s="3"/>
    </row>
    <row r="799" spans="1:57" x14ac:dyDescent="0.35">
      <c r="A799" s="66" t="s">
        <v>860</v>
      </c>
      <c r="B799" s="67"/>
      <c r="C799" s="67"/>
      <c r="D799" s="68"/>
      <c r="E799" s="70"/>
      <c r="F799" s="109" t="str">
        <f>HYPERLINK("https://pbs.twimg.com/profile_images/1440129091319959555/nMP8x2Z3_normal.jpg")</f>
        <v>https://pbs.twimg.com/profile_images/1440129091319959555/nMP8x2Z3_normal.jpg</v>
      </c>
      <c r="G799" s="67"/>
      <c r="H799" s="71"/>
      <c r="I799" s="72"/>
      <c r="J799" s="72"/>
      <c r="K799" s="71" t="s">
        <v>11542</v>
      </c>
      <c r="L799" s="75"/>
      <c r="M799" s="76"/>
      <c r="N799" s="76"/>
      <c r="O799" s="77"/>
      <c r="P799" s="78"/>
      <c r="Q799" s="78"/>
      <c r="R799" s="92"/>
      <c r="S799" s="92"/>
      <c r="T799" s="92"/>
      <c r="U799" s="92"/>
      <c r="V799" s="52"/>
      <c r="W799" s="52"/>
      <c r="X799" s="52"/>
      <c r="Y799" s="52"/>
      <c r="Z799" s="51"/>
      <c r="AA799" s="73"/>
      <c r="AB799" s="73"/>
      <c r="AC799" s="74"/>
      <c r="AD799" s="80" t="s">
        <v>7367</v>
      </c>
      <c r="AE799" s="85" t="s">
        <v>8545</v>
      </c>
      <c r="AF799" s="80">
        <v>609</v>
      </c>
      <c r="AG799" s="80">
        <v>623</v>
      </c>
      <c r="AH799" s="80">
        <v>3878</v>
      </c>
      <c r="AI799" s="80">
        <v>2751</v>
      </c>
      <c r="AJ799" s="80"/>
      <c r="AK799" s="80" t="s">
        <v>9670</v>
      </c>
      <c r="AL799" s="80" t="s">
        <v>10515</v>
      </c>
      <c r="AM799" s="80"/>
      <c r="AN799" s="80"/>
      <c r="AO799" s="82">
        <v>44335.707442129627</v>
      </c>
      <c r="AP799" s="87" t="str">
        <f>HYPERLINK("https://pbs.twimg.com/profile_banners/1395061312518987776/1632504115")</f>
        <v>https://pbs.twimg.com/profile_banners/1395061312518987776/1632504115</v>
      </c>
      <c r="AQ799" s="80" t="b">
        <v>1</v>
      </c>
      <c r="AR799" s="80" t="b">
        <v>0</v>
      </c>
      <c r="AS799" s="80" t="b">
        <v>0</v>
      </c>
      <c r="AT799" s="80"/>
      <c r="AU799" s="80">
        <v>0</v>
      </c>
      <c r="AV799" s="80"/>
      <c r="AW799" s="80" t="b">
        <v>0</v>
      </c>
      <c r="AX799" s="80" t="s">
        <v>10746</v>
      </c>
      <c r="AY799" s="87" t="str">
        <f>HYPERLINK("https://twitter.com/taestrowbeary")</f>
        <v>https://twitter.com/taestrowbeary</v>
      </c>
      <c r="AZ799" s="80" t="s">
        <v>66</v>
      </c>
      <c r="BA799" s="2"/>
      <c r="BB799" s="3"/>
      <c r="BC799" s="3"/>
      <c r="BD799" s="3"/>
      <c r="BE799" s="3"/>
    </row>
    <row r="800" spans="1:57" x14ac:dyDescent="0.35">
      <c r="A800" s="66" t="s">
        <v>861</v>
      </c>
      <c r="B800" s="67"/>
      <c r="C800" s="67"/>
      <c r="D800" s="68"/>
      <c r="E800" s="70"/>
      <c r="F800" s="109" t="str">
        <f>HYPERLINK("https://pbs.twimg.com/profile_images/1442687236940566533/v5AIngDg_normal.jpg")</f>
        <v>https://pbs.twimg.com/profile_images/1442687236940566533/v5AIngDg_normal.jpg</v>
      </c>
      <c r="G800" s="67"/>
      <c r="H800" s="71"/>
      <c r="I800" s="72"/>
      <c r="J800" s="72"/>
      <c r="K800" s="71" t="s">
        <v>11543</v>
      </c>
      <c r="L800" s="75"/>
      <c r="M800" s="76"/>
      <c r="N800" s="76"/>
      <c r="O800" s="77"/>
      <c r="P800" s="78"/>
      <c r="Q800" s="78"/>
      <c r="R800" s="92"/>
      <c r="S800" s="92"/>
      <c r="T800" s="92"/>
      <c r="U800" s="92"/>
      <c r="V800" s="52"/>
      <c r="W800" s="52"/>
      <c r="X800" s="52"/>
      <c r="Y800" s="52"/>
      <c r="Z800" s="51"/>
      <c r="AA800" s="73"/>
      <c r="AB800" s="73"/>
      <c r="AC800" s="74"/>
      <c r="AD800" s="80" t="s">
        <v>7368</v>
      </c>
      <c r="AE800" s="85" t="s">
        <v>8546</v>
      </c>
      <c r="AF800" s="80">
        <v>795</v>
      </c>
      <c r="AG800" s="80">
        <v>771</v>
      </c>
      <c r="AH800" s="80">
        <v>4519</v>
      </c>
      <c r="AI800" s="80">
        <v>8103</v>
      </c>
      <c r="AJ800" s="80"/>
      <c r="AK800" s="80" t="s">
        <v>9671</v>
      </c>
      <c r="AL800" s="80">
        <v>60</v>
      </c>
      <c r="AM800" s="80"/>
      <c r="AN800" s="80"/>
      <c r="AO800" s="82">
        <v>43945.636516203704</v>
      </c>
      <c r="AP800" s="87" t="str">
        <f>HYPERLINK("https://pbs.twimg.com/profile_banners/1253704232999415808/1632763008")</f>
        <v>https://pbs.twimg.com/profile_banners/1253704232999415808/1632763008</v>
      </c>
      <c r="AQ800" s="80" t="b">
        <v>1</v>
      </c>
      <c r="AR800" s="80" t="b">
        <v>0</v>
      </c>
      <c r="AS800" s="80" t="b">
        <v>0</v>
      </c>
      <c r="AT800" s="80"/>
      <c r="AU800" s="80">
        <v>2</v>
      </c>
      <c r="AV800" s="80"/>
      <c r="AW800" s="80" t="b">
        <v>0</v>
      </c>
      <c r="AX800" s="80" t="s">
        <v>10746</v>
      </c>
      <c r="AY800" s="87" t="str">
        <f>HYPERLINK("https://twitter.com/lvlyytaetae")</f>
        <v>https://twitter.com/lvlyytaetae</v>
      </c>
      <c r="AZ800" s="80" t="s">
        <v>66</v>
      </c>
      <c r="BA800" s="2"/>
      <c r="BB800" s="3"/>
      <c r="BC800" s="3"/>
      <c r="BD800" s="3"/>
      <c r="BE800" s="3"/>
    </row>
    <row r="801" spans="1:57" x14ac:dyDescent="0.35">
      <c r="A801" s="66" t="s">
        <v>862</v>
      </c>
      <c r="B801" s="67"/>
      <c r="C801" s="67"/>
      <c r="D801" s="68"/>
      <c r="E801" s="70"/>
      <c r="F801" s="109" t="str">
        <f>HYPERLINK("https://pbs.twimg.com/profile_images/1442189269670371331/FOPaCQVb_normal.jpg")</f>
        <v>https://pbs.twimg.com/profile_images/1442189269670371331/FOPaCQVb_normal.jpg</v>
      </c>
      <c r="G801" s="67"/>
      <c r="H801" s="71"/>
      <c r="I801" s="72"/>
      <c r="J801" s="72"/>
      <c r="K801" s="71" t="s">
        <v>11544</v>
      </c>
      <c r="L801" s="75"/>
      <c r="M801" s="76"/>
      <c r="N801" s="76"/>
      <c r="O801" s="77"/>
      <c r="P801" s="78"/>
      <c r="Q801" s="78"/>
      <c r="R801" s="92"/>
      <c r="S801" s="92"/>
      <c r="T801" s="92"/>
      <c r="U801" s="92"/>
      <c r="V801" s="52"/>
      <c r="W801" s="52"/>
      <c r="X801" s="52"/>
      <c r="Y801" s="52"/>
      <c r="Z801" s="51"/>
      <c r="AA801" s="73"/>
      <c r="AB801" s="73"/>
      <c r="AC801" s="74"/>
      <c r="AD801" s="80" t="s">
        <v>7369</v>
      </c>
      <c r="AE801" s="85" t="s">
        <v>8547</v>
      </c>
      <c r="AF801" s="80">
        <v>543</v>
      </c>
      <c r="AG801" s="80">
        <v>551</v>
      </c>
      <c r="AH801" s="80">
        <v>5379</v>
      </c>
      <c r="AI801" s="80">
        <v>5273</v>
      </c>
      <c r="AJ801" s="80"/>
      <c r="AK801" s="80" t="s">
        <v>9672</v>
      </c>
      <c r="AL801" s="80" t="s">
        <v>10516</v>
      </c>
      <c r="AM801" s="80"/>
      <c r="AN801" s="80"/>
      <c r="AO801" s="82">
        <v>44349.366435185184</v>
      </c>
      <c r="AP801" s="87" t="str">
        <f>HYPERLINK("https://pbs.twimg.com/profile_banners/1400011086259130368/1631890331")</f>
        <v>https://pbs.twimg.com/profile_banners/1400011086259130368/1631890331</v>
      </c>
      <c r="AQ801" s="80" t="b">
        <v>1</v>
      </c>
      <c r="AR801" s="80" t="b">
        <v>0</v>
      </c>
      <c r="AS801" s="80" t="b">
        <v>0</v>
      </c>
      <c r="AT801" s="80"/>
      <c r="AU801" s="80">
        <v>2</v>
      </c>
      <c r="AV801" s="80"/>
      <c r="AW801" s="80" t="b">
        <v>0</v>
      </c>
      <c r="AX801" s="80" t="s">
        <v>10746</v>
      </c>
      <c r="AY801" s="87" t="str">
        <f>HYPERLINK("https://twitter.com/kittywonieee")</f>
        <v>https://twitter.com/kittywonieee</v>
      </c>
      <c r="AZ801" s="80" t="s">
        <v>66</v>
      </c>
      <c r="BA801" s="2"/>
      <c r="BB801" s="3"/>
      <c r="BC801" s="3"/>
      <c r="BD801" s="3"/>
      <c r="BE801" s="3"/>
    </row>
    <row r="802" spans="1:57" x14ac:dyDescent="0.35">
      <c r="A802" s="66" t="s">
        <v>863</v>
      </c>
      <c r="B802" s="67"/>
      <c r="C802" s="67"/>
      <c r="D802" s="68"/>
      <c r="E802" s="70"/>
      <c r="F802" s="109" t="str">
        <f>HYPERLINK("https://pbs.twimg.com/profile_images/1434839545275568130/gsBeOv4k_normal.jpg")</f>
        <v>https://pbs.twimg.com/profile_images/1434839545275568130/gsBeOv4k_normal.jpg</v>
      </c>
      <c r="G802" s="67"/>
      <c r="H802" s="71"/>
      <c r="I802" s="72"/>
      <c r="J802" s="72"/>
      <c r="K802" s="71" t="s">
        <v>11545</v>
      </c>
      <c r="L802" s="75"/>
      <c r="M802" s="76"/>
      <c r="N802" s="76"/>
      <c r="O802" s="77"/>
      <c r="P802" s="78"/>
      <c r="Q802" s="78"/>
      <c r="R802" s="92"/>
      <c r="S802" s="92"/>
      <c r="T802" s="92"/>
      <c r="U802" s="92"/>
      <c r="V802" s="52"/>
      <c r="W802" s="52"/>
      <c r="X802" s="52"/>
      <c r="Y802" s="52"/>
      <c r="Z802" s="51"/>
      <c r="AA802" s="73"/>
      <c r="AB802" s="73"/>
      <c r="AC802" s="74"/>
      <c r="AD802" s="80" t="s">
        <v>7370</v>
      </c>
      <c r="AE802" s="85" t="s">
        <v>8548</v>
      </c>
      <c r="AF802" s="80">
        <v>77</v>
      </c>
      <c r="AG802" s="80">
        <v>63</v>
      </c>
      <c r="AH802" s="80">
        <v>87</v>
      </c>
      <c r="AI802" s="80">
        <v>50</v>
      </c>
      <c r="AJ802" s="80"/>
      <c r="AK802" s="80"/>
      <c r="AL802" s="80"/>
      <c r="AM802" s="80"/>
      <c r="AN802" s="80"/>
      <c r="AO802" s="82">
        <v>44250.531793981485</v>
      </c>
      <c r="AP802" s="87" t="str">
        <f>HYPERLINK("https://pbs.twimg.com/profile_banners/1364194708646371331/1632586132")</f>
        <v>https://pbs.twimg.com/profile_banners/1364194708646371331/1632586132</v>
      </c>
      <c r="AQ802" s="80" t="b">
        <v>1</v>
      </c>
      <c r="AR802" s="80" t="b">
        <v>0</v>
      </c>
      <c r="AS802" s="80" t="b">
        <v>0</v>
      </c>
      <c r="AT802" s="80"/>
      <c r="AU802" s="80">
        <v>0</v>
      </c>
      <c r="AV802" s="80"/>
      <c r="AW802" s="80" t="b">
        <v>0</v>
      </c>
      <c r="AX802" s="80" t="s">
        <v>10746</v>
      </c>
      <c r="AY802" s="87" t="str">
        <f>HYPERLINK("https://twitter.com/jeonginfoxyny")</f>
        <v>https://twitter.com/jeonginfoxyny</v>
      </c>
      <c r="AZ802" s="80" t="s">
        <v>66</v>
      </c>
      <c r="BA802" s="2"/>
      <c r="BB802" s="3"/>
      <c r="BC802" s="3"/>
      <c r="BD802" s="3"/>
      <c r="BE802" s="3"/>
    </row>
    <row r="803" spans="1:57" x14ac:dyDescent="0.35">
      <c r="A803" s="66" t="s">
        <v>864</v>
      </c>
      <c r="B803" s="67"/>
      <c r="C803" s="67"/>
      <c r="D803" s="68"/>
      <c r="E803" s="70"/>
      <c r="F803" s="109" t="str">
        <f>HYPERLINK("https://pbs.twimg.com/profile_images/1436728417743892482/0q6dCzqq_normal.jpg")</f>
        <v>https://pbs.twimg.com/profile_images/1436728417743892482/0q6dCzqq_normal.jpg</v>
      </c>
      <c r="G803" s="67"/>
      <c r="H803" s="71"/>
      <c r="I803" s="72"/>
      <c r="J803" s="72"/>
      <c r="K803" s="71" t="s">
        <v>11546</v>
      </c>
      <c r="L803" s="75"/>
      <c r="M803" s="76"/>
      <c r="N803" s="76"/>
      <c r="O803" s="77"/>
      <c r="P803" s="78"/>
      <c r="Q803" s="78"/>
      <c r="R803" s="92"/>
      <c r="S803" s="92"/>
      <c r="T803" s="92"/>
      <c r="U803" s="92"/>
      <c r="V803" s="52"/>
      <c r="W803" s="52"/>
      <c r="X803" s="52"/>
      <c r="Y803" s="52"/>
      <c r="Z803" s="51"/>
      <c r="AA803" s="73"/>
      <c r="AB803" s="73"/>
      <c r="AC803" s="74"/>
      <c r="AD803" s="80" t="s">
        <v>7371</v>
      </c>
      <c r="AE803" s="85" t="s">
        <v>8549</v>
      </c>
      <c r="AF803" s="80">
        <v>633</v>
      </c>
      <c r="AG803" s="80">
        <v>763</v>
      </c>
      <c r="AH803" s="80">
        <v>7047</v>
      </c>
      <c r="AI803" s="80">
        <v>9413</v>
      </c>
      <c r="AJ803" s="80"/>
      <c r="AK803" s="80" t="s">
        <v>9673</v>
      </c>
      <c r="AL803" s="80" t="s">
        <v>9630</v>
      </c>
      <c r="AM803" s="80"/>
      <c r="AN803" s="80"/>
      <c r="AO803" s="82">
        <v>42018.606712962966</v>
      </c>
      <c r="AP803" s="87" t="str">
        <f>HYPERLINK("https://pbs.twimg.com/profile_banners/2982897925/1627587297")</f>
        <v>https://pbs.twimg.com/profile_banners/2982897925/1627587297</v>
      </c>
      <c r="AQ803" s="80" t="b">
        <v>0</v>
      </c>
      <c r="AR803" s="80" t="b">
        <v>0</v>
      </c>
      <c r="AS803" s="80" t="b">
        <v>0</v>
      </c>
      <c r="AT803" s="80"/>
      <c r="AU803" s="80">
        <v>8</v>
      </c>
      <c r="AV803" s="87" t="str">
        <f>HYPERLINK("https://abs.twimg.com/images/themes/theme1/bg.png")</f>
        <v>https://abs.twimg.com/images/themes/theme1/bg.png</v>
      </c>
      <c r="AW803" s="80" t="b">
        <v>0</v>
      </c>
      <c r="AX803" s="80" t="s">
        <v>10746</v>
      </c>
      <c r="AY803" s="87" t="str">
        <f>HYPERLINK("https://twitter.com/aesthetichees")</f>
        <v>https://twitter.com/aesthetichees</v>
      </c>
      <c r="AZ803" s="80" t="s">
        <v>66</v>
      </c>
      <c r="BA803" s="2"/>
      <c r="BB803" s="3"/>
      <c r="BC803" s="3"/>
      <c r="BD803" s="3"/>
      <c r="BE803" s="3"/>
    </row>
    <row r="804" spans="1:57" x14ac:dyDescent="0.35">
      <c r="A804" s="66" t="s">
        <v>865</v>
      </c>
      <c r="B804" s="67"/>
      <c r="C804" s="67"/>
      <c r="D804" s="68"/>
      <c r="E804" s="70"/>
      <c r="F804" s="109" t="str">
        <f>HYPERLINK("https://pbs.twimg.com/profile_images/1438855985397846016/a7b6BILA_normal.jpg")</f>
        <v>https://pbs.twimg.com/profile_images/1438855985397846016/a7b6BILA_normal.jpg</v>
      </c>
      <c r="G804" s="67"/>
      <c r="H804" s="71"/>
      <c r="I804" s="72"/>
      <c r="J804" s="72"/>
      <c r="K804" s="71" t="s">
        <v>11547</v>
      </c>
      <c r="L804" s="75"/>
      <c r="M804" s="76"/>
      <c r="N804" s="76"/>
      <c r="O804" s="77"/>
      <c r="P804" s="78"/>
      <c r="Q804" s="78"/>
      <c r="R804" s="92"/>
      <c r="S804" s="92"/>
      <c r="T804" s="92"/>
      <c r="U804" s="92"/>
      <c r="V804" s="52"/>
      <c r="W804" s="52"/>
      <c r="X804" s="52"/>
      <c r="Y804" s="52"/>
      <c r="Z804" s="51"/>
      <c r="AA804" s="73"/>
      <c r="AB804" s="73"/>
      <c r="AC804" s="74"/>
      <c r="AD804" s="80" t="s">
        <v>7372</v>
      </c>
      <c r="AE804" s="85" t="s">
        <v>8550</v>
      </c>
      <c r="AF804" s="80">
        <v>651</v>
      </c>
      <c r="AG804" s="80">
        <v>488</v>
      </c>
      <c r="AH804" s="80">
        <v>7059</v>
      </c>
      <c r="AI804" s="80">
        <v>9261</v>
      </c>
      <c r="AJ804" s="80"/>
      <c r="AK804" s="80" t="s">
        <v>9674</v>
      </c>
      <c r="AL804" s="80"/>
      <c r="AM804" s="87" t="str">
        <f>HYPERLINK("https://t.co/qbItNxxaKD")</f>
        <v>https://t.co/qbItNxxaKD</v>
      </c>
      <c r="AN804" s="80"/>
      <c r="AO804" s="82">
        <v>43385.176759259259</v>
      </c>
      <c r="AP804" s="87" t="str">
        <f>HYPERLINK("https://pbs.twimg.com/profile_banners/1050600582627487746/1631884286")</f>
        <v>https://pbs.twimg.com/profile_banners/1050600582627487746/1631884286</v>
      </c>
      <c r="AQ804" s="80" t="b">
        <v>1</v>
      </c>
      <c r="AR804" s="80" t="b">
        <v>0</v>
      </c>
      <c r="AS804" s="80" t="b">
        <v>0</v>
      </c>
      <c r="AT804" s="80"/>
      <c r="AU804" s="80">
        <v>6</v>
      </c>
      <c r="AV804" s="80"/>
      <c r="AW804" s="80" t="b">
        <v>0</v>
      </c>
      <c r="AX804" s="80" t="s">
        <v>10746</v>
      </c>
      <c r="AY804" s="87" t="str">
        <f>HYPERLINK("https://twitter.com/jkzty")</f>
        <v>https://twitter.com/jkzty</v>
      </c>
      <c r="AZ804" s="80" t="s">
        <v>66</v>
      </c>
      <c r="BA804" s="2"/>
      <c r="BB804" s="3"/>
      <c r="BC804" s="3"/>
      <c r="BD804" s="3"/>
      <c r="BE804" s="3"/>
    </row>
    <row r="805" spans="1:57" x14ac:dyDescent="0.35">
      <c r="A805" s="66" t="s">
        <v>866</v>
      </c>
      <c r="B805" s="67"/>
      <c r="C805" s="67"/>
      <c r="D805" s="68"/>
      <c r="E805" s="70"/>
      <c r="F805" s="109" t="str">
        <f>HYPERLINK("https://pbs.twimg.com/profile_images/1442034541846155264/fA3Jmm7R_normal.jpg")</f>
        <v>https://pbs.twimg.com/profile_images/1442034541846155264/fA3Jmm7R_normal.jpg</v>
      </c>
      <c r="G805" s="67"/>
      <c r="H805" s="71"/>
      <c r="I805" s="72"/>
      <c r="J805" s="72"/>
      <c r="K805" s="71" t="s">
        <v>11548</v>
      </c>
      <c r="L805" s="75"/>
      <c r="M805" s="76"/>
      <c r="N805" s="76"/>
      <c r="O805" s="77"/>
      <c r="P805" s="78"/>
      <c r="Q805" s="78"/>
      <c r="R805" s="92"/>
      <c r="S805" s="92"/>
      <c r="T805" s="92"/>
      <c r="U805" s="92"/>
      <c r="V805" s="52"/>
      <c r="W805" s="52"/>
      <c r="X805" s="52"/>
      <c r="Y805" s="52"/>
      <c r="Z805" s="51"/>
      <c r="AA805" s="73"/>
      <c r="AB805" s="73"/>
      <c r="AC805" s="74"/>
      <c r="AD805" s="80" t="s">
        <v>7373</v>
      </c>
      <c r="AE805" s="85" t="s">
        <v>8551</v>
      </c>
      <c r="AF805" s="80">
        <v>294</v>
      </c>
      <c r="AG805" s="80">
        <v>351</v>
      </c>
      <c r="AH805" s="80">
        <v>27039</v>
      </c>
      <c r="AI805" s="80">
        <v>45899</v>
      </c>
      <c r="AJ805" s="80"/>
      <c r="AK805" s="80" t="s">
        <v>9675</v>
      </c>
      <c r="AL805" s="80" t="s">
        <v>10182</v>
      </c>
      <c r="AM805" s="80"/>
      <c r="AN805" s="80"/>
      <c r="AO805" s="82">
        <v>43567.278275462966</v>
      </c>
      <c r="AP805" s="87" t="str">
        <f>HYPERLINK("https://pbs.twimg.com/profile_banners/1116591962822336512/1632642820")</f>
        <v>https://pbs.twimg.com/profile_banners/1116591962822336512/1632642820</v>
      </c>
      <c r="AQ805" s="80" t="b">
        <v>1</v>
      </c>
      <c r="AR805" s="80" t="b">
        <v>0</v>
      </c>
      <c r="AS805" s="80" t="b">
        <v>1</v>
      </c>
      <c r="AT805" s="80"/>
      <c r="AU805" s="80">
        <v>0</v>
      </c>
      <c r="AV805" s="80"/>
      <c r="AW805" s="80" t="b">
        <v>0</v>
      </c>
      <c r="AX805" s="80" t="s">
        <v>10746</v>
      </c>
      <c r="AY805" s="87" t="str">
        <f>HYPERLINK("https://twitter.com/seaguling")</f>
        <v>https://twitter.com/seaguling</v>
      </c>
      <c r="AZ805" s="80" t="s">
        <v>66</v>
      </c>
      <c r="BA805" s="2"/>
      <c r="BB805" s="3"/>
      <c r="BC805" s="3"/>
      <c r="BD805" s="3"/>
      <c r="BE805" s="3"/>
    </row>
    <row r="806" spans="1:57" x14ac:dyDescent="0.35">
      <c r="A806" s="66" t="s">
        <v>867</v>
      </c>
      <c r="B806" s="67"/>
      <c r="C806" s="67"/>
      <c r="D806" s="68"/>
      <c r="E806" s="70"/>
      <c r="F806" s="109" t="str">
        <f>HYPERLINK("https://pbs.twimg.com/profile_images/1442672179397599233/CmyPdaIy_normal.jpg")</f>
        <v>https://pbs.twimg.com/profile_images/1442672179397599233/CmyPdaIy_normal.jpg</v>
      </c>
      <c r="G806" s="67"/>
      <c r="H806" s="71"/>
      <c r="I806" s="72"/>
      <c r="J806" s="72"/>
      <c r="K806" s="71" t="s">
        <v>11549</v>
      </c>
      <c r="L806" s="75"/>
      <c r="M806" s="76"/>
      <c r="N806" s="76"/>
      <c r="O806" s="77"/>
      <c r="P806" s="78"/>
      <c r="Q806" s="78"/>
      <c r="R806" s="92"/>
      <c r="S806" s="92"/>
      <c r="T806" s="92"/>
      <c r="U806" s="92"/>
      <c r="V806" s="52"/>
      <c r="W806" s="52"/>
      <c r="X806" s="52"/>
      <c r="Y806" s="52"/>
      <c r="Z806" s="51"/>
      <c r="AA806" s="73"/>
      <c r="AB806" s="73"/>
      <c r="AC806" s="74"/>
      <c r="AD806" s="80" t="s">
        <v>7374</v>
      </c>
      <c r="AE806" s="85" t="s">
        <v>8552</v>
      </c>
      <c r="AF806" s="80">
        <v>909</v>
      </c>
      <c r="AG806" s="80">
        <v>1504</v>
      </c>
      <c r="AH806" s="80">
        <v>18485</v>
      </c>
      <c r="AI806" s="80">
        <v>116386</v>
      </c>
      <c r="AJ806" s="80"/>
      <c r="AK806" s="80" t="s">
        <v>9676</v>
      </c>
      <c r="AL806" s="80" t="s">
        <v>10517</v>
      </c>
      <c r="AM806" s="87" t="str">
        <f>HYPERLINK("https://t.co/etFS1Omp37")</f>
        <v>https://t.co/etFS1Omp37</v>
      </c>
      <c r="AN806" s="80"/>
      <c r="AO806" s="82">
        <v>43798.241354166668</v>
      </c>
      <c r="AP806" s="87" t="str">
        <f>HYPERLINK("https://pbs.twimg.com/profile_banners/1200290123641835521/1632794826")</f>
        <v>https://pbs.twimg.com/profile_banners/1200290123641835521/1632794826</v>
      </c>
      <c r="AQ806" s="80" t="b">
        <v>1</v>
      </c>
      <c r="AR806" s="80" t="b">
        <v>0</v>
      </c>
      <c r="AS806" s="80" t="b">
        <v>1</v>
      </c>
      <c r="AT806" s="80"/>
      <c r="AU806" s="80">
        <v>11</v>
      </c>
      <c r="AV806" s="80"/>
      <c r="AW806" s="80" t="b">
        <v>0</v>
      </c>
      <c r="AX806" s="80" t="s">
        <v>10746</v>
      </c>
      <c r="AY806" s="87" t="str">
        <f>HYPERLINK("https://twitter.com/tinyyyjungwon")</f>
        <v>https://twitter.com/tinyyyjungwon</v>
      </c>
      <c r="AZ806" s="80" t="s">
        <v>66</v>
      </c>
      <c r="BA806" s="2"/>
      <c r="BB806" s="3"/>
      <c r="BC806" s="3"/>
      <c r="BD806" s="3"/>
      <c r="BE806" s="3"/>
    </row>
    <row r="807" spans="1:57" x14ac:dyDescent="0.35">
      <c r="A807" s="66" t="s">
        <v>868</v>
      </c>
      <c r="B807" s="67"/>
      <c r="C807" s="67"/>
      <c r="D807" s="68"/>
      <c r="E807" s="70"/>
      <c r="F807" s="109" t="str">
        <f>HYPERLINK("https://pbs.twimg.com/profile_images/1437938863700209664/fSjNibnc_normal.jpg")</f>
        <v>https://pbs.twimg.com/profile_images/1437938863700209664/fSjNibnc_normal.jpg</v>
      </c>
      <c r="G807" s="67"/>
      <c r="H807" s="71"/>
      <c r="I807" s="72"/>
      <c r="J807" s="72"/>
      <c r="K807" s="71" t="s">
        <v>11550</v>
      </c>
      <c r="L807" s="75"/>
      <c r="M807" s="76"/>
      <c r="N807" s="76"/>
      <c r="O807" s="77"/>
      <c r="P807" s="78"/>
      <c r="Q807" s="78"/>
      <c r="R807" s="92"/>
      <c r="S807" s="92"/>
      <c r="T807" s="92"/>
      <c r="U807" s="92"/>
      <c r="V807" s="52"/>
      <c r="W807" s="52"/>
      <c r="X807" s="52"/>
      <c r="Y807" s="52"/>
      <c r="Z807" s="51"/>
      <c r="AA807" s="73"/>
      <c r="AB807" s="73"/>
      <c r="AC807" s="74"/>
      <c r="AD807" s="80" t="s">
        <v>7375</v>
      </c>
      <c r="AE807" s="85" t="s">
        <v>8553</v>
      </c>
      <c r="AF807" s="80">
        <v>34</v>
      </c>
      <c r="AG807" s="80">
        <v>87</v>
      </c>
      <c r="AH807" s="80">
        <v>10579</v>
      </c>
      <c r="AI807" s="80">
        <v>63039</v>
      </c>
      <c r="AJ807" s="80"/>
      <c r="AK807" s="80" t="s">
        <v>9677</v>
      </c>
      <c r="AL807" s="80" t="s">
        <v>10259</v>
      </c>
      <c r="AM807" s="80"/>
      <c r="AN807" s="80"/>
      <c r="AO807" s="82">
        <v>43207.875798611109</v>
      </c>
      <c r="AP807" s="87" t="str">
        <f>HYPERLINK("https://pbs.twimg.com/profile_banners/986348865203798016/1598892014")</f>
        <v>https://pbs.twimg.com/profile_banners/986348865203798016/1598892014</v>
      </c>
      <c r="AQ807" s="80" t="b">
        <v>1</v>
      </c>
      <c r="AR807" s="80" t="b">
        <v>0</v>
      </c>
      <c r="AS807" s="80" t="b">
        <v>0</v>
      </c>
      <c r="AT807" s="80"/>
      <c r="AU807" s="80">
        <v>0</v>
      </c>
      <c r="AV807" s="80"/>
      <c r="AW807" s="80" t="b">
        <v>0</v>
      </c>
      <c r="AX807" s="80" t="s">
        <v>10746</v>
      </c>
      <c r="AY807" s="87" t="str">
        <f>HYPERLINK("https://twitter.com/purpleejinnie")</f>
        <v>https://twitter.com/purpleejinnie</v>
      </c>
      <c r="AZ807" s="80" t="s">
        <v>66</v>
      </c>
      <c r="BA807" s="2"/>
      <c r="BB807" s="3"/>
      <c r="BC807" s="3"/>
      <c r="BD807" s="3"/>
      <c r="BE807" s="3"/>
    </row>
    <row r="808" spans="1:57" x14ac:dyDescent="0.35">
      <c r="A808" s="66" t="s">
        <v>869</v>
      </c>
      <c r="B808" s="67"/>
      <c r="C808" s="67"/>
      <c r="D808" s="68"/>
      <c r="E808" s="70"/>
      <c r="F808" s="109" t="str">
        <f>HYPERLINK("https://pbs.twimg.com/profile_images/1372082887827148801/Ax0B_pGk_normal.jpg")</f>
        <v>https://pbs.twimg.com/profile_images/1372082887827148801/Ax0B_pGk_normal.jpg</v>
      </c>
      <c r="G808" s="67"/>
      <c r="H808" s="71"/>
      <c r="I808" s="72"/>
      <c r="J808" s="72"/>
      <c r="K808" s="71" t="s">
        <v>11551</v>
      </c>
      <c r="L808" s="75"/>
      <c r="M808" s="76"/>
      <c r="N808" s="76"/>
      <c r="O808" s="77"/>
      <c r="P808" s="78"/>
      <c r="Q808" s="78"/>
      <c r="R808" s="92"/>
      <c r="S808" s="92"/>
      <c r="T808" s="92"/>
      <c r="U808" s="92"/>
      <c r="V808" s="52"/>
      <c r="W808" s="52"/>
      <c r="X808" s="52"/>
      <c r="Y808" s="52"/>
      <c r="Z808" s="51"/>
      <c r="AA808" s="73"/>
      <c r="AB808" s="73"/>
      <c r="AC808" s="74"/>
      <c r="AD808" s="80" t="s">
        <v>7376</v>
      </c>
      <c r="AE808" s="85" t="s">
        <v>8554</v>
      </c>
      <c r="AF808" s="80">
        <v>228</v>
      </c>
      <c r="AG808" s="80">
        <v>586</v>
      </c>
      <c r="AH808" s="80">
        <v>6458</v>
      </c>
      <c r="AI808" s="80">
        <v>5623</v>
      </c>
      <c r="AJ808" s="80"/>
      <c r="AK808" s="80" t="s">
        <v>9678</v>
      </c>
      <c r="AL808" s="80" t="s">
        <v>10518</v>
      </c>
      <c r="AM808" s="80"/>
      <c r="AN808" s="80"/>
      <c r="AO808" s="82">
        <v>43027.314745370371</v>
      </c>
      <c r="AP808" s="87" t="str">
        <f>HYPERLINK("https://pbs.twimg.com/profile_banners/920915730802946049/1615964979")</f>
        <v>https://pbs.twimg.com/profile_banners/920915730802946049/1615964979</v>
      </c>
      <c r="AQ808" s="80" t="b">
        <v>1</v>
      </c>
      <c r="AR808" s="80" t="b">
        <v>0</v>
      </c>
      <c r="AS808" s="80" t="b">
        <v>0</v>
      </c>
      <c r="AT808" s="80"/>
      <c r="AU808" s="80">
        <v>0</v>
      </c>
      <c r="AV808" s="80"/>
      <c r="AW808" s="80" t="b">
        <v>0</v>
      </c>
      <c r="AX808" s="80" t="s">
        <v>10746</v>
      </c>
      <c r="AY808" s="87" t="str">
        <f>HYPERLINK("https://twitter.com/hairulpasya")</f>
        <v>https://twitter.com/hairulpasya</v>
      </c>
      <c r="AZ808" s="80" t="s">
        <v>66</v>
      </c>
      <c r="BA808" s="2"/>
      <c r="BB808" s="3"/>
      <c r="BC808" s="3"/>
      <c r="BD808" s="3"/>
      <c r="BE808" s="3"/>
    </row>
    <row r="809" spans="1:57" x14ac:dyDescent="0.35">
      <c r="A809" s="66" t="s">
        <v>1414</v>
      </c>
      <c r="B809" s="67"/>
      <c r="C809" s="67"/>
      <c r="D809" s="68"/>
      <c r="E809" s="70"/>
      <c r="F809" s="109" t="str">
        <f>HYPERLINK("https://pbs.twimg.com/profile_images/1372136746691956740/JDkBAtXd_normal.jpg")</f>
        <v>https://pbs.twimg.com/profile_images/1372136746691956740/JDkBAtXd_normal.jpg</v>
      </c>
      <c r="G809" s="67"/>
      <c r="H809" s="71"/>
      <c r="I809" s="72"/>
      <c r="J809" s="72"/>
      <c r="K809" s="71" t="s">
        <v>11552</v>
      </c>
      <c r="L809" s="75"/>
      <c r="M809" s="76"/>
      <c r="N809" s="76"/>
      <c r="O809" s="77"/>
      <c r="P809" s="78"/>
      <c r="Q809" s="78"/>
      <c r="R809" s="92"/>
      <c r="S809" s="92"/>
      <c r="T809" s="92"/>
      <c r="U809" s="92"/>
      <c r="V809" s="52"/>
      <c r="W809" s="52"/>
      <c r="X809" s="52"/>
      <c r="Y809" s="52"/>
      <c r="Z809" s="51"/>
      <c r="AA809" s="73"/>
      <c r="AB809" s="73"/>
      <c r="AC809" s="74"/>
      <c r="AD809" s="80" t="s">
        <v>7377</v>
      </c>
      <c r="AE809" s="85" t="s">
        <v>8555</v>
      </c>
      <c r="AF809" s="80">
        <v>49</v>
      </c>
      <c r="AG809" s="80">
        <v>243</v>
      </c>
      <c r="AH809" s="80">
        <v>19</v>
      </c>
      <c r="AI809" s="80">
        <v>42</v>
      </c>
      <c r="AJ809" s="80"/>
      <c r="AK809" s="80"/>
      <c r="AL809" s="80"/>
      <c r="AM809" s="80"/>
      <c r="AN809" s="80"/>
      <c r="AO809" s="82">
        <v>44272.447175925925</v>
      </c>
      <c r="AP809" s="87" t="str">
        <f>HYPERLINK("https://pbs.twimg.com/profile_banners/1372136583210496001/1615978360")</f>
        <v>https://pbs.twimg.com/profile_banners/1372136583210496001/1615978360</v>
      </c>
      <c r="AQ809" s="80" t="b">
        <v>1</v>
      </c>
      <c r="AR809" s="80" t="b">
        <v>0</v>
      </c>
      <c r="AS809" s="80" t="b">
        <v>0</v>
      </c>
      <c r="AT809" s="80"/>
      <c r="AU809" s="80">
        <v>0</v>
      </c>
      <c r="AV809" s="80"/>
      <c r="AW809" s="80" t="b">
        <v>0</v>
      </c>
      <c r="AX809" s="80" t="s">
        <v>10746</v>
      </c>
      <c r="AY809" s="87" t="str">
        <f>HYPERLINK("https://twitter.com/tpplampung")</f>
        <v>https://twitter.com/tpplampung</v>
      </c>
      <c r="AZ809" s="80" t="s">
        <v>65</v>
      </c>
      <c r="BA809" s="2"/>
      <c r="BB809" s="3"/>
      <c r="BC809" s="3"/>
      <c r="BD809" s="3"/>
      <c r="BE809" s="3"/>
    </row>
    <row r="810" spans="1:57" x14ac:dyDescent="0.35">
      <c r="A810" s="66" t="s">
        <v>870</v>
      </c>
      <c r="B810" s="67"/>
      <c r="C810" s="67"/>
      <c r="D810" s="68"/>
      <c r="E810" s="70"/>
      <c r="F810" s="109" t="str">
        <f>HYPERLINK("https://pbs.twimg.com/profile_images/1245658645032914944/VrhhxqSd_normal.jpg")</f>
        <v>https://pbs.twimg.com/profile_images/1245658645032914944/VrhhxqSd_normal.jpg</v>
      </c>
      <c r="G810" s="67"/>
      <c r="H810" s="71"/>
      <c r="I810" s="72"/>
      <c r="J810" s="72"/>
      <c r="K810" s="71" t="s">
        <v>11553</v>
      </c>
      <c r="L810" s="75"/>
      <c r="M810" s="76"/>
      <c r="N810" s="76"/>
      <c r="O810" s="77"/>
      <c r="P810" s="78"/>
      <c r="Q810" s="78"/>
      <c r="R810" s="92"/>
      <c r="S810" s="92"/>
      <c r="T810" s="92"/>
      <c r="U810" s="92"/>
      <c r="V810" s="52"/>
      <c r="W810" s="52"/>
      <c r="X810" s="52"/>
      <c r="Y810" s="52"/>
      <c r="Z810" s="51"/>
      <c r="AA810" s="73"/>
      <c r="AB810" s="73"/>
      <c r="AC810" s="74"/>
      <c r="AD810" s="80" t="s">
        <v>7378</v>
      </c>
      <c r="AE810" s="85" t="s">
        <v>8556</v>
      </c>
      <c r="AF810" s="80">
        <v>221</v>
      </c>
      <c r="AG810" s="80">
        <v>107</v>
      </c>
      <c r="AH810" s="80">
        <v>197</v>
      </c>
      <c r="AI810" s="80">
        <v>123</v>
      </c>
      <c r="AJ810" s="80"/>
      <c r="AK810" s="80" t="s">
        <v>9679</v>
      </c>
      <c r="AL810" s="80" t="s">
        <v>10518</v>
      </c>
      <c r="AM810" s="80"/>
      <c r="AN810" s="80"/>
      <c r="AO810" s="82">
        <v>43448.258125</v>
      </c>
      <c r="AP810" s="87" t="str">
        <f>HYPERLINK("https://pbs.twimg.com/profile_banners/1073460502380986369/1585823488")</f>
        <v>https://pbs.twimg.com/profile_banners/1073460502380986369/1585823488</v>
      </c>
      <c r="AQ810" s="80" t="b">
        <v>1</v>
      </c>
      <c r="AR810" s="80" t="b">
        <v>0</v>
      </c>
      <c r="AS810" s="80" t="b">
        <v>1</v>
      </c>
      <c r="AT810" s="80"/>
      <c r="AU810" s="80">
        <v>0</v>
      </c>
      <c r="AV810" s="80"/>
      <c r="AW810" s="80" t="b">
        <v>0</v>
      </c>
      <c r="AX810" s="80" t="s">
        <v>10746</v>
      </c>
      <c r="AY810" s="87" t="str">
        <f>HYPERLINK("https://twitter.com/pld_dedy")</f>
        <v>https://twitter.com/pld_dedy</v>
      </c>
      <c r="AZ810" s="80" t="s">
        <v>66</v>
      </c>
      <c r="BA810" s="2"/>
      <c r="BB810" s="3"/>
      <c r="BC810" s="3"/>
      <c r="BD810" s="3"/>
      <c r="BE810" s="3"/>
    </row>
    <row r="811" spans="1:57" x14ac:dyDescent="0.35">
      <c r="A811" s="66" t="s">
        <v>1415</v>
      </c>
      <c r="B811" s="67"/>
      <c r="C811" s="67"/>
      <c r="D811" s="68"/>
      <c r="E811" s="70"/>
      <c r="F811" s="109" t="str">
        <f>HYPERLINK("https://pbs.twimg.com/profile_images/1329590333517090816/K4twc2L7_normal.jpg")</f>
        <v>https://pbs.twimg.com/profile_images/1329590333517090816/K4twc2L7_normal.jpg</v>
      </c>
      <c r="G811" s="67"/>
      <c r="H811" s="71"/>
      <c r="I811" s="72"/>
      <c r="J811" s="72"/>
      <c r="K811" s="71" t="s">
        <v>11554</v>
      </c>
      <c r="L811" s="75"/>
      <c r="M811" s="76"/>
      <c r="N811" s="76"/>
      <c r="O811" s="77"/>
      <c r="P811" s="78"/>
      <c r="Q811" s="78"/>
      <c r="R811" s="92"/>
      <c r="S811" s="92"/>
      <c r="T811" s="92"/>
      <c r="U811" s="92"/>
      <c r="V811" s="52"/>
      <c r="W811" s="52"/>
      <c r="X811" s="52"/>
      <c r="Y811" s="52"/>
      <c r="Z811" s="51"/>
      <c r="AA811" s="73"/>
      <c r="AB811" s="73"/>
      <c r="AC811" s="74"/>
      <c r="AD811" s="80" t="s">
        <v>7379</v>
      </c>
      <c r="AE811" s="85" t="s">
        <v>8557</v>
      </c>
      <c r="AF811" s="80">
        <v>211</v>
      </c>
      <c r="AG811" s="80">
        <v>4275</v>
      </c>
      <c r="AH811" s="80">
        <v>1256</v>
      </c>
      <c r="AI811" s="80">
        <v>9791</v>
      </c>
      <c r="AJ811" s="80"/>
      <c r="AK811" s="80" t="s">
        <v>9680</v>
      </c>
      <c r="AL811" s="80" t="s">
        <v>10519</v>
      </c>
      <c r="AM811" s="80"/>
      <c r="AN811" s="80"/>
      <c r="AO811" s="82">
        <v>42714.620625000003</v>
      </c>
      <c r="AP811" s="87" t="str">
        <f>HYPERLINK("https://pbs.twimg.com/profile_banners/807599172551524354/1576468113")</f>
        <v>https://pbs.twimg.com/profile_banners/807599172551524354/1576468113</v>
      </c>
      <c r="AQ811" s="80" t="b">
        <v>1</v>
      </c>
      <c r="AR811" s="80" t="b">
        <v>0</v>
      </c>
      <c r="AS811" s="80" t="b">
        <v>1</v>
      </c>
      <c r="AT811" s="80"/>
      <c r="AU811" s="80">
        <v>0</v>
      </c>
      <c r="AV811" s="80"/>
      <c r="AW811" s="80" t="b">
        <v>0</v>
      </c>
      <c r="AX811" s="80" t="s">
        <v>10746</v>
      </c>
      <c r="AY811" s="87" t="str">
        <f>HYPERLINK("https://twitter.com/cik_mashuri")</f>
        <v>https://twitter.com/cik_mashuri</v>
      </c>
      <c r="AZ811" s="80" t="s">
        <v>65</v>
      </c>
      <c r="BA811" s="2"/>
      <c r="BB811" s="3"/>
      <c r="BC811" s="3"/>
      <c r="BD811" s="3"/>
      <c r="BE811" s="3"/>
    </row>
    <row r="812" spans="1:57" x14ac:dyDescent="0.35">
      <c r="A812" s="66" t="s">
        <v>1416</v>
      </c>
      <c r="B812" s="67"/>
      <c r="C812" s="67"/>
      <c r="D812" s="68"/>
      <c r="E812" s="70"/>
      <c r="F812" s="109" t="str">
        <f>HYPERLINK("https://pbs.twimg.com/profile_images/1343753383144955904/7rfT5oHB_normal.jpg")</f>
        <v>https://pbs.twimg.com/profile_images/1343753383144955904/7rfT5oHB_normal.jpg</v>
      </c>
      <c r="G812" s="67"/>
      <c r="H812" s="71"/>
      <c r="I812" s="72"/>
      <c r="J812" s="72"/>
      <c r="K812" s="71" t="s">
        <v>11555</v>
      </c>
      <c r="L812" s="75"/>
      <c r="M812" s="76"/>
      <c r="N812" s="76"/>
      <c r="O812" s="77"/>
      <c r="P812" s="78"/>
      <c r="Q812" s="78"/>
      <c r="R812" s="92"/>
      <c r="S812" s="92"/>
      <c r="T812" s="92"/>
      <c r="U812" s="92"/>
      <c r="V812" s="52"/>
      <c r="W812" s="52"/>
      <c r="X812" s="52"/>
      <c r="Y812" s="52"/>
      <c r="Z812" s="51"/>
      <c r="AA812" s="73"/>
      <c r="AB812" s="73"/>
      <c r="AC812" s="74"/>
      <c r="AD812" s="80" t="s">
        <v>7380</v>
      </c>
      <c r="AE812" s="85" t="s">
        <v>8558</v>
      </c>
      <c r="AF812" s="80">
        <v>11205</v>
      </c>
      <c r="AG812" s="80">
        <v>18976</v>
      </c>
      <c r="AH812" s="80">
        <v>115141</v>
      </c>
      <c r="AI812" s="80">
        <v>184823</v>
      </c>
      <c r="AJ812" s="80"/>
      <c r="AK812" s="80" t="s">
        <v>9681</v>
      </c>
      <c r="AL812" s="80" t="s">
        <v>10139</v>
      </c>
      <c r="AM812" s="80"/>
      <c r="AN812" s="80"/>
      <c r="AO812" s="82">
        <v>43000.245613425926</v>
      </c>
      <c r="AP812" s="87" t="str">
        <f>HYPERLINK("https://pbs.twimg.com/profile_banners/911106204058894336/1550274328")</f>
        <v>https://pbs.twimg.com/profile_banners/911106204058894336/1550274328</v>
      </c>
      <c r="AQ812" s="80" t="b">
        <v>1</v>
      </c>
      <c r="AR812" s="80" t="b">
        <v>0</v>
      </c>
      <c r="AS812" s="80" t="b">
        <v>1</v>
      </c>
      <c r="AT812" s="80"/>
      <c r="AU812" s="80">
        <v>1</v>
      </c>
      <c r="AV812" s="80"/>
      <c r="AW812" s="80" t="b">
        <v>0</v>
      </c>
      <c r="AX812" s="80" t="s">
        <v>10746</v>
      </c>
      <c r="AY812" s="87" t="str">
        <f>HYPERLINK("https://twitter.com/brigade01arwan1")</f>
        <v>https://twitter.com/brigade01arwan1</v>
      </c>
      <c r="AZ812" s="80" t="s">
        <v>65</v>
      </c>
      <c r="BA812" s="2"/>
      <c r="BB812" s="3"/>
      <c r="BC812" s="3"/>
      <c r="BD812" s="3"/>
      <c r="BE812" s="3"/>
    </row>
    <row r="813" spans="1:57" x14ac:dyDescent="0.35">
      <c r="A813" s="66" t="s">
        <v>1417</v>
      </c>
      <c r="B813" s="67"/>
      <c r="C813" s="67"/>
      <c r="D813" s="68"/>
      <c r="E813" s="70"/>
      <c r="F813" s="109" t="str">
        <f>HYPERLINK("https://pbs.twimg.com/profile_images/1383704496220504067/KMxnkwnZ_normal.jpg")</f>
        <v>https://pbs.twimg.com/profile_images/1383704496220504067/KMxnkwnZ_normal.jpg</v>
      </c>
      <c r="G813" s="67"/>
      <c r="H813" s="71"/>
      <c r="I813" s="72"/>
      <c r="J813" s="72"/>
      <c r="K813" s="71" t="s">
        <v>11556</v>
      </c>
      <c r="L813" s="75"/>
      <c r="M813" s="76"/>
      <c r="N813" s="76"/>
      <c r="O813" s="77"/>
      <c r="P813" s="78"/>
      <c r="Q813" s="78"/>
      <c r="R813" s="92"/>
      <c r="S813" s="92"/>
      <c r="T813" s="92"/>
      <c r="U813" s="92"/>
      <c r="V813" s="52"/>
      <c r="W813" s="52"/>
      <c r="X813" s="52"/>
      <c r="Y813" s="52"/>
      <c r="Z813" s="51"/>
      <c r="AA813" s="73"/>
      <c r="AB813" s="73"/>
      <c r="AC813" s="74"/>
      <c r="AD813" s="80" t="s">
        <v>7381</v>
      </c>
      <c r="AE813" s="85" t="s">
        <v>8559</v>
      </c>
      <c r="AF813" s="80">
        <v>55</v>
      </c>
      <c r="AG813" s="80">
        <v>5479</v>
      </c>
      <c r="AH813" s="80">
        <v>4056</v>
      </c>
      <c r="AI813" s="80">
        <v>1712</v>
      </c>
      <c r="AJ813" s="80"/>
      <c r="AK813" s="80" t="s">
        <v>9682</v>
      </c>
      <c r="AL813" s="80" t="s">
        <v>10520</v>
      </c>
      <c r="AM813" s="80"/>
      <c r="AN813" s="80"/>
      <c r="AO813" s="82">
        <v>41437.439895833333</v>
      </c>
      <c r="AP813" s="87" t="str">
        <f>HYPERLINK("https://pbs.twimg.com/profile_banners/1510113354/1507119868")</f>
        <v>https://pbs.twimg.com/profile_banners/1510113354/1507119868</v>
      </c>
      <c r="AQ813" s="80" t="b">
        <v>0</v>
      </c>
      <c r="AR813" s="80" t="b">
        <v>0</v>
      </c>
      <c r="AS813" s="80" t="b">
        <v>1</v>
      </c>
      <c r="AT813" s="80"/>
      <c r="AU813" s="80">
        <v>1</v>
      </c>
      <c r="AV813" s="87" t="str">
        <f>HYPERLINK("https://abs.twimg.com/images/themes/theme1/bg.png")</f>
        <v>https://abs.twimg.com/images/themes/theme1/bg.png</v>
      </c>
      <c r="AW813" s="80" t="b">
        <v>0</v>
      </c>
      <c r="AX813" s="80" t="s">
        <v>10746</v>
      </c>
      <c r="AY813" s="87" t="str">
        <f>HYPERLINK("https://twitter.com/azzameldzikrie")</f>
        <v>https://twitter.com/azzameldzikrie</v>
      </c>
      <c r="AZ813" s="80" t="s">
        <v>65</v>
      </c>
      <c r="BA813" s="2"/>
      <c r="BB813" s="3"/>
      <c r="BC813" s="3"/>
      <c r="BD813" s="3"/>
      <c r="BE813" s="3"/>
    </row>
    <row r="814" spans="1:57" x14ac:dyDescent="0.35">
      <c r="A814" s="66" t="s">
        <v>1418</v>
      </c>
      <c r="B814" s="67"/>
      <c r="C814" s="67"/>
      <c r="D814" s="68"/>
      <c r="E814" s="70"/>
      <c r="F814" s="109" t="str">
        <f>HYPERLINK("https://pbs.twimg.com/profile_images/1371304276111155200/UXUj8z6I_normal.jpg")</f>
        <v>https://pbs.twimg.com/profile_images/1371304276111155200/UXUj8z6I_normal.jpg</v>
      </c>
      <c r="G814" s="67"/>
      <c r="H814" s="71"/>
      <c r="I814" s="72"/>
      <c r="J814" s="72"/>
      <c r="K814" s="71" t="s">
        <v>11557</v>
      </c>
      <c r="L814" s="75"/>
      <c r="M814" s="76"/>
      <c r="N814" s="76"/>
      <c r="O814" s="77"/>
      <c r="P814" s="78"/>
      <c r="Q814" s="78"/>
      <c r="R814" s="92"/>
      <c r="S814" s="92"/>
      <c r="T814" s="92"/>
      <c r="U814" s="92"/>
      <c r="V814" s="52"/>
      <c r="W814" s="52"/>
      <c r="X814" s="52"/>
      <c r="Y814" s="52"/>
      <c r="Z814" s="51"/>
      <c r="AA814" s="73"/>
      <c r="AB814" s="73"/>
      <c r="AC814" s="74"/>
      <c r="AD814" s="80" t="s">
        <v>7382</v>
      </c>
      <c r="AE814" s="85" t="s">
        <v>8560</v>
      </c>
      <c r="AF814" s="80">
        <v>236</v>
      </c>
      <c r="AG814" s="80">
        <v>35631</v>
      </c>
      <c r="AH814" s="80">
        <v>1931</v>
      </c>
      <c r="AI814" s="80">
        <v>2386</v>
      </c>
      <c r="AJ814" s="80"/>
      <c r="AK814" s="80" t="s">
        <v>7382</v>
      </c>
      <c r="AL814" s="80" t="s">
        <v>10521</v>
      </c>
      <c r="AM814" s="80"/>
      <c r="AN814" s="80"/>
      <c r="AO814" s="82">
        <v>43806.678032407406</v>
      </c>
      <c r="AP814" s="87" t="str">
        <f>HYPERLINK("https://pbs.twimg.com/profile_banners/1203347293740531712/1597592004")</f>
        <v>https://pbs.twimg.com/profile_banners/1203347293740531712/1597592004</v>
      </c>
      <c r="AQ814" s="80" t="b">
        <v>1</v>
      </c>
      <c r="AR814" s="80" t="b">
        <v>0</v>
      </c>
      <c r="AS814" s="80" t="b">
        <v>0</v>
      </c>
      <c r="AT814" s="80"/>
      <c r="AU814" s="80">
        <v>3</v>
      </c>
      <c r="AV814" s="80"/>
      <c r="AW814" s="80" t="b">
        <v>0</v>
      </c>
      <c r="AX814" s="80" t="s">
        <v>10746</v>
      </c>
      <c r="AY814" s="87" t="str">
        <f>HYPERLINK("https://twitter.com/tppkemendes")</f>
        <v>https://twitter.com/tppkemendes</v>
      </c>
      <c r="AZ814" s="80" t="s">
        <v>65</v>
      </c>
      <c r="BA814" s="2"/>
      <c r="BB814" s="3"/>
      <c r="BC814" s="3"/>
      <c r="BD814" s="3"/>
      <c r="BE814" s="3"/>
    </row>
    <row r="815" spans="1:57" x14ac:dyDescent="0.35">
      <c r="A815" s="66" t="s">
        <v>1419</v>
      </c>
      <c r="B815" s="67"/>
      <c r="C815" s="67"/>
      <c r="D815" s="68"/>
      <c r="E815" s="70"/>
      <c r="F815" s="109" t="str">
        <f>HYPERLINK("https://pbs.twimg.com/profile_images/1269976233174953985/ksfNwqDp_normal.jpg")</f>
        <v>https://pbs.twimg.com/profile_images/1269976233174953985/ksfNwqDp_normal.jpg</v>
      </c>
      <c r="G815" s="67"/>
      <c r="H815" s="71"/>
      <c r="I815" s="72"/>
      <c r="J815" s="72"/>
      <c r="K815" s="71" t="s">
        <v>11558</v>
      </c>
      <c r="L815" s="75"/>
      <c r="M815" s="76"/>
      <c r="N815" s="76"/>
      <c r="O815" s="77"/>
      <c r="P815" s="78"/>
      <c r="Q815" s="78"/>
      <c r="R815" s="92"/>
      <c r="S815" s="92"/>
      <c r="T815" s="92"/>
      <c r="U815" s="92"/>
      <c r="V815" s="52"/>
      <c r="W815" s="52"/>
      <c r="X815" s="52"/>
      <c r="Y815" s="52"/>
      <c r="Z815" s="51"/>
      <c r="AA815" s="73"/>
      <c r="AB815" s="73"/>
      <c r="AC815" s="74"/>
      <c r="AD815" s="80" t="s">
        <v>7383</v>
      </c>
      <c r="AE815" s="85" t="s">
        <v>8561</v>
      </c>
      <c r="AF815" s="80">
        <v>50</v>
      </c>
      <c r="AG815" s="80">
        <v>6963</v>
      </c>
      <c r="AH815" s="80">
        <v>938</v>
      </c>
      <c r="AI815" s="80">
        <v>2298</v>
      </c>
      <c r="AJ815" s="80"/>
      <c r="AK815" s="80" t="s">
        <v>9683</v>
      </c>
      <c r="AL815" s="80" t="s">
        <v>6543</v>
      </c>
      <c r="AM815" s="80"/>
      <c r="AN815" s="80"/>
      <c r="AO815" s="82">
        <v>43990.538043981483</v>
      </c>
      <c r="AP815" s="87" t="str">
        <f>HYPERLINK("https://pbs.twimg.com/profile_banners/1269975975183306752/1612891771")</f>
        <v>https://pbs.twimg.com/profile_banners/1269975975183306752/1612891771</v>
      </c>
      <c r="AQ815" s="80" t="b">
        <v>1</v>
      </c>
      <c r="AR815" s="80" t="b">
        <v>0</v>
      </c>
      <c r="AS815" s="80" t="b">
        <v>0</v>
      </c>
      <c r="AT815" s="80"/>
      <c r="AU815" s="80">
        <v>0</v>
      </c>
      <c r="AV815" s="80"/>
      <c r="AW815" s="80" t="b">
        <v>0</v>
      </c>
      <c r="AX815" s="80" t="s">
        <v>10746</v>
      </c>
      <c r="AY815" s="87" t="str">
        <f>HYPERLINK("https://twitter.com/yusradaridesa")</f>
        <v>https://twitter.com/yusradaridesa</v>
      </c>
      <c r="AZ815" s="80" t="s">
        <v>65</v>
      </c>
      <c r="BA815" s="2"/>
      <c r="BB815" s="3"/>
      <c r="BC815" s="3"/>
      <c r="BD815" s="3"/>
      <c r="BE815" s="3"/>
    </row>
    <row r="816" spans="1:57" x14ac:dyDescent="0.35">
      <c r="A816" s="66" t="s">
        <v>1420</v>
      </c>
      <c r="B816" s="67"/>
      <c r="C816" s="67"/>
      <c r="D816" s="68"/>
      <c r="E816" s="70"/>
      <c r="F816" s="109" t="str">
        <f>HYPERLINK("https://pbs.twimg.com/profile_images/1409793695931518976/QmoGBvgf_normal.jpg")</f>
        <v>https://pbs.twimg.com/profile_images/1409793695931518976/QmoGBvgf_normal.jpg</v>
      </c>
      <c r="G816" s="67"/>
      <c r="H816" s="71"/>
      <c r="I816" s="72"/>
      <c r="J816" s="72"/>
      <c r="K816" s="71" t="s">
        <v>11559</v>
      </c>
      <c r="L816" s="75"/>
      <c r="M816" s="76"/>
      <c r="N816" s="76"/>
      <c r="O816" s="77"/>
      <c r="P816" s="78"/>
      <c r="Q816" s="78"/>
      <c r="R816" s="92"/>
      <c r="S816" s="92"/>
      <c r="T816" s="92"/>
      <c r="U816" s="92"/>
      <c r="V816" s="52"/>
      <c r="W816" s="52"/>
      <c r="X816" s="52"/>
      <c r="Y816" s="52"/>
      <c r="Z816" s="51"/>
      <c r="AA816" s="73"/>
      <c r="AB816" s="73"/>
      <c r="AC816" s="74"/>
      <c r="AD816" s="80" t="s">
        <v>7384</v>
      </c>
      <c r="AE816" s="85" t="s">
        <v>8562</v>
      </c>
      <c r="AF816" s="80">
        <v>399</v>
      </c>
      <c r="AG816" s="80">
        <v>12437</v>
      </c>
      <c r="AH816" s="80">
        <v>1070</v>
      </c>
      <c r="AI816" s="80">
        <v>452</v>
      </c>
      <c r="AJ816" s="80"/>
      <c r="AK816" s="80" t="s">
        <v>9684</v>
      </c>
      <c r="AL816" s="80"/>
      <c r="AM816" s="80"/>
      <c r="AN816" s="80"/>
      <c r="AO816" s="82">
        <v>39979.485000000001</v>
      </c>
      <c r="AP816" s="87" t="str">
        <f>HYPERLINK("https://pbs.twimg.com/profile_banners/47314819/1567840972")</f>
        <v>https://pbs.twimg.com/profile_banners/47314819/1567840972</v>
      </c>
      <c r="AQ816" s="80" t="b">
        <v>1</v>
      </c>
      <c r="AR816" s="80" t="b">
        <v>0</v>
      </c>
      <c r="AS816" s="80" t="b">
        <v>0</v>
      </c>
      <c r="AT816" s="80"/>
      <c r="AU816" s="80">
        <v>0</v>
      </c>
      <c r="AV816" s="87" t="str">
        <f>HYPERLINK("https://abs.twimg.com/images/themes/theme1/bg.png")</f>
        <v>https://abs.twimg.com/images/themes/theme1/bg.png</v>
      </c>
      <c r="AW816" s="80" t="b">
        <v>0</v>
      </c>
      <c r="AX816" s="80" t="s">
        <v>10746</v>
      </c>
      <c r="AY816" s="87" t="str">
        <f>HYPERLINK("https://twitter.com/imansyukri")</f>
        <v>https://twitter.com/imansyukri</v>
      </c>
      <c r="AZ816" s="80" t="s">
        <v>65</v>
      </c>
      <c r="BA816" s="2"/>
      <c r="BB816" s="3"/>
      <c r="BC816" s="3"/>
      <c r="BD816" s="3"/>
      <c r="BE816" s="3"/>
    </row>
    <row r="817" spans="1:57" x14ac:dyDescent="0.35">
      <c r="A817" s="66" t="s">
        <v>1421</v>
      </c>
      <c r="B817" s="67"/>
      <c r="C817" s="67"/>
      <c r="D817" s="68"/>
      <c r="E817" s="70"/>
      <c r="F817" s="109" t="str">
        <f>HYPERLINK("https://pbs.twimg.com/profile_images/1248179095579406336/0qem0kaF_normal.jpg")</f>
        <v>https://pbs.twimg.com/profile_images/1248179095579406336/0qem0kaF_normal.jpg</v>
      </c>
      <c r="G817" s="67"/>
      <c r="H817" s="71"/>
      <c r="I817" s="72"/>
      <c r="J817" s="72"/>
      <c r="K817" s="71" t="s">
        <v>11560</v>
      </c>
      <c r="L817" s="75"/>
      <c r="M817" s="76"/>
      <c r="N817" s="76"/>
      <c r="O817" s="77"/>
      <c r="P817" s="78"/>
      <c r="Q817" s="78"/>
      <c r="R817" s="92"/>
      <c r="S817" s="92"/>
      <c r="T817" s="92"/>
      <c r="U817" s="92"/>
      <c r="V817" s="52"/>
      <c r="W817" s="52"/>
      <c r="X817" s="52"/>
      <c r="Y817" s="52"/>
      <c r="Z817" s="51"/>
      <c r="AA817" s="73"/>
      <c r="AB817" s="73"/>
      <c r="AC817" s="74"/>
      <c r="AD817" s="80" t="s">
        <v>7385</v>
      </c>
      <c r="AE817" s="85" t="s">
        <v>8563</v>
      </c>
      <c r="AF817" s="80">
        <v>479</v>
      </c>
      <c r="AG817" s="80">
        <v>8676</v>
      </c>
      <c r="AH817" s="80">
        <v>194</v>
      </c>
      <c r="AI817" s="80">
        <v>9</v>
      </c>
      <c r="AJ817" s="80"/>
      <c r="AK817" s="80" t="s">
        <v>9685</v>
      </c>
      <c r="AL817" s="80"/>
      <c r="AM817" s="80"/>
      <c r="AN817" s="80"/>
      <c r="AO817" s="82">
        <v>40779.52553240741</v>
      </c>
      <c r="AP817" s="87" t="str">
        <f>HYPERLINK("https://pbs.twimg.com/profile_banners/361209382/1586425465")</f>
        <v>https://pbs.twimg.com/profile_banners/361209382/1586425465</v>
      </c>
      <c r="AQ817" s="80" t="b">
        <v>1</v>
      </c>
      <c r="AR817" s="80" t="b">
        <v>0</v>
      </c>
      <c r="AS817" s="80" t="b">
        <v>1</v>
      </c>
      <c r="AT817" s="80"/>
      <c r="AU817" s="80">
        <v>2</v>
      </c>
      <c r="AV817" s="87" t="str">
        <f>HYPERLINK("https://abs.twimg.com/images/themes/theme1/bg.png")</f>
        <v>https://abs.twimg.com/images/themes/theme1/bg.png</v>
      </c>
      <c r="AW817" s="80" t="b">
        <v>0</v>
      </c>
      <c r="AX817" s="80" t="s">
        <v>10746</v>
      </c>
      <c r="AY817" s="87" t="str">
        <f>HYPERLINK("https://twitter.com/malik_haramain")</f>
        <v>https://twitter.com/malik_haramain</v>
      </c>
      <c r="AZ817" s="80" t="s">
        <v>65</v>
      </c>
      <c r="BA817" s="2"/>
      <c r="BB817" s="3"/>
      <c r="BC817" s="3"/>
      <c r="BD817" s="3"/>
      <c r="BE817" s="3"/>
    </row>
    <row r="818" spans="1:57" x14ac:dyDescent="0.35">
      <c r="A818" s="66" t="s">
        <v>1422</v>
      </c>
      <c r="B818" s="67"/>
      <c r="C818" s="67"/>
      <c r="D818" s="68"/>
      <c r="E818" s="70"/>
      <c r="F818" s="109" t="str">
        <f>HYPERLINK("https://pbs.twimg.com/profile_images/882726832172171264/whCMGTdH_normal.jpg")</f>
        <v>https://pbs.twimg.com/profile_images/882726832172171264/whCMGTdH_normal.jpg</v>
      </c>
      <c r="G818" s="67"/>
      <c r="H818" s="71"/>
      <c r="I818" s="72"/>
      <c r="J818" s="72"/>
      <c r="K818" s="71" t="s">
        <v>11561</v>
      </c>
      <c r="L818" s="75"/>
      <c r="M818" s="76"/>
      <c r="N818" s="76"/>
      <c r="O818" s="77"/>
      <c r="P818" s="78"/>
      <c r="Q818" s="78"/>
      <c r="R818" s="92"/>
      <c r="S818" s="92"/>
      <c r="T818" s="92"/>
      <c r="U818" s="92"/>
      <c r="V818" s="52"/>
      <c r="W818" s="52"/>
      <c r="X818" s="52"/>
      <c r="Y818" s="52"/>
      <c r="Z818" s="51"/>
      <c r="AA818" s="73"/>
      <c r="AB818" s="73"/>
      <c r="AC818" s="74"/>
      <c r="AD818" s="80" t="s">
        <v>7386</v>
      </c>
      <c r="AE818" s="85" t="s">
        <v>8564</v>
      </c>
      <c r="AF818" s="80">
        <v>421</v>
      </c>
      <c r="AG818" s="80">
        <v>66161</v>
      </c>
      <c r="AH818" s="80">
        <v>2806</v>
      </c>
      <c r="AI818" s="80">
        <v>5051</v>
      </c>
      <c r="AJ818" s="80"/>
      <c r="AK818" s="80" t="s">
        <v>9686</v>
      </c>
      <c r="AL818" s="80" t="s">
        <v>10159</v>
      </c>
      <c r="AM818" s="80"/>
      <c r="AN818" s="80"/>
      <c r="AO818" s="82">
        <v>42210.52207175926</v>
      </c>
      <c r="AP818" s="87" t="str">
        <f>HYPERLINK("https://pbs.twimg.com/profile_banners/3292664263/1579005154")</f>
        <v>https://pbs.twimg.com/profile_banners/3292664263/1579005154</v>
      </c>
      <c r="AQ818" s="80" t="b">
        <v>1</v>
      </c>
      <c r="AR818" s="80" t="b">
        <v>0</v>
      </c>
      <c r="AS818" s="80" t="b">
        <v>1</v>
      </c>
      <c r="AT818" s="80"/>
      <c r="AU818" s="80">
        <v>19</v>
      </c>
      <c r="AV818" s="87" t="str">
        <f>HYPERLINK("https://abs.twimg.com/images/themes/theme1/bg.png")</f>
        <v>https://abs.twimg.com/images/themes/theme1/bg.png</v>
      </c>
      <c r="AW818" s="80" t="b">
        <v>1</v>
      </c>
      <c r="AX818" s="80" t="s">
        <v>10746</v>
      </c>
      <c r="AY818" s="87" t="str">
        <f>HYPERLINK("https://twitter.com/halimiskandarnu")</f>
        <v>https://twitter.com/halimiskandarnu</v>
      </c>
      <c r="AZ818" s="80" t="s">
        <v>65</v>
      </c>
      <c r="BA818" s="2"/>
      <c r="BB818" s="3"/>
      <c r="BC818" s="3"/>
      <c r="BD818" s="3"/>
      <c r="BE818" s="3"/>
    </row>
    <row r="819" spans="1:57" x14ac:dyDescent="0.35">
      <c r="A819" s="66" t="s">
        <v>871</v>
      </c>
      <c r="B819" s="67"/>
      <c r="C819" s="67"/>
      <c r="D819" s="68"/>
      <c r="E819" s="70"/>
      <c r="F819" s="109" t="str">
        <f>HYPERLINK("https://pbs.twimg.com/profile_images/1215260101302312961/UjfI7eul_normal.jpg")</f>
        <v>https://pbs.twimg.com/profile_images/1215260101302312961/UjfI7eul_normal.jpg</v>
      </c>
      <c r="G819" s="67"/>
      <c r="H819" s="71"/>
      <c r="I819" s="72"/>
      <c r="J819" s="72"/>
      <c r="K819" s="71" t="s">
        <v>11562</v>
      </c>
      <c r="L819" s="75"/>
      <c r="M819" s="76"/>
      <c r="N819" s="76"/>
      <c r="O819" s="77"/>
      <c r="P819" s="78"/>
      <c r="Q819" s="78"/>
      <c r="R819" s="92"/>
      <c r="S819" s="92"/>
      <c r="T819" s="92"/>
      <c r="U819" s="92"/>
      <c r="V819" s="52"/>
      <c r="W819" s="52"/>
      <c r="X819" s="52"/>
      <c r="Y819" s="52"/>
      <c r="Z819" s="51"/>
      <c r="AA819" s="73"/>
      <c r="AB819" s="73"/>
      <c r="AC819" s="74"/>
      <c r="AD819" s="80" t="s">
        <v>7387</v>
      </c>
      <c r="AE819" s="85" t="s">
        <v>8565</v>
      </c>
      <c r="AF819" s="80">
        <v>664</v>
      </c>
      <c r="AG819" s="80">
        <v>225</v>
      </c>
      <c r="AH819" s="80">
        <v>3056</v>
      </c>
      <c r="AI819" s="80">
        <v>1361</v>
      </c>
      <c r="AJ819" s="80"/>
      <c r="AK819" s="80" t="s">
        <v>9687</v>
      </c>
      <c r="AL819" s="80" t="s">
        <v>10134</v>
      </c>
      <c r="AM819" s="87" t="str">
        <f>HYPERLINK("https://t.co/siMs4fmoqw")</f>
        <v>https://t.co/siMs4fmoqw</v>
      </c>
      <c r="AN819" s="80"/>
      <c r="AO819" s="82">
        <v>43309.492210648146</v>
      </c>
      <c r="AP819" s="87" t="str">
        <f>HYPERLINK("https://pbs.twimg.com/profile_banners/1023173417804021760/1578575525")</f>
        <v>https://pbs.twimg.com/profile_banners/1023173417804021760/1578575525</v>
      </c>
      <c r="AQ819" s="80" t="b">
        <v>0</v>
      </c>
      <c r="AR819" s="80" t="b">
        <v>0</v>
      </c>
      <c r="AS819" s="80" t="b">
        <v>0</v>
      </c>
      <c r="AT819" s="80"/>
      <c r="AU819" s="80">
        <v>0</v>
      </c>
      <c r="AV819" s="87" t="str">
        <f>HYPERLINK("https://abs.twimg.com/images/themes/theme1/bg.png")</f>
        <v>https://abs.twimg.com/images/themes/theme1/bg.png</v>
      </c>
      <c r="AW819" s="80" t="b">
        <v>0</v>
      </c>
      <c r="AX819" s="80" t="s">
        <v>10746</v>
      </c>
      <c r="AY819" s="87" t="str">
        <f>HYPERLINK("https://twitter.com/gusdinsurabaya")</f>
        <v>https://twitter.com/gusdinsurabaya</v>
      </c>
      <c r="AZ819" s="80" t="s">
        <v>66</v>
      </c>
      <c r="BA819" s="2"/>
      <c r="BB819" s="3"/>
      <c r="BC819" s="3"/>
      <c r="BD819" s="3"/>
      <c r="BE819" s="3"/>
    </row>
    <row r="820" spans="1:57" x14ac:dyDescent="0.35">
      <c r="A820" s="66" t="s">
        <v>1423</v>
      </c>
      <c r="B820" s="67"/>
      <c r="C820" s="67"/>
      <c r="D820" s="68"/>
      <c r="E820" s="70"/>
      <c r="F820" s="109" t="str">
        <f>HYPERLINK("https://pbs.twimg.com/profile_images/545379269/pic-54_normal.jpg")</f>
        <v>https://pbs.twimg.com/profile_images/545379269/pic-54_normal.jpg</v>
      </c>
      <c r="G820" s="67"/>
      <c r="H820" s="71"/>
      <c r="I820" s="72"/>
      <c r="J820" s="72"/>
      <c r="K820" s="71" t="s">
        <v>11563</v>
      </c>
      <c r="L820" s="75"/>
      <c r="M820" s="76"/>
      <c r="N820" s="76"/>
      <c r="O820" s="77"/>
      <c r="P820" s="78"/>
      <c r="Q820" s="78"/>
      <c r="R820" s="92"/>
      <c r="S820" s="92"/>
      <c r="T820" s="92"/>
      <c r="U820" s="92"/>
      <c r="V820" s="52"/>
      <c r="W820" s="52"/>
      <c r="X820" s="52"/>
      <c r="Y820" s="52"/>
      <c r="Z820" s="51"/>
      <c r="AA820" s="73"/>
      <c r="AB820" s="73"/>
      <c r="AC820" s="74"/>
      <c r="AD820" s="80" t="s">
        <v>7388</v>
      </c>
      <c r="AE820" s="85" t="s">
        <v>8566</v>
      </c>
      <c r="AF820" s="80">
        <v>12</v>
      </c>
      <c r="AG820" s="80">
        <v>5</v>
      </c>
      <c r="AH820" s="80">
        <v>0</v>
      </c>
      <c r="AI820" s="80">
        <v>0</v>
      </c>
      <c r="AJ820" s="80"/>
      <c r="AK820" s="80"/>
      <c r="AL820" s="80" t="s">
        <v>10134</v>
      </c>
      <c r="AM820" s="80"/>
      <c r="AN820" s="80"/>
      <c r="AO820" s="82">
        <v>39758.021909722222</v>
      </c>
      <c r="AP820" s="80"/>
      <c r="AQ820" s="80" t="b">
        <v>0</v>
      </c>
      <c r="AR820" s="80" t="b">
        <v>0</v>
      </c>
      <c r="AS820" s="80" t="b">
        <v>0</v>
      </c>
      <c r="AT820" s="80"/>
      <c r="AU820" s="80">
        <v>0</v>
      </c>
      <c r="AV820" s="87" t="str">
        <f>HYPERLINK("https://abs.twimg.com/images/themes/theme20/bg.png")</f>
        <v>https://abs.twimg.com/images/themes/theme20/bg.png</v>
      </c>
      <c r="AW820" s="80" t="b">
        <v>0</v>
      </c>
      <c r="AX820" s="80" t="s">
        <v>10746</v>
      </c>
      <c r="AY820" s="87" t="str">
        <f>HYPERLINK("https://twitter.com/batara")</f>
        <v>https://twitter.com/batara</v>
      </c>
      <c r="AZ820" s="80" t="s">
        <v>65</v>
      </c>
      <c r="BA820" s="2"/>
      <c r="BB820" s="3"/>
      <c r="BC820" s="3"/>
      <c r="BD820" s="3"/>
      <c r="BE820" s="3"/>
    </row>
    <row r="821" spans="1:57" x14ac:dyDescent="0.35">
      <c r="A821" s="66" t="s">
        <v>872</v>
      </c>
      <c r="B821" s="67"/>
      <c r="C821" s="67"/>
      <c r="D821" s="68"/>
      <c r="E821" s="70"/>
      <c r="F821" s="109" t="str">
        <f>HYPERLINK("https://pbs.twimg.com/profile_images/1428041610223255559/DIdD_ySb_normal.jpg")</f>
        <v>https://pbs.twimg.com/profile_images/1428041610223255559/DIdD_ySb_normal.jpg</v>
      </c>
      <c r="G821" s="67"/>
      <c r="H821" s="71"/>
      <c r="I821" s="72"/>
      <c r="J821" s="72"/>
      <c r="K821" s="71" t="s">
        <v>11564</v>
      </c>
      <c r="L821" s="75"/>
      <c r="M821" s="76"/>
      <c r="N821" s="76"/>
      <c r="O821" s="77"/>
      <c r="P821" s="78"/>
      <c r="Q821" s="78"/>
      <c r="R821" s="92"/>
      <c r="S821" s="92"/>
      <c r="T821" s="92"/>
      <c r="U821" s="92"/>
      <c r="V821" s="52"/>
      <c r="W821" s="52"/>
      <c r="X821" s="52"/>
      <c r="Y821" s="52"/>
      <c r="Z821" s="51"/>
      <c r="AA821" s="73"/>
      <c r="AB821" s="73"/>
      <c r="AC821" s="74"/>
      <c r="AD821" s="80" t="s">
        <v>7389</v>
      </c>
      <c r="AE821" s="85" t="s">
        <v>8567</v>
      </c>
      <c r="AF821" s="80">
        <v>891</v>
      </c>
      <c r="AG821" s="80">
        <v>963</v>
      </c>
      <c r="AH821" s="80">
        <v>38286</v>
      </c>
      <c r="AI821" s="80">
        <v>37787</v>
      </c>
      <c r="AJ821" s="80"/>
      <c r="AK821" s="80" t="s">
        <v>9688</v>
      </c>
      <c r="AL821" s="80" t="s">
        <v>10157</v>
      </c>
      <c r="AM821" s="80"/>
      <c r="AN821" s="80"/>
      <c r="AO821" s="82">
        <v>43716.510706018518</v>
      </c>
      <c r="AP821" s="87" t="str">
        <f>HYPERLINK("https://pbs.twimg.com/profile_banners/1170668533941850112/1627029905")</f>
        <v>https://pbs.twimg.com/profile_banners/1170668533941850112/1627029905</v>
      </c>
      <c r="AQ821" s="80" t="b">
        <v>1</v>
      </c>
      <c r="AR821" s="80" t="b">
        <v>0</v>
      </c>
      <c r="AS821" s="80" t="b">
        <v>0</v>
      </c>
      <c r="AT821" s="80"/>
      <c r="AU821" s="80">
        <v>3</v>
      </c>
      <c r="AV821" s="80"/>
      <c r="AW821" s="80" t="b">
        <v>0</v>
      </c>
      <c r="AX821" s="80" t="s">
        <v>10746</v>
      </c>
      <c r="AY821" s="87" t="str">
        <f>HYPERLINK("https://twitter.com/taehusna")</f>
        <v>https://twitter.com/taehusna</v>
      </c>
      <c r="AZ821" s="80" t="s">
        <v>66</v>
      </c>
      <c r="BA821" s="2"/>
      <c r="BB821" s="3"/>
      <c r="BC821" s="3"/>
      <c r="BD821" s="3"/>
      <c r="BE821" s="3"/>
    </row>
    <row r="822" spans="1:57" x14ac:dyDescent="0.35">
      <c r="A822" s="66" t="s">
        <v>873</v>
      </c>
      <c r="B822" s="67"/>
      <c r="C822" s="67"/>
      <c r="D822" s="68"/>
      <c r="E822" s="70"/>
      <c r="F822" s="109" t="str">
        <f>HYPERLINK("https://pbs.twimg.com/profile_images/1442695838648528899/tf1pAkoc_normal.jpg")</f>
        <v>https://pbs.twimg.com/profile_images/1442695838648528899/tf1pAkoc_normal.jpg</v>
      </c>
      <c r="G822" s="67"/>
      <c r="H822" s="71"/>
      <c r="I822" s="72"/>
      <c r="J822" s="72"/>
      <c r="K822" s="71" t="s">
        <v>11565</v>
      </c>
      <c r="L822" s="75"/>
      <c r="M822" s="76"/>
      <c r="N822" s="76"/>
      <c r="O822" s="77"/>
      <c r="P822" s="78"/>
      <c r="Q822" s="78"/>
      <c r="R822" s="92"/>
      <c r="S822" s="92"/>
      <c r="T822" s="92"/>
      <c r="U822" s="92"/>
      <c r="V822" s="52"/>
      <c r="W822" s="52"/>
      <c r="X822" s="52"/>
      <c r="Y822" s="52"/>
      <c r="Z822" s="51"/>
      <c r="AA822" s="73"/>
      <c r="AB822" s="73"/>
      <c r="AC822" s="74"/>
      <c r="AD822" s="80" t="s">
        <v>7390</v>
      </c>
      <c r="AE822" s="85" t="s">
        <v>8568</v>
      </c>
      <c r="AF822" s="80">
        <v>60</v>
      </c>
      <c r="AG822" s="80">
        <v>204</v>
      </c>
      <c r="AH822" s="80">
        <v>10151</v>
      </c>
      <c r="AI822" s="80">
        <v>41951</v>
      </c>
      <c r="AJ822" s="80"/>
      <c r="AK822" s="80"/>
      <c r="AL822" s="80" t="s">
        <v>10522</v>
      </c>
      <c r="AM822" s="80"/>
      <c r="AN822" s="80"/>
      <c r="AO822" s="82">
        <v>43199.459780092591</v>
      </c>
      <c r="AP822" s="87" t="str">
        <f>HYPERLINK("https://pbs.twimg.com/profile_banners/983299001721094144/1586330092")</f>
        <v>https://pbs.twimg.com/profile_banners/983299001721094144/1586330092</v>
      </c>
      <c r="AQ822" s="80" t="b">
        <v>1</v>
      </c>
      <c r="AR822" s="80" t="b">
        <v>0</v>
      </c>
      <c r="AS822" s="80" t="b">
        <v>1</v>
      </c>
      <c r="AT822" s="80"/>
      <c r="AU822" s="80">
        <v>0</v>
      </c>
      <c r="AV822" s="80"/>
      <c r="AW822" s="80" t="b">
        <v>0</v>
      </c>
      <c r="AX822" s="80" t="s">
        <v>10746</v>
      </c>
      <c r="AY822" s="87" t="str">
        <f>HYPERLINK("https://twitter.com/_chemog_")</f>
        <v>https://twitter.com/_chemog_</v>
      </c>
      <c r="AZ822" s="80" t="s">
        <v>66</v>
      </c>
      <c r="BA822" s="2"/>
      <c r="BB822" s="3"/>
      <c r="BC822" s="3"/>
      <c r="BD822" s="3"/>
      <c r="BE822" s="3"/>
    </row>
    <row r="823" spans="1:57" x14ac:dyDescent="0.35">
      <c r="A823" s="66" t="s">
        <v>1424</v>
      </c>
      <c r="B823" s="67"/>
      <c r="C823" s="67"/>
      <c r="D823" s="68"/>
      <c r="E823" s="70"/>
      <c r="F823" s="109" t="str">
        <f>HYPERLINK("https://pbs.twimg.com/profile_images/1303478895790813184/z0Q-g9dw_normal.jpg")</f>
        <v>https://pbs.twimg.com/profile_images/1303478895790813184/z0Q-g9dw_normal.jpg</v>
      </c>
      <c r="G823" s="67"/>
      <c r="H823" s="71"/>
      <c r="I823" s="72"/>
      <c r="J823" s="72"/>
      <c r="K823" s="71" t="s">
        <v>11566</v>
      </c>
      <c r="L823" s="75"/>
      <c r="M823" s="76"/>
      <c r="N823" s="76"/>
      <c r="O823" s="77"/>
      <c r="P823" s="78"/>
      <c r="Q823" s="78"/>
      <c r="R823" s="92"/>
      <c r="S823" s="92"/>
      <c r="T823" s="92"/>
      <c r="U823" s="92"/>
      <c r="V823" s="52"/>
      <c r="W823" s="52"/>
      <c r="X823" s="52"/>
      <c r="Y823" s="52"/>
      <c r="Z823" s="51"/>
      <c r="AA823" s="73"/>
      <c r="AB823" s="73"/>
      <c r="AC823" s="74"/>
      <c r="AD823" s="80" t="s">
        <v>7391</v>
      </c>
      <c r="AE823" s="85" t="s">
        <v>6364</v>
      </c>
      <c r="AF823" s="80">
        <v>489</v>
      </c>
      <c r="AG823" s="80">
        <v>17398</v>
      </c>
      <c r="AH823" s="80">
        <v>75379</v>
      </c>
      <c r="AI823" s="80">
        <v>111456</v>
      </c>
      <c r="AJ823" s="80"/>
      <c r="AK823" s="80" t="s">
        <v>9689</v>
      </c>
      <c r="AL823" s="80" t="s">
        <v>10147</v>
      </c>
      <c r="AM823" s="87" t="str">
        <f>HYPERLINK("https://t.co/neQyeudGrm")</f>
        <v>https://t.co/neQyeudGrm</v>
      </c>
      <c r="AN823" s="80"/>
      <c r="AO823" s="82">
        <v>41714.379143518519</v>
      </c>
      <c r="AP823" s="87" t="str">
        <f>HYPERLINK("https://pbs.twimg.com/profile_banners/2392389834/1601513308")</f>
        <v>https://pbs.twimg.com/profile_banners/2392389834/1601513308</v>
      </c>
      <c r="AQ823" s="80" t="b">
        <v>0</v>
      </c>
      <c r="AR823" s="80" t="b">
        <v>0</v>
      </c>
      <c r="AS823" s="80" t="b">
        <v>1</v>
      </c>
      <c r="AT823" s="80"/>
      <c r="AU823" s="80">
        <v>13</v>
      </c>
      <c r="AV823" s="87" t="str">
        <f>HYPERLINK("https://abs.twimg.com/images/themes/theme14/bg.gif")</f>
        <v>https://abs.twimg.com/images/themes/theme14/bg.gif</v>
      </c>
      <c r="AW823" s="80" t="b">
        <v>0</v>
      </c>
      <c r="AX823" s="80" t="s">
        <v>10746</v>
      </c>
      <c r="AY823" s="87" t="str">
        <f>HYPERLINK("https://twitter.com/mizanpilus_")</f>
        <v>https://twitter.com/mizanpilus_</v>
      </c>
      <c r="AZ823" s="80" t="s">
        <v>65</v>
      </c>
      <c r="BA823" s="2"/>
      <c r="BB823" s="3"/>
      <c r="BC823" s="3"/>
      <c r="BD823" s="3"/>
      <c r="BE823" s="3"/>
    </row>
    <row r="824" spans="1:57" x14ac:dyDescent="0.35">
      <c r="A824" s="66" t="s">
        <v>874</v>
      </c>
      <c r="B824" s="67"/>
      <c r="C824" s="67"/>
      <c r="D824" s="68"/>
      <c r="E824" s="70"/>
      <c r="F824" s="109" t="str">
        <f>HYPERLINK("https://pbs.twimg.com/profile_images/1442331272370540544/MFcw7J9w_normal.jpg")</f>
        <v>https://pbs.twimg.com/profile_images/1442331272370540544/MFcw7J9w_normal.jpg</v>
      </c>
      <c r="G824" s="67"/>
      <c r="H824" s="71"/>
      <c r="I824" s="72"/>
      <c r="J824" s="72"/>
      <c r="K824" s="71" t="s">
        <v>11567</v>
      </c>
      <c r="L824" s="75"/>
      <c r="M824" s="76"/>
      <c r="N824" s="76"/>
      <c r="O824" s="77"/>
      <c r="P824" s="78"/>
      <c r="Q824" s="78"/>
      <c r="R824" s="92"/>
      <c r="S824" s="92"/>
      <c r="T824" s="92"/>
      <c r="U824" s="92"/>
      <c r="V824" s="52"/>
      <c r="W824" s="52"/>
      <c r="X824" s="52"/>
      <c r="Y824" s="52"/>
      <c r="Z824" s="51"/>
      <c r="AA824" s="73"/>
      <c r="AB824" s="73"/>
      <c r="AC824" s="74"/>
      <c r="AD824" s="80" t="s">
        <v>7392</v>
      </c>
      <c r="AE824" s="85" t="s">
        <v>6365</v>
      </c>
      <c r="AF824" s="80">
        <v>514</v>
      </c>
      <c r="AG824" s="80">
        <v>530</v>
      </c>
      <c r="AH824" s="80">
        <v>15296</v>
      </c>
      <c r="AI824" s="80">
        <v>7920</v>
      </c>
      <c r="AJ824" s="80"/>
      <c r="AK824" s="80" t="s">
        <v>9690</v>
      </c>
      <c r="AL824" s="80" t="s">
        <v>10523</v>
      </c>
      <c r="AM824" s="80"/>
      <c r="AN824" s="80"/>
      <c r="AO824" s="82">
        <v>44361.585300925923</v>
      </c>
      <c r="AP824" s="87" t="str">
        <f>HYPERLINK("https://pbs.twimg.com/profile_banners/1404439108047368193/1631934820")</f>
        <v>https://pbs.twimg.com/profile_banners/1404439108047368193/1631934820</v>
      </c>
      <c r="AQ824" s="80" t="b">
        <v>1</v>
      </c>
      <c r="AR824" s="80" t="b">
        <v>0</v>
      </c>
      <c r="AS824" s="80" t="b">
        <v>1</v>
      </c>
      <c r="AT824" s="80"/>
      <c r="AU824" s="80">
        <v>1</v>
      </c>
      <c r="AV824" s="80"/>
      <c r="AW824" s="80" t="b">
        <v>0</v>
      </c>
      <c r="AX824" s="80" t="s">
        <v>10746</v>
      </c>
      <c r="AY824" s="87" t="str">
        <f>HYPERLINK("https://twitter.com/blueanchovy_")</f>
        <v>https://twitter.com/blueanchovy_</v>
      </c>
      <c r="AZ824" s="80" t="s">
        <v>66</v>
      </c>
      <c r="BA824" s="2"/>
      <c r="BB824" s="3"/>
      <c r="BC824" s="3"/>
      <c r="BD824" s="3"/>
      <c r="BE824" s="3"/>
    </row>
    <row r="825" spans="1:57" x14ac:dyDescent="0.35">
      <c r="A825" s="66" t="s">
        <v>1425</v>
      </c>
      <c r="B825" s="67"/>
      <c r="C825" s="67"/>
      <c r="D825" s="68"/>
      <c r="E825" s="70"/>
      <c r="F825" s="109" t="str">
        <f>HYPERLINK("https://pbs.twimg.com/profile_images/1442036175745605634/3Tp645d6_normal.jpg")</f>
        <v>https://pbs.twimg.com/profile_images/1442036175745605634/3Tp645d6_normal.jpg</v>
      </c>
      <c r="G825" s="67"/>
      <c r="H825" s="71"/>
      <c r="I825" s="72"/>
      <c r="J825" s="72"/>
      <c r="K825" s="71" t="s">
        <v>11568</v>
      </c>
      <c r="L825" s="75"/>
      <c r="M825" s="76"/>
      <c r="N825" s="76"/>
      <c r="O825" s="77"/>
      <c r="P825" s="78"/>
      <c r="Q825" s="78"/>
      <c r="R825" s="92"/>
      <c r="S825" s="92"/>
      <c r="T825" s="92"/>
      <c r="U825" s="92"/>
      <c r="V825" s="52"/>
      <c r="W825" s="52"/>
      <c r="X825" s="52"/>
      <c r="Y825" s="52"/>
      <c r="Z825" s="51"/>
      <c r="AA825" s="73"/>
      <c r="AB825" s="73"/>
      <c r="AC825" s="74"/>
      <c r="AD825" s="80" t="s">
        <v>7393</v>
      </c>
      <c r="AE825" s="85" t="s">
        <v>8569</v>
      </c>
      <c r="AF825" s="80">
        <v>533</v>
      </c>
      <c r="AG825" s="80">
        <v>377</v>
      </c>
      <c r="AH825" s="80">
        <v>20183</v>
      </c>
      <c r="AI825" s="80">
        <v>1336</v>
      </c>
      <c r="AJ825" s="80"/>
      <c r="AK825" s="80" t="s">
        <v>9691</v>
      </c>
      <c r="AL825" s="80"/>
      <c r="AM825" s="80"/>
      <c r="AN825" s="80"/>
      <c r="AO825" s="82">
        <v>43865.017256944448</v>
      </c>
      <c r="AP825" s="87" t="str">
        <f>HYPERLINK("https://pbs.twimg.com/profile_banners/1224488894084702208/1588851563")</f>
        <v>https://pbs.twimg.com/profile_banners/1224488894084702208/1588851563</v>
      </c>
      <c r="AQ825" s="80" t="b">
        <v>1</v>
      </c>
      <c r="AR825" s="80" t="b">
        <v>0</v>
      </c>
      <c r="AS825" s="80" t="b">
        <v>0</v>
      </c>
      <c r="AT825" s="80"/>
      <c r="AU825" s="80">
        <v>1</v>
      </c>
      <c r="AV825" s="80"/>
      <c r="AW825" s="80" t="b">
        <v>0</v>
      </c>
      <c r="AX825" s="80" t="s">
        <v>10746</v>
      </c>
      <c r="AY825" s="87" t="str">
        <f>HYPERLINK("https://twitter.com/masdonge")</f>
        <v>https://twitter.com/masdonge</v>
      </c>
      <c r="AZ825" s="80" t="s">
        <v>65</v>
      </c>
      <c r="BA825" s="2"/>
      <c r="BB825" s="3"/>
      <c r="BC825" s="3"/>
      <c r="BD825" s="3"/>
      <c r="BE825" s="3"/>
    </row>
    <row r="826" spans="1:57" x14ac:dyDescent="0.35">
      <c r="A826" s="66" t="s">
        <v>875</v>
      </c>
      <c r="B826" s="67"/>
      <c r="C826" s="67"/>
      <c r="D826" s="68"/>
      <c r="E826" s="70"/>
      <c r="F826" s="109" t="str">
        <f>HYPERLINK("https://pbs.twimg.com/profile_images/699968807624798210/e61p2OuF_normal.png")</f>
        <v>https://pbs.twimg.com/profile_images/699968807624798210/e61p2OuF_normal.png</v>
      </c>
      <c r="G826" s="67"/>
      <c r="H826" s="71"/>
      <c r="I826" s="72"/>
      <c r="J826" s="72"/>
      <c r="K826" s="71" t="s">
        <v>11569</v>
      </c>
      <c r="L826" s="75"/>
      <c r="M826" s="76"/>
      <c r="N826" s="76"/>
      <c r="O826" s="77"/>
      <c r="P826" s="78"/>
      <c r="Q826" s="78"/>
      <c r="R826" s="92"/>
      <c r="S826" s="92"/>
      <c r="T826" s="92"/>
      <c r="U826" s="92"/>
      <c r="V826" s="52"/>
      <c r="W826" s="52"/>
      <c r="X826" s="52"/>
      <c r="Y826" s="52"/>
      <c r="Z826" s="51"/>
      <c r="AA826" s="73"/>
      <c r="AB826" s="73"/>
      <c r="AC826" s="74"/>
      <c r="AD826" s="80" t="s">
        <v>7394</v>
      </c>
      <c r="AE826" s="85" t="s">
        <v>8570</v>
      </c>
      <c r="AF826" s="80">
        <v>8</v>
      </c>
      <c r="AG826" s="80">
        <v>1614</v>
      </c>
      <c r="AH826" s="80">
        <v>40243</v>
      </c>
      <c r="AI826" s="80">
        <v>0</v>
      </c>
      <c r="AJ826" s="80"/>
      <c r="AK826" s="80" t="s">
        <v>9692</v>
      </c>
      <c r="AL826" s="80" t="s">
        <v>10524</v>
      </c>
      <c r="AM826" s="87" t="str">
        <f>HYPERLINK("https://t.co/1MbxefPVbS")</f>
        <v>https://t.co/1MbxefPVbS</v>
      </c>
      <c r="AN826" s="80"/>
      <c r="AO826" s="82">
        <v>41968.484629629631</v>
      </c>
      <c r="AP826" s="87" t="str">
        <f>HYPERLINK("https://pbs.twimg.com/profile_banners/2909948138/1455721255")</f>
        <v>https://pbs.twimg.com/profile_banners/2909948138/1455721255</v>
      </c>
      <c r="AQ826" s="80" t="b">
        <v>0</v>
      </c>
      <c r="AR826" s="80" t="b">
        <v>0</v>
      </c>
      <c r="AS826" s="80" t="b">
        <v>0</v>
      </c>
      <c r="AT826" s="80"/>
      <c r="AU826" s="80">
        <v>1</v>
      </c>
      <c r="AV826" s="87" t="str">
        <f>HYPERLINK("https://abs.twimg.com/images/themes/theme4/bg.gif")</f>
        <v>https://abs.twimg.com/images/themes/theme4/bg.gif</v>
      </c>
      <c r="AW826" s="80" t="b">
        <v>0</v>
      </c>
      <c r="AX826" s="80" t="s">
        <v>10746</v>
      </c>
      <c r="AY826" s="87" t="str">
        <f>HYPERLINK("https://twitter.com/kendari_pos")</f>
        <v>https://twitter.com/kendari_pos</v>
      </c>
      <c r="AZ826" s="80" t="s">
        <v>66</v>
      </c>
      <c r="BA826" s="2"/>
      <c r="BB826" s="3"/>
      <c r="BC826" s="3"/>
      <c r="BD826" s="3"/>
      <c r="BE826" s="3"/>
    </row>
    <row r="827" spans="1:57" x14ac:dyDescent="0.35">
      <c r="A827" s="66" t="s">
        <v>876</v>
      </c>
      <c r="B827" s="67"/>
      <c r="C827" s="67"/>
      <c r="D827" s="68"/>
      <c r="E827" s="70"/>
      <c r="F827" s="109" t="str">
        <f>HYPERLINK("https://pbs.twimg.com/profile_images/1418026026379091972/zBLfCDhc_normal.jpg")</f>
        <v>https://pbs.twimg.com/profile_images/1418026026379091972/zBLfCDhc_normal.jpg</v>
      </c>
      <c r="G827" s="67"/>
      <c r="H827" s="71"/>
      <c r="I827" s="72"/>
      <c r="J827" s="72"/>
      <c r="K827" s="71" t="s">
        <v>11570</v>
      </c>
      <c r="L827" s="75"/>
      <c r="M827" s="76"/>
      <c r="N827" s="76"/>
      <c r="O827" s="77"/>
      <c r="P827" s="78"/>
      <c r="Q827" s="78"/>
      <c r="R827" s="92"/>
      <c r="S827" s="92"/>
      <c r="T827" s="92"/>
      <c r="U827" s="92"/>
      <c r="V827" s="52"/>
      <c r="W827" s="52"/>
      <c r="X827" s="52"/>
      <c r="Y827" s="52"/>
      <c r="Z827" s="51"/>
      <c r="AA827" s="73"/>
      <c r="AB827" s="73"/>
      <c r="AC827" s="74"/>
      <c r="AD827" s="80" t="s">
        <v>7395</v>
      </c>
      <c r="AE827" s="85" t="s">
        <v>8571</v>
      </c>
      <c r="AF827" s="80">
        <v>1396</v>
      </c>
      <c r="AG827" s="80">
        <v>1628</v>
      </c>
      <c r="AH827" s="80">
        <v>25630</v>
      </c>
      <c r="AI827" s="80">
        <v>56647</v>
      </c>
      <c r="AJ827" s="80"/>
      <c r="AK827" s="80" t="s">
        <v>9693</v>
      </c>
      <c r="AL827" s="80" t="s">
        <v>10525</v>
      </c>
      <c r="AM827" s="87" t="str">
        <f>HYPERLINK("https://t.co/ITyPUfOsog")</f>
        <v>https://t.co/ITyPUfOsog</v>
      </c>
      <c r="AN827" s="80"/>
      <c r="AO827" s="82">
        <v>43378.323368055557</v>
      </c>
      <c r="AP827" s="87" t="str">
        <f>HYPERLINK("https://pbs.twimg.com/profile_banners/1048116994644398080/1627960452")</f>
        <v>https://pbs.twimg.com/profile_banners/1048116994644398080/1627960452</v>
      </c>
      <c r="AQ827" s="80" t="b">
        <v>1</v>
      </c>
      <c r="AR827" s="80" t="b">
        <v>0</v>
      </c>
      <c r="AS827" s="80" t="b">
        <v>0</v>
      </c>
      <c r="AT827" s="80"/>
      <c r="AU827" s="80">
        <v>8</v>
      </c>
      <c r="AV827" s="80"/>
      <c r="AW827" s="80" t="b">
        <v>0</v>
      </c>
      <c r="AX827" s="80" t="s">
        <v>10746</v>
      </c>
      <c r="AY827" s="87" t="str">
        <f>HYPERLINK("https://twitter.com/jnoslatte")</f>
        <v>https://twitter.com/jnoslatte</v>
      </c>
      <c r="AZ827" s="80" t="s">
        <v>66</v>
      </c>
      <c r="BA827" s="2"/>
      <c r="BB827" s="3"/>
      <c r="BC827" s="3"/>
      <c r="BD827" s="3"/>
      <c r="BE827" s="3"/>
    </row>
    <row r="828" spans="1:57" x14ac:dyDescent="0.35">
      <c r="A828" s="66" t="s">
        <v>877</v>
      </c>
      <c r="B828" s="67"/>
      <c r="C828" s="67"/>
      <c r="D828" s="68"/>
      <c r="E828" s="70"/>
      <c r="F828" s="109" t="str">
        <f>HYPERLINK("https://pbs.twimg.com/profile_images/1428501378159157251/5N0eQaQ6_normal.jpg")</f>
        <v>https://pbs.twimg.com/profile_images/1428501378159157251/5N0eQaQ6_normal.jpg</v>
      </c>
      <c r="G828" s="67"/>
      <c r="H828" s="71"/>
      <c r="I828" s="72"/>
      <c r="J828" s="72"/>
      <c r="K828" s="71" t="s">
        <v>11571</v>
      </c>
      <c r="L828" s="75"/>
      <c r="M828" s="76"/>
      <c r="N828" s="76"/>
      <c r="O828" s="77"/>
      <c r="P828" s="78"/>
      <c r="Q828" s="78"/>
      <c r="R828" s="92"/>
      <c r="S828" s="92"/>
      <c r="T828" s="92"/>
      <c r="U828" s="92"/>
      <c r="V828" s="52"/>
      <c r="W828" s="52"/>
      <c r="X828" s="52"/>
      <c r="Y828" s="52"/>
      <c r="Z828" s="51"/>
      <c r="AA828" s="73"/>
      <c r="AB828" s="73"/>
      <c r="AC828" s="74"/>
      <c r="AD828" s="80" t="s">
        <v>7396</v>
      </c>
      <c r="AE828" s="85" t="s">
        <v>8572</v>
      </c>
      <c r="AF828" s="80">
        <v>2446</v>
      </c>
      <c r="AG828" s="80">
        <v>1325</v>
      </c>
      <c r="AH828" s="80">
        <v>9408</v>
      </c>
      <c r="AI828" s="80">
        <v>16015</v>
      </c>
      <c r="AJ828" s="80"/>
      <c r="AK828" s="80" t="s">
        <v>9694</v>
      </c>
      <c r="AL828" s="80" t="s">
        <v>10154</v>
      </c>
      <c r="AM828" s="80"/>
      <c r="AN828" s="80"/>
      <c r="AO828" s="82">
        <v>42744.407465277778</v>
      </c>
      <c r="AP828" s="87" t="str">
        <f>HYPERLINK("https://pbs.twimg.com/profile_banners/818393564774207488/1629416084")</f>
        <v>https://pbs.twimg.com/profile_banners/818393564774207488/1629416084</v>
      </c>
      <c r="AQ828" s="80" t="b">
        <v>0</v>
      </c>
      <c r="AR828" s="80" t="b">
        <v>0</v>
      </c>
      <c r="AS828" s="80" t="b">
        <v>0</v>
      </c>
      <c r="AT828" s="80"/>
      <c r="AU828" s="80">
        <v>0</v>
      </c>
      <c r="AV828" s="87" t="str">
        <f>HYPERLINK("https://abs.twimg.com/images/themes/theme1/bg.png")</f>
        <v>https://abs.twimg.com/images/themes/theme1/bg.png</v>
      </c>
      <c r="AW828" s="80" t="b">
        <v>0</v>
      </c>
      <c r="AX828" s="80" t="s">
        <v>10746</v>
      </c>
      <c r="AY828" s="87" t="str">
        <f>HYPERLINK("https://twitter.com/bunnykie")</f>
        <v>https://twitter.com/bunnykie</v>
      </c>
      <c r="AZ828" s="80" t="s">
        <v>66</v>
      </c>
      <c r="BA828" s="2"/>
      <c r="BB828" s="3"/>
      <c r="BC828" s="3"/>
      <c r="BD828" s="3"/>
      <c r="BE828" s="3"/>
    </row>
    <row r="829" spans="1:57" x14ac:dyDescent="0.35">
      <c r="A829" s="66" t="s">
        <v>878</v>
      </c>
      <c r="B829" s="67"/>
      <c r="C829" s="67"/>
      <c r="D829" s="68"/>
      <c r="E829" s="70"/>
      <c r="F829" s="109" t="str">
        <f>HYPERLINK("https://pbs.twimg.com/profile_images/1423412896076234755/1Gq4AX7A_normal.jpg")</f>
        <v>https://pbs.twimg.com/profile_images/1423412896076234755/1Gq4AX7A_normal.jpg</v>
      </c>
      <c r="G829" s="67"/>
      <c r="H829" s="71"/>
      <c r="I829" s="72"/>
      <c r="J829" s="72"/>
      <c r="K829" s="71" t="s">
        <v>11572</v>
      </c>
      <c r="L829" s="75"/>
      <c r="M829" s="76"/>
      <c r="N829" s="76"/>
      <c r="O829" s="77"/>
      <c r="P829" s="78"/>
      <c r="Q829" s="78"/>
      <c r="R829" s="92"/>
      <c r="S829" s="92"/>
      <c r="T829" s="92"/>
      <c r="U829" s="92"/>
      <c r="V829" s="52"/>
      <c r="W829" s="52"/>
      <c r="X829" s="52"/>
      <c r="Y829" s="52"/>
      <c r="Z829" s="51"/>
      <c r="AA829" s="73"/>
      <c r="AB829" s="73"/>
      <c r="AC829" s="74"/>
      <c r="AD829" s="80" t="s">
        <v>7397</v>
      </c>
      <c r="AE829" s="85" t="s">
        <v>8573</v>
      </c>
      <c r="AF829" s="80">
        <v>6</v>
      </c>
      <c r="AG829" s="80">
        <v>372</v>
      </c>
      <c r="AH829" s="80">
        <v>2399</v>
      </c>
      <c r="AI829" s="80">
        <v>1</v>
      </c>
      <c r="AJ829" s="80"/>
      <c r="AK829" s="80" t="s">
        <v>9695</v>
      </c>
      <c r="AL829" s="80" t="s">
        <v>10526</v>
      </c>
      <c r="AM829" s="87" t="str">
        <f>HYPERLINK("https://t.co/inytCkrCKS")</f>
        <v>https://t.co/inytCkrCKS</v>
      </c>
      <c r="AN829" s="80"/>
      <c r="AO829" s="82">
        <v>43825.653344907405</v>
      </c>
      <c r="AP829" s="87" t="str">
        <f>HYPERLINK("https://pbs.twimg.com/profile_banners/1210223888967163904/1607609258")</f>
        <v>https://pbs.twimg.com/profile_banners/1210223888967163904/1607609258</v>
      </c>
      <c r="AQ829" s="80" t="b">
        <v>1</v>
      </c>
      <c r="AR829" s="80" t="b">
        <v>0</v>
      </c>
      <c r="AS829" s="80" t="b">
        <v>0</v>
      </c>
      <c r="AT829" s="80"/>
      <c r="AU829" s="80">
        <v>0</v>
      </c>
      <c r="AV829" s="80"/>
      <c r="AW829" s="80" t="b">
        <v>0</v>
      </c>
      <c r="AX829" s="80" t="s">
        <v>10746</v>
      </c>
      <c r="AY829" s="87" t="str">
        <f>HYPERLINK("https://twitter.com/infolokerserang")</f>
        <v>https://twitter.com/infolokerserang</v>
      </c>
      <c r="AZ829" s="80" t="s">
        <v>66</v>
      </c>
      <c r="BA829" s="2"/>
      <c r="BB829" s="3"/>
      <c r="BC829" s="3"/>
      <c r="BD829" s="3"/>
      <c r="BE829" s="3"/>
    </row>
    <row r="830" spans="1:57" x14ac:dyDescent="0.35">
      <c r="A830" s="66" t="s">
        <v>879</v>
      </c>
      <c r="B830" s="67"/>
      <c r="C830" s="67"/>
      <c r="D830" s="68"/>
      <c r="E830" s="70"/>
      <c r="F830" s="109" t="str">
        <f>HYPERLINK("https://pbs.twimg.com/profile_images/1440954836866895882/0vCsyfu3_normal.jpg")</f>
        <v>https://pbs.twimg.com/profile_images/1440954836866895882/0vCsyfu3_normal.jpg</v>
      </c>
      <c r="G830" s="67"/>
      <c r="H830" s="71"/>
      <c r="I830" s="72"/>
      <c r="J830" s="72"/>
      <c r="K830" s="71" t="s">
        <v>11573</v>
      </c>
      <c r="L830" s="75"/>
      <c r="M830" s="76"/>
      <c r="N830" s="76"/>
      <c r="O830" s="77"/>
      <c r="P830" s="78"/>
      <c r="Q830" s="78"/>
      <c r="R830" s="92"/>
      <c r="S830" s="92"/>
      <c r="T830" s="92"/>
      <c r="U830" s="92"/>
      <c r="V830" s="52"/>
      <c r="W830" s="52"/>
      <c r="X830" s="52"/>
      <c r="Y830" s="52"/>
      <c r="Z830" s="51"/>
      <c r="AA830" s="73"/>
      <c r="AB830" s="73"/>
      <c r="AC830" s="74"/>
      <c r="AD830" s="80" t="s">
        <v>7398</v>
      </c>
      <c r="AE830" s="85" t="s">
        <v>8574</v>
      </c>
      <c r="AF830" s="80">
        <v>260</v>
      </c>
      <c r="AG830" s="80">
        <v>647</v>
      </c>
      <c r="AH830" s="80">
        <v>36074</v>
      </c>
      <c r="AI830" s="80">
        <v>7478</v>
      </c>
      <c r="AJ830" s="80"/>
      <c r="AK830" s="80" t="s">
        <v>9696</v>
      </c>
      <c r="AL830" s="80"/>
      <c r="AM830" s="87" t="str">
        <f>HYPERLINK("https://t.co/FUtDkNUMuS")</f>
        <v>https://t.co/FUtDkNUMuS</v>
      </c>
      <c r="AN830" s="80"/>
      <c r="AO830" s="82">
        <v>42664.213946759257</v>
      </c>
      <c r="AP830" s="87" t="str">
        <f>HYPERLINK("https://pbs.twimg.com/profile_banners/789332407518232580/1632217284")</f>
        <v>https://pbs.twimg.com/profile_banners/789332407518232580/1632217284</v>
      </c>
      <c r="AQ830" s="80" t="b">
        <v>1</v>
      </c>
      <c r="AR830" s="80" t="b">
        <v>0</v>
      </c>
      <c r="AS830" s="80" t="b">
        <v>1</v>
      </c>
      <c r="AT830" s="80"/>
      <c r="AU830" s="80">
        <v>0</v>
      </c>
      <c r="AV830" s="80"/>
      <c r="AW830" s="80" t="b">
        <v>0</v>
      </c>
      <c r="AX830" s="80" t="s">
        <v>10746</v>
      </c>
      <c r="AY830" s="87" t="str">
        <f>HYPERLINK("https://twitter.com/dinotaete")</f>
        <v>https://twitter.com/dinotaete</v>
      </c>
      <c r="AZ830" s="80" t="s">
        <v>66</v>
      </c>
      <c r="BA830" s="2"/>
      <c r="BB830" s="3"/>
      <c r="BC830" s="3"/>
      <c r="BD830" s="3"/>
      <c r="BE830" s="3"/>
    </row>
    <row r="831" spans="1:57" x14ac:dyDescent="0.35">
      <c r="A831" s="66" t="s">
        <v>880</v>
      </c>
      <c r="B831" s="67"/>
      <c r="C831" s="67"/>
      <c r="D831" s="68"/>
      <c r="E831" s="70"/>
      <c r="F831" s="109" t="str">
        <f>HYPERLINK("https://pbs.twimg.com/profile_images/1383062714147168260/GcZi_a5I_normal.jpg")</f>
        <v>https://pbs.twimg.com/profile_images/1383062714147168260/GcZi_a5I_normal.jpg</v>
      </c>
      <c r="G831" s="67"/>
      <c r="H831" s="71"/>
      <c r="I831" s="72"/>
      <c r="J831" s="72"/>
      <c r="K831" s="71" t="s">
        <v>11574</v>
      </c>
      <c r="L831" s="75"/>
      <c r="M831" s="76"/>
      <c r="N831" s="76"/>
      <c r="O831" s="77"/>
      <c r="P831" s="78"/>
      <c r="Q831" s="78"/>
      <c r="R831" s="92"/>
      <c r="S831" s="92"/>
      <c r="T831" s="92"/>
      <c r="U831" s="92"/>
      <c r="V831" s="52"/>
      <c r="W831" s="52"/>
      <c r="X831" s="52"/>
      <c r="Y831" s="52"/>
      <c r="Z831" s="51"/>
      <c r="AA831" s="73"/>
      <c r="AB831" s="73"/>
      <c r="AC831" s="74"/>
      <c r="AD831" s="80" t="s">
        <v>7399</v>
      </c>
      <c r="AE831" s="85" t="s">
        <v>6366</v>
      </c>
      <c r="AF831" s="80">
        <v>77</v>
      </c>
      <c r="AG831" s="80">
        <v>466</v>
      </c>
      <c r="AH831" s="80">
        <v>4972</v>
      </c>
      <c r="AI831" s="80">
        <v>2351</v>
      </c>
      <c r="AJ831" s="80"/>
      <c r="AK831" s="80" t="s">
        <v>9697</v>
      </c>
      <c r="AL831" s="80" t="s">
        <v>6543</v>
      </c>
      <c r="AM831" s="87" t="str">
        <f>HYPERLINK("https://t.co/WwcDh3uiZq")</f>
        <v>https://t.co/WwcDh3uiZq</v>
      </c>
      <c r="AN831" s="80"/>
      <c r="AO831" s="82">
        <v>44229.695324074077</v>
      </c>
      <c r="AP831" s="87" t="str">
        <f>HYPERLINK("https://pbs.twimg.com/profile_banners/1356643789876588547/1624154116")</f>
        <v>https://pbs.twimg.com/profile_banners/1356643789876588547/1624154116</v>
      </c>
      <c r="AQ831" s="80" t="b">
        <v>1</v>
      </c>
      <c r="AR831" s="80" t="b">
        <v>0</v>
      </c>
      <c r="AS831" s="80" t="b">
        <v>0</v>
      </c>
      <c r="AT831" s="80"/>
      <c r="AU831" s="80">
        <v>10</v>
      </c>
      <c r="AV831" s="80"/>
      <c r="AW831" s="80" t="b">
        <v>0</v>
      </c>
      <c r="AX831" s="80" t="s">
        <v>10746</v>
      </c>
      <c r="AY831" s="87" t="str">
        <f>HYPERLINK("https://twitter.com/drp_supportina")</f>
        <v>https://twitter.com/drp_supportina</v>
      </c>
      <c r="AZ831" s="80" t="s">
        <v>66</v>
      </c>
      <c r="BA831" s="2"/>
      <c r="BB831" s="3"/>
      <c r="BC831" s="3"/>
      <c r="BD831" s="3"/>
      <c r="BE831" s="3"/>
    </row>
    <row r="832" spans="1:57" x14ac:dyDescent="0.35">
      <c r="A832" s="66" t="s">
        <v>881</v>
      </c>
      <c r="B832" s="67"/>
      <c r="C832" s="67"/>
      <c r="D832" s="68"/>
      <c r="E832" s="70"/>
      <c r="F832" s="109" t="str">
        <f>HYPERLINK("https://pbs.twimg.com/profile_images/1442119099358740486/YwxUpdaf_normal.jpg")</f>
        <v>https://pbs.twimg.com/profile_images/1442119099358740486/YwxUpdaf_normal.jpg</v>
      </c>
      <c r="G832" s="67"/>
      <c r="H832" s="71"/>
      <c r="I832" s="72"/>
      <c r="J832" s="72"/>
      <c r="K832" s="71" t="s">
        <v>11575</v>
      </c>
      <c r="L832" s="75"/>
      <c r="M832" s="76"/>
      <c r="N832" s="76"/>
      <c r="O832" s="77"/>
      <c r="P832" s="78"/>
      <c r="Q832" s="78"/>
      <c r="R832" s="92"/>
      <c r="S832" s="92"/>
      <c r="T832" s="92"/>
      <c r="U832" s="92"/>
      <c r="V832" s="52"/>
      <c r="W832" s="52"/>
      <c r="X832" s="52"/>
      <c r="Y832" s="52"/>
      <c r="Z832" s="51"/>
      <c r="AA832" s="73"/>
      <c r="AB832" s="73"/>
      <c r="AC832" s="74"/>
      <c r="AD832" s="80" t="s">
        <v>7400</v>
      </c>
      <c r="AE832" s="85" t="s">
        <v>8575</v>
      </c>
      <c r="AF832" s="80">
        <v>754</v>
      </c>
      <c r="AG832" s="80">
        <v>830</v>
      </c>
      <c r="AH832" s="80">
        <v>44778</v>
      </c>
      <c r="AI832" s="80">
        <v>39908</v>
      </c>
      <c r="AJ832" s="80"/>
      <c r="AK832" s="80" t="s">
        <v>9698</v>
      </c>
      <c r="AL832" s="80" t="s">
        <v>10527</v>
      </c>
      <c r="AM832" s="87" t="str">
        <f>HYPERLINK("https://t.co/NCQHoAZ3NE")</f>
        <v>https://t.co/NCQHoAZ3NE</v>
      </c>
      <c r="AN832" s="80"/>
      <c r="AO832" s="82">
        <v>43949.265416666669</v>
      </c>
      <c r="AP832" s="87" t="str">
        <f>HYPERLINK("https://pbs.twimg.com/profile_banners/1255019353382125569/1632660338")</f>
        <v>https://pbs.twimg.com/profile_banners/1255019353382125569/1632660338</v>
      </c>
      <c r="AQ832" s="80" t="b">
        <v>1</v>
      </c>
      <c r="AR832" s="80" t="b">
        <v>0</v>
      </c>
      <c r="AS832" s="80" t="b">
        <v>0</v>
      </c>
      <c r="AT832" s="80"/>
      <c r="AU832" s="80">
        <v>15</v>
      </c>
      <c r="AV832" s="80"/>
      <c r="AW832" s="80" t="b">
        <v>0</v>
      </c>
      <c r="AX832" s="80" t="s">
        <v>10746</v>
      </c>
      <c r="AY832" s="87" t="str">
        <f>HYPERLINK("https://twitter.com/vantaesfm")</f>
        <v>https://twitter.com/vantaesfm</v>
      </c>
      <c r="AZ832" s="80" t="s">
        <v>66</v>
      </c>
      <c r="BA832" s="2"/>
      <c r="BB832" s="3"/>
      <c r="BC832" s="3"/>
      <c r="BD832" s="3"/>
      <c r="BE832" s="3"/>
    </row>
    <row r="833" spans="1:57" x14ac:dyDescent="0.35">
      <c r="A833" s="66" t="s">
        <v>882</v>
      </c>
      <c r="B833" s="67"/>
      <c r="C833" s="67"/>
      <c r="D833" s="68"/>
      <c r="E833" s="70"/>
      <c r="F833" s="109" t="str">
        <f>HYPERLINK("https://pbs.twimg.com/profile_images/1437782038384455692/8qSOeZSe_normal.jpg")</f>
        <v>https://pbs.twimg.com/profile_images/1437782038384455692/8qSOeZSe_normal.jpg</v>
      </c>
      <c r="G833" s="67"/>
      <c r="H833" s="71"/>
      <c r="I833" s="72"/>
      <c r="J833" s="72"/>
      <c r="K833" s="71" t="s">
        <v>11576</v>
      </c>
      <c r="L833" s="75"/>
      <c r="M833" s="76"/>
      <c r="N833" s="76"/>
      <c r="O833" s="77"/>
      <c r="P833" s="78"/>
      <c r="Q833" s="78"/>
      <c r="R833" s="92"/>
      <c r="S833" s="92"/>
      <c r="T833" s="92"/>
      <c r="U833" s="92"/>
      <c r="V833" s="52"/>
      <c r="W833" s="52"/>
      <c r="X833" s="52"/>
      <c r="Y833" s="52"/>
      <c r="Z833" s="51"/>
      <c r="AA833" s="73"/>
      <c r="AB833" s="73"/>
      <c r="AC833" s="74"/>
      <c r="AD833" s="80" t="s">
        <v>7401</v>
      </c>
      <c r="AE833" s="85" t="s">
        <v>8576</v>
      </c>
      <c r="AF833" s="80">
        <v>808</v>
      </c>
      <c r="AG833" s="80">
        <v>800</v>
      </c>
      <c r="AH833" s="80">
        <v>58157</v>
      </c>
      <c r="AI833" s="80">
        <v>86218</v>
      </c>
      <c r="AJ833" s="80"/>
      <c r="AK833" s="80" t="s">
        <v>9699</v>
      </c>
      <c r="AL833" s="80" t="s">
        <v>10157</v>
      </c>
      <c r="AM833" s="87" t="str">
        <f>HYPERLINK("https://t.co/O49mV3OFyx")</f>
        <v>https://t.co/O49mV3OFyx</v>
      </c>
      <c r="AN833" s="80"/>
      <c r="AO833" s="82">
        <v>43351.61136574074</v>
      </c>
      <c r="AP833" s="87" t="str">
        <f>HYPERLINK("https://pbs.twimg.com/profile_banners/1038436890628612096/1631460346")</f>
        <v>https://pbs.twimg.com/profile_banners/1038436890628612096/1631460346</v>
      </c>
      <c r="AQ833" s="80" t="b">
        <v>1</v>
      </c>
      <c r="AR833" s="80" t="b">
        <v>0</v>
      </c>
      <c r="AS833" s="80" t="b">
        <v>0</v>
      </c>
      <c r="AT833" s="80"/>
      <c r="AU833" s="80">
        <v>7</v>
      </c>
      <c r="AV833" s="80"/>
      <c r="AW833" s="80" t="b">
        <v>0</v>
      </c>
      <c r="AX833" s="80" t="s">
        <v>10746</v>
      </c>
      <c r="AY833" s="87" t="str">
        <f>HYPERLINK("https://twitter.com/glitterzkoo")</f>
        <v>https://twitter.com/glitterzkoo</v>
      </c>
      <c r="AZ833" s="80" t="s">
        <v>66</v>
      </c>
      <c r="BA833" s="2"/>
      <c r="BB833" s="3"/>
      <c r="BC833" s="3"/>
      <c r="BD833" s="3"/>
      <c r="BE833" s="3"/>
    </row>
    <row r="834" spans="1:57" x14ac:dyDescent="0.35">
      <c r="A834" s="66" t="s">
        <v>883</v>
      </c>
      <c r="B834" s="67"/>
      <c r="C834" s="67"/>
      <c r="D834" s="68"/>
      <c r="E834" s="70"/>
      <c r="F834" s="109" t="str">
        <f>HYPERLINK("https://pbs.twimg.com/profile_images/1441023855028359173/YobrKGw4_normal.jpg")</f>
        <v>https://pbs.twimg.com/profile_images/1441023855028359173/YobrKGw4_normal.jpg</v>
      </c>
      <c r="G834" s="67"/>
      <c r="H834" s="71"/>
      <c r="I834" s="72"/>
      <c r="J834" s="72"/>
      <c r="K834" s="71" t="s">
        <v>11577</v>
      </c>
      <c r="L834" s="75"/>
      <c r="M834" s="76"/>
      <c r="N834" s="76"/>
      <c r="O834" s="77"/>
      <c r="P834" s="78"/>
      <c r="Q834" s="78"/>
      <c r="R834" s="92"/>
      <c r="S834" s="92"/>
      <c r="T834" s="92"/>
      <c r="U834" s="92"/>
      <c r="V834" s="52"/>
      <c r="W834" s="52"/>
      <c r="X834" s="52"/>
      <c r="Y834" s="52"/>
      <c r="Z834" s="51"/>
      <c r="AA834" s="73"/>
      <c r="AB834" s="73"/>
      <c r="AC834" s="74"/>
      <c r="AD834" s="80" t="s">
        <v>7402</v>
      </c>
      <c r="AE834" s="85" t="s">
        <v>8577</v>
      </c>
      <c r="AF834" s="80">
        <v>6068</v>
      </c>
      <c r="AG834" s="80">
        <v>12010</v>
      </c>
      <c r="AH834" s="80">
        <v>121534</v>
      </c>
      <c r="AI834" s="80">
        <v>17173</v>
      </c>
      <c r="AJ834" s="80"/>
      <c r="AK834" s="80" t="s">
        <v>9700</v>
      </c>
      <c r="AL834" s="80" t="s">
        <v>10528</v>
      </c>
      <c r="AM834" s="80"/>
      <c r="AN834" s="80"/>
      <c r="AO834" s="82">
        <v>41675.527627314812</v>
      </c>
      <c r="AP834" s="87" t="str">
        <f>HYPERLINK("https://pbs.twimg.com/profile_banners/2328732079/1632401808")</f>
        <v>https://pbs.twimg.com/profile_banners/2328732079/1632401808</v>
      </c>
      <c r="AQ834" s="80" t="b">
        <v>0</v>
      </c>
      <c r="AR834" s="80" t="b">
        <v>0</v>
      </c>
      <c r="AS834" s="80" t="b">
        <v>1</v>
      </c>
      <c r="AT834" s="80"/>
      <c r="AU834" s="80">
        <v>20</v>
      </c>
      <c r="AV834" s="87" t="str">
        <f>HYPERLINK("https://abs.twimg.com/images/themes/theme1/bg.png")</f>
        <v>https://abs.twimg.com/images/themes/theme1/bg.png</v>
      </c>
      <c r="AW834" s="80" t="b">
        <v>0</v>
      </c>
      <c r="AX834" s="80" t="s">
        <v>10746</v>
      </c>
      <c r="AY834" s="87" t="str">
        <f>HYPERLINK("https://twitter.com/jamaisvuphoria")</f>
        <v>https://twitter.com/jamaisvuphoria</v>
      </c>
      <c r="AZ834" s="80" t="s">
        <v>66</v>
      </c>
      <c r="BA834" s="2"/>
      <c r="BB834" s="3"/>
      <c r="BC834" s="3"/>
      <c r="BD834" s="3"/>
      <c r="BE834" s="3"/>
    </row>
    <row r="835" spans="1:57" x14ac:dyDescent="0.35">
      <c r="A835" s="66" t="s">
        <v>1426</v>
      </c>
      <c r="B835" s="67"/>
      <c r="C835" s="67"/>
      <c r="D835" s="68"/>
      <c r="E835" s="70"/>
      <c r="F835" s="109" t="str">
        <f>HYPERLINK("https://pbs.twimg.com/profile_images/1436993754234122242/tW3f5WNy_normal.jpg")</f>
        <v>https://pbs.twimg.com/profile_images/1436993754234122242/tW3f5WNy_normal.jpg</v>
      </c>
      <c r="G835" s="67"/>
      <c r="H835" s="71"/>
      <c r="I835" s="72"/>
      <c r="J835" s="72"/>
      <c r="K835" s="71" t="s">
        <v>11578</v>
      </c>
      <c r="L835" s="75"/>
      <c r="M835" s="76"/>
      <c r="N835" s="76"/>
      <c r="O835" s="77"/>
      <c r="P835" s="78"/>
      <c r="Q835" s="78"/>
      <c r="R835" s="92"/>
      <c r="S835" s="92"/>
      <c r="T835" s="92"/>
      <c r="U835" s="92"/>
      <c r="V835" s="52"/>
      <c r="W835" s="52"/>
      <c r="X835" s="52"/>
      <c r="Y835" s="52"/>
      <c r="Z835" s="51"/>
      <c r="AA835" s="73"/>
      <c r="AB835" s="73"/>
      <c r="AC835" s="74"/>
      <c r="AD835" s="80" t="s">
        <v>7403</v>
      </c>
      <c r="AE835" s="85" t="s">
        <v>6367</v>
      </c>
      <c r="AF835" s="80">
        <v>2464</v>
      </c>
      <c r="AG835" s="80">
        <v>2522</v>
      </c>
      <c r="AH835" s="80">
        <v>87234</v>
      </c>
      <c r="AI835" s="80">
        <v>47010</v>
      </c>
      <c r="AJ835" s="80"/>
      <c r="AK835" s="80" t="s">
        <v>9701</v>
      </c>
      <c r="AL835" s="80" t="s">
        <v>10157</v>
      </c>
      <c r="AM835" s="80"/>
      <c r="AN835" s="80"/>
      <c r="AO835" s="82">
        <v>43570.579606481479</v>
      </c>
      <c r="AP835" s="87" t="str">
        <f>HYPERLINK("https://pbs.twimg.com/profile_banners/1117788322372263938/1631440975")</f>
        <v>https://pbs.twimg.com/profile_banners/1117788322372263938/1631440975</v>
      </c>
      <c r="AQ835" s="80" t="b">
        <v>1</v>
      </c>
      <c r="AR835" s="80" t="b">
        <v>0</v>
      </c>
      <c r="AS835" s="80" t="b">
        <v>0</v>
      </c>
      <c r="AT835" s="80"/>
      <c r="AU835" s="80">
        <v>34</v>
      </c>
      <c r="AV835" s="80"/>
      <c r="AW835" s="80" t="b">
        <v>0</v>
      </c>
      <c r="AX835" s="80" t="s">
        <v>10746</v>
      </c>
      <c r="AY835" s="87" t="str">
        <f>HYPERLINK("https://twitter.com/milktypjm")</f>
        <v>https://twitter.com/milktypjm</v>
      </c>
      <c r="AZ835" s="80" t="s">
        <v>65</v>
      </c>
      <c r="BA835" s="2"/>
      <c r="BB835" s="3"/>
      <c r="BC835" s="3"/>
      <c r="BD835" s="3"/>
      <c r="BE835" s="3"/>
    </row>
    <row r="836" spans="1:57" x14ac:dyDescent="0.35">
      <c r="A836" s="66" t="s">
        <v>884</v>
      </c>
      <c r="B836" s="67"/>
      <c r="C836" s="67"/>
      <c r="D836" s="68"/>
      <c r="E836" s="70"/>
      <c r="F836" s="109" t="str">
        <f>HYPERLINK("https://pbs.twimg.com/profile_images/1014738295408902144/a74g9AXR_normal.jpg")</f>
        <v>https://pbs.twimg.com/profile_images/1014738295408902144/a74g9AXR_normal.jpg</v>
      </c>
      <c r="G836" s="67"/>
      <c r="H836" s="71"/>
      <c r="I836" s="72"/>
      <c r="J836" s="72"/>
      <c r="K836" s="71" t="s">
        <v>11579</v>
      </c>
      <c r="L836" s="75"/>
      <c r="M836" s="76"/>
      <c r="N836" s="76"/>
      <c r="O836" s="77"/>
      <c r="P836" s="78"/>
      <c r="Q836" s="78"/>
      <c r="R836" s="92"/>
      <c r="S836" s="92"/>
      <c r="T836" s="92"/>
      <c r="U836" s="92"/>
      <c r="V836" s="52"/>
      <c r="W836" s="52"/>
      <c r="X836" s="52"/>
      <c r="Y836" s="52"/>
      <c r="Z836" s="51"/>
      <c r="AA836" s="73"/>
      <c r="AB836" s="73"/>
      <c r="AC836" s="74"/>
      <c r="AD836" s="80" t="s">
        <v>7404</v>
      </c>
      <c r="AE836" s="85" t="s">
        <v>8578</v>
      </c>
      <c r="AF836" s="80">
        <v>46</v>
      </c>
      <c r="AG836" s="80">
        <v>3093</v>
      </c>
      <c r="AH836" s="80">
        <v>18423</v>
      </c>
      <c r="AI836" s="80">
        <v>4</v>
      </c>
      <c r="AJ836" s="80"/>
      <c r="AK836" s="80"/>
      <c r="AL836" s="80" t="s">
        <v>10380</v>
      </c>
      <c r="AM836" s="87" t="str">
        <f>HYPERLINK("https://t.co/0fOuDOXdWp")</f>
        <v>https://t.co/0fOuDOXdWp</v>
      </c>
      <c r="AN836" s="80"/>
      <c r="AO836" s="82">
        <v>41676.41878472222</v>
      </c>
      <c r="AP836" s="87" t="str">
        <f>HYPERLINK("https://pbs.twimg.com/profile_banners/2330054186/1530767483")</f>
        <v>https://pbs.twimg.com/profile_banners/2330054186/1530767483</v>
      </c>
      <c r="AQ836" s="80" t="b">
        <v>0</v>
      </c>
      <c r="AR836" s="80" t="b">
        <v>0</v>
      </c>
      <c r="AS836" s="80" t="b">
        <v>0</v>
      </c>
      <c r="AT836" s="80"/>
      <c r="AU836" s="80">
        <v>1</v>
      </c>
      <c r="AV836" s="87" t="str">
        <f>HYPERLINK("https://abs.twimg.com/images/themes/theme1/bg.png")</f>
        <v>https://abs.twimg.com/images/themes/theme1/bg.png</v>
      </c>
      <c r="AW836" s="80" t="b">
        <v>0</v>
      </c>
      <c r="AX836" s="80" t="s">
        <v>10746</v>
      </c>
      <c r="AY836" s="87" t="str">
        <f>HYPERLINK("https://twitter.com/depok_pos")</f>
        <v>https://twitter.com/depok_pos</v>
      </c>
      <c r="AZ836" s="80" t="s">
        <v>66</v>
      </c>
      <c r="BA836" s="2"/>
      <c r="BB836" s="3"/>
      <c r="BC836" s="3"/>
      <c r="BD836" s="3"/>
      <c r="BE836" s="3"/>
    </row>
    <row r="837" spans="1:57" x14ac:dyDescent="0.35">
      <c r="A837" s="66" t="s">
        <v>885</v>
      </c>
      <c r="B837" s="67"/>
      <c r="C837" s="67"/>
      <c r="D837" s="68"/>
      <c r="E837" s="70"/>
      <c r="F837" s="109" t="str">
        <f>HYPERLINK("https://pbs.twimg.com/profile_images/1440242262101803019/CucQtg-J_normal.jpg")</f>
        <v>https://pbs.twimg.com/profile_images/1440242262101803019/CucQtg-J_normal.jpg</v>
      </c>
      <c r="G837" s="67"/>
      <c r="H837" s="71"/>
      <c r="I837" s="72"/>
      <c r="J837" s="72"/>
      <c r="K837" s="71" t="s">
        <v>11580</v>
      </c>
      <c r="L837" s="75"/>
      <c r="M837" s="76"/>
      <c r="N837" s="76"/>
      <c r="O837" s="77"/>
      <c r="P837" s="78"/>
      <c r="Q837" s="78"/>
      <c r="R837" s="92"/>
      <c r="S837" s="92"/>
      <c r="T837" s="92"/>
      <c r="U837" s="92"/>
      <c r="V837" s="52"/>
      <c r="W837" s="52"/>
      <c r="X837" s="52"/>
      <c r="Y837" s="52"/>
      <c r="Z837" s="51"/>
      <c r="AA837" s="73"/>
      <c r="AB837" s="73"/>
      <c r="AC837" s="74"/>
      <c r="AD837" s="80" t="s">
        <v>7405</v>
      </c>
      <c r="AE837" s="85" t="s">
        <v>8579</v>
      </c>
      <c r="AF837" s="80">
        <v>276</v>
      </c>
      <c r="AG837" s="80">
        <v>350</v>
      </c>
      <c r="AH837" s="80">
        <v>15960</v>
      </c>
      <c r="AI837" s="80">
        <v>4016</v>
      </c>
      <c r="AJ837" s="80"/>
      <c r="AK837" s="80" t="s">
        <v>9702</v>
      </c>
      <c r="AL837" s="80"/>
      <c r="AM837" s="80"/>
      <c r="AN837" s="80"/>
      <c r="AO837" s="82">
        <v>43896.543356481481</v>
      </c>
      <c r="AP837" s="87" t="str">
        <f>HYPERLINK("https://pbs.twimg.com/profile_banners/1235913449781133313/1620308244")</f>
        <v>https://pbs.twimg.com/profile_banners/1235913449781133313/1620308244</v>
      </c>
      <c r="AQ837" s="80" t="b">
        <v>1</v>
      </c>
      <c r="AR837" s="80" t="b">
        <v>0</v>
      </c>
      <c r="AS837" s="80" t="b">
        <v>1</v>
      </c>
      <c r="AT837" s="80"/>
      <c r="AU837" s="80">
        <v>0</v>
      </c>
      <c r="AV837" s="80"/>
      <c r="AW837" s="80" t="b">
        <v>0</v>
      </c>
      <c r="AX837" s="80" t="s">
        <v>10746</v>
      </c>
      <c r="AY837" s="87" t="str">
        <f>HYPERLINK("https://twitter.com/lunarwolfj")</f>
        <v>https://twitter.com/lunarwolfj</v>
      </c>
      <c r="AZ837" s="80" t="s">
        <v>66</v>
      </c>
      <c r="BA837" s="2"/>
      <c r="BB837" s="3"/>
      <c r="BC837" s="3"/>
      <c r="BD837" s="3"/>
      <c r="BE837" s="3"/>
    </row>
    <row r="838" spans="1:57" x14ac:dyDescent="0.35">
      <c r="A838" s="66" t="s">
        <v>886</v>
      </c>
      <c r="B838" s="67"/>
      <c r="C838" s="67"/>
      <c r="D838" s="68"/>
      <c r="E838" s="70"/>
      <c r="F838" s="109" t="str">
        <f>HYPERLINK("https://pbs.twimg.com/profile_images/1442162661530091520/Z8lyG_SE_normal.jpg")</f>
        <v>https://pbs.twimg.com/profile_images/1442162661530091520/Z8lyG_SE_normal.jpg</v>
      </c>
      <c r="G838" s="67"/>
      <c r="H838" s="71"/>
      <c r="I838" s="72"/>
      <c r="J838" s="72"/>
      <c r="K838" s="71" t="s">
        <v>11581</v>
      </c>
      <c r="L838" s="75"/>
      <c r="M838" s="76"/>
      <c r="N838" s="76"/>
      <c r="O838" s="77"/>
      <c r="P838" s="78"/>
      <c r="Q838" s="78"/>
      <c r="R838" s="92"/>
      <c r="S838" s="92"/>
      <c r="T838" s="92"/>
      <c r="U838" s="92"/>
      <c r="V838" s="52"/>
      <c r="W838" s="52"/>
      <c r="X838" s="52"/>
      <c r="Y838" s="52"/>
      <c r="Z838" s="51"/>
      <c r="AA838" s="73"/>
      <c r="AB838" s="73"/>
      <c r="AC838" s="74"/>
      <c r="AD838" s="80" t="s">
        <v>7406</v>
      </c>
      <c r="AE838" s="85" t="s">
        <v>8580</v>
      </c>
      <c r="AF838" s="80">
        <v>737</v>
      </c>
      <c r="AG838" s="80">
        <v>145</v>
      </c>
      <c r="AH838" s="80">
        <v>2608</v>
      </c>
      <c r="AI838" s="80">
        <v>2968</v>
      </c>
      <c r="AJ838" s="80"/>
      <c r="AK838" s="80" t="s">
        <v>9703</v>
      </c>
      <c r="AL838" s="80" t="s">
        <v>10529</v>
      </c>
      <c r="AM838" s="87" t="str">
        <f>HYPERLINK("https://t.co/GVDS5RGuMX")</f>
        <v>https://t.co/GVDS5RGuMX</v>
      </c>
      <c r="AN838" s="80"/>
      <c r="AO838" s="82">
        <v>40375.529652777775</v>
      </c>
      <c r="AP838" s="87" t="str">
        <f>HYPERLINK("https://pbs.twimg.com/profile_banners/167377627/1632673380")</f>
        <v>https://pbs.twimg.com/profile_banners/167377627/1632673380</v>
      </c>
      <c r="AQ838" s="80" t="b">
        <v>0</v>
      </c>
      <c r="AR838" s="80" t="b">
        <v>0</v>
      </c>
      <c r="AS838" s="80" t="b">
        <v>1</v>
      </c>
      <c r="AT838" s="80"/>
      <c r="AU838" s="80">
        <v>0</v>
      </c>
      <c r="AV838" s="87" t="str">
        <f>HYPERLINK("https://abs.twimg.com/images/themes/theme14/bg.gif")</f>
        <v>https://abs.twimg.com/images/themes/theme14/bg.gif</v>
      </c>
      <c r="AW838" s="80" t="b">
        <v>0</v>
      </c>
      <c r="AX838" s="80" t="s">
        <v>10746</v>
      </c>
      <c r="AY838" s="87" t="str">
        <f>HYPERLINK("https://twitter.com/alyessamariani")</f>
        <v>https://twitter.com/alyessamariani</v>
      </c>
      <c r="AZ838" s="80" t="s">
        <v>66</v>
      </c>
      <c r="BA838" s="2"/>
      <c r="BB838" s="3"/>
      <c r="BC838" s="3"/>
      <c r="BD838" s="3"/>
      <c r="BE838" s="3"/>
    </row>
    <row r="839" spans="1:57" x14ac:dyDescent="0.35">
      <c r="A839" s="66" t="s">
        <v>1427</v>
      </c>
      <c r="B839" s="67"/>
      <c r="C839" s="67"/>
      <c r="D839" s="68"/>
      <c r="E839" s="70"/>
      <c r="F839" s="109" t="str">
        <f>HYPERLINK("https://pbs.twimg.com/profile_images/1405910358645084163/LJ0Nwvyq_normal.jpg")</f>
        <v>https://pbs.twimg.com/profile_images/1405910358645084163/LJ0Nwvyq_normal.jpg</v>
      </c>
      <c r="G839" s="67"/>
      <c r="H839" s="71"/>
      <c r="I839" s="72"/>
      <c r="J839" s="72"/>
      <c r="K839" s="71" t="s">
        <v>11582</v>
      </c>
      <c r="L839" s="75"/>
      <c r="M839" s="76"/>
      <c r="N839" s="76"/>
      <c r="O839" s="77"/>
      <c r="P839" s="78"/>
      <c r="Q839" s="78"/>
      <c r="R839" s="92"/>
      <c r="S839" s="92"/>
      <c r="T839" s="92"/>
      <c r="U839" s="92"/>
      <c r="V839" s="52"/>
      <c r="W839" s="52"/>
      <c r="X839" s="52"/>
      <c r="Y839" s="52"/>
      <c r="Z839" s="51"/>
      <c r="AA839" s="73"/>
      <c r="AB839" s="73"/>
      <c r="AC839" s="74"/>
      <c r="AD839" s="80" t="s">
        <v>7407</v>
      </c>
      <c r="AE839" s="85" t="s">
        <v>8581</v>
      </c>
      <c r="AF839" s="80">
        <v>0</v>
      </c>
      <c r="AG839" s="80">
        <v>3737</v>
      </c>
      <c r="AH839" s="80">
        <v>387</v>
      </c>
      <c r="AI839" s="80">
        <v>1</v>
      </c>
      <c r="AJ839" s="80"/>
      <c r="AK839" s="80" t="s">
        <v>7407</v>
      </c>
      <c r="AL839" s="80"/>
      <c r="AM839" s="80"/>
      <c r="AN839" s="80"/>
      <c r="AO839" s="82">
        <v>43522.448634259257</v>
      </c>
      <c r="AP839" s="87" t="str">
        <f>HYPERLINK("https://pbs.twimg.com/profile_banners/1100346243824312321/1624030126")</f>
        <v>https://pbs.twimg.com/profile_banners/1100346243824312321/1624030126</v>
      </c>
      <c r="AQ839" s="80" t="b">
        <v>1</v>
      </c>
      <c r="AR839" s="80" t="b">
        <v>0</v>
      </c>
      <c r="AS839" s="80" t="b">
        <v>0</v>
      </c>
      <c r="AT839" s="80"/>
      <c r="AU839" s="80">
        <v>3</v>
      </c>
      <c r="AV839" s="80"/>
      <c r="AW839" s="80" t="b">
        <v>0</v>
      </c>
      <c r="AX839" s="80" t="s">
        <v>10746</v>
      </c>
      <c r="AY839" s="87" t="str">
        <f>HYPERLINK("https://twitter.com/istananegara_")</f>
        <v>https://twitter.com/istananegara_</v>
      </c>
      <c r="AZ839" s="80" t="s">
        <v>65</v>
      </c>
      <c r="BA839" s="2"/>
      <c r="BB839" s="3"/>
      <c r="BC839" s="3"/>
      <c r="BD839" s="3"/>
      <c r="BE839" s="3"/>
    </row>
    <row r="840" spans="1:57" x14ac:dyDescent="0.35">
      <c r="A840" s="66" t="s">
        <v>1428</v>
      </c>
      <c r="B840" s="67"/>
      <c r="C840" s="67"/>
      <c r="D840" s="68"/>
      <c r="E840" s="70"/>
      <c r="F840" s="109" t="str">
        <f>HYPERLINK("https://pbs.twimg.com/profile_images/3446027346/ed954875c589ec63b93b9c5f8bdca336_normal.png")</f>
        <v>https://pbs.twimg.com/profile_images/3446027346/ed954875c589ec63b93b9c5f8bdca336_normal.png</v>
      </c>
      <c r="G840" s="67"/>
      <c r="H840" s="71"/>
      <c r="I840" s="72"/>
      <c r="J840" s="72"/>
      <c r="K840" s="71" t="s">
        <v>11583</v>
      </c>
      <c r="L840" s="75"/>
      <c r="M840" s="76"/>
      <c r="N840" s="76"/>
      <c r="O840" s="77"/>
      <c r="P840" s="78"/>
      <c r="Q840" s="78"/>
      <c r="R840" s="92"/>
      <c r="S840" s="92"/>
      <c r="T840" s="92"/>
      <c r="U840" s="92"/>
      <c r="V840" s="52"/>
      <c r="W840" s="52"/>
      <c r="X840" s="52"/>
      <c r="Y840" s="52"/>
      <c r="Z840" s="51"/>
      <c r="AA840" s="73"/>
      <c r="AB840" s="73"/>
      <c r="AC840" s="74"/>
      <c r="AD840" s="80" t="s">
        <v>7408</v>
      </c>
      <c r="AE840" s="85" t="s">
        <v>8582</v>
      </c>
      <c r="AF840" s="80">
        <v>97</v>
      </c>
      <c r="AG840" s="80">
        <v>50637</v>
      </c>
      <c r="AH840" s="80">
        <v>3155</v>
      </c>
      <c r="AI840" s="80">
        <v>1682</v>
      </c>
      <c r="AJ840" s="80"/>
      <c r="AK840" s="80"/>
      <c r="AL840" s="80" t="s">
        <v>10182</v>
      </c>
      <c r="AM840" s="87" t="str">
        <f>HYPERLINK("https://t.co/oPNeYYeN0y")</f>
        <v>https://t.co/oPNeYYeN0y</v>
      </c>
      <c r="AN840" s="80"/>
      <c r="AO840" s="82">
        <v>41362.281666666669</v>
      </c>
      <c r="AP840" s="87" t="str">
        <f>HYPERLINK("https://pbs.twimg.com/profile_banners/1312853240/1550800675")</f>
        <v>https://pbs.twimg.com/profile_banners/1312853240/1550800675</v>
      </c>
      <c r="AQ840" s="80" t="b">
        <v>0</v>
      </c>
      <c r="AR840" s="80" t="b">
        <v>0</v>
      </c>
      <c r="AS840" s="80" t="b">
        <v>1</v>
      </c>
      <c r="AT840" s="80"/>
      <c r="AU840" s="80">
        <v>65</v>
      </c>
      <c r="AV840" s="87" t="str">
        <f>HYPERLINK("https://abs.twimg.com/images/themes/theme9/bg.gif")</f>
        <v>https://abs.twimg.com/images/themes/theme9/bg.gif</v>
      </c>
      <c r="AW840" s="80" t="b">
        <v>0</v>
      </c>
      <c r="AX840" s="80" t="s">
        <v>10746</v>
      </c>
      <c r="AY840" s="87" t="str">
        <f>HYPERLINK("https://twitter.com/tenteradarat")</f>
        <v>https://twitter.com/tenteradarat</v>
      </c>
      <c r="AZ840" s="80" t="s">
        <v>65</v>
      </c>
      <c r="BA840" s="2"/>
      <c r="BB840" s="3"/>
      <c r="BC840" s="3"/>
      <c r="BD840" s="3"/>
      <c r="BE840" s="3"/>
    </row>
    <row r="841" spans="1:57" x14ac:dyDescent="0.35">
      <c r="A841" s="66" t="s">
        <v>1429</v>
      </c>
      <c r="B841" s="67"/>
      <c r="C841" s="67"/>
      <c r="D841" s="68"/>
      <c r="E841" s="70"/>
      <c r="F841" s="109" t="str">
        <f>HYPERLINK("https://pbs.twimg.com/profile_images/824952464159887361/vG8QQ-Fe_normal.jpg")</f>
        <v>https://pbs.twimg.com/profile_images/824952464159887361/vG8QQ-Fe_normal.jpg</v>
      </c>
      <c r="G841" s="67"/>
      <c r="H841" s="71"/>
      <c r="I841" s="72"/>
      <c r="J841" s="72"/>
      <c r="K841" s="71" t="s">
        <v>11584</v>
      </c>
      <c r="L841" s="75"/>
      <c r="M841" s="76"/>
      <c r="N841" s="76"/>
      <c r="O841" s="77"/>
      <c r="P841" s="78"/>
      <c r="Q841" s="78"/>
      <c r="R841" s="92"/>
      <c r="S841" s="92"/>
      <c r="T841" s="92"/>
      <c r="U841" s="92"/>
      <c r="V841" s="52"/>
      <c r="W841" s="52"/>
      <c r="X841" s="52"/>
      <c r="Y841" s="52"/>
      <c r="Z841" s="51"/>
      <c r="AA841" s="73"/>
      <c r="AB841" s="73"/>
      <c r="AC841" s="74"/>
      <c r="AD841" s="80" t="s">
        <v>7409</v>
      </c>
      <c r="AE841" s="85" t="s">
        <v>8583</v>
      </c>
      <c r="AF841" s="80">
        <v>114</v>
      </c>
      <c r="AG841" s="80">
        <v>118016</v>
      </c>
      <c r="AH841" s="80">
        <v>30265</v>
      </c>
      <c r="AI841" s="80">
        <v>1416</v>
      </c>
      <c r="AJ841" s="80"/>
      <c r="AK841" s="80" t="s">
        <v>9704</v>
      </c>
      <c r="AL841" s="80"/>
      <c r="AM841" s="87" t="str">
        <f>HYPERLINK("https://t.co/Gv0sBONe6y")</f>
        <v>https://t.co/Gv0sBONe6y</v>
      </c>
      <c r="AN841" s="80"/>
      <c r="AO841" s="82">
        <v>40497.665162037039</v>
      </c>
      <c r="AP841" s="87" t="str">
        <f>HYPERLINK("https://pbs.twimg.com/profile_banners/216023937/1632275699")</f>
        <v>https://pbs.twimg.com/profile_banners/216023937/1632275699</v>
      </c>
      <c r="AQ841" s="80" t="b">
        <v>0</v>
      </c>
      <c r="AR841" s="80" t="b">
        <v>0</v>
      </c>
      <c r="AS841" s="80" t="b">
        <v>1</v>
      </c>
      <c r="AT841" s="80"/>
      <c r="AU841" s="80">
        <v>237</v>
      </c>
      <c r="AV841" s="87" t="str">
        <f>HYPERLINK("https://abs.twimg.com/images/themes/theme12/bg.gif")</f>
        <v>https://abs.twimg.com/images/themes/theme12/bg.gif</v>
      </c>
      <c r="AW841" s="80" t="b">
        <v>1</v>
      </c>
      <c r="AX841" s="80" t="s">
        <v>10746</v>
      </c>
      <c r="AY841" s="87" t="str">
        <f>HYPERLINK("https://twitter.com/mindefmalaysia")</f>
        <v>https://twitter.com/mindefmalaysia</v>
      </c>
      <c r="AZ841" s="80" t="s">
        <v>65</v>
      </c>
      <c r="BA841" s="2"/>
      <c r="BB841" s="3"/>
      <c r="BC841" s="3"/>
      <c r="BD841" s="3"/>
      <c r="BE841" s="3"/>
    </row>
    <row r="842" spans="1:57" x14ac:dyDescent="0.35">
      <c r="A842" s="66" t="s">
        <v>1430</v>
      </c>
      <c r="B842" s="67"/>
      <c r="C842" s="67"/>
      <c r="D842" s="68"/>
      <c r="E842" s="70"/>
      <c r="F842" s="109" t="str">
        <f>HYPERLINK("https://pbs.twimg.com/profile_images/1250276272648814592/0wbHKhM9_normal.jpg")</f>
        <v>https://pbs.twimg.com/profile_images/1250276272648814592/0wbHKhM9_normal.jpg</v>
      </c>
      <c r="G842" s="67"/>
      <c r="H842" s="71"/>
      <c r="I842" s="72"/>
      <c r="J842" s="72"/>
      <c r="K842" s="71" t="s">
        <v>11585</v>
      </c>
      <c r="L842" s="75"/>
      <c r="M842" s="76"/>
      <c r="N842" s="76"/>
      <c r="O842" s="77"/>
      <c r="P842" s="78"/>
      <c r="Q842" s="78"/>
      <c r="R842" s="92"/>
      <c r="S842" s="92"/>
      <c r="T842" s="92"/>
      <c r="U842" s="92"/>
      <c r="V842" s="52"/>
      <c r="W842" s="52"/>
      <c r="X842" s="52"/>
      <c r="Y842" s="52"/>
      <c r="Z842" s="51"/>
      <c r="AA842" s="73"/>
      <c r="AB842" s="73"/>
      <c r="AC842" s="74"/>
      <c r="AD842" s="80" t="s">
        <v>7410</v>
      </c>
      <c r="AE842" s="85" t="s">
        <v>8584</v>
      </c>
      <c r="AF842" s="80">
        <v>380</v>
      </c>
      <c r="AG842" s="80">
        <v>64409</v>
      </c>
      <c r="AH842" s="80">
        <v>24817</v>
      </c>
      <c r="AI842" s="80">
        <v>3697</v>
      </c>
      <c r="AJ842" s="80"/>
      <c r="AK842" s="80" t="s">
        <v>9705</v>
      </c>
      <c r="AL842" s="80" t="s">
        <v>10530</v>
      </c>
      <c r="AM842" s="87" t="str">
        <f>HYPERLINK("https://t.co/iaMUFd1NHD")</f>
        <v>https://t.co/iaMUFd1NHD</v>
      </c>
      <c r="AN842" s="80"/>
      <c r="AO842" s="82">
        <v>41039.146944444445</v>
      </c>
      <c r="AP842" s="87" t="str">
        <f>HYPERLINK("https://pbs.twimg.com/profile_banners/575898376/1625571378")</f>
        <v>https://pbs.twimg.com/profile_banners/575898376/1625571378</v>
      </c>
      <c r="AQ842" s="80" t="b">
        <v>0</v>
      </c>
      <c r="AR842" s="80" t="b">
        <v>0</v>
      </c>
      <c r="AS842" s="80" t="b">
        <v>1</v>
      </c>
      <c r="AT842" s="80"/>
      <c r="AU842" s="80">
        <v>172</v>
      </c>
      <c r="AV842" s="87" t="str">
        <f>HYPERLINK("https://abs.twimg.com/images/themes/theme1/bg.png")</f>
        <v>https://abs.twimg.com/images/themes/theme1/bg.png</v>
      </c>
      <c r="AW842" s="80" t="b">
        <v>0</v>
      </c>
      <c r="AX842" s="80" t="s">
        <v>10746</v>
      </c>
      <c r="AY842" s="87" t="str">
        <f>HYPERLINK("https://twitter.com/tldm_rasmi")</f>
        <v>https://twitter.com/tldm_rasmi</v>
      </c>
      <c r="AZ842" s="80" t="s">
        <v>65</v>
      </c>
      <c r="BA842" s="2"/>
      <c r="BB842" s="3"/>
      <c r="BC842" s="3"/>
      <c r="BD842" s="3"/>
      <c r="BE842" s="3"/>
    </row>
    <row r="843" spans="1:57" x14ac:dyDescent="0.35">
      <c r="A843" s="66" t="s">
        <v>1431</v>
      </c>
      <c r="B843" s="67"/>
      <c r="C843" s="67"/>
      <c r="D843" s="68"/>
      <c r="E843" s="70"/>
      <c r="F843" s="109" t="str">
        <f>HYPERLINK("https://pbs.twimg.com/profile_images/704899463786184705/O6djyh0i_normal.jpg")</f>
        <v>https://pbs.twimg.com/profile_images/704899463786184705/O6djyh0i_normal.jpg</v>
      </c>
      <c r="G843" s="67"/>
      <c r="H843" s="71"/>
      <c r="I843" s="72"/>
      <c r="J843" s="72"/>
      <c r="K843" s="71" t="s">
        <v>11586</v>
      </c>
      <c r="L843" s="75"/>
      <c r="M843" s="76"/>
      <c r="N843" s="76"/>
      <c r="O843" s="77"/>
      <c r="P843" s="78"/>
      <c r="Q843" s="78"/>
      <c r="R843" s="92"/>
      <c r="S843" s="92"/>
      <c r="T843" s="92"/>
      <c r="U843" s="92"/>
      <c r="V843" s="52"/>
      <c r="W843" s="52"/>
      <c r="X843" s="52"/>
      <c r="Y843" s="52"/>
      <c r="Z843" s="51"/>
      <c r="AA843" s="73"/>
      <c r="AB843" s="73"/>
      <c r="AC843" s="74"/>
      <c r="AD843" s="80" t="s">
        <v>7411</v>
      </c>
      <c r="AE843" s="85" t="s">
        <v>8585</v>
      </c>
      <c r="AF843" s="80">
        <v>291</v>
      </c>
      <c r="AG843" s="80">
        <v>49533</v>
      </c>
      <c r="AH843" s="80">
        <v>13456</v>
      </c>
      <c r="AI843" s="80">
        <v>5209</v>
      </c>
      <c r="AJ843" s="80"/>
      <c r="AK843" s="80" t="s">
        <v>9706</v>
      </c>
      <c r="AL843" s="80" t="s">
        <v>10182</v>
      </c>
      <c r="AM843" s="87" t="str">
        <f>HYPERLINK("https://t.co/B3CV7CfWYb")</f>
        <v>https://t.co/B3CV7CfWYb</v>
      </c>
      <c r="AN843" s="80"/>
      <c r="AO843" s="82">
        <v>41736.241875</v>
      </c>
      <c r="AP843" s="87" t="str">
        <f>HYPERLINK("https://pbs.twimg.com/profile_banners/2431539198/1622084797")</f>
        <v>https://pbs.twimg.com/profile_banners/2431539198/1622084797</v>
      </c>
      <c r="AQ843" s="80" t="b">
        <v>1</v>
      </c>
      <c r="AR843" s="80" t="b">
        <v>0</v>
      </c>
      <c r="AS843" s="80" t="b">
        <v>1</v>
      </c>
      <c r="AT843" s="80"/>
      <c r="AU843" s="80">
        <v>75</v>
      </c>
      <c r="AV843" s="87" t="str">
        <f>HYPERLINK("https://abs.twimg.com/images/themes/theme1/bg.png")</f>
        <v>https://abs.twimg.com/images/themes/theme1/bg.png</v>
      </c>
      <c r="AW843" s="80" t="b">
        <v>0</v>
      </c>
      <c r="AX843" s="80" t="s">
        <v>10746</v>
      </c>
      <c r="AY843" s="87" t="str">
        <f>HYPERLINK("https://twitter.com/tudm_rasmi")</f>
        <v>https://twitter.com/tudm_rasmi</v>
      </c>
      <c r="AZ843" s="80" t="s">
        <v>65</v>
      </c>
      <c r="BA843" s="2"/>
      <c r="BB843" s="3"/>
      <c r="BC843" s="3"/>
      <c r="BD843" s="3"/>
      <c r="BE843" s="3"/>
    </row>
    <row r="844" spans="1:57" x14ac:dyDescent="0.35">
      <c r="A844" s="66" t="s">
        <v>1432</v>
      </c>
      <c r="B844" s="67"/>
      <c r="C844" s="67"/>
      <c r="D844" s="68"/>
      <c r="E844" s="70"/>
      <c r="F844" s="109" t="str">
        <f>HYPERLINK("https://pbs.twimg.com/profile_images/1439944839643090950/ihhmqmit_normal.jpg")</f>
        <v>https://pbs.twimg.com/profile_images/1439944839643090950/ihhmqmit_normal.jpg</v>
      </c>
      <c r="G844" s="67"/>
      <c r="H844" s="71"/>
      <c r="I844" s="72"/>
      <c r="J844" s="72"/>
      <c r="K844" s="71" t="s">
        <v>11587</v>
      </c>
      <c r="L844" s="75"/>
      <c r="M844" s="76"/>
      <c r="N844" s="76"/>
      <c r="O844" s="77"/>
      <c r="P844" s="78"/>
      <c r="Q844" s="78"/>
      <c r="R844" s="92"/>
      <c r="S844" s="92"/>
      <c r="T844" s="92"/>
      <c r="U844" s="92"/>
      <c r="V844" s="52"/>
      <c r="W844" s="52"/>
      <c r="X844" s="52"/>
      <c r="Y844" s="52"/>
      <c r="Z844" s="51"/>
      <c r="AA844" s="73"/>
      <c r="AB844" s="73"/>
      <c r="AC844" s="74"/>
      <c r="AD844" s="80" t="s">
        <v>7412</v>
      </c>
      <c r="AE844" s="85" t="s">
        <v>8586</v>
      </c>
      <c r="AF844" s="80">
        <v>193</v>
      </c>
      <c r="AG844" s="80">
        <v>47069</v>
      </c>
      <c r="AH844" s="80">
        <v>3014</v>
      </c>
      <c r="AI844" s="80">
        <v>669</v>
      </c>
      <c r="AJ844" s="80"/>
      <c r="AK844" s="80" t="s">
        <v>9707</v>
      </c>
      <c r="AL844" s="80" t="s">
        <v>10152</v>
      </c>
      <c r="AM844" s="87" t="str">
        <f>HYPERLINK("https://t.co/XKvq4eJb1W")</f>
        <v>https://t.co/XKvq4eJb1W</v>
      </c>
      <c r="AN844" s="80"/>
      <c r="AO844" s="82">
        <v>41690.499479166669</v>
      </c>
      <c r="AP844" s="87" t="str">
        <f>HYPERLINK("https://pbs.twimg.com/profile_banners/2353140067/1631074548")</f>
        <v>https://pbs.twimg.com/profile_banners/2353140067/1631074548</v>
      </c>
      <c r="AQ844" s="80" t="b">
        <v>1</v>
      </c>
      <c r="AR844" s="80" t="b">
        <v>0</v>
      </c>
      <c r="AS844" s="80" t="b">
        <v>1</v>
      </c>
      <c r="AT844" s="80"/>
      <c r="AU844" s="80">
        <v>37</v>
      </c>
      <c r="AV844" s="87" t="str">
        <f>HYPERLINK("https://abs.twimg.com/images/themes/theme1/bg.png")</f>
        <v>https://abs.twimg.com/images/themes/theme1/bg.png</v>
      </c>
      <c r="AW844" s="80" t="b">
        <v>0</v>
      </c>
      <c r="AX844" s="80" t="s">
        <v>10746</v>
      </c>
      <c r="AY844" s="87" t="str">
        <f>HYPERLINK("https://twitter.com/markasatm")</f>
        <v>https://twitter.com/markasatm</v>
      </c>
      <c r="AZ844" s="80" t="s">
        <v>65</v>
      </c>
      <c r="BA844" s="2"/>
      <c r="BB844" s="3"/>
      <c r="BC844" s="3"/>
      <c r="BD844" s="3"/>
      <c r="BE844" s="3"/>
    </row>
    <row r="845" spans="1:57" x14ac:dyDescent="0.35">
      <c r="A845" s="66" t="s">
        <v>887</v>
      </c>
      <c r="B845" s="67"/>
      <c r="C845" s="67"/>
      <c r="D845" s="68"/>
      <c r="E845" s="70"/>
      <c r="F845" s="109" t="str">
        <f>HYPERLINK("https://pbs.twimg.com/profile_images/1438512563944259592/C7b1Mqrq_normal.jpg")</f>
        <v>https://pbs.twimg.com/profile_images/1438512563944259592/C7b1Mqrq_normal.jpg</v>
      </c>
      <c r="G845" s="67"/>
      <c r="H845" s="71"/>
      <c r="I845" s="72"/>
      <c r="J845" s="72"/>
      <c r="K845" s="71" t="s">
        <v>11588</v>
      </c>
      <c r="L845" s="75"/>
      <c r="M845" s="76"/>
      <c r="N845" s="76"/>
      <c r="O845" s="77"/>
      <c r="P845" s="78"/>
      <c r="Q845" s="78"/>
      <c r="R845" s="92"/>
      <c r="S845" s="92"/>
      <c r="T845" s="92"/>
      <c r="U845" s="92"/>
      <c r="V845" s="52"/>
      <c r="W845" s="52"/>
      <c r="X845" s="52"/>
      <c r="Y845" s="52"/>
      <c r="Z845" s="51"/>
      <c r="AA845" s="73"/>
      <c r="AB845" s="73"/>
      <c r="AC845" s="74"/>
      <c r="AD845" s="80" t="s">
        <v>7413</v>
      </c>
      <c r="AE845" s="85" t="s">
        <v>8587</v>
      </c>
      <c r="AF845" s="80">
        <v>558</v>
      </c>
      <c r="AG845" s="80">
        <v>139</v>
      </c>
      <c r="AH845" s="80">
        <v>6172</v>
      </c>
      <c r="AI845" s="80">
        <v>4842</v>
      </c>
      <c r="AJ845" s="80"/>
      <c r="AK845" s="80" t="s">
        <v>9708</v>
      </c>
      <c r="AL845" s="80"/>
      <c r="AM845" s="80"/>
      <c r="AN845" s="80"/>
      <c r="AO845" s="82">
        <v>43494.555636574078</v>
      </c>
      <c r="AP845" s="87" t="str">
        <f>HYPERLINK("https://pbs.twimg.com/profile_banners/1090238157918920705/1631814422")</f>
        <v>https://pbs.twimg.com/profile_banners/1090238157918920705/1631814422</v>
      </c>
      <c r="AQ845" s="80" t="b">
        <v>1</v>
      </c>
      <c r="AR845" s="80" t="b">
        <v>0</v>
      </c>
      <c r="AS845" s="80" t="b">
        <v>0</v>
      </c>
      <c r="AT845" s="80"/>
      <c r="AU845" s="80">
        <v>0</v>
      </c>
      <c r="AV845" s="80"/>
      <c r="AW845" s="80" t="b">
        <v>0</v>
      </c>
      <c r="AX845" s="80" t="s">
        <v>10746</v>
      </c>
      <c r="AY845" s="87" t="str">
        <f>HYPERLINK("https://twitter.com/wintervecember_")</f>
        <v>https://twitter.com/wintervecember_</v>
      </c>
      <c r="AZ845" s="80" t="s">
        <v>66</v>
      </c>
      <c r="BA845" s="2"/>
      <c r="BB845" s="3"/>
      <c r="BC845" s="3"/>
      <c r="BD845" s="3"/>
      <c r="BE845" s="3"/>
    </row>
    <row r="846" spans="1:57" x14ac:dyDescent="0.35">
      <c r="A846" s="66" t="s">
        <v>888</v>
      </c>
      <c r="B846" s="67"/>
      <c r="C846" s="67"/>
      <c r="D846" s="68"/>
      <c r="E846" s="70"/>
      <c r="F846" s="109" t="str">
        <f>HYPERLINK("https://pbs.twimg.com/profile_images/1442710318669447171/3XABZjaf_normal.jpg")</f>
        <v>https://pbs.twimg.com/profile_images/1442710318669447171/3XABZjaf_normal.jpg</v>
      </c>
      <c r="G846" s="67"/>
      <c r="H846" s="71"/>
      <c r="I846" s="72"/>
      <c r="J846" s="72"/>
      <c r="K846" s="71" t="s">
        <v>11589</v>
      </c>
      <c r="L846" s="75"/>
      <c r="M846" s="76"/>
      <c r="N846" s="76"/>
      <c r="O846" s="77"/>
      <c r="P846" s="78"/>
      <c r="Q846" s="78"/>
      <c r="R846" s="92"/>
      <c r="S846" s="92"/>
      <c r="T846" s="92"/>
      <c r="U846" s="92"/>
      <c r="V846" s="52"/>
      <c r="W846" s="52"/>
      <c r="X846" s="52"/>
      <c r="Y846" s="52"/>
      <c r="Z846" s="51"/>
      <c r="AA846" s="73"/>
      <c r="AB846" s="73"/>
      <c r="AC846" s="74"/>
      <c r="AD846" s="80" t="s">
        <v>7414</v>
      </c>
      <c r="AE846" s="85" t="s">
        <v>8588</v>
      </c>
      <c r="AF846" s="80">
        <v>2361</v>
      </c>
      <c r="AG846" s="80">
        <v>2016</v>
      </c>
      <c r="AH846" s="80">
        <v>34338</v>
      </c>
      <c r="AI846" s="80">
        <v>76624</v>
      </c>
      <c r="AJ846" s="80"/>
      <c r="AK846" s="80" t="s">
        <v>9709</v>
      </c>
      <c r="AL846" s="80" t="s">
        <v>10531</v>
      </c>
      <c r="AM846" s="80"/>
      <c r="AN846" s="80"/>
      <c r="AO846" s="82">
        <v>43556.632071759261</v>
      </c>
      <c r="AP846" s="87" t="str">
        <f>HYPERLINK("https://pbs.twimg.com/profile_banners/1112733905923170310/1632804181")</f>
        <v>https://pbs.twimg.com/profile_banners/1112733905923170310/1632804181</v>
      </c>
      <c r="AQ846" s="80" t="b">
        <v>1</v>
      </c>
      <c r="AR846" s="80" t="b">
        <v>0</v>
      </c>
      <c r="AS846" s="80" t="b">
        <v>1</v>
      </c>
      <c r="AT846" s="80"/>
      <c r="AU846" s="80">
        <v>47</v>
      </c>
      <c r="AV846" s="80"/>
      <c r="AW846" s="80" t="b">
        <v>0</v>
      </c>
      <c r="AX846" s="80" t="s">
        <v>10746</v>
      </c>
      <c r="AY846" s="87" t="str">
        <f>HYPERLINK("https://twitter.com/flowtaekoo")</f>
        <v>https://twitter.com/flowtaekoo</v>
      </c>
      <c r="AZ846" s="80" t="s">
        <v>66</v>
      </c>
      <c r="BA846" s="2"/>
      <c r="BB846" s="3"/>
      <c r="BC846" s="3"/>
      <c r="BD846" s="3"/>
      <c r="BE846" s="3"/>
    </row>
    <row r="847" spans="1:57" x14ac:dyDescent="0.35">
      <c r="A847" s="66" t="s">
        <v>889</v>
      </c>
      <c r="B847" s="67"/>
      <c r="C847" s="67"/>
      <c r="D847" s="68"/>
      <c r="E847" s="70"/>
      <c r="F847" s="109" t="str">
        <f>HYPERLINK("https://pbs.twimg.com/profile_images/795050173596479488/YOIvTyjF_normal.jpg")</f>
        <v>https://pbs.twimg.com/profile_images/795050173596479488/YOIvTyjF_normal.jpg</v>
      </c>
      <c r="G847" s="67"/>
      <c r="H847" s="71"/>
      <c r="I847" s="72"/>
      <c r="J847" s="72"/>
      <c r="K847" s="71" t="s">
        <v>11590</v>
      </c>
      <c r="L847" s="75"/>
      <c r="M847" s="76"/>
      <c r="N847" s="76"/>
      <c r="O847" s="77"/>
      <c r="P847" s="78"/>
      <c r="Q847" s="78"/>
      <c r="R847" s="92"/>
      <c r="S847" s="92"/>
      <c r="T847" s="92"/>
      <c r="U847" s="92"/>
      <c r="V847" s="52"/>
      <c r="W847" s="52"/>
      <c r="X847" s="52"/>
      <c r="Y847" s="52"/>
      <c r="Z847" s="51"/>
      <c r="AA847" s="73"/>
      <c r="AB847" s="73"/>
      <c r="AC847" s="74"/>
      <c r="AD847" s="80" t="s">
        <v>7415</v>
      </c>
      <c r="AE847" s="85" t="s">
        <v>8589</v>
      </c>
      <c r="AF847" s="80">
        <v>259</v>
      </c>
      <c r="AG847" s="80">
        <v>405</v>
      </c>
      <c r="AH847" s="80">
        <v>3414</v>
      </c>
      <c r="AI847" s="80">
        <v>496</v>
      </c>
      <c r="AJ847" s="80"/>
      <c r="AK847" s="80" t="s">
        <v>9710</v>
      </c>
      <c r="AL847" s="80" t="s">
        <v>10532</v>
      </c>
      <c r="AM847" s="80"/>
      <c r="AN847" s="80"/>
      <c r="AO847" s="82">
        <v>40086.517881944441</v>
      </c>
      <c r="AP847" s="87" t="str">
        <f>HYPERLINK("https://pbs.twimg.com/profile_banners/78587752/1478389705")</f>
        <v>https://pbs.twimg.com/profile_banners/78587752/1478389705</v>
      </c>
      <c r="AQ847" s="80" t="b">
        <v>0</v>
      </c>
      <c r="AR847" s="80" t="b">
        <v>0</v>
      </c>
      <c r="AS847" s="80" t="b">
        <v>1</v>
      </c>
      <c r="AT847" s="80"/>
      <c r="AU847" s="80">
        <v>0</v>
      </c>
      <c r="AV847" s="87" t="str">
        <f>HYPERLINK("https://abs.twimg.com/images/themes/theme1/bg.png")</f>
        <v>https://abs.twimg.com/images/themes/theme1/bg.png</v>
      </c>
      <c r="AW847" s="80" t="b">
        <v>0</v>
      </c>
      <c r="AX847" s="80" t="s">
        <v>10746</v>
      </c>
      <c r="AY847" s="87" t="str">
        <f>HYPERLINK("https://twitter.com/hengkyfathurr")</f>
        <v>https://twitter.com/hengkyfathurr</v>
      </c>
      <c r="AZ847" s="80" t="s">
        <v>66</v>
      </c>
      <c r="BA847" s="2"/>
      <c r="BB847" s="3"/>
      <c r="BC847" s="3"/>
      <c r="BD847" s="3"/>
      <c r="BE847" s="3"/>
    </row>
    <row r="848" spans="1:57" x14ac:dyDescent="0.35">
      <c r="A848" s="66" t="s">
        <v>1433</v>
      </c>
      <c r="B848" s="67"/>
      <c r="C848" s="67"/>
      <c r="D848" s="68"/>
      <c r="E848" s="70"/>
      <c r="F848" s="109" t="str">
        <f>HYPERLINK("https://pbs.twimg.com/profile_images/1439841874026455043/ZRYkHAC7_normal.jpg")</f>
        <v>https://pbs.twimg.com/profile_images/1439841874026455043/ZRYkHAC7_normal.jpg</v>
      </c>
      <c r="G848" s="67"/>
      <c r="H848" s="71"/>
      <c r="I848" s="72"/>
      <c r="J848" s="72"/>
      <c r="K848" s="71" t="s">
        <v>11591</v>
      </c>
      <c r="L848" s="75"/>
      <c r="M848" s="76"/>
      <c r="N848" s="76"/>
      <c r="O848" s="77"/>
      <c r="P848" s="78"/>
      <c r="Q848" s="78"/>
      <c r="R848" s="92"/>
      <c r="S848" s="92"/>
      <c r="T848" s="92"/>
      <c r="U848" s="92"/>
      <c r="V848" s="52"/>
      <c r="W848" s="52"/>
      <c r="X848" s="52"/>
      <c r="Y848" s="52"/>
      <c r="Z848" s="51"/>
      <c r="AA848" s="73"/>
      <c r="AB848" s="73"/>
      <c r="AC848" s="74"/>
      <c r="AD848" s="80" t="s">
        <v>7416</v>
      </c>
      <c r="AE848" s="85" t="s">
        <v>8590</v>
      </c>
      <c r="AF848" s="80">
        <v>7</v>
      </c>
      <c r="AG848" s="80">
        <v>939869</v>
      </c>
      <c r="AH848" s="80">
        <v>45653</v>
      </c>
      <c r="AI848" s="80">
        <v>625</v>
      </c>
      <c r="AJ848" s="80"/>
      <c r="AK848" s="80" t="s">
        <v>9711</v>
      </c>
      <c r="AL848" s="80"/>
      <c r="AM848" s="87" t="str">
        <f>HYPERLINK("https://t.co/ORejnlJ2Wc")</f>
        <v>https://t.co/ORejnlJ2Wc</v>
      </c>
      <c r="AN848" s="80"/>
      <c r="AO848" s="82">
        <v>40063.605046296296</v>
      </c>
      <c r="AP848" s="87" t="str">
        <f>HYPERLINK("https://pbs.twimg.com/profile_banners/72293042/1630464114")</f>
        <v>https://pbs.twimg.com/profile_banners/72293042/1630464114</v>
      </c>
      <c r="AQ848" s="80" t="b">
        <v>0</v>
      </c>
      <c r="AR848" s="80" t="b">
        <v>0</v>
      </c>
      <c r="AS848" s="80" t="b">
        <v>1</v>
      </c>
      <c r="AT848" s="80"/>
      <c r="AU848" s="80">
        <v>522</v>
      </c>
      <c r="AV848" s="87" t="str">
        <f>HYPERLINK("https://abs.twimg.com/images/themes/theme1/bg.png")</f>
        <v>https://abs.twimg.com/images/themes/theme1/bg.png</v>
      </c>
      <c r="AW848" s="80" t="b">
        <v>1</v>
      </c>
      <c r="AX848" s="80" t="s">
        <v>10746</v>
      </c>
      <c r="AY848" s="87" t="str">
        <f>HYPERLINK("https://twitter.com/tokopedia")</f>
        <v>https://twitter.com/tokopedia</v>
      </c>
      <c r="AZ848" s="80" t="s">
        <v>65</v>
      </c>
      <c r="BA848" s="2"/>
      <c r="BB848" s="3"/>
      <c r="BC848" s="3"/>
      <c r="BD848" s="3"/>
      <c r="BE848" s="3"/>
    </row>
    <row r="849" spans="1:57" x14ac:dyDescent="0.35">
      <c r="A849" s="66" t="s">
        <v>1434</v>
      </c>
      <c r="B849" s="67"/>
      <c r="C849" s="67"/>
      <c r="D849" s="68"/>
      <c r="E849" s="70"/>
      <c r="F849" s="109" t="str">
        <f>HYPERLINK("https://pbs.twimg.com/profile_images/1340986745429479425/CA0JhIXk_normal.jpg")</f>
        <v>https://pbs.twimg.com/profile_images/1340986745429479425/CA0JhIXk_normal.jpg</v>
      </c>
      <c r="G849" s="67"/>
      <c r="H849" s="71"/>
      <c r="I849" s="72"/>
      <c r="J849" s="72"/>
      <c r="K849" s="71" t="s">
        <v>11592</v>
      </c>
      <c r="L849" s="75"/>
      <c r="M849" s="76"/>
      <c r="N849" s="76"/>
      <c r="O849" s="77"/>
      <c r="P849" s="78"/>
      <c r="Q849" s="78"/>
      <c r="R849" s="92"/>
      <c r="S849" s="92"/>
      <c r="T849" s="92"/>
      <c r="U849" s="92"/>
      <c r="V849" s="52"/>
      <c r="W849" s="52"/>
      <c r="X849" s="52"/>
      <c r="Y849" s="52"/>
      <c r="Z849" s="51"/>
      <c r="AA849" s="73"/>
      <c r="AB849" s="73"/>
      <c r="AC849" s="74"/>
      <c r="AD849" s="80" t="s">
        <v>7417</v>
      </c>
      <c r="AE849" s="85" t="s">
        <v>8591</v>
      </c>
      <c r="AF849" s="80">
        <v>6</v>
      </c>
      <c r="AG849" s="80">
        <v>262740</v>
      </c>
      <c r="AH849" s="80">
        <v>950565</v>
      </c>
      <c r="AI849" s="80">
        <v>7038</v>
      </c>
      <c r="AJ849" s="80"/>
      <c r="AK849" s="80" t="s">
        <v>9712</v>
      </c>
      <c r="AL849" s="80" t="s">
        <v>6543</v>
      </c>
      <c r="AM849" s="87" t="str">
        <f>HYPERLINK("https://t.co/OmXuNXgFeJ")</f>
        <v>https://t.co/OmXuNXgFeJ</v>
      </c>
      <c r="AN849" s="80"/>
      <c r="AO849" s="82">
        <v>41736.250879629632</v>
      </c>
      <c r="AP849" s="87" t="str">
        <f>HYPERLINK("https://pbs.twimg.com/profile_banners/2431564153/1632492299")</f>
        <v>https://pbs.twimg.com/profile_banners/2431564153/1632492299</v>
      </c>
      <c r="AQ849" s="80" t="b">
        <v>0</v>
      </c>
      <c r="AR849" s="80" t="b">
        <v>0</v>
      </c>
      <c r="AS849" s="80" t="b">
        <v>1</v>
      </c>
      <c r="AT849" s="80"/>
      <c r="AU849" s="80">
        <v>134</v>
      </c>
      <c r="AV849" s="87" t="str">
        <f>HYPERLINK("https://abs.twimg.com/images/themes/theme1/bg.png")</f>
        <v>https://abs.twimg.com/images/themes/theme1/bg.png</v>
      </c>
      <c r="AW849" s="80" t="b">
        <v>1</v>
      </c>
      <c r="AX849" s="80" t="s">
        <v>10746</v>
      </c>
      <c r="AY849" s="87" t="str">
        <f>HYPERLINK("https://twitter.com/tokopediacare")</f>
        <v>https://twitter.com/tokopediacare</v>
      </c>
      <c r="AZ849" s="80" t="s">
        <v>65</v>
      </c>
      <c r="BA849" s="2"/>
      <c r="BB849" s="3"/>
      <c r="BC849" s="3"/>
      <c r="BD849" s="3"/>
      <c r="BE849" s="3"/>
    </row>
    <row r="850" spans="1:57" x14ac:dyDescent="0.35">
      <c r="A850" s="66" t="s">
        <v>890</v>
      </c>
      <c r="B850" s="67"/>
      <c r="C850" s="67"/>
      <c r="D850" s="68"/>
      <c r="E850" s="70"/>
      <c r="F850" s="109" t="str">
        <f>HYPERLINK("https://pbs.twimg.com/profile_images/1441767139346567180/ugYZUSxR_normal.jpg")</f>
        <v>https://pbs.twimg.com/profile_images/1441767139346567180/ugYZUSxR_normal.jpg</v>
      </c>
      <c r="G850" s="67"/>
      <c r="H850" s="71"/>
      <c r="I850" s="72"/>
      <c r="J850" s="72"/>
      <c r="K850" s="71" t="s">
        <v>11593</v>
      </c>
      <c r="L850" s="75"/>
      <c r="M850" s="76"/>
      <c r="N850" s="76"/>
      <c r="O850" s="77"/>
      <c r="P850" s="78"/>
      <c r="Q850" s="78"/>
      <c r="R850" s="92"/>
      <c r="S850" s="92"/>
      <c r="T850" s="92"/>
      <c r="U850" s="92"/>
      <c r="V850" s="52"/>
      <c r="W850" s="52"/>
      <c r="X850" s="52"/>
      <c r="Y850" s="52"/>
      <c r="Z850" s="51"/>
      <c r="AA850" s="73"/>
      <c r="AB850" s="73"/>
      <c r="AC850" s="74"/>
      <c r="AD850" s="80" t="s">
        <v>7418</v>
      </c>
      <c r="AE850" s="85" t="s">
        <v>8592</v>
      </c>
      <c r="AF850" s="80">
        <v>73</v>
      </c>
      <c r="AG850" s="80">
        <v>32</v>
      </c>
      <c r="AH850" s="80">
        <v>125</v>
      </c>
      <c r="AI850" s="80">
        <v>31</v>
      </c>
      <c r="AJ850" s="80"/>
      <c r="AK850" s="80" t="s">
        <v>9713</v>
      </c>
      <c r="AL850" s="80"/>
      <c r="AM850" s="80"/>
      <c r="AN850" s="80"/>
      <c r="AO850" s="82">
        <v>44461.242025462961</v>
      </c>
      <c r="AP850" s="80"/>
      <c r="AQ850" s="80" t="b">
        <v>1</v>
      </c>
      <c r="AR850" s="80" t="b">
        <v>0</v>
      </c>
      <c r="AS850" s="80" t="b">
        <v>0</v>
      </c>
      <c r="AT850" s="80"/>
      <c r="AU850" s="80">
        <v>0</v>
      </c>
      <c r="AV850" s="80"/>
      <c r="AW850" s="80" t="b">
        <v>0</v>
      </c>
      <c r="AX850" s="80" t="s">
        <v>10746</v>
      </c>
      <c r="AY850" s="87" t="str">
        <f>HYPERLINK("https://twitter.com/picknava3")</f>
        <v>https://twitter.com/picknava3</v>
      </c>
      <c r="AZ850" s="80" t="s">
        <v>66</v>
      </c>
      <c r="BA850" s="2"/>
      <c r="BB850" s="3"/>
      <c r="BC850" s="3"/>
      <c r="BD850" s="3"/>
      <c r="BE850" s="3"/>
    </row>
    <row r="851" spans="1:57" x14ac:dyDescent="0.35">
      <c r="A851" s="66" t="s">
        <v>891</v>
      </c>
      <c r="B851" s="67"/>
      <c r="C851" s="67"/>
      <c r="D851" s="68"/>
      <c r="E851" s="70"/>
      <c r="F851" s="109" t="str">
        <f>HYPERLINK("https://pbs.twimg.com/profile_images/1440597323290005508/YvjPI6jC_normal.jpg")</f>
        <v>https://pbs.twimg.com/profile_images/1440597323290005508/YvjPI6jC_normal.jpg</v>
      </c>
      <c r="G851" s="67"/>
      <c r="H851" s="71"/>
      <c r="I851" s="72"/>
      <c r="J851" s="72"/>
      <c r="K851" s="71" t="s">
        <v>11594</v>
      </c>
      <c r="L851" s="75"/>
      <c r="M851" s="76"/>
      <c r="N851" s="76"/>
      <c r="O851" s="77"/>
      <c r="P851" s="78"/>
      <c r="Q851" s="78"/>
      <c r="R851" s="92"/>
      <c r="S851" s="92"/>
      <c r="T851" s="92"/>
      <c r="U851" s="92"/>
      <c r="V851" s="52"/>
      <c r="W851" s="52"/>
      <c r="X851" s="52"/>
      <c r="Y851" s="52"/>
      <c r="Z851" s="51"/>
      <c r="AA851" s="73"/>
      <c r="AB851" s="73"/>
      <c r="AC851" s="74"/>
      <c r="AD851" s="80" t="s">
        <v>7419</v>
      </c>
      <c r="AE851" s="85" t="s">
        <v>8593</v>
      </c>
      <c r="AF851" s="80">
        <v>650</v>
      </c>
      <c r="AG851" s="80">
        <v>306</v>
      </c>
      <c r="AH851" s="80">
        <v>15075</v>
      </c>
      <c r="AI851" s="80">
        <v>22201</v>
      </c>
      <c r="AJ851" s="80"/>
      <c r="AK851" s="80"/>
      <c r="AL851" s="80" t="s">
        <v>10157</v>
      </c>
      <c r="AM851" s="80"/>
      <c r="AN851" s="80"/>
      <c r="AO851" s="82">
        <v>44147.038541666669</v>
      </c>
      <c r="AP851" s="87" t="str">
        <f>HYPERLINK("https://pbs.twimg.com/profile_banners/1326689976013234179/1629266849")</f>
        <v>https://pbs.twimg.com/profile_banners/1326689976013234179/1629266849</v>
      </c>
      <c r="AQ851" s="80" t="b">
        <v>1</v>
      </c>
      <c r="AR851" s="80" t="b">
        <v>0</v>
      </c>
      <c r="AS851" s="80" t="b">
        <v>0</v>
      </c>
      <c r="AT851" s="80"/>
      <c r="AU851" s="80">
        <v>1</v>
      </c>
      <c r="AV851" s="80"/>
      <c r="AW851" s="80" t="b">
        <v>0</v>
      </c>
      <c r="AX851" s="80" t="s">
        <v>10746</v>
      </c>
      <c r="AY851" s="87" t="str">
        <f>HYPERLINK("https://twitter.com/lauvkia")</f>
        <v>https://twitter.com/lauvkia</v>
      </c>
      <c r="AZ851" s="80" t="s">
        <v>66</v>
      </c>
      <c r="BA851" s="2"/>
      <c r="BB851" s="3"/>
      <c r="BC851" s="3"/>
      <c r="BD851" s="3"/>
      <c r="BE851" s="3"/>
    </row>
    <row r="852" spans="1:57" x14ac:dyDescent="0.35">
      <c r="A852" s="66" t="s">
        <v>892</v>
      </c>
      <c r="B852" s="67"/>
      <c r="C852" s="67"/>
      <c r="D852" s="68"/>
      <c r="E852" s="70"/>
      <c r="F852" s="109" t="str">
        <f>HYPERLINK("https://pbs.twimg.com/profile_images/1440244607577571331/3INHdfAa_normal.jpg")</f>
        <v>https://pbs.twimg.com/profile_images/1440244607577571331/3INHdfAa_normal.jpg</v>
      </c>
      <c r="G852" s="67"/>
      <c r="H852" s="71"/>
      <c r="I852" s="72"/>
      <c r="J852" s="72"/>
      <c r="K852" s="71" t="s">
        <v>11595</v>
      </c>
      <c r="L852" s="75"/>
      <c r="M852" s="76"/>
      <c r="N852" s="76"/>
      <c r="O852" s="77"/>
      <c r="P852" s="78"/>
      <c r="Q852" s="78"/>
      <c r="R852" s="92"/>
      <c r="S852" s="92"/>
      <c r="T852" s="92"/>
      <c r="U852" s="92"/>
      <c r="V852" s="52"/>
      <c r="W852" s="52"/>
      <c r="X852" s="52"/>
      <c r="Y852" s="52"/>
      <c r="Z852" s="51"/>
      <c r="AA852" s="73"/>
      <c r="AB852" s="73"/>
      <c r="AC852" s="74"/>
      <c r="AD852" s="80" t="s">
        <v>7420</v>
      </c>
      <c r="AE852" s="85" t="s">
        <v>8594</v>
      </c>
      <c r="AF852" s="80">
        <v>294</v>
      </c>
      <c r="AG852" s="80">
        <v>291</v>
      </c>
      <c r="AH852" s="80">
        <v>13694</v>
      </c>
      <c r="AI852" s="80">
        <v>28923</v>
      </c>
      <c r="AJ852" s="80"/>
      <c r="AK852" s="80" t="s">
        <v>9714</v>
      </c>
      <c r="AL852" s="80" t="s">
        <v>10182</v>
      </c>
      <c r="AM852" s="80"/>
      <c r="AN852" s="80"/>
      <c r="AO852" s="82">
        <v>42391.399618055555</v>
      </c>
      <c r="AP852" s="87" t="str">
        <f>HYPERLINK("https://pbs.twimg.com/profile_banners/4834650669/1630746131")</f>
        <v>https://pbs.twimg.com/profile_banners/4834650669/1630746131</v>
      </c>
      <c r="AQ852" s="80" t="b">
        <v>1</v>
      </c>
      <c r="AR852" s="80" t="b">
        <v>0</v>
      </c>
      <c r="AS852" s="80" t="b">
        <v>1</v>
      </c>
      <c r="AT852" s="80"/>
      <c r="AU852" s="80">
        <v>1</v>
      </c>
      <c r="AV852" s="80"/>
      <c r="AW852" s="80" t="b">
        <v>0</v>
      </c>
      <c r="AX852" s="80" t="s">
        <v>10746</v>
      </c>
      <c r="AY852" s="87" t="str">
        <f>HYPERLINK("https://twitter.com/syazzyjinbts")</f>
        <v>https://twitter.com/syazzyjinbts</v>
      </c>
      <c r="AZ852" s="80" t="s">
        <v>66</v>
      </c>
      <c r="BA852" s="2"/>
      <c r="BB852" s="3"/>
      <c r="BC852" s="3"/>
      <c r="BD852" s="3"/>
      <c r="BE852" s="3"/>
    </row>
    <row r="853" spans="1:57" x14ac:dyDescent="0.35">
      <c r="A853" s="66" t="s">
        <v>1435</v>
      </c>
      <c r="B853" s="67"/>
      <c r="C853" s="67"/>
      <c r="D853" s="68"/>
      <c r="E853" s="70"/>
      <c r="F853" s="109" t="str">
        <f>HYPERLINK("https://pbs.twimg.com/profile_images/1439190659106164741/h7NCyRGg_normal.jpg")</f>
        <v>https://pbs.twimg.com/profile_images/1439190659106164741/h7NCyRGg_normal.jpg</v>
      </c>
      <c r="G853" s="67"/>
      <c r="H853" s="71"/>
      <c r="I853" s="72"/>
      <c r="J853" s="72"/>
      <c r="K853" s="71" t="s">
        <v>11596</v>
      </c>
      <c r="L853" s="75"/>
      <c r="M853" s="76"/>
      <c r="N853" s="76"/>
      <c r="O853" s="77"/>
      <c r="P853" s="78"/>
      <c r="Q853" s="78"/>
      <c r="R853" s="92"/>
      <c r="S853" s="92"/>
      <c r="T853" s="92"/>
      <c r="U853" s="92"/>
      <c r="V853" s="52"/>
      <c r="W853" s="52"/>
      <c r="X853" s="52"/>
      <c r="Y853" s="52"/>
      <c r="Z853" s="51"/>
      <c r="AA853" s="73"/>
      <c r="AB853" s="73"/>
      <c r="AC853" s="74"/>
      <c r="AD853" s="80" t="s">
        <v>7421</v>
      </c>
      <c r="AE853" s="85" t="s">
        <v>6368</v>
      </c>
      <c r="AF853" s="80">
        <v>1002</v>
      </c>
      <c r="AG853" s="80">
        <v>386</v>
      </c>
      <c r="AH853" s="80">
        <v>55097</v>
      </c>
      <c r="AI853" s="80">
        <v>158681</v>
      </c>
      <c r="AJ853" s="80"/>
      <c r="AK853" s="80" t="s">
        <v>9715</v>
      </c>
      <c r="AL853" s="80" t="s">
        <v>10533</v>
      </c>
      <c r="AM853" s="87" t="str">
        <f>HYPERLINK("https://t.co/Nwyru2kZFV")</f>
        <v>https://t.co/Nwyru2kZFV</v>
      </c>
      <c r="AN853" s="80"/>
      <c r="AO853" s="82">
        <v>43510.212407407409</v>
      </c>
      <c r="AP853" s="87" t="str">
        <f>HYPERLINK("https://pbs.twimg.com/profile_banners/1095911980936790016/1631506207")</f>
        <v>https://pbs.twimg.com/profile_banners/1095911980936790016/1631506207</v>
      </c>
      <c r="AQ853" s="80" t="b">
        <v>1</v>
      </c>
      <c r="AR853" s="80" t="b">
        <v>0</v>
      </c>
      <c r="AS853" s="80" t="b">
        <v>1</v>
      </c>
      <c r="AT853" s="80"/>
      <c r="AU853" s="80">
        <v>2</v>
      </c>
      <c r="AV853" s="80"/>
      <c r="AW853" s="80" t="b">
        <v>0</v>
      </c>
      <c r="AX853" s="80" t="s">
        <v>10746</v>
      </c>
      <c r="AY853" s="87" t="str">
        <f>HYPERLINK("https://twitter.com/doeeyeskook")</f>
        <v>https://twitter.com/doeeyeskook</v>
      </c>
      <c r="AZ853" s="80" t="s">
        <v>65</v>
      </c>
      <c r="BA853" s="2"/>
      <c r="BB853" s="3"/>
      <c r="BC853" s="3"/>
      <c r="BD853" s="3"/>
      <c r="BE853" s="3"/>
    </row>
    <row r="854" spans="1:57" x14ac:dyDescent="0.35">
      <c r="A854" s="66" t="s">
        <v>893</v>
      </c>
      <c r="B854" s="67"/>
      <c r="C854" s="67"/>
      <c r="D854" s="68"/>
      <c r="E854" s="70"/>
      <c r="F854" s="109" t="str">
        <f>HYPERLINK("https://pbs.twimg.com/profile_images/1438559535870799874/5fyDM1sc_normal.jpg")</f>
        <v>https://pbs.twimg.com/profile_images/1438559535870799874/5fyDM1sc_normal.jpg</v>
      </c>
      <c r="G854" s="67"/>
      <c r="H854" s="71"/>
      <c r="I854" s="72"/>
      <c r="J854" s="72"/>
      <c r="K854" s="71" t="s">
        <v>11597</v>
      </c>
      <c r="L854" s="75"/>
      <c r="M854" s="76"/>
      <c r="N854" s="76"/>
      <c r="O854" s="77"/>
      <c r="P854" s="78"/>
      <c r="Q854" s="78"/>
      <c r="R854" s="92"/>
      <c r="S854" s="92"/>
      <c r="T854" s="92"/>
      <c r="U854" s="92"/>
      <c r="V854" s="52"/>
      <c r="W854" s="52"/>
      <c r="X854" s="52"/>
      <c r="Y854" s="52"/>
      <c r="Z854" s="51"/>
      <c r="AA854" s="73"/>
      <c r="AB854" s="73"/>
      <c r="AC854" s="74"/>
      <c r="AD854" s="80" t="s">
        <v>7422</v>
      </c>
      <c r="AE854" s="85" t="s">
        <v>8595</v>
      </c>
      <c r="AF854" s="80">
        <v>1057</v>
      </c>
      <c r="AG854" s="80">
        <v>188</v>
      </c>
      <c r="AH854" s="80">
        <v>17331</v>
      </c>
      <c r="AI854" s="80">
        <v>28954</v>
      </c>
      <c r="AJ854" s="80"/>
      <c r="AK854" s="80" t="s">
        <v>9716</v>
      </c>
      <c r="AL854" s="80" t="s">
        <v>10157</v>
      </c>
      <c r="AM854" s="87" t="str">
        <f>HYPERLINK("https://t.co/8wgd6eWiJ5")</f>
        <v>https://t.co/8wgd6eWiJ5</v>
      </c>
      <c r="AN854" s="80"/>
      <c r="AO854" s="82">
        <v>43987.204583333332</v>
      </c>
      <c r="AP854" s="87" t="str">
        <f>HYPERLINK("https://pbs.twimg.com/profile_banners/1268768058572591105/1631316953")</f>
        <v>https://pbs.twimg.com/profile_banners/1268768058572591105/1631316953</v>
      </c>
      <c r="AQ854" s="80" t="b">
        <v>1</v>
      </c>
      <c r="AR854" s="80" t="b">
        <v>0</v>
      </c>
      <c r="AS854" s="80" t="b">
        <v>0</v>
      </c>
      <c r="AT854" s="80"/>
      <c r="AU854" s="80">
        <v>1</v>
      </c>
      <c r="AV854" s="80"/>
      <c r="AW854" s="80" t="b">
        <v>0</v>
      </c>
      <c r="AX854" s="80" t="s">
        <v>10746</v>
      </c>
      <c r="AY854" s="87" t="str">
        <f>HYPERLINK("https://twitter.com/blkhairtannies")</f>
        <v>https://twitter.com/blkhairtannies</v>
      </c>
      <c r="AZ854" s="80" t="s">
        <v>66</v>
      </c>
      <c r="BA854" s="2"/>
      <c r="BB854" s="3"/>
      <c r="BC854" s="3"/>
      <c r="BD854" s="3"/>
      <c r="BE854" s="3"/>
    </row>
    <row r="855" spans="1:57" x14ac:dyDescent="0.35">
      <c r="A855" s="66" t="s">
        <v>894</v>
      </c>
      <c r="B855" s="67"/>
      <c r="C855" s="67"/>
      <c r="D855" s="68"/>
      <c r="E855" s="70"/>
      <c r="F855" s="109" t="str">
        <f>HYPERLINK("https://pbs.twimg.com/profile_images/1442376378393845761/s9TxVrBO_normal.jpg")</f>
        <v>https://pbs.twimg.com/profile_images/1442376378393845761/s9TxVrBO_normal.jpg</v>
      </c>
      <c r="G855" s="67"/>
      <c r="H855" s="71"/>
      <c r="I855" s="72"/>
      <c r="J855" s="72"/>
      <c r="K855" s="71" t="s">
        <v>11598</v>
      </c>
      <c r="L855" s="75"/>
      <c r="M855" s="76"/>
      <c r="N855" s="76"/>
      <c r="O855" s="77"/>
      <c r="P855" s="78"/>
      <c r="Q855" s="78"/>
      <c r="R855" s="92"/>
      <c r="S855" s="92"/>
      <c r="T855" s="92"/>
      <c r="U855" s="92"/>
      <c r="V855" s="52"/>
      <c r="W855" s="52"/>
      <c r="X855" s="52"/>
      <c r="Y855" s="52"/>
      <c r="Z855" s="51"/>
      <c r="AA855" s="73"/>
      <c r="AB855" s="73"/>
      <c r="AC855" s="74"/>
      <c r="AD855" s="80" t="s">
        <v>7423</v>
      </c>
      <c r="AE855" s="85" t="s">
        <v>8596</v>
      </c>
      <c r="AF855" s="80">
        <v>1203</v>
      </c>
      <c r="AG855" s="80">
        <v>802</v>
      </c>
      <c r="AH855" s="80">
        <v>10823</v>
      </c>
      <c r="AI855" s="80">
        <v>23465</v>
      </c>
      <c r="AJ855" s="80"/>
      <c r="AK855" s="80" t="s">
        <v>9717</v>
      </c>
      <c r="AL855" s="80" t="s">
        <v>10534</v>
      </c>
      <c r="AM855" s="80"/>
      <c r="AN855" s="80"/>
      <c r="AO855" s="82">
        <v>43168.113935185182</v>
      </c>
      <c r="AP855" s="87" t="str">
        <f>HYPERLINK("https://pbs.twimg.com/profile_banners/971939648166506497/1632186844")</f>
        <v>https://pbs.twimg.com/profile_banners/971939648166506497/1632186844</v>
      </c>
      <c r="AQ855" s="80" t="b">
        <v>1</v>
      </c>
      <c r="AR855" s="80" t="b">
        <v>0</v>
      </c>
      <c r="AS855" s="80" t="b">
        <v>1</v>
      </c>
      <c r="AT855" s="80"/>
      <c r="AU855" s="80">
        <v>7</v>
      </c>
      <c r="AV855" s="80"/>
      <c r="AW855" s="80" t="b">
        <v>0</v>
      </c>
      <c r="AX855" s="80" t="s">
        <v>10746</v>
      </c>
      <c r="AY855" s="87" t="str">
        <f>HYPERLINK("https://twitter.com/jeonbunnyqis")</f>
        <v>https://twitter.com/jeonbunnyqis</v>
      </c>
      <c r="AZ855" s="80" t="s">
        <v>66</v>
      </c>
      <c r="BA855" s="2"/>
      <c r="BB855" s="3"/>
      <c r="BC855" s="3"/>
      <c r="BD855" s="3"/>
      <c r="BE855" s="3"/>
    </row>
    <row r="856" spans="1:57" x14ac:dyDescent="0.35">
      <c r="A856" s="66" t="s">
        <v>895</v>
      </c>
      <c r="B856" s="67"/>
      <c r="C856" s="67"/>
      <c r="D856" s="68"/>
      <c r="E856" s="70"/>
      <c r="F856" s="109" t="str">
        <f>HYPERLINK("https://pbs.twimg.com/profile_images/1433612503850754049/08DnTwCa_normal.jpg")</f>
        <v>https://pbs.twimg.com/profile_images/1433612503850754049/08DnTwCa_normal.jpg</v>
      </c>
      <c r="G856" s="67"/>
      <c r="H856" s="71"/>
      <c r="I856" s="72"/>
      <c r="J856" s="72"/>
      <c r="K856" s="71" t="s">
        <v>11599</v>
      </c>
      <c r="L856" s="75"/>
      <c r="M856" s="76"/>
      <c r="N856" s="76"/>
      <c r="O856" s="77"/>
      <c r="P856" s="78"/>
      <c r="Q856" s="78"/>
      <c r="R856" s="92"/>
      <c r="S856" s="92"/>
      <c r="T856" s="92"/>
      <c r="U856" s="92"/>
      <c r="V856" s="52"/>
      <c r="W856" s="52"/>
      <c r="X856" s="52"/>
      <c r="Y856" s="52"/>
      <c r="Z856" s="51"/>
      <c r="AA856" s="73"/>
      <c r="AB856" s="73"/>
      <c r="AC856" s="74"/>
      <c r="AD856" s="80" t="s">
        <v>7424</v>
      </c>
      <c r="AE856" s="85" t="s">
        <v>8597</v>
      </c>
      <c r="AF856" s="80">
        <v>1114</v>
      </c>
      <c r="AG856" s="80">
        <v>1217</v>
      </c>
      <c r="AH856" s="80">
        <v>37697</v>
      </c>
      <c r="AI856" s="80">
        <v>135532</v>
      </c>
      <c r="AJ856" s="80"/>
      <c r="AK856" s="80" t="s">
        <v>9718</v>
      </c>
      <c r="AL856" s="80" t="s">
        <v>10427</v>
      </c>
      <c r="AM856" s="87" t="str">
        <f>HYPERLINK("https://t.co/skzsITHfy1")</f>
        <v>https://t.co/skzsITHfy1</v>
      </c>
      <c r="AN856" s="80"/>
      <c r="AO856" s="82">
        <v>41074.536354166667</v>
      </c>
      <c r="AP856" s="87" t="str">
        <f>HYPERLINK("https://pbs.twimg.com/profile_banners/608197563/1630634864")</f>
        <v>https://pbs.twimg.com/profile_banners/608197563/1630634864</v>
      </c>
      <c r="AQ856" s="80" t="b">
        <v>0</v>
      </c>
      <c r="AR856" s="80" t="b">
        <v>0</v>
      </c>
      <c r="AS856" s="80" t="b">
        <v>1</v>
      </c>
      <c r="AT856" s="80"/>
      <c r="AU856" s="80">
        <v>13</v>
      </c>
      <c r="AV856" s="87" t="str">
        <f>HYPERLINK("https://abs.twimg.com/images/themes/theme5/bg.gif")</f>
        <v>https://abs.twimg.com/images/themes/theme5/bg.gif</v>
      </c>
      <c r="AW856" s="80" t="b">
        <v>0</v>
      </c>
      <c r="AX856" s="80" t="s">
        <v>10746</v>
      </c>
      <c r="AY856" s="87" t="str">
        <f>HYPERLINK("https://twitter.com/busannfairies")</f>
        <v>https://twitter.com/busannfairies</v>
      </c>
      <c r="AZ856" s="80" t="s">
        <v>66</v>
      </c>
      <c r="BA856" s="2"/>
      <c r="BB856" s="3"/>
      <c r="BC856" s="3"/>
      <c r="BD856" s="3"/>
      <c r="BE856" s="3"/>
    </row>
    <row r="857" spans="1:57" x14ac:dyDescent="0.35">
      <c r="A857" s="66" t="s">
        <v>896</v>
      </c>
      <c r="B857" s="67"/>
      <c r="C857" s="67"/>
      <c r="D857" s="68"/>
      <c r="E857" s="70"/>
      <c r="F857" s="109" t="str">
        <f>HYPERLINK("https://pbs.twimg.com/profile_images/1441413720916123653/2yuW-xCb_normal.jpg")</f>
        <v>https://pbs.twimg.com/profile_images/1441413720916123653/2yuW-xCb_normal.jpg</v>
      </c>
      <c r="G857" s="67"/>
      <c r="H857" s="71"/>
      <c r="I857" s="72"/>
      <c r="J857" s="72"/>
      <c r="K857" s="71" t="s">
        <v>11600</v>
      </c>
      <c r="L857" s="75"/>
      <c r="M857" s="76"/>
      <c r="N857" s="76"/>
      <c r="O857" s="77"/>
      <c r="P857" s="78"/>
      <c r="Q857" s="78"/>
      <c r="R857" s="92"/>
      <c r="S857" s="92"/>
      <c r="T857" s="92"/>
      <c r="U857" s="92"/>
      <c r="V857" s="52"/>
      <c r="W857" s="52"/>
      <c r="X857" s="52"/>
      <c r="Y857" s="52"/>
      <c r="Z857" s="51"/>
      <c r="AA857" s="73"/>
      <c r="AB857" s="73"/>
      <c r="AC857" s="74"/>
      <c r="AD857" s="80" t="s">
        <v>7425</v>
      </c>
      <c r="AE857" s="85" t="s">
        <v>8598</v>
      </c>
      <c r="AF857" s="80">
        <v>542</v>
      </c>
      <c r="AG857" s="80">
        <v>562</v>
      </c>
      <c r="AH857" s="80">
        <v>20121</v>
      </c>
      <c r="AI857" s="80">
        <v>273</v>
      </c>
      <c r="AJ857" s="80"/>
      <c r="AK857" s="80" t="s">
        <v>9719</v>
      </c>
      <c r="AL857" s="80" t="s">
        <v>10535</v>
      </c>
      <c r="AM857" s="80"/>
      <c r="AN857" s="80"/>
      <c r="AO857" s="82">
        <v>44252.515474537038</v>
      </c>
      <c r="AP857" s="87" t="str">
        <f>HYPERLINK("https://pbs.twimg.com/profile_banners/1364913583117664258/1632494785")</f>
        <v>https://pbs.twimg.com/profile_banners/1364913583117664258/1632494785</v>
      </c>
      <c r="AQ857" s="80" t="b">
        <v>1</v>
      </c>
      <c r="AR857" s="80" t="b">
        <v>0</v>
      </c>
      <c r="AS857" s="80" t="b">
        <v>0</v>
      </c>
      <c r="AT857" s="80"/>
      <c r="AU857" s="80">
        <v>7</v>
      </c>
      <c r="AV857" s="80"/>
      <c r="AW857" s="80" t="b">
        <v>0</v>
      </c>
      <c r="AX857" s="80" t="s">
        <v>10746</v>
      </c>
      <c r="AY857" s="87" t="str">
        <f>HYPERLINK("https://twitter.com/ho6ism")</f>
        <v>https://twitter.com/ho6ism</v>
      </c>
      <c r="AZ857" s="80" t="s">
        <v>66</v>
      </c>
      <c r="BA857" s="2"/>
      <c r="BB857" s="3"/>
      <c r="BC857" s="3"/>
      <c r="BD857" s="3"/>
      <c r="BE857" s="3"/>
    </row>
    <row r="858" spans="1:57" x14ac:dyDescent="0.35">
      <c r="A858" s="66" t="s">
        <v>897</v>
      </c>
      <c r="B858" s="67"/>
      <c r="C858" s="67"/>
      <c r="D858" s="68"/>
      <c r="E858" s="70"/>
      <c r="F858" s="109" t="str">
        <f>HYPERLINK("https://pbs.twimg.com/profile_images/1436423756293939200/gV9h1YMC_normal.jpg")</f>
        <v>https://pbs.twimg.com/profile_images/1436423756293939200/gV9h1YMC_normal.jpg</v>
      </c>
      <c r="G858" s="67"/>
      <c r="H858" s="71"/>
      <c r="I858" s="72"/>
      <c r="J858" s="72"/>
      <c r="K858" s="71" t="s">
        <v>11601</v>
      </c>
      <c r="L858" s="75"/>
      <c r="M858" s="76"/>
      <c r="N858" s="76"/>
      <c r="O858" s="77"/>
      <c r="P858" s="78"/>
      <c r="Q858" s="78"/>
      <c r="R858" s="92"/>
      <c r="S858" s="92"/>
      <c r="T858" s="92"/>
      <c r="U858" s="92"/>
      <c r="V858" s="52"/>
      <c r="W858" s="52"/>
      <c r="X858" s="52"/>
      <c r="Y858" s="52"/>
      <c r="Z858" s="51"/>
      <c r="AA858" s="73"/>
      <c r="AB858" s="73"/>
      <c r="AC858" s="74"/>
      <c r="AD858" s="80" t="s">
        <v>7426</v>
      </c>
      <c r="AE858" s="85" t="s">
        <v>8599</v>
      </c>
      <c r="AF858" s="80">
        <v>317</v>
      </c>
      <c r="AG858" s="80">
        <v>70</v>
      </c>
      <c r="AH858" s="80">
        <v>9036</v>
      </c>
      <c r="AI858" s="80">
        <v>36250</v>
      </c>
      <c r="AJ858" s="80"/>
      <c r="AK858" s="80" t="s">
        <v>9720</v>
      </c>
      <c r="AL858" s="80"/>
      <c r="AM858" s="80"/>
      <c r="AN858" s="80"/>
      <c r="AO858" s="82">
        <v>43618.616527777776</v>
      </c>
      <c r="AP858" s="87" t="str">
        <f>HYPERLINK("https://pbs.twimg.com/profile_banners/1135196321462177792/1631303373")</f>
        <v>https://pbs.twimg.com/profile_banners/1135196321462177792/1631303373</v>
      </c>
      <c r="AQ858" s="80" t="b">
        <v>1</v>
      </c>
      <c r="AR858" s="80" t="b">
        <v>0</v>
      </c>
      <c r="AS858" s="80" t="b">
        <v>1</v>
      </c>
      <c r="AT858" s="80"/>
      <c r="AU858" s="80">
        <v>2</v>
      </c>
      <c r="AV858" s="80"/>
      <c r="AW858" s="80" t="b">
        <v>0</v>
      </c>
      <c r="AX858" s="80" t="s">
        <v>10746</v>
      </c>
      <c r="AY858" s="87" t="str">
        <f>HYPERLINK("https://twitter.com/arnabjungkook")</f>
        <v>https://twitter.com/arnabjungkook</v>
      </c>
      <c r="AZ858" s="80" t="s">
        <v>66</v>
      </c>
      <c r="BA858" s="2"/>
      <c r="BB858" s="3"/>
      <c r="BC858" s="3"/>
      <c r="BD858" s="3"/>
      <c r="BE858" s="3"/>
    </row>
    <row r="859" spans="1:57" x14ac:dyDescent="0.35">
      <c r="A859" s="66" t="s">
        <v>898</v>
      </c>
      <c r="B859" s="67"/>
      <c r="C859" s="67"/>
      <c r="D859" s="68"/>
      <c r="E859" s="70"/>
      <c r="F859" s="109" t="str">
        <f>HYPERLINK("https://pbs.twimg.com/profile_images/1437083833824780289/T4YjecZb_normal.jpg")</f>
        <v>https://pbs.twimg.com/profile_images/1437083833824780289/T4YjecZb_normal.jpg</v>
      </c>
      <c r="G859" s="67"/>
      <c r="H859" s="71"/>
      <c r="I859" s="72"/>
      <c r="J859" s="72"/>
      <c r="K859" s="71" t="s">
        <v>11602</v>
      </c>
      <c r="L859" s="75"/>
      <c r="M859" s="76"/>
      <c r="N859" s="76"/>
      <c r="O859" s="77"/>
      <c r="P859" s="78"/>
      <c r="Q859" s="78"/>
      <c r="R859" s="92"/>
      <c r="S859" s="92"/>
      <c r="T859" s="92"/>
      <c r="U859" s="92"/>
      <c r="V859" s="52"/>
      <c r="W859" s="52"/>
      <c r="X859" s="52"/>
      <c r="Y859" s="52"/>
      <c r="Z859" s="51"/>
      <c r="AA859" s="73"/>
      <c r="AB859" s="73"/>
      <c r="AC859" s="74"/>
      <c r="AD859" s="80" t="s">
        <v>7427</v>
      </c>
      <c r="AE859" s="85" t="s">
        <v>8600</v>
      </c>
      <c r="AF859" s="80">
        <v>1287</v>
      </c>
      <c r="AG859" s="80">
        <v>2373</v>
      </c>
      <c r="AH859" s="80">
        <v>61303</v>
      </c>
      <c r="AI859" s="80">
        <v>129536</v>
      </c>
      <c r="AJ859" s="80"/>
      <c r="AK859" s="80" t="s">
        <v>9721</v>
      </c>
      <c r="AL859" s="80" t="s">
        <v>10536</v>
      </c>
      <c r="AM859" s="87" t="str">
        <f>HYPERLINK("https://t.co/BQSIf0sykh")</f>
        <v>https://t.co/BQSIf0sykh</v>
      </c>
      <c r="AN859" s="80"/>
      <c r="AO859" s="82">
        <v>41559.292557870373</v>
      </c>
      <c r="AP859" s="87" t="str">
        <f>HYPERLINK("https://pbs.twimg.com/profile_banners/1956006787/1631462973")</f>
        <v>https://pbs.twimg.com/profile_banners/1956006787/1631462973</v>
      </c>
      <c r="AQ859" s="80" t="b">
        <v>0</v>
      </c>
      <c r="AR859" s="80" t="b">
        <v>0</v>
      </c>
      <c r="AS859" s="80" t="b">
        <v>1</v>
      </c>
      <c r="AT859" s="80"/>
      <c r="AU859" s="80">
        <v>19</v>
      </c>
      <c r="AV859" s="87" t="str">
        <f>HYPERLINK("https://abs.twimg.com/images/themes/theme17/bg.gif")</f>
        <v>https://abs.twimg.com/images/themes/theme17/bg.gif</v>
      </c>
      <c r="AW859" s="80" t="b">
        <v>0</v>
      </c>
      <c r="AX859" s="80" t="s">
        <v>10746</v>
      </c>
      <c r="AY859" s="87" t="str">
        <f>HYPERLINK("https://twitter.com/mydearjiminie")</f>
        <v>https://twitter.com/mydearjiminie</v>
      </c>
      <c r="AZ859" s="80" t="s">
        <v>66</v>
      </c>
      <c r="BA859" s="2"/>
      <c r="BB859" s="3"/>
      <c r="BC859" s="3"/>
      <c r="BD859" s="3"/>
      <c r="BE859" s="3"/>
    </row>
    <row r="860" spans="1:57" x14ac:dyDescent="0.35">
      <c r="A860" s="66" t="s">
        <v>899</v>
      </c>
      <c r="B860" s="67"/>
      <c r="C860" s="67"/>
      <c r="D860" s="68"/>
      <c r="E860" s="70"/>
      <c r="F860" s="109" t="str">
        <f>HYPERLINK("https://pbs.twimg.com/profile_images/1438465858561396743/-C3I1kkp_normal.jpg")</f>
        <v>https://pbs.twimg.com/profile_images/1438465858561396743/-C3I1kkp_normal.jpg</v>
      </c>
      <c r="G860" s="67"/>
      <c r="H860" s="71"/>
      <c r="I860" s="72"/>
      <c r="J860" s="72"/>
      <c r="K860" s="71" t="s">
        <v>11603</v>
      </c>
      <c r="L860" s="75"/>
      <c r="M860" s="76"/>
      <c r="N860" s="76"/>
      <c r="O860" s="77"/>
      <c r="P860" s="78"/>
      <c r="Q860" s="78"/>
      <c r="R860" s="92"/>
      <c r="S860" s="92"/>
      <c r="T860" s="92"/>
      <c r="U860" s="92"/>
      <c r="V860" s="52"/>
      <c r="W860" s="52"/>
      <c r="X860" s="52"/>
      <c r="Y860" s="52"/>
      <c r="Z860" s="51"/>
      <c r="AA860" s="73"/>
      <c r="AB860" s="73"/>
      <c r="AC860" s="74"/>
      <c r="AD860" s="80" t="s">
        <v>7428</v>
      </c>
      <c r="AE860" s="85" t="s">
        <v>8601</v>
      </c>
      <c r="AF860" s="80">
        <v>517</v>
      </c>
      <c r="AG860" s="80">
        <v>474</v>
      </c>
      <c r="AH860" s="80">
        <v>6428</v>
      </c>
      <c r="AI860" s="80">
        <v>13724</v>
      </c>
      <c r="AJ860" s="80"/>
      <c r="AK860" s="80" t="s">
        <v>9722</v>
      </c>
      <c r="AL860" s="80" t="s">
        <v>10182</v>
      </c>
      <c r="AM860" s="80"/>
      <c r="AN860" s="80"/>
      <c r="AO860" s="82">
        <v>43709.614166666666</v>
      </c>
      <c r="AP860" s="87" t="str">
        <f>HYPERLINK("https://pbs.twimg.com/profile_banners/1168172697609596928/1631620283")</f>
        <v>https://pbs.twimg.com/profile_banners/1168172697609596928/1631620283</v>
      </c>
      <c r="AQ860" s="80" t="b">
        <v>1</v>
      </c>
      <c r="AR860" s="80" t="b">
        <v>0</v>
      </c>
      <c r="AS860" s="80" t="b">
        <v>0</v>
      </c>
      <c r="AT860" s="80"/>
      <c r="AU860" s="80">
        <v>1</v>
      </c>
      <c r="AV860" s="80"/>
      <c r="AW860" s="80" t="b">
        <v>0</v>
      </c>
      <c r="AX860" s="80" t="s">
        <v>10746</v>
      </c>
      <c r="AY860" s="87" t="str">
        <f>HYPERLINK("https://twitter.com/jks_ladyice")</f>
        <v>https://twitter.com/jks_ladyice</v>
      </c>
      <c r="AZ860" s="80" t="s">
        <v>66</v>
      </c>
      <c r="BA860" s="2"/>
      <c r="BB860" s="3"/>
      <c r="BC860" s="3"/>
      <c r="BD860" s="3"/>
      <c r="BE860" s="3"/>
    </row>
    <row r="861" spans="1:57" x14ac:dyDescent="0.35">
      <c r="A861" s="66" t="s">
        <v>900</v>
      </c>
      <c r="B861" s="67"/>
      <c r="C861" s="67"/>
      <c r="D861" s="68"/>
      <c r="E861" s="70"/>
      <c r="F861" s="109" t="str">
        <f>HYPERLINK("https://pbs.twimg.com/profile_images/1441656600104632326/kClaNhkv_normal.jpg")</f>
        <v>https://pbs.twimg.com/profile_images/1441656600104632326/kClaNhkv_normal.jpg</v>
      </c>
      <c r="G861" s="67"/>
      <c r="H861" s="71"/>
      <c r="I861" s="72"/>
      <c r="J861" s="72"/>
      <c r="K861" s="71" t="s">
        <v>11604</v>
      </c>
      <c r="L861" s="75"/>
      <c r="M861" s="76"/>
      <c r="N861" s="76"/>
      <c r="O861" s="77"/>
      <c r="P861" s="78"/>
      <c r="Q861" s="78"/>
      <c r="R861" s="92"/>
      <c r="S861" s="92"/>
      <c r="T861" s="92"/>
      <c r="U861" s="92"/>
      <c r="V861" s="52"/>
      <c r="W861" s="52"/>
      <c r="X861" s="52"/>
      <c r="Y861" s="52"/>
      <c r="Z861" s="51"/>
      <c r="AA861" s="73"/>
      <c r="AB861" s="73"/>
      <c r="AC861" s="74"/>
      <c r="AD861" s="80" t="s">
        <v>7429</v>
      </c>
      <c r="AE861" s="85" t="s">
        <v>8602</v>
      </c>
      <c r="AF861" s="80">
        <v>307</v>
      </c>
      <c r="AG861" s="80">
        <v>309</v>
      </c>
      <c r="AH861" s="80">
        <v>4273</v>
      </c>
      <c r="AI861" s="80">
        <v>3561</v>
      </c>
      <c r="AJ861" s="80"/>
      <c r="AK861" s="80" t="s">
        <v>9723</v>
      </c>
      <c r="AL861" s="80" t="s">
        <v>10537</v>
      </c>
      <c r="AM861" s="80"/>
      <c r="AN861" s="80"/>
      <c r="AO861" s="82">
        <v>44024.632604166669</v>
      </c>
      <c r="AP861" s="87" t="str">
        <f>HYPERLINK("https://pbs.twimg.com/profile_banners/1282331305519112192/1632532924")</f>
        <v>https://pbs.twimg.com/profile_banners/1282331305519112192/1632532924</v>
      </c>
      <c r="AQ861" s="80" t="b">
        <v>1</v>
      </c>
      <c r="AR861" s="80" t="b">
        <v>0</v>
      </c>
      <c r="AS861" s="80" t="b">
        <v>0</v>
      </c>
      <c r="AT861" s="80"/>
      <c r="AU861" s="80">
        <v>9</v>
      </c>
      <c r="AV861" s="80"/>
      <c r="AW861" s="80" t="b">
        <v>0</v>
      </c>
      <c r="AX861" s="80" t="s">
        <v>10746</v>
      </c>
      <c r="AY861" s="87" t="str">
        <f>HYPERLINK("https://twitter.com/lilhannies")</f>
        <v>https://twitter.com/lilhannies</v>
      </c>
      <c r="AZ861" s="80" t="s">
        <v>66</v>
      </c>
      <c r="BA861" s="2"/>
      <c r="BB861" s="3"/>
      <c r="BC861" s="3"/>
      <c r="BD861" s="3"/>
      <c r="BE861" s="3"/>
    </row>
    <row r="862" spans="1:57" x14ac:dyDescent="0.35">
      <c r="A862" s="66" t="s">
        <v>1436</v>
      </c>
      <c r="B862" s="67"/>
      <c r="C862" s="67"/>
      <c r="D862" s="68"/>
      <c r="E862" s="70"/>
      <c r="F862" s="109" t="str">
        <f>HYPERLINK("https://pbs.twimg.com/profile_images/1441283056501805063/3HSo3ySK_normal.jpg")</f>
        <v>https://pbs.twimg.com/profile_images/1441283056501805063/3HSo3ySK_normal.jpg</v>
      </c>
      <c r="G862" s="67"/>
      <c r="H862" s="71"/>
      <c r="I862" s="72"/>
      <c r="J862" s="72"/>
      <c r="K862" s="71" t="s">
        <v>11605</v>
      </c>
      <c r="L862" s="75"/>
      <c r="M862" s="76"/>
      <c r="N862" s="76"/>
      <c r="O862" s="77"/>
      <c r="P862" s="78"/>
      <c r="Q862" s="78"/>
      <c r="R862" s="92"/>
      <c r="S862" s="92"/>
      <c r="T862" s="92"/>
      <c r="U862" s="92"/>
      <c r="V862" s="52"/>
      <c r="W862" s="52"/>
      <c r="X862" s="52"/>
      <c r="Y862" s="52"/>
      <c r="Z862" s="51"/>
      <c r="AA862" s="73"/>
      <c r="AB862" s="73"/>
      <c r="AC862" s="74"/>
      <c r="AD862" s="80" t="s">
        <v>7430</v>
      </c>
      <c r="AE862" s="85" t="s">
        <v>6369</v>
      </c>
      <c r="AF862" s="80">
        <v>168</v>
      </c>
      <c r="AG862" s="80">
        <v>209</v>
      </c>
      <c r="AH862" s="80">
        <v>4224</v>
      </c>
      <c r="AI862" s="80">
        <v>4219</v>
      </c>
      <c r="AJ862" s="80"/>
      <c r="AK862" s="80" t="s">
        <v>9724</v>
      </c>
      <c r="AL862" s="80" t="s">
        <v>10538</v>
      </c>
      <c r="AM862" s="87" t="str">
        <f>HYPERLINK("https://t.co/0iW5ODRJS9")</f>
        <v>https://t.co/0iW5ODRJS9</v>
      </c>
      <c r="AN862" s="80"/>
      <c r="AO862" s="82">
        <v>44448.515393518515</v>
      </c>
      <c r="AP862" s="87" t="str">
        <f>HYPERLINK("https://pbs.twimg.com/profile_banners/1435941523183472641/1632420347")</f>
        <v>https://pbs.twimg.com/profile_banners/1435941523183472641/1632420347</v>
      </c>
      <c r="AQ862" s="80" t="b">
        <v>1</v>
      </c>
      <c r="AR862" s="80" t="b">
        <v>0</v>
      </c>
      <c r="AS862" s="80" t="b">
        <v>0</v>
      </c>
      <c r="AT862" s="80"/>
      <c r="AU862" s="80">
        <v>5</v>
      </c>
      <c r="AV862" s="80"/>
      <c r="AW862" s="80" t="b">
        <v>0</v>
      </c>
      <c r="AX862" s="80" t="s">
        <v>10746</v>
      </c>
      <c r="AY862" s="87" t="str">
        <f>HYPERLINK("https://twitter.com/qtpjvn")</f>
        <v>https://twitter.com/qtpjvn</v>
      </c>
      <c r="AZ862" s="80" t="s">
        <v>65</v>
      </c>
      <c r="BA862" s="2"/>
      <c r="BB862" s="3"/>
      <c r="BC862" s="3"/>
      <c r="BD862" s="3"/>
      <c r="BE862" s="3"/>
    </row>
    <row r="863" spans="1:57" x14ac:dyDescent="0.35">
      <c r="A863" s="66" t="s">
        <v>901</v>
      </c>
      <c r="B863" s="67"/>
      <c r="C863" s="67"/>
      <c r="D863" s="68"/>
      <c r="E863" s="70"/>
      <c r="F863" s="109" t="str">
        <f>HYPERLINK("https://pbs.twimg.com/profile_images/1437448127171100679/uJGDFFuw_normal.jpg")</f>
        <v>https://pbs.twimg.com/profile_images/1437448127171100679/uJGDFFuw_normal.jpg</v>
      </c>
      <c r="G863" s="67"/>
      <c r="H863" s="71"/>
      <c r="I863" s="72"/>
      <c r="J863" s="72"/>
      <c r="K863" s="71" t="s">
        <v>11606</v>
      </c>
      <c r="L863" s="75"/>
      <c r="M863" s="76"/>
      <c r="N863" s="76"/>
      <c r="O863" s="77"/>
      <c r="P863" s="78"/>
      <c r="Q863" s="78"/>
      <c r="R863" s="92"/>
      <c r="S863" s="92"/>
      <c r="T863" s="92"/>
      <c r="U863" s="92"/>
      <c r="V863" s="52"/>
      <c r="W863" s="52"/>
      <c r="X863" s="52"/>
      <c r="Y863" s="52"/>
      <c r="Z863" s="51"/>
      <c r="AA863" s="73"/>
      <c r="AB863" s="73"/>
      <c r="AC863" s="74"/>
      <c r="AD863" s="80" t="s">
        <v>7431</v>
      </c>
      <c r="AE863" s="85" t="s">
        <v>8603</v>
      </c>
      <c r="AF863" s="80">
        <v>1703</v>
      </c>
      <c r="AG863" s="80">
        <v>1736</v>
      </c>
      <c r="AH863" s="80">
        <v>32384</v>
      </c>
      <c r="AI863" s="80">
        <v>106544</v>
      </c>
      <c r="AJ863" s="80"/>
      <c r="AK863" s="80" t="s">
        <v>9725</v>
      </c>
      <c r="AL863" s="80" t="s">
        <v>10539</v>
      </c>
      <c r="AM863" s="87" t="str">
        <f>HYPERLINK("https://t.co/JYqpUNoDLG")</f>
        <v>https://t.co/JYqpUNoDLG</v>
      </c>
      <c r="AN863" s="80"/>
      <c r="AO863" s="82">
        <v>43464.522800925923</v>
      </c>
      <c r="AP863" s="87" t="str">
        <f>HYPERLINK("https://pbs.twimg.com/profile_banners/1079354624824332288/1632801908")</f>
        <v>https://pbs.twimg.com/profile_banners/1079354624824332288/1632801908</v>
      </c>
      <c r="AQ863" s="80" t="b">
        <v>1</v>
      </c>
      <c r="AR863" s="80" t="b">
        <v>0</v>
      </c>
      <c r="AS863" s="80" t="b">
        <v>0</v>
      </c>
      <c r="AT863" s="80"/>
      <c r="AU863" s="80">
        <v>26</v>
      </c>
      <c r="AV863" s="80"/>
      <c r="AW863" s="80" t="b">
        <v>0</v>
      </c>
      <c r="AX863" s="80" t="s">
        <v>10746</v>
      </c>
      <c r="AY863" s="87" t="str">
        <f>HYPERLINK("https://twitter.com/cheriekoo_")</f>
        <v>https://twitter.com/cheriekoo_</v>
      </c>
      <c r="AZ863" s="80" t="s">
        <v>66</v>
      </c>
      <c r="BA863" s="2"/>
      <c r="BB863" s="3"/>
      <c r="BC863" s="3"/>
      <c r="BD863" s="3"/>
      <c r="BE863" s="3"/>
    </row>
    <row r="864" spans="1:57" x14ac:dyDescent="0.35">
      <c r="A864" s="66" t="s">
        <v>902</v>
      </c>
      <c r="B864" s="67"/>
      <c r="C864" s="67"/>
      <c r="D864" s="68"/>
      <c r="E864" s="70"/>
      <c r="F864" s="109" t="str">
        <f>HYPERLINK("https://pbs.twimg.com/profile_images/1442181322621947904/qIiOSZoZ_normal.jpg")</f>
        <v>https://pbs.twimg.com/profile_images/1442181322621947904/qIiOSZoZ_normal.jpg</v>
      </c>
      <c r="G864" s="67"/>
      <c r="H864" s="71"/>
      <c r="I864" s="72"/>
      <c r="J864" s="72"/>
      <c r="K864" s="71" t="s">
        <v>11607</v>
      </c>
      <c r="L864" s="75"/>
      <c r="M864" s="76"/>
      <c r="N864" s="76"/>
      <c r="O864" s="77"/>
      <c r="P864" s="78"/>
      <c r="Q864" s="78"/>
      <c r="R864" s="92"/>
      <c r="S864" s="92"/>
      <c r="T864" s="92"/>
      <c r="U864" s="92"/>
      <c r="V864" s="52"/>
      <c r="W864" s="52"/>
      <c r="X864" s="52"/>
      <c r="Y864" s="52"/>
      <c r="Z864" s="51"/>
      <c r="AA864" s="73"/>
      <c r="AB864" s="73"/>
      <c r="AC864" s="74"/>
      <c r="AD864" s="80" t="s">
        <v>7432</v>
      </c>
      <c r="AE864" s="85" t="s">
        <v>8604</v>
      </c>
      <c r="AF864" s="80">
        <v>441</v>
      </c>
      <c r="AG864" s="80">
        <v>596</v>
      </c>
      <c r="AH864" s="80">
        <v>74593</v>
      </c>
      <c r="AI864" s="80">
        <v>15621</v>
      </c>
      <c r="AJ864" s="80"/>
      <c r="AK864" s="80" t="s">
        <v>9726</v>
      </c>
      <c r="AL864" s="80"/>
      <c r="AM864" s="80"/>
      <c r="AN864" s="80"/>
      <c r="AO864" s="82">
        <v>40813.373715277776</v>
      </c>
      <c r="AP864" s="87" t="str">
        <f>HYPERLINK("https://pbs.twimg.com/profile_banners/380822929/1625381669")</f>
        <v>https://pbs.twimg.com/profile_banners/380822929/1625381669</v>
      </c>
      <c r="AQ864" s="80" t="b">
        <v>0</v>
      </c>
      <c r="AR864" s="80" t="b">
        <v>0</v>
      </c>
      <c r="AS864" s="80" t="b">
        <v>1</v>
      </c>
      <c r="AT864" s="80"/>
      <c r="AU864" s="80">
        <v>3</v>
      </c>
      <c r="AV864" s="87" t="str">
        <f>HYPERLINK("https://abs.twimg.com/images/themes/theme1/bg.png")</f>
        <v>https://abs.twimg.com/images/themes/theme1/bg.png</v>
      </c>
      <c r="AW864" s="80" t="b">
        <v>0</v>
      </c>
      <c r="AX864" s="80" t="s">
        <v>10746</v>
      </c>
      <c r="AY864" s="87" t="str">
        <f>HYPERLINK("https://twitter.com/thenexteleanor")</f>
        <v>https://twitter.com/thenexteleanor</v>
      </c>
      <c r="AZ864" s="80" t="s">
        <v>66</v>
      </c>
      <c r="BA864" s="2"/>
      <c r="BB864" s="3"/>
      <c r="BC864" s="3"/>
      <c r="BD864" s="3"/>
      <c r="BE864" s="3"/>
    </row>
    <row r="865" spans="1:57" x14ac:dyDescent="0.35">
      <c r="A865" s="66" t="s">
        <v>903</v>
      </c>
      <c r="B865" s="67"/>
      <c r="C865" s="67"/>
      <c r="D865" s="68"/>
      <c r="E865" s="70"/>
      <c r="F865" s="109" t="str">
        <f>HYPERLINK("https://pbs.twimg.com/profile_images/1437444649254146052/44cAm1ZL_normal.jpg")</f>
        <v>https://pbs.twimg.com/profile_images/1437444649254146052/44cAm1ZL_normal.jpg</v>
      </c>
      <c r="G865" s="67"/>
      <c r="H865" s="71"/>
      <c r="I865" s="72"/>
      <c r="J865" s="72"/>
      <c r="K865" s="71" t="s">
        <v>11608</v>
      </c>
      <c r="L865" s="75"/>
      <c r="M865" s="76"/>
      <c r="N865" s="76"/>
      <c r="O865" s="77"/>
      <c r="P865" s="78"/>
      <c r="Q865" s="78"/>
      <c r="R865" s="92"/>
      <c r="S865" s="92"/>
      <c r="T865" s="92"/>
      <c r="U865" s="92"/>
      <c r="V865" s="52"/>
      <c r="W865" s="52"/>
      <c r="X865" s="52"/>
      <c r="Y865" s="52"/>
      <c r="Z865" s="51"/>
      <c r="AA865" s="73"/>
      <c r="AB865" s="73"/>
      <c r="AC865" s="74"/>
      <c r="AD865" s="80" t="s">
        <v>7433</v>
      </c>
      <c r="AE865" s="85" t="s">
        <v>8605</v>
      </c>
      <c r="AF865" s="80">
        <v>531</v>
      </c>
      <c r="AG865" s="80">
        <v>390</v>
      </c>
      <c r="AH865" s="80">
        <v>13669</v>
      </c>
      <c r="AI865" s="80">
        <v>42994</v>
      </c>
      <c r="AJ865" s="80"/>
      <c r="AK865" s="80" t="s">
        <v>9727</v>
      </c>
      <c r="AL865" s="80" t="s">
        <v>10540</v>
      </c>
      <c r="AM865" s="80"/>
      <c r="AN865" s="80"/>
      <c r="AO865" s="82">
        <v>43501.180439814816</v>
      </c>
      <c r="AP865" s="87" t="str">
        <f>HYPERLINK("https://pbs.twimg.com/profile_banners/1092638905885573120/1631548606")</f>
        <v>https://pbs.twimg.com/profile_banners/1092638905885573120/1631548606</v>
      </c>
      <c r="AQ865" s="80" t="b">
        <v>1</v>
      </c>
      <c r="AR865" s="80" t="b">
        <v>0</v>
      </c>
      <c r="AS865" s="80" t="b">
        <v>1</v>
      </c>
      <c r="AT865" s="80"/>
      <c r="AU865" s="80">
        <v>5</v>
      </c>
      <c r="AV865" s="80"/>
      <c r="AW865" s="80" t="b">
        <v>0</v>
      </c>
      <c r="AX865" s="80" t="s">
        <v>10746</v>
      </c>
      <c r="AY865" s="87" t="str">
        <f>HYPERLINK("https://twitter.com/clwdygguk")</f>
        <v>https://twitter.com/clwdygguk</v>
      </c>
      <c r="AZ865" s="80" t="s">
        <v>66</v>
      </c>
      <c r="BA865" s="2"/>
      <c r="BB865" s="3"/>
      <c r="BC865" s="3"/>
      <c r="BD865" s="3"/>
      <c r="BE865" s="3"/>
    </row>
    <row r="866" spans="1:57" x14ac:dyDescent="0.35">
      <c r="A866" s="66" t="s">
        <v>904</v>
      </c>
      <c r="B866" s="67"/>
      <c r="C866" s="67"/>
      <c r="D866" s="68"/>
      <c r="E866" s="70"/>
      <c r="F866" s="109" t="str">
        <f>HYPERLINK("https://pbs.twimg.com/profile_images/1423142938981199883/Bad33EOa_normal.jpg")</f>
        <v>https://pbs.twimg.com/profile_images/1423142938981199883/Bad33EOa_normal.jpg</v>
      </c>
      <c r="G866" s="67"/>
      <c r="H866" s="71"/>
      <c r="I866" s="72"/>
      <c r="J866" s="72"/>
      <c r="K866" s="71" t="s">
        <v>11609</v>
      </c>
      <c r="L866" s="75"/>
      <c r="M866" s="76"/>
      <c r="N866" s="76"/>
      <c r="O866" s="77"/>
      <c r="P866" s="78"/>
      <c r="Q866" s="78"/>
      <c r="R866" s="92"/>
      <c r="S866" s="92"/>
      <c r="T866" s="92"/>
      <c r="U866" s="92"/>
      <c r="V866" s="52"/>
      <c r="W866" s="52"/>
      <c r="X866" s="52"/>
      <c r="Y866" s="52"/>
      <c r="Z866" s="51"/>
      <c r="AA866" s="73"/>
      <c r="AB866" s="73"/>
      <c r="AC866" s="74"/>
      <c r="AD866" s="80" t="s">
        <v>7434</v>
      </c>
      <c r="AE866" s="85" t="s">
        <v>8606</v>
      </c>
      <c r="AF866" s="80">
        <v>77</v>
      </c>
      <c r="AG866" s="80">
        <v>71</v>
      </c>
      <c r="AH866" s="80">
        <v>38763</v>
      </c>
      <c r="AI866" s="80">
        <v>32454</v>
      </c>
      <c r="AJ866" s="80"/>
      <c r="AK866" s="80" t="s">
        <v>9728</v>
      </c>
      <c r="AL866" s="80" t="s">
        <v>10541</v>
      </c>
      <c r="AM866" s="80"/>
      <c r="AN866" s="80"/>
      <c r="AO866" s="82">
        <v>40274.30810185185</v>
      </c>
      <c r="AP866" s="87" t="str">
        <f>HYPERLINK("https://pbs.twimg.com/profile_banners/130080979/1609476483")</f>
        <v>https://pbs.twimg.com/profile_banners/130080979/1609476483</v>
      </c>
      <c r="AQ866" s="80" t="b">
        <v>0</v>
      </c>
      <c r="AR866" s="80" t="b">
        <v>0</v>
      </c>
      <c r="AS866" s="80" t="b">
        <v>1</v>
      </c>
      <c r="AT866" s="80"/>
      <c r="AU866" s="80">
        <v>4</v>
      </c>
      <c r="AV866" s="87" t="str">
        <f>HYPERLINK("https://abs.twimg.com/images/themes/theme9/bg.gif")</f>
        <v>https://abs.twimg.com/images/themes/theme9/bg.gif</v>
      </c>
      <c r="AW866" s="80" t="b">
        <v>0</v>
      </c>
      <c r="AX866" s="80" t="s">
        <v>10746</v>
      </c>
      <c r="AY866" s="87" t="str">
        <f>HYPERLINK("https://twitter.com/yuuusshi")</f>
        <v>https://twitter.com/yuuusshi</v>
      </c>
      <c r="AZ866" s="80" t="s">
        <v>66</v>
      </c>
      <c r="BA866" s="2"/>
      <c r="BB866" s="3"/>
      <c r="BC866" s="3"/>
      <c r="BD866" s="3"/>
      <c r="BE866" s="3"/>
    </row>
    <row r="867" spans="1:57" x14ac:dyDescent="0.35">
      <c r="A867" s="66" t="s">
        <v>905</v>
      </c>
      <c r="B867" s="67"/>
      <c r="C867" s="67"/>
      <c r="D867" s="68"/>
      <c r="E867" s="70"/>
      <c r="F867" s="109" t="str">
        <f>HYPERLINK("https://pbs.twimg.com/profile_images/1441205424783454216/A-nW24rO_normal.jpg")</f>
        <v>https://pbs.twimg.com/profile_images/1441205424783454216/A-nW24rO_normal.jpg</v>
      </c>
      <c r="G867" s="67"/>
      <c r="H867" s="71"/>
      <c r="I867" s="72"/>
      <c r="J867" s="72"/>
      <c r="K867" s="71" t="s">
        <v>11610</v>
      </c>
      <c r="L867" s="75"/>
      <c r="M867" s="76"/>
      <c r="N867" s="76"/>
      <c r="O867" s="77"/>
      <c r="P867" s="78"/>
      <c r="Q867" s="78"/>
      <c r="R867" s="92"/>
      <c r="S867" s="92"/>
      <c r="T867" s="92"/>
      <c r="U867" s="92"/>
      <c r="V867" s="52"/>
      <c r="W867" s="52"/>
      <c r="X867" s="52"/>
      <c r="Y867" s="52"/>
      <c r="Z867" s="51"/>
      <c r="AA867" s="73"/>
      <c r="AB867" s="73"/>
      <c r="AC867" s="74"/>
      <c r="AD867" s="80" t="s">
        <v>7435</v>
      </c>
      <c r="AE867" s="85" t="s">
        <v>8607</v>
      </c>
      <c r="AF867" s="80">
        <v>892</v>
      </c>
      <c r="AG867" s="80">
        <v>788</v>
      </c>
      <c r="AH867" s="80">
        <v>16374</v>
      </c>
      <c r="AI867" s="80">
        <v>25316</v>
      </c>
      <c r="AJ867" s="80"/>
      <c r="AK867" s="80" t="s">
        <v>9729</v>
      </c>
      <c r="AL867" s="80" t="s">
        <v>10542</v>
      </c>
      <c r="AM867" s="87" t="str">
        <f>HYPERLINK("https://t.co/POcB65NNdi")</f>
        <v>https://t.co/POcB65NNdi</v>
      </c>
      <c r="AN867" s="80"/>
      <c r="AO867" s="82">
        <v>44375.773877314816</v>
      </c>
      <c r="AP867" s="87" t="str">
        <f>HYPERLINK("https://pbs.twimg.com/profile_banners/1409580911578914817/1632445142")</f>
        <v>https://pbs.twimg.com/profile_banners/1409580911578914817/1632445142</v>
      </c>
      <c r="AQ867" s="80" t="b">
        <v>1</v>
      </c>
      <c r="AR867" s="80" t="b">
        <v>0</v>
      </c>
      <c r="AS867" s="80" t="b">
        <v>0</v>
      </c>
      <c r="AT867" s="80"/>
      <c r="AU867" s="80">
        <v>5</v>
      </c>
      <c r="AV867" s="80"/>
      <c r="AW867" s="80" t="b">
        <v>0</v>
      </c>
      <c r="AX867" s="80" t="s">
        <v>10746</v>
      </c>
      <c r="AY867" s="87" t="str">
        <f>HYPERLINK("https://twitter.com/dinaacooky")</f>
        <v>https://twitter.com/dinaacooky</v>
      </c>
      <c r="AZ867" s="80" t="s">
        <v>66</v>
      </c>
      <c r="BA867" s="2"/>
      <c r="BB867" s="3"/>
      <c r="BC867" s="3"/>
      <c r="BD867" s="3"/>
      <c r="BE867" s="3"/>
    </row>
    <row r="868" spans="1:57" x14ac:dyDescent="0.35">
      <c r="A868" s="66" t="s">
        <v>906</v>
      </c>
      <c r="B868" s="67"/>
      <c r="C868" s="67"/>
      <c r="D868" s="68"/>
      <c r="E868" s="70"/>
      <c r="F868" s="109" t="str">
        <f>HYPERLINK("https://pbs.twimg.com/profile_images/1436623965410136067/ann41QGU_normal.jpg")</f>
        <v>https://pbs.twimg.com/profile_images/1436623965410136067/ann41QGU_normal.jpg</v>
      </c>
      <c r="G868" s="67"/>
      <c r="H868" s="71"/>
      <c r="I868" s="72"/>
      <c r="J868" s="72"/>
      <c r="K868" s="71" t="s">
        <v>11611</v>
      </c>
      <c r="L868" s="75"/>
      <c r="M868" s="76"/>
      <c r="N868" s="76"/>
      <c r="O868" s="77"/>
      <c r="P868" s="78"/>
      <c r="Q868" s="78"/>
      <c r="R868" s="92"/>
      <c r="S868" s="92"/>
      <c r="T868" s="92"/>
      <c r="U868" s="92"/>
      <c r="V868" s="52"/>
      <c r="W868" s="52"/>
      <c r="X868" s="52"/>
      <c r="Y868" s="52"/>
      <c r="Z868" s="51"/>
      <c r="AA868" s="73"/>
      <c r="AB868" s="73"/>
      <c r="AC868" s="74"/>
      <c r="AD868" s="80" t="s">
        <v>7436</v>
      </c>
      <c r="AE868" s="85" t="s">
        <v>8608</v>
      </c>
      <c r="AF868" s="80">
        <v>1048</v>
      </c>
      <c r="AG868" s="80">
        <v>543</v>
      </c>
      <c r="AH868" s="80">
        <v>14929</v>
      </c>
      <c r="AI868" s="80">
        <v>37402</v>
      </c>
      <c r="AJ868" s="80"/>
      <c r="AK868" s="80" t="s">
        <v>9730</v>
      </c>
      <c r="AL868" s="80" t="s">
        <v>10543</v>
      </c>
      <c r="AM868" s="80"/>
      <c r="AN868" s="80"/>
      <c r="AO868" s="82">
        <v>43935.610752314817</v>
      </c>
      <c r="AP868" s="87" t="str">
        <f>HYPERLINK("https://pbs.twimg.com/profile_banners/1250070942287626244/1632760781")</f>
        <v>https://pbs.twimg.com/profile_banners/1250070942287626244/1632760781</v>
      </c>
      <c r="AQ868" s="80" t="b">
        <v>1</v>
      </c>
      <c r="AR868" s="80" t="b">
        <v>0</v>
      </c>
      <c r="AS868" s="80" t="b">
        <v>1</v>
      </c>
      <c r="AT868" s="80"/>
      <c r="AU868" s="80">
        <v>4</v>
      </c>
      <c r="AV868" s="80"/>
      <c r="AW868" s="80" t="b">
        <v>0</v>
      </c>
      <c r="AX868" s="80" t="s">
        <v>10746</v>
      </c>
      <c r="AY868" s="87" t="str">
        <f>HYPERLINK("https://twitter.com/piwpiwjoon")</f>
        <v>https://twitter.com/piwpiwjoon</v>
      </c>
      <c r="AZ868" s="80" t="s">
        <v>66</v>
      </c>
      <c r="BA868" s="2"/>
      <c r="BB868" s="3"/>
      <c r="BC868" s="3"/>
      <c r="BD868" s="3"/>
      <c r="BE868" s="3"/>
    </row>
    <row r="869" spans="1:57" x14ac:dyDescent="0.35">
      <c r="A869" s="66" t="s">
        <v>908</v>
      </c>
      <c r="B869" s="67"/>
      <c r="C869" s="67"/>
      <c r="D869" s="68"/>
      <c r="E869" s="70"/>
      <c r="F869" s="109" t="str">
        <f>HYPERLINK("https://pbs.twimg.com/profile_images/1441309576733679619/8pVu0xYy_normal.jpg")</f>
        <v>https://pbs.twimg.com/profile_images/1441309576733679619/8pVu0xYy_normal.jpg</v>
      </c>
      <c r="G869" s="67"/>
      <c r="H869" s="71"/>
      <c r="I869" s="72"/>
      <c r="J869" s="72"/>
      <c r="K869" s="71" t="s">
        <v>11612</v>
      </c>
      <c r="L869" s="75"/>
      <c r="M869" s="76"/>
      <c r="N869" s="76"/>
      <c r="O869" s="77"/>
      <c r="P869" s="78"/>
      <c r="Q869" s="78"/>
      <c r="R869" s="92"/>
      <c r="S869" s="92"/>
      <c r="T869" s="92"/>
      <c r="U869" s="92"/>
      <c r="V869" s="52"/>
      <c r="W869" s="52"/>
      <c r="X869" s="52"/>
      <c r="Y869" s="52"/>
      <c r="Z869" s="51"/>
      <c r="AA869" s="73"/>
      <c r="AB869" s="73"/>
      <c r="AC869" s="74"/>
      <c r="AD869" s="80" t="s">
        <v>7437</v>
      </c>
      <c r="AE869" s="85" t="s">
        <v>8609</v>
      </c>
      <c r="AF869" s="80">
        <v>1151</v>
      </c>
      <c r="AG869" s="80">
        <v>1616</v>
      </c>
      <c r="AH869" s="80">
        <v>36871</v>
      </c>
      <c r="AI869" s="80">
        <v>38551</v>
      </c>
      <c r="AJ869" s="80"/>
      <c r="AK869" s="80"/>
      <c r="AL869" s="80" t="s">
        <v>10427</v>
      </c>
      <c r="AM869" s="80"/>
      <c r="AN869" s="80"/>
      <c r="AO869" s="82">
        <v>43997.520092592589</v>
      </c>
      <c r="AP869" s="87" t="str">
        <f>HYPERLINK("https://pbs.twimg.com/profile_banners/1272506240552206337/1632469974")</f>
        <v>https://pbs.twimg.com/profile_banners/1272506240552206337/1632469974</v>
      </c>
      <c r="AQ869" s="80" t="b">
        <v>1</v>
      </c>
      <c r="AR869" s="80" t="b">
        <v>0</v>
      </c>
      <c r="AS869" s="80" t="b">
        <v>1</v>
      </c>
      <c r="AT869" s="80"/>
      <c r="AU869" s="80">
        <v>17</v>
      </c>
      <c r="AV869" s="80"/>
      <c r="AW869" s="80" t="b">
        <v>0</v>
      </c>
      <c r="AX869" s="80" t="s">
        <v>10746</v>
      </c>
      <c r="AY869" s="87" t="str">
        <f>HYPERLINK("https://twitter.com/ffairykoo")</f>
        <v>https://twitter.com/ffairykoo</v>
      </c>
      <c r="AZ869" s="80" t="s">
        <v>66</v>
      </c>
      <c r="BA869" s="2"/>
      <c r="BB869" s="3"/>
      <c r="BC869" s="3"/>
      <c r="BD869" s="3"/>
      <c r="BE869" s="3"/>
    </row>
    <row r="870" spans="1:57" x14ac:dyDescent="0.35">
      <c r="A870" s="66" t="s">
        <v>909</v>
      </c>
      <c r="B870" s="67"/>
      <c r="C870" s="67"/>
      <c r="D870" s="68"/>
      <c r="E870" s="70"/>
      <c r="F870" s="109" t="str">
        <f>HYPERLINK("https://pbs.twimg.com/profile_images/1440624346758729731/0_GpYvXU_normal.jpg")</f>
        <v>https://pbs.twimg.com/profile_images/1440624346758729731/0_GpYvXU_normal.jpg</v>
      </c>
      <c r="G870" s="67"/>
      <c r="H870" s="71"/>
      <c r="I870" s="72"/>
      <c r="J870" s="72"/>
      <c r="K870" s="71" t="s">
        <v>11613</v>
      </c>
      <c r="L870" s="75"/>
      <c r="M870" s="76"/>
      <c r="N870" s="76"/>
      <c r="O870" s="77"/>
      <c r="P870" s="78"/>
      <c r="Q870" s="78"/>
      <c r="R870" s="92"/>
      <c r="S870" s="92"/>
      <c r="T870" s="92"/>
      <c r="U870" s="92"/>
      <c r="V870" s="52"/>
      <c r="W870" s="52"/>
      <c r="X870" s="52"/>
      <c r="Y870" s="52"/>
      <c r="Z870" s="51"/>
      <c r="AA870" s="73"/>
      <c r="AB870" s="73"/>
      <c r="AC870" s="74"/>
      <c r="AD870" s="80" t="s">
        <v>7438</v>
      </c>
      <c r="AE870" s="85" t="s">
        <v>8610</v>
      </c>
      <c r="AF870" s="80">
        <v>176</v>
      </c>
      <c r="AG870" s="80">
        <v>81</v>
      </c>
      <c r="AH870" s="80">
        <v>2260</v>
      </c>
      <c r="AI870" s="80">
        <v>5181</v>
      </c>
      <c r="AJ870" s="80"/>
      <c r="AK870" s="80" t="s">
        <v>9731</v>
      </c>
      <c r="AL870" s="80"/>
      <c r="AM870" s="80"/>
      <c r="AN870" s="80"/>
      <c r="AO870" s="82">
        <v>43925.632256944446</v>
      </c>
      <c r="AP870" s="87" t="str">
        <f>HYPERLINK("https://pbs.twimg.com/profile_banners/1246455066287935488/1632577879")</f>
        <v>https://pbs.twimg.com/profile_banners/1246455066287935488/1632577879</v>
      </c>
      <c r="AQ870" s="80" t="b">
        <v>1</v>
      </c>
      <c r="AR870" s="80" t="b">
        <v>0</v>
      </c>
      <c r="AS870" s="80" t="b">
        <v>0</v>
      </c>
      <c r="AT870" s="80"/>
      <c r="AU870" s="80">
        <v>0</v>
      </c>
      <c r="AV870" s="80"/>
      <c r="AW870" s="80" t="b">
        <v>0</v>
      </c>
      <c r="AX870" s="80" t="s">
        <v>10746</v>
      </c>
      <c r="AY870" s="87" t="str">
        <f>HYPERLINK("https://twitter.com/bangtansbaby13")</f>
        <v>https://twitter.com/bangtansbaby13</v>
      </c>
      <c r="AZ870" s="80" t="s">
        <v>66</v>
      </c>
      <c r="BA870" s="2"/>
      <c r="BB870" s="3"/>
      <c r="BC870" s="3"/>
      <c r="BD870" s="3"/>
      <c r="BE870" s="3"/>
    </row>
    <row r="871" spans="1:57" x14ac:dyDescent="0.35">
      <c r="A871" s="66" t="s">
        <v>910</v>
      </c>
      <c r="B871" s="67"/>
      <c r="C871" s="67"/>
      <c r="D871" s="68"/>
      <c r="E871" s="70"/>
      <c r="F871" s="109" t="str">
        <f>HYPERLINK("https://pbs.twimg.com/profile_images/1442563289678974981/kFdIsY7p_normal.jpg")</f>
        <v>https://pbs.twimg.com/profile_images/1442563289678974981/kFdIsY7p_normal.jpg</v>
      </c>
      <c r="G871" s="67"/>
      <c r="H871" s="71"/>
      <c r="I871" s="72"/>
      <c r="J871" s="72"/>
      <c r="K871" s="71" t="s">
        <v>11614</v>
      </c>
      <c r="L871" s="75"/>
      <c r="M871" s="76"/>
      <c r="N871" s="76"/>
      <c r="O871" s="77"/>
      <c r="P871" s="78"/>
      <c r="Q871" s="78"/>
      <c r="R871" s="92"/>
      <c r="S871" s="92"/>
      <c r="T871" s="92"/>
      <c r="U871" s="92"/>
      <c r="V871" s="52"/>
      <c r="W871" s="52"/>
      <c r="X871" s="52"/>
      <c r="Y871" s="52"/>
      <c r="Z871" s="51"/>
      <c r="AA871" s="73"/>
      <c r="AB871" s="73"/>
      <c r="AC871" s="74"/>
      <c r="AD871" s="80" t="s">
        <v>7439</v>
      </c>
      <c r="AE871" s="85" t="s">
        <v>8611</v>
      </c>
      <c r="AF871" s="80">
        <v>556</v>
      </c>
      <c r="AG871" s="80">
        <v>506</v>
      </c>
      <c r="AH871" s="80">
        <v>2718</v>
      </c>
      <c r="AI871" s="80">
        <v>11180</v>
      </c>
      <c r="AJ871" s="80"/>
      <c r="AK871" s="80" t="s">
        <v>9732</v>
      </c>
      <c r="AL871" s="80" t="s">
        <v>9630</v>
      </c>
      <c r="AM871" s="80"/>
      <c r="AN871" s="80"/>
      <c r="AO871" s="82">
        <v>44195.619421296295</v>
      </c>
      <c r="AP871" s="87" t="str">
        <f>HYPERLINK("https://pbs.twimg.com/profile_banners/1344295125267087367/1632718476")</f>
        <v>https://pbs.twimg.com/profile_banners/1344295125267087367/1632718476</v>
      </c>
      <c r="AQ871" s="80" t="b">
        <v>1</v>
      </c>
      <c r="AR871" s="80" t="b">
        <v>0</v>
      </c>
      <c r="AS871" s="80" t="b">
        <v>0</v>
      </c>
      <c r="AT871" s="80"/>
      <c r="AU871" s="80">
        <v>1</v>
      </c>
      <c r="AV871" s="80"/>
      <c r="AW871" s="80" t="b">
        <v>0</v>
      </c>
      <c r="AX871" s="80" t="s">
        <v>10746</v>
      </c>
      <c r="AY871" s="87" t="str">
        <f>HYPERLINK("https://twitter.com/bangpdwife")</f>
        <v>https://twitter.com/bangpdwife</v>
      </c>
      <c r="AZ871" s="80" t="s">
        <v>66</v>
      </c>
      <c r="BA871" s="2"/>
      <c r="BB871" s="3"/>
      <c r="BC871" s="3"/>
      <c r="BD871" s="3"/>
      <c r="BE871" s="3"/>
    </row>
    <row r="872" spans="1:57" x14ac:dyDescent="0.35">
      <c r="A872" s="66" t="s">
        <v>911</v>
      </c>
      <c r="B872" s="67"/>
      <c r="C872" s="67"/>
      <c r="D872" s="68"/>
      <c r="E872" s="70"/>
      <c r="F872" s="109" t="str">
        <f>HYPERLINK("https://pbs.twimg.com/profile_images/1442101569512624129/oYhKBHuz_normal.jpg")</f>
        <v>https://pbs.twimg.com/profile_images/1442101569512624129/oYhKBHuz_normal.jpg</v>
      </c>
      <c r="G872" s="67"/>
      <c r="H872" s="71"/>
      <c r="I872" s="72"/>
      <c r="J872" s="72"/>
      <c r="K872" s="71" t="s">
        <v>11615</v>
      </c>
      <c r="L872" s="75"/>
      <c r="M872" s="76"/>
      <c r="N872" s="76"/>
      <c r="O872" s="77"/>
      <c r="P872" s="78"/>
      <c r="Q872" s="78"/>
      <c r="R872" s="92"/>
      <c r="S872" s="92"/>
      <c r="T872" s="92"/>
      <c r="U872" s="92"/>
      <c r="V872" s="52"/>
      <c r="W872" s="52"/>
      <c r="X872" s="52"/>
      <c r="Y872" s="52"/>
      <c r="Z872" s="51"/>
      <c r="AA872" s="73"/>
      <c r="AB872" s="73"/>
      <c r="AC872" s="74"/>
      <c r="AD872" s="80" t="s">
        <v>7440</v>
      </c>
      <c r="AE872" s="85" t="s">
        <v>8612</v>
      </c>
      <c r="AF872" s="80">
        <v>1666</v>
      </c>
      <c r="AG872" s="80">
        <v>1154</v>
      </c>
      <c r="AH872" s="80">
        <v>18924</v>
      </c>
      <c r="AI872" s="80">
        <v>52273</v>
      </c>
      <c r="AJ872" s="80"/>
      <c r="AK872" s="80" t="s">
        <v>9733</v>
      </c>
      <c r="AL872" s="80" t="s">
        <v>10544</v>
      </c>
      <c r="AM872" s="87" t="str">
        <f>HYPERLINK("https://t.co/11N4CLLYPR")</f>
        <v>https://t.co/11N4CLLYPR</v>
      </c>
      <c r="AN872" s="80"/>
      <c r="AO872" s="82">
        <v>43400.786238425928</v>
      </c>
      <c r="AP872" s="87" t="str">
        <f>HYPERLINK("https://pbs.twimg.com/profile_banners/1056257265609535488/1632498599")</f>
        <v>https://pbs.twimg.com/profile_banners/1056257265609535488/1632498599</v>
      </c>
      <c r="AQ872" s="80" t="b">
        <v>1</v>
      </c>
      <c r="AR872" s="80" t="b">
        <v>0</v>
      </c>
      <c r="AS872" s="80" t="b">
        <v>0</v>
      </c>
      <c r="AT872" s="80"/>
      <c r="AU872" s="80">
        <v>15</v>
      </c>
      <c r="AV872" s="80"/>
      <c r="AW872" s="80" t="b">
        <v>0</v>
      </c>
      <c r="AX872" s="80" t="s">
        <v>10746</v>
      </c>
      <c r="AY872" s="87" t="str">
        <f>HYPERLINK("https://twitter.com/pjmnjjkk")</f>
        <v>https://twitter.com/pjmnjjkk</v>
      </c>
      <c r="AZ872" s="80" t="s">
        <v>66</v>
      </c>
      <c r="BA872" s="2"/>
      <c r="BB872" s="3"/>
      <c r="BC872" s="3"/>
      <c r="BD872" s="3"/>
      <c r="BE872" s="3"/>
    </row>
    <row r="873" spans="1:57" x14ac:dyDescent="0.35">
      <c r="A873" s="66" t="s">
        <v>912</v>
      </c>
      <c r="B873" s="67"/>
      <c r="C873" s="67"/>
      <c r="D873" s="68"/>
      <c r="E873" s="70"/>
      <c r="F873" s="109" t="str">
        <f>HYPERLINK("https://pbs.twimg.com/profile_images/1437260595397480449/EzYD5Pfz_normal.jpg")</f>
        <v>https://pbs.twimg.com/profile_images/1437260595397480449/EzYD5Pfz_normal.jpg</v>
      </c>
      <c r="G873" s="67"/>
      <c r="H873" s="71"/>
      <c r="I873" s="72"/>
      <c r="J873" s="72"/>
      <c r="K873" s="71" t="s">
        <v>11616</v>
      </c>
      <c r="L873" s="75"/>
      <c r="M873" s="76"/>
      <c r="N873" s="76"/>
      <c r="O873" s="77"/>
      <c r="P873" s="78"/>
      <c r="Q873" s="78"/>
      <c r="R873" s="92"/>
      <c r="S873" s="92"/>
      <c r="T873" s="92"/>
      <c r="U873" s="92"/>
      <c r="V873" s="52"/>
      <c r="W873" s="52"/>
      <c r="X873" s="52"/>
      <c r="Y873" s="52"/>
      <c r="Z873" s="51"/>
      <c r="AA873" s="73"/>
      <c r="AB873" s="73"/>
      <c r="AC873" s="74"/>
      <c r="AD873" s="80" t="s">
        <v>7441</v>
      </c>
      <c r="AE873" s="85" t="s">
        <v>8613</v>
      </c>
      <c r="AF873" s="80">
        <v>970</v>
      </c>
      <c r="AG873" s="80">
        <v>868</v>
      </c>
      <c r="AH873" s="80">
        <v>6986</v>
      </c>
      <c r="AI873" s="80">
        <v>18411</v>
      </c>
      <c r="AJ873" s="80"/>
      <c r="AK873" s="80" t="s">
        <v>9734</v>
      </c>
      <c r="AL873" s="80" t="s">
        <v>10157</v>
      </c>
      <c r="AM873" s="80"/>
      <c r="AN873" s="80"/>
      <c r="AO873" s="82">
        <v>43965.393993055557</v>
      </c>
      <c r="AP873" s="87" t="str">
        <f>HYPERLINK("https://pbs.twimg.com/profile_banners/1260864137912975360/1631504602")</f>
        <v>https://pbs.twimg.com/profile_banners/1260864137912975360/1631504602</v>
      </c>
      <c r="AQ873" s="80" t="b">
        <v>1</v>
      </c>
      <c r="AR873" s="80" t="b">
        <v>0</v>
      </c>
      <c r="AS873" s="80" t="b">
        <v>0</v>
      </c>
      <c r="AT873" s="80"/>
      <c r="AU873" s="80">
        <v>6</v>
      </c>
      <c r="AV873" s="80"/>
      <c r="AW873" s="80" t="b">
        <v>0</v>
      </c>
      <c r="AX873" s="80" t="s">
        <v>10746</v>
      </c>
      <c r="AY873" s="87" t="str">
        <f>HYPERLINK("https://twitter.com/jiminiekiyowoo")</f>
        <v>https://twitter.com/jiminiekiyowoo</v>
      </c>
      <c r="AZ873" s="80" t="s">
        <v>66</v>
      </c>
      <c r="BA873" s="2"/>
      <c r="BB873" s="3"/>
      <c r="BC873" s="3"/>
      <c r="BD873" s="3"/>
      <c r="BE873" s="3"/>
    </row>
    <row r="874" spans="1:57" x14ac:dyDescent="0.35">
      <c r="A874" s="66" t="s">
        <v>913</v>
      </c>
      <c r="B874" s="67"/>
      <c r="C874" s="67"/>
      <c r="D874" s="68"/>
      <c r="E874" s="70"/>
      <c r="F874" s="109" t="str">
        <f>HYPERLINK("https://pbs.twimg.com/profile_images/1437053674065301507/CGGHgQpj_normal.jpg")</f>
        <v>https://pbs.twimg.com/profile_images/1437053674065301507/CGGHgQpj_normal.jpg</v>
      </c>
      <c r="G874" s="67"/>
      <c r="H874" s="71"/>
      <c r="I874" s="72"/>
      <c r="J874" s="72"/>
      <c r="K874" s="71" t="s">
        <v>11617</v>
      </c>
      <c r="L874" s="75"/>
      <c r="M874" s="76"/>
      <c r="N874" s="76"/>
      <c r="O874" s="77"/>
      <c r="P874" s="78"/>
      <c r="Q874" s="78"/>
      <c r="R874" s="92"/>
      <c r="S874" s="92"/>
      <c r="T874" s="92"/>
      <c r="U874" s="92"/>
      <c r="V874" s="52"/>
      <c r="W874" s="52"/>
      <c r="X874" s="52"/>
      <c r="Y874" s="52"/>
      <c r="Z874" s="51"/>
      <c r="AA874" s="73"/>
      <c r="AB874" s="73"/>
      <c r="AC874" s="74"/>
      <c r="AD874" s="80" t="s">
        <v>7442</v>
      </c>
      <c r="AE874" s="85" t="s">
        <v>8614</v>
      </c>
      <c r="AF874" s="80">
        <v>1684</v>
      </c>
      <c r="AG874" s="80">
        <v>1722</v>
      </c>
      <c r="AH874" s="80">
        <v>38565</v>
      </c>
      <c r="AI874" s="80">
        <v>23741</v>
      </c>
      <c r="AJ874" s="80"/>
      <c r="AK874" s="80" t="s">
        <v>9735</v>
      </c>
      <c r="AL874" s="80" t="s">
        <v>10545</v>
      </c>
      <c r="AM874" s="87" t="str">
        <f>HYPERLINK("https://t.co/kbz7vivPfW")</f>
        <v>https://t.co/kbz7vivPfW</v>
      </c>
      <c r="AN874" s="80"/>
      <c r="AO874" s="82">
        <v>43554.725763888891</v>
      </c>
      <c r="AP874" s="87" t="str">
        <f>HYPERLINK("https://pbs.twimg.com/profile_banners/1112043081178578944/1631455268")</f>
        <v>https://pbs.twimg.com/profile_banners/1112043081178578944/1631455268</v>
      </c>
      <c r="AQ874" s="80" t="b">
        <v>1</v>
      </c>
      <c r="AR874" s="80" t="b">
        <v>0</v>
      </c>
      <c r="AS874" s="80" t="b">
        <v>0</v>
      </c>
      <c r="AT874" s="80"/>
      <c r="AU874" s="80">
        <v>14</v>
      </c>
      <c r="AV874" s="80"/>
      <c r="AW874" s="80" t="b">
        <v>0</v>
      </c>
      <c r="AX874" s="80" t="s">
        <v>10746</v>
      </c>
      <c r="AY874" s="87" t="str">
        <f>HYPERLINK("https://twitter.com/yyoongs93")</f>
        <v>https://twitter.com/yyoongs93</v>
      </c>
      <c r="AZ874" s="80" t="s">
        <v>66</v>
      </c>
      <c r="BA874" s="2"/>
      <c r="BB874" s="3"/>
      <c r="BC874" s="3"/>
      <c r="BD874" s="3"/>
      <c r="BE874" s="3"/>
    </row>
    <row r="875" spans="1:57" x14ac:dyDescent="0.35">
      <c r="A875" s="66" t="s">
        <v>914</v>
      </c>
      <c r="B875" s="67"/>
      <c r="C875" s="67"/>
      <c r="D875" s="68"/>
      <c r="E875" s="70"/>
      <c r="F875" s="109" t="str">
        <f>HYPERLINK("https://pbs.twimg.com/profile_images/1440603783386439687/z__QMPZ1_normal.jpg")</f>
        <v>https://pbs.twimg.com/profile_images/1440603783386439687/z__QMPZ1_normal.jpg</v>
      </c>
      <c r="G875" s="67"/>
      <c r="H875" s="71"/>
      <c r="I875" s="72"/>
      <c r="J875" s="72"/>
      <c r="K875" s="71" t="s">
        <v>11618</v>
      </c>
      <c r="L875" s="75"/>
      <c r="M875" s="76"/>
      <c r="N875" s="76"/>
      <c r="O875" s="77"/>
      <c r="P875" s="78"/>
      <c r="Q875" s="78"/>
      <c r="R875" s="92"/>
      <c r="S875" s="92"/>
      <c r="T875" s="92"/>
      <c r="U875" s="92"/>
      <c r="V875" s="52"/>
      <c r="W875" s="52"/>
      <c r="X875" s="52"/>
      <c r="Y875" s="52"/>
      <c r="Z875" s="51"/>
      <c r="AA875" s="73"/>
      <c r="AB875" s="73"/>
      <c r="AC875" s="74"/>
      <c r="AD875" s="80" t="s">
        <v>7443</v>
      </c>
      <c r="AE875" s="85" t="s">
        <v>8615</v>
      </c>
      <c r="AF875" s="80">
        <v>997</v>
      </c>
      <c r="AG875" s="80">
        <v>503</v>
      </c>
      <c r="AH875" s="80">
        <v>12179</v>
      </c>
      <c r="AI875" s="80">
        <v>15538</v>
      </c>
      <c r="AJ875" s="80"/>
      <c r="AK875" s="80" t="s">
        <v>9736</v>
      </c>
      <c r="AL875" s="80"/>
      <c r="AM875" s="80"/>
      <c r="AN875" s="80"/>
      <c r="AO875" s="82">
        <v>42975.201574074075</v>
      </c>
      <c r="AP875" s="87" t="str">
        <f>HYPERLINK("https://pbs.twimg.com/profile_banners/902030548058521600/1632187290")</f>
        <v>https://pbs.twimg.com/profile_banners/902030548058521600/1632187290</v>
      </c>
      <c r="AQ875" s="80" t="b">
        <v>1</v>
      </c>
      <c r="AR875" s="80" t="b">
        <v>0</v>
      </c>
      <c r="AS875" s="80" t="b">
        <v>1</v>
      </c>
      <c r="AT875" s="80"/>
      <c r="AU875" s="80">
        <v>0</v>
      </c>
      <c r="AV875" s="80"/>
      <c r="AW875" s="80" t="b">
        <v>0</v>
      </c>
      <c r="AX875" s="80" t="s">
        <v>10746</v>
      </c>
      <c r="AY875" s="87" t="str">
        <f>HYPERLINK("https://twitter.com/lyayae_")</f>
        <v>https://twitter.com/lyayae_</v>
      </c>
      <c r="AZ875" s="80" t="s">
        <v>66</v>
      </c>
      <c r="BA875" s="2"/>
      <c r="BB875" s="3"/>
      <c r="BC875" s="3"/>
      <c r="BD875" s="3"/>
      <c r="BE875" s="3"/>
    </row>
    <row r="876" spans="1:57" x14ac:dyDescent="0.35">
      <c r="A876" s="66" t="s">
        <v>915</v>
      </c>
      <c r="B876" s="67"/>
      <c r="C876" s="67"/>
      <c r="D876" s="68"/>
      <c r="E876" s="70"/>
      <c r="F876" s="109" t="str">
        <f>HYPERLINK("https://pbs.twimg.com/profile_images/1406091383543193607/T-Ts9soq_normal.jpg")</f>
        <v>https://pbs.twimg.com/profile_images/1406091383543193607/T-Ts9soq_normal.jpg</v>
      </c>
      <c r="G876" s="67"/>
      <c r="H876" s="71"/>
      <c r="I876" s="72"/>
      <c r="J876" s="72"/>
      <c r="K876" s="71" t="s">
        <v>11619</v>
      </c>
      <c r="L876" s="75"/>
      <c r="M876" s="76"/>
      <c r="N876" s="76"/>
      <c r="O876" s="77"/>
      <c r="P876" s="78"/>
      <c r="Q876" s="78"/>
      <c r="R876" s="92"/>
      <c r="S876" s="92"/>
      <c r="T876" s="92"/>
      <c r="U876" s="92"/>
      <c r="V876" s="52"/>
      <c r="W876" s="52"/>
      <c r="X876" s="52"/>
      <c r="Y876" s="52"/>
      <c r="Z876" s="51"/>
      <c r="AA876" s="73"/>
      <c r="AB876" s="73"/>
      <c r="AC876" s="74"/>
      <c r="AD876" s="80" t="s">
        <v>7444</v>
      </c>
      <c r="AE876" s="85" t="s">
        <v>8616</v>
      </c>
      <c r="AF876" s="80">
        <v>459</v>
      </c>
      <c r="AG876" s="80">
        <v>1278</v>
      </c>
      <c r="AH876" s="80">
        <v>26264</v>
      </c>
      <c r="AI876" s="80">
        <v>4297</v>
      </c>
      <c r="AJ876" s="80"/>
      <c r="AK876" s="80" t="s">
        <v>9737</v>
      </c>
      <c r="AL876" s="80"/>
      <c r="AM876" s="87" t="str">
        <f>HYPERLINK("https://t.co/pqzf0NDkV1")</f>
        <v>https://t.co/pqzf0NDkV1</v>
      </c>
      <c r="AN876" s="80"/>
      <c r="AO876" s="82">
        <v>41201.944861111115</v>
      </c>
      <c r="AP876" s="87" t="str">
        <f>HYPERLINK("https://pbs.twimg.com/profile_banners/891979194/1595948537")</f>
        <v>https://pbs.twimg.com/profile_banners/891979194/1595948537</v>
      </c>
      <c r="AQ876" s="80" t="b">
        <v>0</v>
      </c>
      <c r="AR876" s="80" t="b">
        <v>0</v>
      </c>
      <c r="AS876" s="80" t="b">
        <v>1</v>
      </c>
      <c r="AT876" s="80"/>
      <c r="AU876" s="80">
        <v>0</v>
      </c>
      <c r="AV876" s="87" t="str">
        <f>HYPERLINK("https://abs.twimg.com/images/themes/theme10/bg.gif")</f>
        <v>https://abs.twimg.com/images/themes/theme10/bg.gif</v>
      </c>
      <c r="AW876" s="80" t="b">
        <v>0</v>
      </c>
      <c r="AX876" s="80" t="s">
        <v>10746</v>
      </c>
      <c r="AY876" s="87" t="str">
        <f>HYPERLINK("https://twitter.com/sitirdeenaa")</f>
        <v>https://twitter.com/sitirdeenaa</v>
      </c>
      <c r="AZ876" s="80" t="s">
        <v>66</v>
      </c>
      <c r="BA876" s="2"/>
      <c r="BB876" s="3"/>
      <c r="BC876" s="3"/>
      <c r="BD876" s="3"/>
      <c r="BE876" s="3"/>
    </row>
    <row r="877" spans="1:57" x14ac:dyDescent="0.35">
      <c r="A877" s="66" t="s">
        <v>1437</v>
      </c>
      <c r="B877" s="67"/>
      <c r="C877" s="67"/>
      <c r="D877" s="68"/>
      <c r="E877" s="70"/>
      <c r="F877" s="109" t="str">
        <f>HYPERLINK("https://pbs.twimg.com/profile_images/1383499654889758721/sj9375kE_normal.jpg")</f>
        <v>https://pbs.twimg.com/profile_images/1383499654889758721/sj9375kE_normal.jpg</v>
      </c>
      <c r="G877" s="67"/>
      <c r="H877" s="71"/>
      <c r="I877" s="72"/>
      <c r="J877" s="72"/>
      <c r="K877" s="71" t="s">
        <v>11620</v>
      </c>
      <c r="L877" s="75"/>
      <c r="M877" s="76"/>
      <c r="N877" s="76"/>
      <c r="O877" s="77"/>
      <c r="P877" s="78"/>
      <c r="Q877" s="78"/>
      <c r="R877" s="92"/>
      <c r="S877" s="92"/>
      <c r="T877" s="92"/>
      <c r="U877" s="92"/>
      <c r="V877" s="52"/>
      <c r="W877" s="52"/>
      <c r="X877" s="52"/>
      <c r="Y877" s="52"/>
      <c r="Z877" s="51"/>
      <c r="AA877" s="73"/>
      <c r="AB877" s="73"/>
      <c r="AC877" s="74"/>
      <c r="AD877" s="80" t="s">
        <v>7445</v>
      </c>
      <c r="AE877" s="85" t="s">
        <v>6370</v>
      </c>
      <c r="AF877" s="80">
        <v>70</v>
      </c>
      <c r="AG877" s="80">
        <v>74</v>
      </c>
      <c r="AH877" s="80">
        <v>4050</v>
      </c>
      <c r="AI877" s="80">
        <v>3157</v>
      </c>
      <c r="AJ877" s="80"/>
      <c r="AK877" s="80" t="s">
        <v>9738</v>
      </c>
      <c r="AL877" s="80" t="s">
        <v>10546</v>
      </c>
      <c r="AM877" s="87" t="str">
        <f>HYPERLINK("https://t.co/oKZZgnboBw")</f>
        <v>https://t.co/oKZZgnboBw</v>
      </c>
      <c r="AN877" s="80"/>
      <c r="AO877" s="82">
        <v>43708.389745370368</v>
      </c>
      <c r="AP877" s="87" t="str">
        <f>HYPERLINK("https://pbs.twimg.com/profile_banners/1167729011184680961/1632407761")</f>
        <v>https://pbs.twimg.com/profile_banners/1167729011184680961/1632407761</v>
      </c>
      <c r="AQ877" s="80" t="b">
        <v>1</v>
      </c>
      <c r="AR877" s="80" t="b">
        <v>0</v>
      </c>
      <c r="AS877" s="80" t="b">
        <v>0</v>
      </c>
      <c r="AT877" s="80"/>
      <c r="AU877" s="80">
        <v>0</v>
      </c>
      <c r="AV877" s="80"/>
      <c r="AW877" s="80" t="b">
        <v>0</v>
      </c>
      <c r="AX877" s="80" t="s">
        <v>10746</v>
      </c>
      <c r="AY877" s="87" t="str">
        <f>HYPERLINK("https://twitter.com/rashiqahhhh")</f>
        <v>https://twitter.com/rashiqahhhh</v>
      </c>
      <c r="AZ877" s="80" t="s">
        <v>65</v>
      </c>
      <c r="BA877" s="2"/>
      <c r="BB877" s="3"/>
      <c r="BC877" s="3"/>
      <c r="BD877" s="3"/>
      <c r="BE877" s="3"/>
    </row>
    <row r="878" spans="1:57" x14ac:dyDescent="0.35">
      <c r="A878" s="66" t="s">
        <v>916</v>
      </c>
      <c r="B878" s="67"/>
      <c r="C878" s="67"/>
      <c r="D878" s="68"/>
      <c r="E878" s="70"/>
      <c r="F878" s="109" t="str">
        <f>HYPERLINK("https://pbs.twimg.com/profile_images/1440317737373290504/QYIIiMFR_normal.jpg")</f>
        <v>https://pbs.twimg.com/profile_images/1440317737373290504/QYIIiMFR_normal.jpg</v>
      </c>
      <c r="G878" s="67"/>
      <c r="H878" s="71"/>
      <c r="I878" s="72"/>
      <c r="J878" s="72"/>
      <c r="K878" s="71" t="s">
        <v>11621</v>
      </c>
      <c r="L878" s="75"/>
      <c r="M878" s="76"/>
      <c r="N878" s="76"/>
      <c r="O878" s="77"/>
      <c r="P878" s="78"/>
      <c r="Q878" s="78"/>
      <c r="R878" s="92"/>
      <c r="S878" s="92"/>
      <c r="T878" s="92"/>
      <c r="U878" s="92"/>
      <c r="V878" s="52"/>
      <c r="W878" s="52"/>
      <c r="X878" s="52"/>
      <c r="Y878" s="52"/>
      <c r="Z878" s="51"/>
      <c r="AA878" s="73"/>
      <c r="AB878" s="73"/>
      <c r="AC878" s="74"/>
      <c r="AD878" s="80" t="s">
        <v>7446</v>
      </c>
      <c r="AE878" s="85" t="s">
        <v>8617</v>
      </c>
      <c r="AF878" s="80">
        <v>586</v>
      </c>
      <c r="AG878" s="80">
        <v>1099</v>
      </c>
      <c r="AH878" s="80">
        <v>48543</v>
      </c>
      <c r="AI878" s="80">
        <v>15012</v>
      </c>
      <c r="AJ878" s="80"/>
      <c r="AK878" s="80"/>
      <c r="AL878" s="80"/>
      <c r="AM878" s="80"/>
      <c r="AN878" s="80"/>
      <c r="AO878" s="82">
        <v>40471.857662037037</v>
      </c>
      <c r="AP878" s="87" t="str">
        <f>HYPERLINK("https://pbs.twimg.com/profile_banners/205412559/1631914531")</f>
        <v>https://pbs.twimg.com/profile_banners/205412559/1631914531</v>
      </c>
      <c r="AQ878" s="80" t="b">
        <v>0</v>
      </c>
      <c r="AR878" s="80" t="b">
        <v>0</v>
      </c>
      <c r="AS878" s="80" t="b">
        <v>0</v>
      </c>
      <c r="AT878" s="80"/>
      <c r="AU878" s="80">
        <v>2</v>
      </c>
      <c r="AV878" s="87" t="str">
        <f>HYPERLINK("https://abs.twimg.com/images/themes/theme16/bg.gif")</f>
        <v>https://abs.twimg.com/images/themes/theme16/bg.gif</v>
      </c>
      <c r="AW878" s="80" t="b">
        <v>0</v>
      </c>
      <c r="AX878" s="80" t="s">
        <v>10746</v>
      </c>
      <c r="AY878" s="87" t="str">
        <f>HYPERLINK("https://twitter.com/t_mikhwan")</f>
        <v>https://twitter.com/t_mikhwan</v>
      </c>
      <c r="AZ878" s="80" t="s">
        <v>66</v>
      </c>
      <c r="BA878" s="2"/>
      <c r="BB878" s="3"/>
      <c r="BC878" s="3"/>
      <c r="BD878" s="3"/>
      <c r="BE878" s="3"/>
    </row>
    <row r="879" spans="1:57" x14ac:dyDescent="0.35">
      <c r="A879" s="66" t="s">
        <v>1438</v>
      </c>
      <c r="B879" s="67"/>
      <c r="C879" s="67"/>
      <c r="D879" s="68"/>
      <c r="E879" s="70"/>
      <c r="F879" s="109" t="str">
        <f>HYPERLINK("https://pbs.twimg.com/profile_images/1427668137177096193/BElsGmLH_normal.jpg")</f>
        <v>https://pbs.twimg.com/profile_images/1427668137177096193/BElsGmLH_normal.jpg</v>
      </c>
      <c r="G879" s="67"/>
      <c r="H879" s="71"/>
      <c r="I879" s="72"/>
      <c r="J879" s="72"/>
      <c r="K879" s="71" t="s">
        <v>11622</v>
      </c>
      <c r="L879" s="75"/>
      <c r="M879" s="76"/>
      <c r="N879" s="76"/>
      <c r="O879" s="77"/>
      <c r="P879" s="78"/>
      <c r="Q879" s="78"/>
      <c r="R879" s="92"/>
      <c r="S879" s="92"/>
      <c r="T879" s="92"/>
      <c r="U879" s="92"/>
      <c r="V879" s="52"/>
      <c r="W879" s="52"/>
      <c r="X879" s="52"/>
      <c r="Y879" s="52"/>
      <c r="Z879" s="51"/>
      <c r="AA879" s="73"/>
      <c r="AB879" s="73"/>
      <c r="AC879" s="74"/>
      <c r="AD879" s="80" t="s">
        <v>7447</v>
      </c>
      <c r="AE879" s="85" t="s">
        <v>8618</v>
      </c>
      <c r="AF879" s="80">
        <v>13</v>
      </c>
      <c r="AG879" s="80">
        <v>10</v>
      </c>
      <c r="AH879" s="80">
        <v>132</v>
      </c>
      <c r="AI879" s="80">
        <v>5</v>
      </c>
      <c r="AJ879" s="80"/>
      <c r="AK879" s="80" t="s">
        <v>9739</v>
      </c>
      <c r="AL879" s="80" t="s">
        <v>10547</v>
      </c>
      <c r="AM879" s="87" t="str">
        <f>HYPERLINK("https://t.co/tOeFWVrWG3")</f>
        <v>https://t.co/tOeFWVrWG3</v>
      </c>
      <c r="AN879" s="80"/>
      <c r="AO879" s="82">
        <v>44136.66741898148</v>
      </c>
      <c r="AP879" s="87" t="str">
        <f>HYPERLINK("https://pbs.twimg.com/profile_banners/1322931625554948096/1610267207")</f>
        <v>https://pbs.twimg.com/profile_banners/1322931625554948096/1610267207</v>
      </c>
      <c r="AQ879" s="80" t="b">
        <v>1</v>
      </c>
      <c r="AR879" s="80" t="b">
        <v>0</v>
      </c>
      <c r="AS879" s="80" t="b">
        <v>0</v>
      </c>
      <c r="AT879" s="80"/>
      <c r="AU879" s="80">
        <v>0</v>
      </c>
      <c r="AV879" s="80"/>
      <c r="AW879" s="80" t="b">
        <v>0</v>
      </c>
      <c r="AX879" s="80" t="s">
        <v>10746</v>
      </c>
      <c r="AY879" s="87" t="str">
        <f>HYPERLINK("https://twitter.com/jnt_kruengmane")</f>
        <v>https://twitter.com/jnt_kruengmane</v>
      </c>
      <c r="AZ879" s="80" t="s">
        <v>65</v>
      </c>
      <c r="BA879" s="2"/>
      <c r="BB879" s="3"/>
      <c r="BC879" s="3"/>
      <c r="BD879" s="3"/>
      <c r="BE879" s="3"/>
    </row>
    <row r="880" spans="1:57" x14ac:dyDescent="0.35">
      <c r="A880" s="66" t="s">
        <v>917</v>
      </c>
      <c r="B880" s="67"/>
      <c r="C880" s="67"/>
      <c r="D880" s="68"/>
      <c r="E880" s="70"/>
      <c r="F880" s="109" t="str">
        <f>HYPERLINK("https://pbs.twimg.com/profile_images/1079792103629062144/2jotT_4D_normal.jpg")</f>
        <v>https://pbs.twimg.com/profile_images/1079792103629062144/2jotT_4D_normal.jpg</v>
      </c>
      <c r="G880" s="67"/>
      <c r="H880" s="71"/>
      <c r="I880" s="72"/>
      <c r="J880" s="72"/>
      <c r="K880" s="71" t="s">
        <v>11623</v>
      </c>
      <c r="L880" s="75"/>
      <c r="M880" s="76"/>
      <c r="N880" s="76"/>
      <c r="O880" s="77"/>
      <c r="P880" s="78"/>
      <c r="Q880" s="78"/>
      <c r="R880" s="92"/>
      <c r="S880" s="92"/>
      <c r="T880" s="92"/>
      <c r="U880" s="92"/>
      <c r="V880" s="52"/>
      <c r="W880" s="52"/>
      <c r="X880" s="52"/>
      <c r="Y880" s="52"/>
      <c r="Z880" s="51"/>
      <c r="AA880" s="73"/>
      <c r="AB880" s="73"/>
      <c r="AC880" s="74"/>
      <c r="AD880" s="80" t="s">
        <v>7448</v>
      </c>
      <c r="AE880" s="85" t="s">
        <v>8619</v>
      </c>
      <c r="AF880" s="80">
        <v>311</v>
      </c>
      <c r="AG880" s="80">
        <v>3900</v>
      </c>
      <c r="AH880" s="80">
        <v>18425</v>
      </c>
      <c r="AI880" s="80">
        <v>6835</v>
      </c>
      <c r="AJ880" s="80"/>
      <c r="AK880" s="80" t="s">
        <v>9740</v>
      </c>
      <c r="AL880" s="80" t="s">
        <v>10548</v>
      </c>
      <c r="AM880" s="87" t="str">
        <f>HYPERLINK("https://t.co/0YYOa8ZkVu")</f>
        <v>https://t.co/0YYOa8ZkVu</v>
      </c>
      <c r="AN880" s="80"/>
      <c r="AO880" s="82">
        <v>40550.253946759258</v>
      </c>
      <c r="AP880" s="87" t="str">
        <f>HYPERLINK("https://pbs.twimg.com/profile_banners/235044954/1629086504")</f>
        <v>https://pbs.twimg.com/profile_banners/235044954/1629086504</v>
      </c>
      <c r="AQ880" s="80" t="b">
        <v>0</v>
      </c>
      <c r="AR880" s="80" t="b">
        <v>0</v>
      </c>
      <c r="AS880" s="80" t="b">
        <v>1</v>
      </c>
      <c r="AT880" s="80"/>
      <c r="AU880" s="80">
        <v>18</v>
      </c>
      <c r="AV880" s="87" t="str">
        <f>HYPERLINK("https://abs.twimg.com/images/themes/theme1/bg.png")</f>
        <v>https://abs.twimg.com/images/themes/theme1/bg.png</v>
      </c>
      <c r="AW880" s="80" t="b">
        <v>0</v>
      </c>
      <c r="AX880" s="80" t="s">
        <v>10746</v>
      </c>
      <c r="AY880" s="87" t="str">
        <f>HYPERLINK("https://twitter.com/jci_pekanbaru")</f>
        <v>https://twitter.com/jci_pekanbaru</v>
      </c>
      <c r="AZ880" s="80" t="s">
        <v>66</v>
      </c>
      <c r="BA880" s="2"/>
      <c r="BB880" s="3"/>
      <c r="BC880" s="3"/>
      <c r="BD880" s="3"/>
      <c r="BE880" s="3"/>
    </row>
    <row r="881" spans="1:57" x14ac:dyDescent="0.35">
      <c r="A881" s="66" t="s">
        <v>918</v>
      </c>
      <c r="B881" s="67"/>
      <c r="C881" s="67"/>
      <c r="D881" s="68"/>
      <c r="E881" s="70"/>
      <c r="F881" s="109" t="str">
        <f>HYPERLINK("https://pbs.twimg.com/profile_images/1433094533198200835/ejGKk1WS_normal.jpg")</f>
        <v>https://pbs.twimg.com/profile_images/1433094533198200835/ejGKk1WS_normal.jpg</v>
      </c>
      <c r="G881" s="67"/>
      <c r="H881" s="71"/>
      <c r="I881" s="72"/>
      <c r="J881" s="72"/>
      <c r="K881" s="71" t="s">
        <v>11624</v>
      </c>
      <c r="L881" s="75"/>
      <c r="M881" s="76"/>
      <c r="N881" s="76"/>
      <c r="O881" s="77"/>
      <c r="P881" s="78"/>
      <c r="Q881" s="78"/>
      <c r="R881" s="92"/>
      <c r="S881" s="92"/>
      <c r="T881" s="92"/>
      <c r="U881" s="92"/>
      <c r="V881" s="52"/>
      <c r="W881" s="52"/>
      <c r="X881" s="52"/>
      <c r="Y881" s="52"/>
      <c r="Z881" s="51"/>
      <c r="AA881" s="73"/>
      <c r="AB881" s="73"/>
      <c r="AC881" s="74"/>
      <c r="AD881" s="80" t="s">
        <v>7449</v>
      </c>
      <c r="AE881" s="85" t="s">
        <v>8620</v>
      </c>
      <c r="AF881" s="80">
        <v>986</v>
      </c>
      <c r="AG881" s="80">
        <v>771</v>
      </c>
      <c r="AH881" s="80">
        <v>2117</v>
      </c>
      <c r="AI881" s="80">
        <v>1513</v>
      </c>
      <c r="AJ881" s="80"/>
      <c r="AK881" s="80" t="s">
        <v>9741</v>
      </c>
      <c r="AL881" s="80" t="s">
        <v>10549</v>
      </c>
      <c r="AM881" s="80"/>
      <c r="AN881" s="80"/>
      <c r="AO881" s="82">
        <v>44440.657488425924</v>
      </c>
      <c r="AP881" s="87" t="str">
        <f>HYPERLINK("https://pbs.twimg.com/profile_banners/1433093897207517184/1632240629")</f>
        <v>https://pbs.twimg.com/profile_banners/1433093897207517184/1632240629</v>
      </c>
      <c r="AQ881" s="80" t="b">
        <v>1</v>
      </c>
      <c r="AR881" s="80" t="b">
        <v>0</v>
      </c>
      <c r="AS881" s="80" t="b">
        <v>0</v>
      </c>
      <c r="AT881" s="80"/>
      <c r="AU881" s="80">
        <v>5</v>
      </c>
      <c r="AV881" s="80"/>
      <c r="AW881" s="80" t="b">
        <v>0</v>
      </c>
      <c r="AX881" s="80" t="s">
        <v>10746</v>
      </c>
      <c r="AY881" s="87" t="str">
        <f>HYPERLINK("https://twitter.com/jaemdoongiessss")</f>
        <v>https://twitter.com/jaemdoongiessss</v>
      </c>
      <c r="AZ881" s="80" t="s">
        <v>66</v>
      </c>
      <c r="BA881" s="2"/>
      <c r="BB881" s="3"/>
      <c r="BC881" s="3"/>
      <c r="BD881" s="3"/>
      <c r="BE881" s="3"/>
    </row>
    <row r="882" spans="1:57" x14ac:dyDescent="0.35">
      <c r="A882" s="66" t="s">
        <v>1439</v>
      </c>
      <c r="B882" s="67"/>
      <c r="C882" s="67"/>
      <c r="D882" s="68"/>
      <c r="E882" s="70"/>
      <c r="F882" s="109" t="str">
        <f>HYPERLINK("https://pbs.twimg.com/profile_images/1440847425481048065/DVAq5x7z_normal.jpg")</f>
        <v>https://pbs.twimg.com/profile_images/1440847425481048065/DVAq5x7z_normal.jpg</v>
      </c>
      <c r="G882" s="67"/>
      <c r="H882" s="71"/>
      <c r="I882" s="72"/>
      <c r="J882" s="72"/>
      <c r="K882" s="71" t="s">
        <v>11625</v>
      </c>
      <c r="L882" s="75"/>
      <c r="M882" s="76"/>
      <c r="N882" s="76"/>
      <c r="O882" s="77"/>
      <c r="P882" s="78"/>
      <c r="Q882" s="78"/>
      <c r="R882" s="92"/>
      <c r="S882" s="92"/>
      <c r="T882" s="92"/>
      <c r="U882" s="92"/>
      <c r="V882" s="52"/>
      <c r="W882" s="52"/>
      <c r="X882" s="52"/>
      <c r="Y882" s="52"/>
      <c r="Z882" s="51"/>
      <c r="AA882" s="73"/>
      <c r="AB882" s="73"/>
      <c r="AC882" s="74"/>
      <c r="AD882" s="80" t="s">
        <v>7450</v>
      </c>
      <c r="AE882" s="85" t="s">
        <v>6371</v>
      </c>
      <c r="AF882" s="80">
        <v>774</v>
      </c>
      <c r="AG882" s="80">
        <v>883</v>
      </c>
      <c r="AH882" s="80">
        <v>8102</v>
      </c>
      <c r="AI882" s="80">
        <v>11705</v>
      </c>
      <c r="AJ882" s="80"/>
      <c r="AK882" s="80" t="s">
        <v>9742</v>
      </c>
      <c r="AL882" s="80" t="s">
        <v>10550</v>
      </c>
      <c r="AM882" s="80"/>
      <c r="AN882" s="80"/>
      <c r="AO882" s="82">
        <v>44018.114189814813</v>
      </c>
      <c r="AP882" s="87" t="str">
        <f>HYPERLINK("https://pbs.twimg.com/profile_banners/1279969387370303489/1628013651")</f>
        <v>https://pbs.twimg.com/profile_banners/1279969387370303489/1628013651</v>
      </c>
      <c r="AQ882" s="80" t="b">
        <v>1</v>
      </c>
      <c r="AR882" s="80" t="b">
        <v>0</v>
      </c>
      <c r="AS882" s="80" t="b">
        <v>0</v>
      </c>
      <c r="AT882" s="80"/>
      <c r="AU882" s="80">
        <v>2</v>
      </c>
      <c r="AV882" s="80"/>
      <c r="AW882" s="80" t="b">
        <v>0</v>
      </c>
      <c r="AX882" s="80" t="s">
        <v>10746</v>
      </c>
      <c r="AY882" s="87" t="str">
        <f>HYPERLINK("https://twitter.com/sksksinjun")</f>
        <v>https://twitter.com/sksksinjun</v>
      </c>
      <c r="AZ882" s="80" t="s">
        <v>65</v>
      </c>
      <c r="BA882" s="2"/>
      <c r="BB882" s="3"/>
      <c r="BC882" s="3"/>
      <c r="BD882" s="3"/>
      <c r="BE882" s="3"/>
    </row>
    <row r="883" spans="1:57" x14ac:dyDescent="0.35">
      <c r="A883" s="66" t="s">
        <v>919</v>
      </c>
      <c r="B883" s="67"/>
      <c r="C883" s="67"/>
      <c r="D883" s="68"/>
      <c r="E883" s="70"/>
      <c r="F883" s="109" t="str">
        <f>HYPERLINK("https://pbs.twimg.com/profile_images/1437673253443551235/x6so6S-2_normal.jpg")</f>
        <v>https://pbs.twimg.com/profile_images/1437673253443551235/x6so6S-2_normal.jpg</v>
      </c>
      <c r="G883" s="67"/>
      <c r="H883" s="71"/>
      <c r="I883" s="72"/>
      <c r="J883" s="72"/>
      <c r="K883" s="71" t="s">
        <v>11626</v>
      </c>
      <c r="L883" s="75"/>
      <c r="M883" s="76"/>
      <c r="N883" s="76"/>
      <c r="O883" s="77"/>
      <c r="P883" s="78"/>
      <c r="Q883" s="78"/>
      <c r="R883" s="92"/>
      <c r="S883" s="92"/>
      <c r="T883" s="92"/>
      <c r="U883" s="92"/>
      <c r="V883" s="52"/>
      <c r="W883" s="52"/>
      <c r="X883" s="52"/>
      <c r="Y883" s="52"/>
      <c r="Z883" s="51"/>
      <c r="AA883" s="73"/>
      <c r="AB883" s="73"/>
      <c r="AC883" s="74"/>
      <c r="AD883" s="80" t="s">
        <v>7451</v>
      </c>
      <c r="AE883" s="85" t="s">
        <v>8621</v>
      </c>
      <c r="AF883" s="80">
        <v>2690</v>
      </c>
      <c r="AG883" s="80">
        <v>2754</v>
      </c>
      <c r="AH883" s="80">
        <v>35187</v>
      </c>
      <c r="AI883" s="80">
        <v>51684</v>
      </c>
      <c r="AJ883" s="80"/>
      <c r="AK883" s="80" t="s">
        <v>9743</v>
      </c>
      <c r="AL883" s="80" t="s">
        <v>10427</v>
      </c>
      <c r="AM883" s="87" t="str">
        <f>HYPERLINK("https://t.co/tr5uzDAzHb")</f>
        <v>https://t.co/tr5uzDAzHb</v>
      </c>
      <c r="AN883" s="80"/>
      <c r="AO883" s="82">
        <v>43945.763912037037</v>
      </c>
      <c r="AP883" s="87" t="str">
        <f>HYPERLINK("https://pbs.twimg.com/profile_banners/1253750523859070976/1631602988")</f>
        <v>https://pbs.twimg.com/profile_banners/1253750523859070976/1631602988</v>
      </c>
      <c r="AQ883" s="80" t="b">
        <v>1</v>
      </c>
      <c r="AR883" s="80" t="b">
        <v>0</v>
      </c>
      <c r="AS883" s="80" t="b">
        <v>0</v>
      </c>
      <c r="AT883" s="80"/>
      <c r="AU883" s="80">
        <v>36</v>
      </c>
      <c r="AV883" s="80"/>
      <c r="AW883" s="80" t="b">
        <v>0</v>
      </c>
      <c r="AX883" s="80" t="s">
        <v>10746</v>
      </c>
      <c r="AY883" s="87" t="str">
        <f>HYPERLINK("https://twitter.com/ktaehmybae")</f>
        <v>https://twitter.com/ktaehmybae</v>
      </c>
      <c r="AZ883" s="80" t="s">
        <v>66</v>
      </c>
      <c r="BA883" s="2"/>
      <c r="BB883" s="3"/>
      <c r="BC883" s="3"/>
      <c r="BD883" s="3"/>
      <c r="BE883" s="3"/>
    </row>
    <row r="884" spans="1:57" x14ac:dyDescent="0.35">
      <c r="A884" s="66" t="s">
        <v>920</v>
      </c>
      <c r="B884" s="67"/>
      <c r="C884" s="67"/>
      <c r="D884" s="68"/>
      <c r="E884" s="70"/>
      <c r="F884" s="109" t="str">
        <f>HYPERLINK("https://pbs.twimg.com/profile_images/1441374962904809480/OfaYkYQD_normal.jpg")</f>
        <v>https://pbs.twimg.com/profile_images/1441374962904809480/OfaYkYQD_normal.jpg</v>
      </c>
      <c r="G884" s="67"/>
      <c r="H884" s="71"/>
      <c r="I884" s="72"/>
      <c r="J884" s="72"/>
      <c r="K884" s="71" t="s">
        <v>11627</v>
      </c>
      <c r="L884" s="75"/>
      <c r="M884" s="76"/>
      <c r="N884" s="76"/>
      <c r="O884" s="77"/>
      <c r="P884" s="78"/>
      <c r="Q884" s="78"/>
      <c r="R884" s="92"/>
      <c r="S884" s="92"/>
      <c r="T884" s="92"/>
      <c r="U884" s="92"/>
      <c r="V884" s="52"/>
      <c r="W884" s="52"/>
      <c r="X884" s="52"/>
      <c r="Y884" s="52"/>
      <c r="Z884" s="51"/>
      <c r="AA884" s="73"/>
      <c r="AB884" s="73"/>
      <c r="AC884" s="74"/>
      <c r="AD884" s="80" t="s">
        <v>7452</v>
      </c>
      <c r="AE884" s="85" t="s">
        <v>8622</v>
      </c>
      <c r="AF884" s="80">
        <v>548</v>
      </c>
      <c r="AG884" s="80">
        <v>510</v>
      </c>
      <c r="AH884" s="80">
        <v>22591</v>
      </c>
      <c r="AI884" s="80">
        <v>49015</v>
      </c>
      <c r="AJ884" s="80"/>
      <c r="AK884" s="80" t="s">
        <v>9744</v>
      </c>
      <c r="AL884" s="80"/>
      <c r="AM884" s="80"/>
      <c r="AN884" s="80"/>
      <c r="AO884" s="82">
        <v>43737.170532407406</v>
      </c>
      <c r="AP884" s="87" t="str">
        <f>HYPERLINK("https://pbs.twimg.com/profile_banners/1178158772620914688/1632485544")</f>
        <v>https://pbs.twimg.com/profile_banners/1178158772620914688/1632485544</v>
      </c>
      <c r="AQ884" s="80" t="b">
        <v>1</v>
      </c>
      <c r="AR884" s="80" t="b">
        <v>0</v>
      </c>
      <c r="AS884" s="80" t="b">
        <v>0</v>
      </c>
      <c r="AT884" s="80"/>
      <c r="AU884" s="80">
        <v>8</v>
      </c>
      <c r="AV884" s="80"/>
      <c r="AW884" s="80" t="b">
        <v>0</v>
      </c>
      <c r="AX884" s="80" t="s">
        <v>10746</v>
      </c>
      <c r="AY884" s="87" t="str">
        <f>HYPERLINK("https://twitter.com/skylova2")</f>
        <v>https://twitter.com/skylova2</v>
      </c>
      <c r="AZ884" s="80" t="s">
        <v>66</v>
      </c>
      <c r="BA884" s="2"/>
      <c r="BB884" s="3"/>
      <c r="BC884" s="3"/>
      <c r="BD884" s="3"/>
      <c r="BE884" s="3"/>
    </row>
    <row r="885" spans="1:57" x14ac:dyDescent="0.35">
      <c r="A885" s="66" t="s">
        <v>921</v>
      </c>
      <c r="B885" s="67"/>
      <c r="C885" s="67"/>
      <c r="D885" s="68"/>
      <c r="E885" s="70"/>
      <c r="F885" s="109" t="str">
        <f>HYPERLINK("https://pbs.twimg.com/profile_images/1417518297545728001/wIGBJjC9_normal.jpg")</f>
        <v>https://pbs.twimg.com/profile_images/1417518297545728001/wIGBJjC9_normal.jpg</v>
      </c>
      <c r="G885" s="67"/>
      <c r="H885" s="71"/>
      <c r="I885" s="72"/>
      <c r="J885" s="72"/>
      <c r="K885" s="71" t="s">
        <v>11628</v>
      </c>
      <c r="L885" s="75"/>
      <c r="M885" s="76"/>
      <c r="N885" s="76"/>
      <c r="O885" s="77"/>
      <c r="P885" s="78"/>
      <c r="Q885" s="78"/>
      <c r="R885" s="92"/>
      <c r="S885" s="92"/>
      <c r="T885" s="92"/>
      <c r="U885" s="92"/>
      <c r="V885" s="52"/>
      <c r="W885" s="52"/>
      <c r="X885" s="52"/>
      <c r="Y885" s="52"/>
      <c r="Z885" s="51"/>
      <c r="AA885" s="73"/>
      <c r="AB885" s="73"/>
      <c r="AC885" s="74"/>
      <c r="AD885" s="80" t="s">
        <v>7453</v>
      </c>
      <c r="AE885" s="85" t="s">
        <v>8623</v>
      </c>
      <c r="AF885" s="80">
        <v>1141</v>
      </c>
      <c r="AG885" s="80">
        <v>1579</v>
      </c>
      <c r="AH885" s="80">
        <v>28587</v>
      </c>
      <c r="AI885" s="80">
        <v>1268</v>
      </c>
      <c r="AJ885" s="80"/>
      <c r="AK885" s="80" t="s">
        <v>9745</v>
      </c>
      <c r="AL885" s="80" t="s">
        <v>10551</v>
      </c>
      <c r="AM885" s="80"/>
      <c r="AN885" s="80"/>
      <c r="AO885" s="82">
        <v>40833.136284722219</v>
      </c>
      <c r="AP885" s="87" t="str">
        <f>HYPERLINK("https://pbs.twimg.com/profile_banners/392478132/1561221398")</f>
        <v>https://pbs.twimg.com/profile_banners/392478132/1561221398</v>
      </c>
      <c r="AQ885" s="80" t="b">
        <v>0</v>
      </c>
      <c r="AR885" s="80" t="b">
        <v>0</v>
      </c>
      <c r="AS885" s="80" t="b">
        <v>1</v>
      </c>
      <c r="AT885" s="80"/>
      <c r="AU885" s="80">
        <v>0</v>
      </c>
      <c r="AV885" s="87" t="str">
        <f>HYPERLINK("https://abs.twimg.com/images/themes/theme11/bg.gif")</f>
        <v>https://abs.twimg.com/images/themes/theme11/bg.gif</v>
      </c>
      <c r="AW885" s="80" t="b">
        <v>0</v>
      </c>
      <c r="AX885" s="80" t="s">
        <v>10746</v>
      </c>
      <c r="AY885" s="87" t="str">
        <f>HYPERLINK("https://twitter.com/akittendust")</f>
        <v>https://twitter.com/akittendust</v>
      </c>
      <c r="AZ885" s="80" t="s">
        <v>66</v>
      </c>
      <c r="BA885" s="2"/>
      <c r="BB885" s="3"/>
      <c r="BC885" s="3"/>
      <c r="BD885" s="3"/>
      <c r="BE885" s="3"/>
    </row>
    <row r="886" spans="1:57" x14ac:dyDescent="0.35">
      <c r="A886" s="66" t="s">
        <v>922</v>
      </c>
      <c r="B886" s="67"/>
      <c r="C886" s="67"/>
      <c r="D886" s="68"/>
      <c r="E886" s="70"/>
      <c r="F886" s="109" t="str">
        <f>HYPERLINK("https://pbs.twimg.com/profile_images/1430885201220018180/VpAfCrSh_normal.jpg")</f>
        <v>https://pbs.twimg.com/profile_images/1430885201220018180/VpAfCrSh_normal.jpg</v>
      </c>
      <c r="G886" s="67"/>
      <c r="H886" s="71"/>
      <c r="I886" s="72"/>
      <c r="J886" s="72"/>
      <c r="K886" s="71" t="s">
        <v>11629</v>
      </c>
      <c r="L886" s="75"/>
      <c r="M886" s="76"/>
      <c r="N886" s="76"/>
      <c r="O886" s="77"/>
      <c r="P886" s="78"/>
      <c r="Q886" s="78"/>
      <c r="R886" s="92"/>
      <c r="S886" s="92"/>
      <c r="T886" s="92"/>
      <c r="U886" s="92"/>
      <c r="V886" s="52"/>
      <c r="W886" s="52"/>
      <c r="X886" s="52"/>
      <c r="Y886" s="52"/>
      <c r="Z886" s="51"/>
      <c r="AA886" s="73"/>
      <c r="AB886" s="73"/>
      <c r="AC886" s="74"/>
      <c r="AD886" s="80" t="s">
        <v>7454</v>
      </c>
      <c r="AE886" s="85" t="s">
        <v>8624</v>
      </c>
      <c r="AF886" s="80">
        <v>180</v>
      </c>
      <c r="AG886" s="80">
        <v>135</v>
      </c>
      <c r="AH886" s="80">
        <v>7374</v>
      </c>
      <c r="AI886" s="80">
        <v>3936</v>
      </c>
      <c r="AJ886" s="80"/>
      <c r="AK886" s="80"/>
      <c r="AL886" s="80" t="s">
        <v>10552</v>
      </c>
      <c r="AM886" s="87" t="str">
        <f>HYPERLINK("https://t.co/UG1MiiCWte")</f>
        <v>https://t.co/UG1MiiCWte</v>
      </c>
      <c r="AN886" s="80"/>
      <c r="AO886" s="82">
        <v>43616.762685185182</v>
      </c>
      <c r="AP886" s="87" t="str">
        <f>HYPERLINK("https://pbs.twimg.com/profile_banners/1134524509334134785/1629545742")</f>
        <v>https://pbs.twimg.com/profile_banners/1134524509334134785/1629545742</v>
      </c>
      <c r="AQ886" s="80" t="b">
        <v>1</v>
      </c>
      <c r="AR886" s="80" t="b">
        <v>0</v>
      </c>
      <c r="AS886" s="80" t="b">
        <v>1</v>
      </c>
      <c r="AT886" s="80"/>
      <c r="AU886" s="80">
        <v>0</v>
      </c>
      <c r="AV886" s="80"/>
      <c r="AW886" s="80" t="b">
        <v>0</v>
      </c>
      <c r="AX886" s="80" t="s">
        <v>10746</v>
      </c>
      <c r="AY886" s="87" t="str">
        <f>HYPERLINK("https://twitter.com/wanshaidin1")</f>
        <v>https://twitter.com/wanshaidin1</v>
      </c>
      <c r="AZ886" s="80" t="s">
        <v>66</v>
      </c>
      <c r="BA886" s="2"/>
      <c r="BB886" s="3"/>
      <c r="BC886" s="3"/>
      <c r="BD886" s="3"/>
      <c r="BE886" s="3"/>
    </row>
    <row r="887" spans="1:57" x14ac:dyDescent="0.35">
      <c r="A887" s="66" t="s">
        <v>923</v>
      </c>
      <c r="B887" s="67"/>
      <c r="C887" s="67"/>
      <c r="D887" s="68"/>
      <c r="E887" s="70"/>
      <c r="F887" s="109" t="str">
        <f>HYPERLINK("https://pbs.twimg.com/profile_images/1437666722522169348/k4ofX7Rk_normal.jpg")</f>
        <v>https://pbs.twimg.com/profile_images/1437666722522169348/k4ofX7Rk_normal.jpg</v>
      </c>
      <c r="G887" s="67"/>
      <c r="H887" s="71"/>
      <c r="I887" s="72"/>
      <c r="J887" s="72"/>
      <c r="K887" s="71" t="s">
        <v>11630</v>
      </c>
      <c r="L887" s="75"/>
      <c r="M887" s="76"/>
      <c r="N887" s="76"/>
      <c r="O887" s="77"/>
      <c r="P887" s="78"/>
      <c r="Q887" s="78"/>
      <c r="R887" s="92"/>
      <c r="S887" s="92"/>
      <c r="T887" s="92"/>
      <c r="U887" s="92"/>
      <c r="V887" s="52"/>
      <c r="W887" s="52"/>
      <c r="X887" s="52"/>
      <c r="Y887" s="52"/>
      <c r="Z887" s="51"/>
      <c r="AA887" s="73"/>
      <c r="AB887" s="73"/>
      <c r="AC887" s="74"/>
      <c r="AD887" s="80" t="s">
        <v>7455</v>
      </c>
      <c r="AE887" s="85" t="s">
        <v>8625</v>
      </c>
      <c r="AF887" s="80">
        <v>95</v>
      </c>
      <c r="AG887" s="80">
        <v>43</v>
      </c>
      <c r="AH887" s="80">
        <v>379</v>
      </c>
      <c r="AI887" s="80">
        <v>17776</v>
      </c>
      <c r="AJ887" s="80"/>
      <c r="AK887" s="80" t="s">
        <v>9746</v>
      </c>
      <c r="AL887" s="80"/>
      <c r="AM887" s="80"/>
      <c r="AN887" s="80"/>
      <c r="AO887" s="82">
        <v>43857.395057870373</v>
      </c>
      <c r="AP887" s="87" t="str">
        <f>HYPERLINK("https://pbs.twimg.com/profile_banners/1221726638246727682/1631601431")</f>
        <v>https://pbs.twimg.com/profile_banners/1221726638246727682/1631601431</v>
      </c>
      <c r="AQ887" s="80" t="b">
        <v>1</v>
      </c>
      <c r="AR887" s="80" t="b">
        <v>0</v>
      </c>
      <c r="AS887" s="80" t="b">
        <v>0</v>
      </c>
      <c r="AT887" s="80"/>
      <c r="AU887" s="80">
        <v>0</v>
      </c>
      <c r="AV887" s="80"/>
      <c r="AW887" s="80" t="b">
        <v>0</v>
      </c>
      <c r="AX887" s="80" t="s">
        <v>10746</v>
      </c>
      <c r="AY887" s="87" t="str">
        <f>HYPERLINK("https://twitter.com/imnicekeepgoing")</f>
        <v>https://twitter.com/imnicekeepgoing</v>
      </c>
      <c r="AZ887" s="80" t="s">
        <v>66</v>
      </c>
      <c r="BA887" s="2"/>
      <c r="BB887" s="3"/>
      <c r="BC887" s="3"/>
      <c r="BD887" s="3"/>
      <c r="BE887" s="3"/>
    </row>
    <row r="888" spans="1:57" x14ac:dyDescent="0.35">
      <c r="A888" s="66" t="s">
        <v>924</v>
      </c>
      <c r="B888" s="67"/>
      <c r="C888" s="67"/>
      <c r="D888" s="68"/>
      <c r="E888" s="70"/>
      <c r="F888" s="109" t="str">
        <f>HYPERLINK("https://pbs.twimg.com/profile_images/1381215166876946437/8k3OnihW_normal.jpg")</f>
        <v>https://pbs.twimg.com/profile_images/1381215166876946437/8k3OnihW_normal.jpg</v>
      </c>
      <c r="G888" s="67"/>
      <c r="H888" s="71"/>
      <c r="I888" s="72"/>
      <c r="J888" s="72"/>
      <c r="K888" s="71" t="s">
        <v>11631</v>
      </c>
      <c r="L888" s="75"/>
      <c r="M888" s="76"/>
      <c r="N888" s="76"/>
      <c r="O888" s="77"/>
      <c r="P888" s="78"/>
      <c r="Q888" s="78"/>
      <c r="R888" s="92"/>
      <c r="S888" s="92"/>
      <c r="T888" s="92"/>
      <c r="U888" s="92"/>
      <c r="V888" s="52"/>
      <c r="W888" s="52"/>
      <c r="X888" s="52"/>
      <c r="Y888" s="52"/>
      <c r="Z888" s="51"/>
      <c r="AA888" s="73"/>
      <c r="AB888" s="73"/>
      <c r="AC888" s="74"/>
      <c r="AD888" s="80" t="s">
        <v>7456</v>
      </c>
      <c r="AE888" s="85" t="s">
        <v>8626</v>
      </c>
      <c r="AF888" s="80">
        <v>284</v>
      </c>
      <c r="AG888" s="80">
        <v>436</v>
      </c>
      <c r="AH888" s="80">
        <v>38056</v>
      </c>
      <c r="AI888" s="80">
        <v>14267</v>
      </c>
      <c r="AJ888" s="80"/>
      <c r="AK888" s="80" t="s">
        <v>9747</v>
      </c>
      <c r="AL888" s="80"/>
      <c r="AM888" s="80"/>
      <c r="AN888" s="80"/>
      <c r="AO888" s="82">
        <v>41584.255324074074</v>
      </c>
      <c r="AP888" s="87" t="str">
        <f>HYPERLINK("https://pbs.twimg.com/profile_banners/2177471370/1615039438")</f>
        <v>https://pbs.twimg.com/profile_banners/2177471370/1615039438</v>
      </c>
      <c r="AQ888" s="80" t="b">
        <v>1</v>
      </c>
      <c r="AR888" s="80" t="b">
        <v>0</v>
      </c>
      <c r="AS888" s="80" t="b">
        <v>1</v>
      </c>
      <c r="AT888" s="80"/>
      <c r="AU888" s="80">
        <v>2</v>
      </c>
      <c r="AV888" s="87" t="str">
        <f>HYPERLINK("https://abs.twimg.com/images/themes/theme1/bg.png")</f>
        <v>https://abs.twimg.com/images/themes/theme1/bg.png</v>
      </c>
      <c r="AW888" s="80" t="b">
        <v>0</v>
      </c>
      <c r="AX888" s="80" t="s">
        <v>10746</v>
      </c>
      <c r="AY888" s="87" t="str">
        <f>HYPERLINK("https://twitter.com/qilahshafie69")</f>
        <v>https://twitter.com/qilahshafie69</v>
      </c>
      <c r="AZ888" s="80" t="s">
        <v>66</v>
      </c>
      <c r="BA888" s="2"/>
      <c r="BB888" s="3"/>
      <c r="BC888" s="3"/>
      <c r="BD888" s="3"/>
      <c r="BE888" s="3"/>
    </row>
    <row r="889" spans="1:57" x14ac:dyDescent="0.35">
      <c r="A889" s="66" t="s">
        <v>925</v>
      </c>
      <c r="B889" s="67"/>
      <c r="C889" s="67"/>
      <c r="D889" s="68"/>
      <c r="E889" s="70"/>
      <c r="F889" s="109" t="str">
        <f>HYPERLINK("https://pbs.twimg.com/profile_images/1442514201587507206/xLFNgv-q_normal.jpg")</f>
        <v>https://pbs.twimg.com/profile_images/1442514201587507206/xLFNgv-q_normal.jpg</v>
      </c>
      <c r="G889" s="67"/>
      <c r="H889" s="71"/>
      <c r="I889" s="72"/>
      <c r="J889" s="72"/>
      <c r="K889" s="71" t="s">
        <v>11632</v>
      </c>
      <c r="L889" s="75"/>
      <c r="M889" s="76"/>
      <c r="N889" s="76"/>
      <c r="O889" s="77"/>
      <c r="P889" s="78"/>
      <c r="Q889" s="78"/>
      <c r="R889" s="92"/>
      <c r="S889" s="92"/>
      <c r="T889" s="92"/>
      <c r="U889" s="92"/>
      <c r="V889" s="52"/>
      <c r="W889" s="52"/>
      <c r="X889" s="52"/>
      <c r="Y889" s="52"/>
      <c r="Z889" s="51"/>
      <c r="AA889" s="73"/>
      <c r="AB889" s="73"/>
      <c r="AC889" s="74"/>
      <c r="AD889" s="80" t="s">
        <v>7457</v>
      </c>
      <c r="AE889" s="85" t="s">
        <v>8627</v>
      </c>
      <c r="AF889" s="80">
        <v>1604</v>
      </c>
      <c r="AG889" s="80">
        <v>1509</v>
      </c>
      <c r="AH889" s="80">
        <v>60970</v>
      </c>
      <c r="AI889" s="80">
        <v>174359</v>
      </c>
      <c r="AJ889" s="80"/>
      <c r="AK889" s="80" t="s">
        <v>9748</v>
      </c>
      <c r="AL889" s="80" t="s">
        <v>10553</v>
      </c>
      <c r="AM889" s="87" t="str">
        <f>HYPERLINK("https://t.co/EmMwn1MQUt")</f>
        <v>https://t.co/EmMwn1MQUt</v>
      </c>
      <c r="AN889" s="80"/>
      <c r="AO889" s="82">
        <v>43366.689467592594</v>
      </c>
      <c r="AP889" s="87" t="str">
        <f>HYPERLINK("https://pbs.twimg.com/profile_banners/1043901011008532480/1632760388")</f>
        <v>https://pbs.twimg.com/profile_banners/1043901011008532480/1632760388</v>
      </c>
      <c r="AQ889" s="80" t="b">
        <v>1</v>
      </c>
      <c r="AR889" s="80" t="b">
        <v>0</v>
      </c>
      <c r="AS889" s="80" t="b">
        <v>1</v>
      </c>
      <c r="AT889" s="80"/>
      <c r="AU889" s="80">
        <v>27</v>
      </c>
      <c r="AV889" s="80"/>
      <c r="AW889" s="80" t="b">
        <v>0</v>
      </c>
      <c r="AX889" s="80" t="s">
        <v>10746</v>
      </c>
      <c r="AY889" s="87" t="str">
        <f>HYPERLINK("https://twitter.com/shrfhbgtn")</f>
        <v>https://twitter.com/shrfhbgtn</v>
      </c>
      <c r="AZ889" s="80" t="s">
        <v>66</v>
      </c>
      <c r="BA889" s="2"/>
      <c r="BB889" s="3"/>
      <c r="BC889" s="3"/>
      <c r="BD889" s="3"/>
      <c r="BE889" s="3"/>
    </row>
    <row r="890" spans="1:57" x14ac:dyDescent="0.35">
      <c r="A890" s="66" t="s">
        <v>926</v>
      </c>
      <c r="B890" s="67"/>
      <c r="C890" s="67"/>
      <c r="D890" s="68"/>
      <c r="E890" s="70"/>
      <c r="F890" s="109" t="str">
        <f>HYPERLINK("https://pbs.twimg.com/profile_images/1438830920337813510/KTbtm5m5_normal.jpg")</f>
        <v>https://pbs.twimg.com/profile_images/1438830920337813510/KTbtm5m5_normal.jpg</v>
      </c>
      <c r="G890" s="67"/>
      <c r="H890" s="71"/>
      <c r="I890" s="72"/>
      <c r="J890" s="72"/>
      <c r="K890" s="71" t="s">
        <v>11633</v>
      </c>
      <c r="L890" s="75"/>
      <c r="M890" s="76"/>
      <c r="N890" s="76"/>
      <c r="O890" s="77"/>
      <c r="P890" s="78"/>
      <c r="Q890" s="78"/>
      <c r="R890" s="92"/>
      <c r="S890" s="92"/>
      <c r="T890" s="92"/>
      <c r="U890" s="92"/>
      <c r="V890" s="52"/>
      <c r="W890" s="52"/>
      <c r="X890" s="52"/>
      <c r="Y890" s="52"/>
      <c r="Z890" s="51"/>
      <c r="AA890" s="73"/>
      <c r="AB890" s="73"/>
      <c r="AC890" s="74"/>
      <c r="AD890" s="80" t="s">
        <v>7458</v>
      </c>
      <c r="AE890" s="85" t="s">
        <v>8628</v>
      </c>
      <c r="AF890" s="80">
        <v>183</v>
      </c>
      <c r="AG890" s="80">
        <v>178</v>
      </c>
      <c r="AH890" s="80">
        <v>447</v>
      </c>
      <c r="AI890" s="80">
        <v>180</v>
      </c>
      <c r="AJ890" s="80"/>
      <c r="AK890" s="80"/>
      <c r="AL890" s="80"/>
      <c r="AM890" s="80"/>
      <c r="AN890" s="80"/>
      <c r="AO890" s="82">
        <v>44155.459409722222</v>
      </c>
      <c r="AP890" s="87" t="str">
        <f>HYPERLINK("https://pbs.twimg.com/profile_banners/1329741640039239683/1631055742")</f>
        <v>https://pbs.twimg.com/profile_banners/1329741640039239683/1631055742</v>
      </c>
      <c r="AQ890" s="80" t="b">
        <v>1</v>
      </c>
      <c r="AR890" s="80" t="b">
        <v>0</v>
      </c>
      <c r="AS890" s="80" t="b">
        <v>0</v>
      </c>
      <c r="AT890" s="80"/>
      <c r="AU890" s="80">
        <v>0</v>
      </c>
      <c r="AV890" s="80"/>
      <c r="AW890" s="80" t="b">
        <v>0</v>
      </c>
      <c r="AX890" s="80" t="s">
        <v>10746</v>
      </c>
      <c r="AY890" s="87" t="str">
        <f>HYPERLINK("https://twitter.com/usagiescape")</f>
        <v>https://twitter.com/usagiescape</v>
      </c>
      <c r="AZ890" s="80" t="s">
        <v>66</v>
      </c>
      <c r="BA890" s="2"/>
      <c r="BB890" s="3"/>
      <c r="BC890" s="3"/>
      <c r="BD890" s="3"/>
      <c r="BE890" s="3"/>
    </row>
    <row r="891" spans="1:57" x14ac:dyDescent="0.35">
      <c r="A891" s="66" t="s">
        <v>1440</v>
      </c>
      <c r="B891" s="67"/>
      <c r="C891" s="67"/>
      <c r="D891" s="68"/>
      <c r="E891" s="70"/>
      <c r="F891" s="109" t="str">
        <f>HYPERLINK("https://pbs.twimg.com/profile_images/1418197430999257091/Y_Uq25r__normal.jpg")</f>
        <v>https://pbs.twimg.com/profile_images/1418197430999257091/Y_Uq25r__normal.jpg</v>
      </c>
      <c r="G891" s="67"/>
      <c r="H891" s="71"/>
      <c r="I891" s="72"/>
      <c r="J891" s="72"/>
      <c r="K891" s="71" t="s">
        <v>11634</v>
      </c>
      <c r="L891" s="75"/>
      <c r="M891" s="76"/>
      <c r="N891" s="76"/>
      <c r="O891" s="77"/>
      <c r="P891" s="78"/>
      <c r="Q891" s="78"/>
      <c r="R891" s="92"/>
      <c r="S891" s="92"/>
      <c r="T891" s="92"/>
      <c r="U891" s="92"/>
      <c r="V891" s="52"/>
      <c r="W891" s="52"/>
      <c r="X891" s="52"/>
      <c r="Y891" s="52"/>
      <c r="Z891" s="51"/>
      <c r="AA891" s="73"/>
      <c r="AB891" s="73"/>
      <c r="AC891" s="74"/>
      <c r="AD891" s="80" t="s">
        <v>7459</v>
      </c>
      <c r="AE891" s="85" t="s">
        <v>6372</v>
      </c>
      <c r="AF891" s="80">
        <v>3613</v>
      </c>
      <c r="AG891" s="80">
        <v>52484</v>
      </c>
      <c r="AH891" s="80">
        <v>77922</v>
      </c>
      <c r="AI891" s="80">
        <v>7</v>
      </c>
      <c r="AJ891" s="80"/>
      <c r="AK891" s="80" t="s">
        <v>9749</v>
      </c>
      <c r="AL891" s="80" t="s">
        <v>10228</v>
      </c>
      <c r="AM891" s="80"/>
      <c r="AN891" s="80"/>
      <c r="AO891" s="82">
        <v>43930.821805555555</v>
      </c>
      <c r="AP891" s="87" t="str">
        <f>HYPERLINK("https://pbs.twimg.com/profile_banners/1248335621988311041/1626943736")</f>
        <v>https://pbs.twimg.com/profile_banners/1248335621988311041/1626943736</v>
      </c>
      <c r="AQ891" s="80" t="b">
        <v>1</v>
      </c>
      <c r="AR891" s="80" t="b">
        <v>0</v>
      </c>
      <c r="AS891" s="80" t="b">
        <v>0</v>
      </c>
      <c r="AT891" s="80"/>
      <c r="AU891" s="80">
        <v>218</v>
      </c>
      <c r="AV891" s="80"/>
      <c r="AW891" s="80" t="b">
        <v>0</v>
      </c>
      <c r="AX891" s="80" t="s">
        <v>10746</v>
      </c>
      <c r="AY891" s="87" t="str">
        <f>HYPERLINK("https://twitter.com/bdngfess")</f>
        <v>https://twitter.com/bdngfess</v>
      </c>
      <c r="AZ891" s="80" t="s">
        <v>65</v>
      </c>
      <c r="BA891" s="2"/>
      <c r="BB891" s="3"/>
      <c r="BC891" s="3"/>
      <c r="BD891" s="3"/>
      <c r="BE891" s="3"/>
    </row>
    <row r="892" spans="1:57" x14ac:dyDescent="0.35">
      <c r="A892" s="66" t="s">
        <v>927</v>
      </c>
      <c r="B892" s="67"/>
      <c r="C892" s="67"/>
      <c r="D892" s="68"/>
      <c r="E892" s="70"/>
      <c r="F892" s="109" t="str">
        <f>HYPERLINK("https://pbs.twimg.com/profile_images/1435983937055068161/AGA38BXg_normal.jpg")</f>
        <v>https://pbs.twimg.com/profile_images/1435983937055068161/AGA38BXg_normal.jpg</v>
      </c>
      <c r="G892" s="67"/>
      <c r="H892" s="71"/>
      <c r="I892" s="72"/>
      <c r="J892" s="72"/>
      <c r="K892" s="71" t="s">
        <v>11635</v>
      </c>
      <c r="L892" s="75"/>
      <c r="M892" s="76"/>
      <c r="N892" s="76"/>
      <c r="O892" s="77"/>
      <c r="P892" s="78"/>
      <c r="Q892" s="78"/>
      <c r="R892" s="92"/>
      <c r="S892" s="92"/>
      <c r="T892" s="92"/>
      <c r="U892" s="92"/>
      <c r="V892" s="52"/>
      <c r="W892" s="52"/>
      <c r="X892" s="52"/>
      <c r="Y892" s="52"/>
      <c r="Z892" s="51"/>
      <c r="AA892" s="73"/>
      <c r="AB892" s="73"/>
      <c r="AC892" s="74"/>
      <c r="AD892" s="80" t="s">
        <v>7460</v>
      </c>
      <c r="AE892" s="85" t="s">
        <v>8629</v>
      </c>
      <c r="AF892" s="80">
        <v>3176</v>
      </c>
      <c r="AG892" s="80">
        <v>3088</v>
      </c>
      <c r="AH892" s="80">
        <v>22453</v>
      </c>
      <c r="AI892" s="80">
        <v>59324</v>
      </c>
      <c r="AJ892" s="80"/>
      <c r="AK892" s="80" t="s">
        <v>9750</v>
      </c>
      <c r="AL892" s="80" t="s">
        <v>10554</v>
      </c>
      <c r="AM892" s="87" t="str">
        <f>HYPERLINK("https://t.co/0hgoBu4yU5")</f>
        <v>https://t.co/0hgoBu4yU5</v>
      </c>
      <c r="AN892" s="80"/>
      <c r="AO892" s="82">
        <v>43623.328402777777</v>
      </c>
      <c r="AP892" s="87" t="str">
        <f>HYPERLINK("https://pbs.twimg.com/profile_banners/1136903844934250497/1630467741")</f>
        <v>https://pbs.twimg.com/profile_banners/1136903844934250497/1630467741</v>
      </c>
      <c r="AQ892" s="80" t="b">
        <v>1</v>
      </c>
      <c r="AR892" s="80" t="b">
        <v>0</v>
      </c>
      <c r="AS892" s="80" t="b">
        <v>0</v>
      </c>
      <c r="AT892" s="80"/>
      <c r="AU892" s="80">
        <v>6</v>
      </c>
      <c r="AV892" s="80"/>
      <c r="AW892" s="80" t="b">
        <v>0</v>
      </c>
      <c r="AX892" s="80" t="s">
        <v>10746</v>
      </c>
      <c r="AY892" s="87" t="str">
        <f>HYPERLINK("https://twitter.com/ezzyyall")</f>
        <v>https://twitter.com/ezzyyall</v>
      </c>
      <c r="AZ892" s="80" t="s">
        <v>66</v>
      </c>
      <c r="BA892" s="2"/>
      <c r="BB892" s="3"/>
      <c r="BC892" s="3"/>
      <c r="BD892" s="3"/>
      <c r="BE892" s="3"/>
    </row>
    <row r="893" spans="1:57" x14ac:dyDescent="0.35">
      <c r="A893" s="66" t="s">
        <v>929</v>
      </c>
      <c r="B893" s="67"/>
      <c r="C893" s="67"/>
      <c r="D893" s="68"/>
      <c r="E893" s="70"/>
      <c r="F893" s="109" t="str">
        <f>HYPERLINK("https://pbs.twimg.com/profile_images/1330538716788559872/Jgigbsjl_normal.jpg")</f>
        <v>https://pbs.twimg.com/profile_images/1330538716788559872/Jgigbsjl_normal.jpg</v>
      </c>
      <c r="G893" s="67"/>
      <c r="H893" s="71"/>
      <c r="I893" s="72"/>
      <c r="J893" s="72"/>
      <c r="K893" s="71" t="s">
        <v>11636</v>
      </c>
      <c r="L893" s="75"/>
      <c r="M893" s="76"/>
      <c r="N893" s="76"/>
      <c r="O893" s="77"/>
      <c r="P893" s="78"/>
      <c r="Q893" s="78"/>
      <c r="R893" s="92"/>
      <c r="S893" s="92"/>
      <c r="T893" s="92"/>
      <c r="U893" s="92"/>
      <c r="V893" s="52"/>
      <c r="W893" s="52"/>
      <c r="X893" s="52"/>
      <c r="Y893" s="52"/>
      <c r="Z893" s="51"/>
      <c r="AA893" s="73"/>
      <c r="AB893" s="73"/>
      <c r="AC893" s="74"/>
      <c r="AD893" s="80" t="s">
        <v>7461</v>
      </c>
      <c r="AE893" s="85" t="s">
        <v>8630</v>
      </c>
      <c r="AF893" s="80">
        <v>29</v>
      </c>
      <c r="AG893" s="80">
        <v>8</v>
      </c>
      <c r="AH893" s="80">
        <v>22</v>
      </c>
      <c r="AI893" s="80">
        <v>137</v>
      </c>
      <c r="AJ893" s="80"/>
      <c r="AK893" s="80" t="s">
        <v>9751</v>
      </c>
      <c r="AL893" s="80"/>
      <c r="AM893" s="80"/>
      <c r="AN893" s="80"/>
      <c r="AO893" s="82">
        <v>44155.384004629632</v>
      </c>
      <c r="AP893" s="80"/>
      <c r="AQ893" s="80" t="b">
        <v>1</v>
      </c>
      <c r="AR893" s="80" t="b">
        <v>0</v>
      </c>
      <c r="AS893" s="80" t="b">
        <v>0</v>
      </c>
      <c r="AT893" s="80"/>
      <c r="AU893" s="80">
        <v>0</v>
      </c>
      <c r="AV893" s="80"/>
      <c r="AW893" s="80" t="b">
        <v>0</v>
      </c>
      <c r="AX893" s="80" t="s">
        <v>10746</v>
      </c>
      <c r="AY893" s="87" t="str">
        <f>HYPERLINK("https://twitter.com/emirvan96")</f>
        <v>https://twitter.com/emirvan96</v>
      </c>
      <c r="AZ893" s="80" t="s">
        <v>66</v>
      </c>
      <c r="BA893" s="2"/>
      <c r="BB893" s="3"/>
      <c r="BC893" s="3"/>
      <c r="BD893" s="3"/>
      <c r="BE893" s="3"/>
    </row>
    <row r="894" spans="1:57" x14ac:dyDescent="0.35">
      <c r="A894" s="66" t="s">
        <v>930</v>
      </c>
      <c r="B894" s="67"/>
      <c r="C894" s="67"/>
      <c r="D894" s="68"/>
      <c r="E894" s="70"/>
      <c r="F894" s="109" t="str">
        <f>HYPERLINK("https://pbs.twimg.com/profile_images/1439314773376569344/e6Xcl9U8_normal.jpg")</f>
        <v>https://pbs.twimg.com/profile_images/1439314773376569344/e6Xcl9U8_normal.jpg</v>
      </c>
      <c r="G894" s="67"/>
      <c r="H894" s="71"/>
      <c r="I894" s="72"/>
      <c r="J894" s="72"/>
      <c r="K894" s="71" t="s">
        <v>11637</v>
      </c>
      <c r="L894" s="75"/>
      <c r="M894" s="76"/>
      <c r="N894" s="76"/>
      <c r="O894" s="77"/>
      <c r="P894" s="78"/>
      <c r="Q894" s="78"/>
      <c r="R894" s="92"/>
      <c r="S894" s="92"/>
      <c r="T894" s="92"/>
      <c r="U894" s="92"/>
      <c r="V894" s="52"/>
      <c r="W894" s="52"/>
      <c r="X894" s="52"/>
      <c r="Y894" s="52"/>
      <c r="Z894" s="51"/>
      <c r="AA894" s="73"/>
      <c r="AB894" s="73"/>
      <c r="AC894" s="74"/>
      <c r="AD894" s="80" t="s">
        <v>7462</v>
      </c>
      <c r="AE894" s="85" t="s">
        <v>8631</v>
      </c>
      <c r="AF894" s="80">
        <v>78</v>
      </c>
      <c r="AG894" s="80">
        <v>32</v>
      </c>
      <c r="AH894" s="80">
        <v>181</v>
      </c>
      <c r="AI894" s="80">
        <v>84</v>
      </c>
      <c r="AJ894" s="80"/>
      <c r="AK894" s="80" t="s">
        <v>9752</v>
      </c>
      <c r="AL894" s="80"/>
      <c r="AM894" s="80"/>
      <c r="AN894" s="80"/>
      <c r="AO894" s="82">
        <v>44457.821979166663</v>
      </c>
      <c r="AP894" s="87" t="str">
        <f>HYPERLINK("https://pbs.twimg.com/profile_banners/1439314141169078272/1632654219")</f>
        <v>https://pbs.twimg.com/profile_banners/1439314141169078272/1632654219</v>
      </c>
      <c r="AQ894" s="80" t="b">
        <v>1</v>
      </c>
      <c r="AR894" s="80" t="b">
        <v>0</v>
      </c>
      <c r="AS894" s="80" t="b">
        <v>0</v>
      </c>
      <c r="AT894" s="80"/>
      <c r="AU894" s="80">
        <v>0</v>
      </c>
      <c r="AV894" s="80"/>
      <c r="AW894" s="80" t="b">
        <v>0</v>
      </c>
      <c r="AX894" s="80" t="s">
        <v>10746</v>
      </c>
      <c r="AY894" s="87" t="str">
        <f>HYPERLINK("https://twitter.com/cap_bintang")</f>
        <v>https://twitter.com/cap_bintang</v>
      </c>
      <c r="AZ894" s="80" t="s">
        <v>66</v>
      </c>
      <c r="BA894" s="2"/>
      <c r="BB894" s="3"/>
      <c r="BC894" s="3"/>
      <c r="BD894" s="3"/>
      <c r="BE894" s="3"/>
    </row>
    <row r="895" spans="1:57" x14ac:dyDescent="0.35">
      <c r="A895" s="66" t="s">
        <v>931</v>
      </c>
      <c r="B895" s="67"/>
      <c r="C895" s="67"/>
      <c r="D895" s="68"/>
      <c r="E895" s="70"/>
      <c r="F895" s="109" t="str">
        <f>HYPERLINK("https://pbs.twimg.com/profile_images/1426701145968242689/yoYxKaAJ_normal.jpg")</f>
        <v>https://pbs.twimg.com/profile_images/1426701145968242689/yoYxKaAJ_normal.jpg</v>
      </c>
      <c r="G895" s="67"/>
      <c r="H895" s="71"/>
      <c r="I895" s="72"/>
      <c r="J895" s="72"/>
      <c r="K895" s="71" t="s">
        <v>11638</v>
      </c>
      <c r="L895" s="75"/>
      <c r="M895" s="76"/>
      <c r="N895" s="76"/>
      <c r="O895" s="77"/>
      <c r="P895" s="78"/>
      <c r="Q895" s="78"/>
      <c r="R895" s="92"/>
      <c r="S895" s="92"/>
      <c r="T895" s="92"/>
      <c r="U895" s="92"/>
      <c r="V895" s="52"/>
      <c r="W895" s="52"/>
      <c r="X895" s="52"/>
      <c r="Y895" s="52"/>
      <c r="Z895" s="51"/>
      <c r="AA895" s="73"/>
      <c r="AB895" s="73"/>
      <c r="AC895" s="74"/>
      <c r="AD895" s="80" t="s">
        <v>7463</v>
      </c>
      <c r="AE895" s="85" t="s">
        <v>8632</v>
      </c>
      <c r="AF895" s="80">
        <v>2363</v>
      </c>
      <c r="AG895" s="80">
        <v>2952</v>
      </c>
      <c r="AH895" s="80">
        <v>40650</v>
      </c>
      <c r="AI895" s="80">
        <v>8481</v>
      </c>
      <c r="AJ895" s="80"/>
      <c r="AK895" s="80" t="s">
        <v>9753</v>
      </c>
      <c r="AL895" s="80"/>
      <c r="AM895" s="80"/>
      <c r="AN895" s="80"/>
      <c r="AO895" s="82">
        <v>43744.528449074074</v>
      </c>
      <c r="AP895" s="87" t="str">
        <f>HYPERLINK("https://pbs.twimg.com/profile_banners/1180825190814474240/1629017553")</f>
        <v>https://pbs.twimg.com/profile_banners/1180825190814474240/1629017553</v>
      </c>
      <c r="AQ895" s="80" t="b">
        <v>1</v>
      </c>
      <c r="AR895" s="80" t="b">
        <v>0</v>
      </c>
      <c r="AS895" s="80" t="b">
        <v>0</v>
      </c>
      <c r="AT895" s="80"/>
      <c r="AU895" s="80">
        <v>0</v>
      </c>
      <c r="AV895" s="80"/>
      <c r="AW895" s="80" t="b">
        <v>0</v>
      </c>
      <c r="AX895" s="80" t="s">
        <v>10746</v>
      </c>
      <c r="AY895" s="87" t="str">
        <f>HYPERLINK("https://twitter.com/mungillicious")</f>
        <v>https://twitter.com/mungillicious</v>
      </c>
      <c r="AZ895" s="80" t="s">
        <v>66</v>
      </c>
      <c r="BA895" s="2"/>
      <c r="BB895" s="3"/>
      <c r="BC895" s="3"/>
      <c r="BD895" s="3"/>
      <c r="BE895" s="3"/>
    </row>
    <row r="896" spans="1:57" x14ac:dyDescent="0.35">
      <c r="A896" s="66" t="s">
        <v>932</v>
      </c>
      <c r="B896" s="67"/>
      <c r="C896" s="67"/>
      <c r="D896" s="68"/>
      <c r="E896" s="70"/>
      <c r="F896" s="109" t="str">
        <f>HYPERLINK("https://pbs.twimg.com/profile_images/1429339589500497923/HNJQpqu7_normal.jpg")</f>
        <v>https://pbs.twimg.com/profile_images/1429339589500497923/HNJQpqu7_normal.jpg</v>
      </c>
      <c r="G896" s="67"/>
      <c r="H896" s="71"/>
      <c r="I896" s="72"/>
      <c r="J896" s="72"/>
      <c r="K896" s="71" t="s">
        <v>11639</v>
      </c>
      <c r="L896" s="75"/>
      <c r="M896" s="76"/>
      <c r="N896" s="76"/>
      <c r="O896" s="77"/>
      <c r="P896" s="78"/>
      <c r="Q896" s="78"/>
      <c r="R896" s="92"/>
      <c r="S896" s="92"/>
      <c r="T896" s="92"/>
      <c r="U896" s="92"/>
      <c r="V896" s="52"/>
      <c r="W896" s="52"/>
      <c r="X896" s="52"/>
      <c r="Y896" s="52"/>
      <c r="Z896" s="51"/>
      <c r="AA896" s="73"/>
      <c r="AB896" s="73"/>
      <c r="AC896" s="74"/>
      <c r="AD896" s="80" t="s">
        <v>7464</v>
      </c>
      <c r="AE896" s="85" t="s">
        <v>8633</v>
      </c>
      <c r="AF896" s="80">
        <v>773</v>
      </c>
      <c r="AG896" s="80">
        <v>390</v>
      </c>
      <c r="AH896" s="80">
        <v>56884</v>
      </c>
      <c r="AI896" s="80">
        <v>143</v>
      </c>
      <c r="AJ896" s="80"/>
      <c r="AK896" s="80" t="s">
        <v>9754</v>
      </c>
      <c r="AL896" s="80" t="s">
        <v>10555</v>
      </c>
      <c r="AM896" s="87" t="str">
        <f>HYPERLINK("https://t.co/8W85DjlB5s")</f>
        <v>https://t.co/8W85DjlB5s</v>
      </c>
      <c r="AN896" s="80"/>
      <c r="AO896" s="82">
        <v>41299.410497685189</v>
      </c>
      <c r="AP896" s="87" t="str">
        <f>HYPERLINK("https://pbs.twimg.com/profile_banners/1118891090/1616568965")</f>
        <v>https://pbs.twimg.com/profile_banners/1118891090/1616568965</v>
      </c>
      <c r="AQ896" s="80" t="b">
        <v>0</v>
      </c>
      <c r="AR896" s="80" t="b">
        <v>0</v>
      </c>
      <c r="AS896" s="80" t="b">
        <v>1</v>
      </c>
      <c r="AT896" s="80"/>
      <c r="AU896" s="80">
        <v>6</v>
      </c>
      <c r="AV896" s="87" t="str">
        <f>HYPERLINK("https://abs.twimg.com/images/themes/theme1/bg.png")</f>
        <v>https://abs.twimg.com/images/themes/theme1/bg.png</v>
      </c>
      <c r="AW896" s="80" t="b">
        <v>0</v>
      </c>
      <c r="AX896" s="80" t="s">
        <v>10746</v>
      </c>
      <c r="AY896" s="87" t="str">
        <f>HYPERLINK("https://twitter.com/kimonechi")</f>
        <v>https://twitter.com/kimonechi</v>
      </c>
      <c r="AZ896" s="80" t="s">
        <v>66</v>
      </c>
      <c r="BA896" s="2"/>
      <c r="BB896" s="3"/>
      <c r="BC896" s="3"/>
      <c r="BD896" s="3"/>
      <c r="BE896" s="3"/>
    </row>
    <row r="897" spans="1:57" x14ac:dyDescent="0.35">
      <c r="A897" s="66" t="s">
        <v>1441</v>
      </c>
      <c r="B897" s="67"/>
      <c r="C897" s="67"/>
      <c r="D897" s="68"/>
      <c r="E897" s="70"/>
      <c r="F897" s="109" t="str">
        <f>HYPERLINK("https://pbs.twimg.com/profile_images/1440663810583326738/fsNth2XS_normal.jpg")</f>
        <v>https://pbs.twimg.com/profile_images/1440663810583326738/fsNth2XS_normal.jpg</v>
      </c>
      <c r="G897" s="67"/>
      <c r="H897" s="71"/>
      <c r="I897" s="72"/>
      <c r="J897" s="72"/>
      <c r="K897" s="71" t="s">
        <v>11640</v>
      </c>
      <c r="L897" s="75"/>
      <c r="M897" s="76"/>
      <c r="N897" s="76"/>
      <c r="O897" s="77"/>
      <c r="P897" s="78"/>
      <c r="Q897" s="78"/>
      <c r="R897" s="92"/>
      <c r="S897" s="92"/>
      <c r="T897" s="92"/>
      <c r="U897" s="92"/>
      <c r="V897" s="52"/>
      <c r="W897" s="52"/>
      <c r="X897" s="52"/>
      <c r="Y897" s="52"/>
      <c r="Z897" s="51"/>
      <c r="AA897" s="73"/>
      <c r="AB897" s="73"/>
      <c r="AC897" s="74"/>
      <c r="AD897" s="80" t="s">
        <v>7465</v>
      </c>
      <c r="AE897" s="85" t="s">
        <v>6373</v>
      </c>
      <c r="AF897" s="80">
        <v>153</v>
      </c>
      <c r="AG897" s="80">
        <v>135</v>
      </c>
      <c r="AH897" s="80">
        <v>9231</v>
      </c>
      <c r="AI897" s="80">
        <v>517</v>
      </c>
      <c r="AJ897" s="80"/>
      <c r="AK897" s="80" t="s">
        <v>9755</v>
      </c>
      <c r="AL897" s="80" t="s">
        <v>6543</v>
      </c>
      <c r="AM897" s="80"/>
      <c r="AN897" s="80"/>
      <c r="AO897" s="82">
        <v>43545.607893518521</v>
      </c>
      <c r="AP897" s="87" t="str">
        <f>HYPERLINK("https://pbs.twimg.com/profile_banners/1108738876271517696/1617349821")</f>
        <v>https://pbs.twimg.com/profile_banners/1108738876271517696/1617349821</v>
      </c>
      <c r="AQ897" s="80" t="b">
        <v>0</v>
      </c>
      <c r="AR897" s="80" t="b">
        <v>0</v>
      </c>
      <c r="AS897" s="80" t="b">
        <v>0</v>
      </c>
      <c r="AT897" s="80"/>
      <c r="AU897" s="80">
        <v>1</v>
      </c>
      <c r="AV897" s="87" t="str">
        <f>HYPERLINK("https://abs.twimg.com/images/themes/theme1/bg.png")</f>
        <v>https://abs.twimg.com/images/themes/theme1/bg.png</v>
      </c>
      <c r="AW897" s="80" t="b">
        <v>0</v>
      </c>
      <c r="AX897" s="80" t="s">
        <v>10746</v>
      </c>
      <c r="AY897" s="87" t="str">
        <f>HYPERLINK("https://twitter.com/yukkishii")</f>
        <v>https://twitter.com/yukkishii</v>
      </c>
      <c r="AZ897" s="80" t="s">
        <v>65</v>
      </c>
      <c r="BA897" s="2"/>
      <c r="BB897" s="3"/>
      <c r="BC897" s="3"/>
      <c r="BD897" s="3"/>
      <c r="BE897" s="3"/>
    </row>
    <row r="898" spans="1:57" x14ac:dyDescent="0.35">
      <c r="A898" s="66" t="s">
        <v>933</v>
      </c>
      <c r="B898" s="67"/>
      <c r="C898" s="67"/>
      <c r="D898" s="68"/>
      <c r="E898" s="70"/>
      <c r="F898" s="109" t="str">
        <f>HYPERLINK("https://pbs.twimg.com/profile_images/1081064343578394624/XDncZ7yI_normal.jpg")</f>
        <v>https://pbs.twimg.com/profile_images/1081064343578394624/XDncZ7yI_normal.jpg</v>
      </c>
      <c r="G898" s="67"/>
      <c r="H898" s="71"/>
      <c r="I898" s="72"/>
      <c r="J898" s="72"/>
      <c r="K898" s="71" t="s">
        <v>11641</v>
      </c>
      <c r="L898" s="75"/>
      <c r="M898" s="76"/>
      <c r="N898" s="76"/>
      <c r="O898" s="77"/>
      <c r="P898" s="78"/>
      <c r="Q898" s="78"/>
      <c r="R898" s="92"/>
      <c r="S898" s="92"/>
      <c r="T898" s="92"/>
      <c r="U898" s="92"/>
      <c r="V898" s="52"/>
      <c r="W898" s="52"/>
      <c r="X898" s="52"/>
      <c r="Y898" s="52"/>
      <c r="Z898" s="51"/>
      <c r="AA898" s="73"/>
      <c r="AB898" s="73"/>
      <c r="AC898" s="74"/>
      <c r="AD898" s="80" t="s">
        <v>7466</v>
      </c>
      <c r="AE898" s="85" t="s">
        <v>8634</v>
      </c>
      <c r="AF898" s="80">
        <v>37</v>
      </c>
      <c r="AG898" s="80">
        <v>0</v>
      </c>
      <c r="AH898" s="80">
        <v>69</v>
      </c>
      <c r="AI898" s="80">
        <v>31</v>
      </c>
      <c r="AJ898" s="80"/>
      <c r="AK898" s="80"/>
      <c r="AL898" s="80"/>
      <c r="AM898" s="80"/>
      <c r="AN898" s="80"/>
      <c r="AO898" s="82">
        <v>43406.985081018516</v>
      </c>
      <c r="AP898" s="80"/>
      <c r="AQ898" s="80" t="b">
        <v>1</v>
      </c>
      <c r="AR898" s="80" t="b">
        <v>0</v>
      </c>
      <c r="AS898" s="80" t="b">
        <v>0</v>
      </c>
      <c r="AT898" s="80"/>
      <c r="AU898" s="80">
        <v>0</v>
      </c>
      <c r="AV898" s="80"/>
      <c r="AW898" s="80" t="b">
        <v>0</v>
      </c>
      <c r="AX898" s="80" t="s">
        <v>10746</v>
      </c>
      <c r="AY898" s="87" t="str">
        <f>HYPERLINK("https://twitter.com/faeezah01774194")</f>
        <v>https://twitter.com/faeezah01774194</v>
      </c>
      <c r="AZ898" s="80" t="s">
        <v>66</v>
      </c>
      <c r="BA898" s="2"/>
      <c r="BB898" s="3"/>
      <c r="BC898" s="3"/>
      <c r="BD898" s="3"/>
      <c r="BE898" s="3"/>
    </row>
    <row r="899" spans="1:57" x14ac:dyDescent="0.35">
      <c r="A899" s="66" t="s">
        <v>1442</v>
      </c>
      <c r="B899" s="67"/>
      <c r="C899" s="67"/>
      <c r="D899" s="68"/>
      <c r="E899" s="70"/>
      <c r="F899" s="109" t="str">
        <f>HYPERLINK("https://pbs.twimg.com/profile_images/1441747733941932038/YwkmdbRF_normal.jpg")</f>
        <v>https://pbs.twimg.com/profile_images/1441747733941932038/YwkmdbRF_normal.jpg</v>
      </c>
      <c r="G899" s="67"/>
      <c r="H899" s="71"/>
      <c r="I899" s="72"/>
      <c r="J899" s="72"/>
      <c r="K899" s="71" t="s">
        <v>11642</v>
      </c>
      <c r="L899" s="75"/>
      <c r="M899" s="76"/>
      <c r="N899" s="76"/>
      <c r="O899" s="77"/>
      <c r="P899" s="78"/>
      <c r="Q899" s="78"/>
      <c r="R899" s="92"/>
      <c r="S899" s="92"/>
      <c r="T899" s="92"/>
      <c r="U899" s="92"/>
      <c r="V899" s="52"/>
      <c r="W899" s="52"/>
      <c r="X899" s="52"/>
      <c r="Y899" s="52"/>
      <c r="Z899" s="51"/>
      <c r="AA899" s="73"/>
      <c r="AB899" s="73"/>
      <c r="AC899" s="74"/>
      <c r="AD899" s="80" t="s">
        <v>7001</v>
      </c>
      <c r="AE899" s="85" t="s">
        <v>8635</v>
      </c>
      <c r="AF899" s="80">
        <v>147</v>
      </c>
      <c r="AG899" s="80">
        <v>252</v>
      </c>
      <c r="AH899" s="80">
        <v>6666</v>
      </c>
      <c r="AI899" s="80">
        <v>10117</v>
      </c>
      <c r="AJ899" s="80"/>
      <c r="AK899" s="80" t="s">
        <v>9756</v>
      </c>
      <c r="AL899" s="80"/>
      <c r="AM899" s="87" t="str">
        <f>HYPERLINK("https://t.co/0t2Vjyqbx4")</f>
        <v>https://t.co/0t2Vjyqbx4</v>
      </c>
      <c r="AN899" s="80"/>
      <c r="AO899" s="82">
        <v>42705.347662037035</v>
      </c>
      <c r="AP899" s="87" t="str">
        <f>HYPERLINK("https://pbs.twimg.com/profile_banners/804238763257798656/1626781137")</f>
        <v>https://pbs.twimg.com/profile_banners/804238763257798656/1626781137</v>
      </c>
      <c r="AQ899" s="80" t="b">
        <v>1</v>
      </c>
      <c r="AR899" s="80" t="b">
        <v>0</v>
      </c>
      <c r="AS899" s="80" t="b">
        <v>1</v>
      </c>
      <c r="AT899" s="80"/>
      <c r="AU899" s="80">
        <v>0</v>
      </c>
      <c r="AV899" s="80"/>
      <c r="AW899" s="80" t="b">
        <v>0</v>
      </c>
      <c r="AX899" s="80" t="s">
        <v>10746</v>
      </c>
      <c r="AY899" s="87" t="str">
        <f>HYPERLINK("https://twitter.com/maisarahhhh____")</f>
        <v>https://twitter.com/maisarahhhh____</v>
      </c>
      <c r="AZ899" s="80" t="s">
        <v>65</v>
      </c>
      <c r="BA899" s="2"/>
      <c r="BB899" s="3"/>
      <c r="BC899" s="3"/>
      <c r="BD899" s="3"/>
      <c r="BE899" s="3"/>
    </row>
    <row r="900" spans="1:57" x14ac:dyDescent="0.35">
      <c r="A900" s="66" t="s">
        <v>1443</v>
      </c>
      <c r="B900" s="67"/>
      <c r="C900" s="67"/>
      <c r="D900" s="68"/>
      <c r="E900" s="70"/>
      <c r="F900" s="109" t="str">
        <f>HYPERLINK("https://pbs.twimg.com/profile_images/1429736909249519618/rwie4eBI_normal.jpg")</f>
        <v>https://pbs.twimg.com/profile_images/1429736909249519618/rwie4eBI_normal.jpg</v>
      </c>
      <c r="G900" s="67"/>
      <c r="H900" s="71"/>
      <c r="I900" s="72"/>
      <c r="J900" s="72"/>
      <c r="K900" s="71" t="s">
        <v>11643</v>
      </c>
      <c r="L900" s="75"/>
      <c r="M900" s="76"/>
      <c r="N900" s="76"/>
      <c r="O900" s="77"/>
      <c r="P900" s="78"/>
      <c r="Q900" s="78"/>
      <c r="R900" s="92"/>
      <c r="S900" s="92"/>
      <c r="T900" s="92"/>
      <c r="U900" s="92"/>
      <c r="V900" s="52"/>
      <c r="W900" s="52"/>
      <c r="X900" s="52"/>
      <c r="Y900" s="52"/>
      <c r="Z900" s="51"/>
      <c r="AA900" s="73"/>
      <c r="AB900" s="73"/>
      <c r="AC900" s="74"/>
      <c r="AD900" s="80" t="s">
        <v>7467</v>
      </c>
      <c r="AE900" s="85" t="s">
        <v>6374</v>
      </c>
      <c r="AF900" s="80">
        <v>180</v>
      </c>
      <c r="AG900" s="80">
        <v>463</v>
      </c>
      <c r="AH900" s="80">
        <v>5864</v>
      </c>
      <c r="AI900" s="80">
        <v>5995</v>
      </c>
      <c r="AJ900" s="80"/>
      <c r="AK900" s="80" t="s">
        <v>9757</v>
      </c>
      <c r="AL900" s="80"/>
      <c r="AM900" s="80"/>
      <c r="AN900" s="80"/>
      <c r="AO900" s="82">
        <v>42891.233067129629</v>
      </c>
      <c r="AP900" s="87" t="str">
        <f>HYPERLINK("https://pbs.twimg.com/profile_banners/871601382192578561/1632398999")</f>
        <v>https://pbs.twimg.com/profile_banners/871601382192578561/1632398999</v>
      </c>
      <c r="AQ900" s="80" t="b">
        <v>1</v>
      </c>
      <c r="AR900" s="80" t="b">
        <v>0</v>
      </c>
      <c r="AS900" s="80" t="b">
        <v>1</v>
      </c>
      <c r="AT900" s="80"/>
      <c r="AU900" s="80">
        <v>0</v>
      </c>
      <c r="AV900" s="80"/>
      <c r="AW900" s="80" t="b">
        <v>0</v>
      </c>
      <c r="AX900" s="80" t="s">
        <v>10746</v>
      </c>
      <c r="AY900" s="87" t="str">
        <f>HYPERLINK("https://twitter.com/effaalyaa")</f>
        <v>https://twitter.com/effaalyaa</v>
      </c>
      <c r="AZ900" s="80" t="s">
        <v>65</v>
      </c>
      <c r="BA900" s="2"/>
      <c r="BB900" s="3"/>
      <c r="BC900" s="3"/>
      <c r="BD900" s="3"/>
      <c r="BE900" s="3"/>
    </row>
    <row r="901" spans="1:57" x14ac:dyDescent="0.35">
      <c r="A901" s="66" t="s">
        <v>934</v>
      </c>
      <c r="B901" s="67"/>
      <c r="C901" s="67"/>
      <c r="D901" s="68"/>
      <c r="E901" s="70"/>
      <c r="F901" s="109" t="str">
        <f>HYPERLINK("https://pbs.twimg.com/profile_images/1410793599210385409/vnvXi8QP_normal.jpg")</f>
        <v>https://pbs.twimg.com/profile_images/1410793599210385409/vnvXi8QP_normal.jpg</v>
      </c>
      <c r="G901" s="67"/>
      <c r="H901" s="71"/>
      <c r="I901" s="72"/>
      <c r="J901" s="72"/>
      <c r="K901" s="71" t="s">
        <v>11644</v>
      </c>
      <c r="L901" s="75"/>
      <c r="M901" s="76"/>
      <c r="N901" s="76"/>
      <c r="O901" s="77"/>
      <c r="P901" s="78"/>
      <c r="Q901" s="78"/>
      <c r="R901" s="92"/>
      <c r="S901" s="92"/>
      <c r="T901" s="92"/>
      <c r="U901" s="92"/>
      <c r="V901" s="52"/>
      <c r="W901" s="52"/>
      <c r="X901" s="52"/>
      <c r="Y901" s="52"/>
      <c r="Z901" s="51"/>
      <c r="AA901" s="73"/>
      <c r="AB901" s="73"/>
      <c r="AC901" s="74"/>
      <c r="AD901" s="80" t="s">
        <v>7468</v>
      </c>
      <c r="AE901" s="85" t="s">
        <v>8636</v>
      </c>
      <c r="AF901" s="80">
        <v>343</v>
      </c>
      <c r="AG901" s="80">
        <v>280</v>
      </c>
      <c r="AH901" s="80">
        <v>3297</v>
      </c>
      <c r="AI901" s="80">
        <v>2348</v>
      </c>
      <c r="AJ901" s="80"/>
      <c r="AK901" s="80" t="s">
        <v>9758</v>
      </c>
      <c r="AL901" s="80" t="s">
        <v>10446</v>
      </c>
      <c r="AM901" s="80"/>
      <c r="AN901" s="80"/>
      <c r="AO901" s="82">
        <v>41004.555601851855</v>
      </c>
      <c r="AP901" s="87" t="str">
        <f>HYPERLINK("https://pbs.twimg.com/profile_banners/546051156/1578534198")</f>
        <v>https://pbs.twimg.com/profile_banners/546051156/1578534198</v>
      </c>
      <c r="AQ901" s="80" t="b">
        <v>1</v>
      </c>
      <c r="AR901" s="80" t="b">
        <v>0</v>
      </c>
      <c r="AS901" s="80" t="b">
        <v>1</v>
      </c>
      <c r="AT901" s="80"/>
      <c r="AU901" s="80">
        <v>0</v>
      </c>
      <c r="AV901" s="87" t="str">
        <f>HYPERLINK("https://abs.twimg.com/images/themes/theme1/bg.png")</f>
        <v>https://abs.twimg.com/images/themes/theme1/bg.png</v>
      </c>
      <c r="AW901" s="80" t="b">
        <v>0</v>
      </c>
      <c r="AX901" s="80" t="s">
        <v>10746</v>
      </c>
      <c r="AY901" s="87" t="str">
        <f>HYPERLINK("https://twitter.com/miliondez")</f>
        <v>https://twitter.com/miliondez</v>
      </c>
      <c r="AZ901" s="80" t="s">
        <v>66</v>
      </c>
      <c r="BA901" s="2"/>
      <c r="BB901" s="3"/>
      <c r="BC901" s="3"/>
      <c r="BD901" s="3"/>
      <c r="BE901" s="3"/>
    </row>
    <row r="902" spans="1:57" x14ac:dyDescent="0.35">
      <c r="A902" s="66" t="s">
        <v>1444</v>
      </c>
      <c r="B902" s="67"/>
      <c r="C902" s="67"/>
      <c r="D902" s="68"/>
      <c r="E902" s="70"/>
      <c r="F902" s="109" t="str">
        <f>HYPERLINK("https://pbs.twimg.com/profile_images/1439616746722238467/8X18zii1_normal.jpg")</f>
        <v>https://pbs.twimg.com/profile_images/1439616746722238467/8X18zii1_normal.jpg</v>
      </c>
      <c r="G902" s="67"/>
      <c r="H902" s="71"/>
      <c r="I902" s="72"/>
      <c r="J902" s="72"/>
      <c r="K902" s="71" t="s">
        <v>11645</v>
      </c>
      <c r="L902" s="75"/>
      <c r="M902" s="76"/>
      <c r="N902" s="76"/>
      <c r="O902" s="77"/>
      <c r="P902" s="78"/>
      <c r="Q902" s="78"/>
      <c r="R902" s="92"/>
      <c r="S902" s="92"/>
      <c r="T902" s="92"/>
      <c r="U902" s="92"/>
      <c r="V902" s="52"/>
      <c r="W902" s="52"/>
      <c r="X902" s="52"/>
      <c r="Y902" s="52"/>
      <c r="Z902" s="51"/>
      <c r="AA902" s="73"/>
      <c r="AB902" s="73"/>
      <c r="AC902" s="74"/>
      <c r="AD902" s="80" t="s">
        <v>7469</v>
      </c>
      <c r="AE902" s="85" t="s">
        <v>6375</v>
      </c>
      <c r="AF902" s="80">
        <v>273</v>
      </c>
      <c r="AG902" s="80">
        <v>297</v>
      </c>
      <c r="AH902" s="80">
        <v>15750</v>
      </c>
      <c r="AI902" s="80">
        <v>2438</v>
      </c>
      <c r="AJ902" s="80"/>
      <c r="AK902" s="80"/>
      <c r="AL902" s="80"/>
      <c r="AM902" s="80"/>
      <c r="AN902" s="80"/>
      <c r="AO902" s="82">
        <v>40698.246018518519</v>
      </c>
      <c r="AP902" s="87" t="str">
        <f>HYPERLINK("https://pbs.twimg.com/profile_banners/310697035/1586782754")</f>
        <v>https://pbs.twimg.com/profile_banners/310697035/1586782754</v>
      </c>
      <c r="AQ902" s="80" t="b">
        <v>0</v>
      </c>
      <c r="AR902" s="80" t="b">
        <v>0</v>
      </c>
      <c r="AS902" s="80" t="b">
        <v>1</v>
      </c>
      <c r="AT902" s="80"/>
      <c r="AU902" s="80">
        <v>0</v>
      </c>
      <c r="AV902" s="87" t="str">
        <f>HYPERLINK("https://abs.twimg.com/images/themes/theme1/bg.png")</f>
        <v>https://abs.twimg.com/images/themes/theme1/bg.png</v>
      </c>
      <c r="AW902" s="80" t="b">
        <v>0</v>
      </c>
      <c r="AX902" s="80" t="s">
        <v>10746</v>
      </c>
      <c r="AY902" s="87" t="str">
        <f>HYPERLINK("https://twitter.com/menodewi")</f>
        <v>https://twitter.com/menodewi</v>
      </c>
      <c r="AZ902" s="80" t="s">
        <v>65</v>
      </c>
      <c r="BA902" s="2"/>
      <c r="BB902" s="3"/>
      <c r="BC902" s="3"/>
      <c r="BD902" s="3"/>
      <c r="BE902" s="3"/>
    </row>
    <row r="903" spans="1:57" x14ac:dyDescent="0.35">
      <c r="A903" s="66" t="s">
        <v>935</v>
      </c>
      <c r="B903" s="67"/>
      <c r="C903" s="67"/>
      <c r="D903" s="68"/>
      <c r="E903" s="70"/>
      <c r="F903" s="109" t="str">
        <f>HYPERLINK("https://pbs.twimg.com/profile_images/1441259821550899200/81MnSvAQ_normal.jpg")</f>
        <v>https://pbs.twimg.com/profile_images/1441259821550899200/81MnSvAQ_normal.jpg</v>
      </c>
      <c r="G903" s="67"/>
      <c r="H903" s="71"/>
      <c r="I903" s="72"/>
      <c r="J903" s="72"/>
      <c r="K903" s="71" t="s">
        <v>11646</v>
      </c>
      <c r="L903" s="75"/>
      <c r="M903" s="76"/>
      <c r="N903" s="76"/>
      <c r="O903" s="77"/>
      <c r="P903" s="78"/>
      <c r="Q903" s="78"/>
      <c r="R903" s="92"/>
      <c r="S903" s="92"/>
      <c r="T903" s="92"/>
      <c r="U903" s="92"/>
      <c r="V903" s="52"/>
      <c r="W903" s="52"/>
      <c r="X903" s="52"/>
      <c r="Y903" s="52"/>
      <c r="Z903" s="51"/>
      <c r="AA903" s="73"/>
      <c r="AB903" s="73"/>
      <c r="AC903" s="74"/>
      <c r="AD903" s="80" t="s">
        <v>7470</v>
      </c>
      <c r="AE903" s="85" t="s">
        <v>8637</v>
      </c>
      <c r="AF903" s="80">
        <v>1448</v>
      </c>
      <c r="AG903" s="80">
        <v>1272</v>
      </c>
      <c r="AH903" s="80">
        <v>18373</v>
      </c>
      <c r="AI903" s="80">
        <v>33063</v>
      </c>
      <c r="AJ903" s="80"/>
      <c r="AK903" s="80" t="s">
        <v>9759</v>
      </c>
      <c r="AL903" s="80"/>
      <c r="AM903" s="80"/>
      <c r="AN903" s="80"/>
      <c r="AO903" s="82">
        <v>44027.352199074077</v>
      </c>
      <c r="AP903" s="87" t="str">
        <f>HYPERLINK("https://pbs.twimg.com/profile_banners/1283317137608601601/1632462953")</f>
        <v>https://pbs.twimg.com/profile_banners/1283317137608601601/1632462953</v>
      </c>
      <c r="AQ903" s="80" t="b">
        <v>1</v>
      </c>
      <c r="AR903" s="80" t="b">
        <v>0</v>
      </c>
      <c r="AS903" s="80" t="b">
        <v>0</v>
      </c>
      <c r="AT903" s="80"/>
      <c r="AU903" s="80">
        <v>3</v>
      </c>
      <c r="AV903" s="80"/>
      <c r="AW903" s="80" t="b">
        <v>0</v>
      </c>
      <c r="AX903" s="80" t="s">
        <v>10746</v>
      </c>
      <c r="AY903" s="87" t="str">
        <f>HYPERLINK("https://twitter.com/heymingyuu")</f>
        <v>https://twitter.com/heymingyuu</v>
      </c>
      <c r="AZ903" s="80" t="s">
        <v>66</v>
      </c>
      <c r="BA903" s="2"/>
      <c r="BB903" s="3"/>
      <c r="BC903" s="3"/>
      <c r="BD903" s="3"/>
      <c r="BE903" s="3"/>
    </row>
    <row r="904" spans="1:57" x14ac:dyDescent="0.35">
      <c r="A904" s="66" t="s">
        <v>1445</v>
      </c>
      <c r="B904" s="67"/>
      <c r="C904" s="67"/>
      <c r="D904" s="68"/>
      <c r="E904" s="70"/>
      <c r="F904" s="109" t="str">
        <f>HYPERLINK("https://pbs.twimg.com/profile_images/1441333161909100549/CiYsG54d_normal.jpg")</f>
        <v>https://pbs.twimg.com/profile_images/1441333161909100549/CiYsG54d_normal.jpg</v>
      </c>
      <c r="G904" s="67"/>
      <c r="H904" s="71"/>
      <c r="I904" s="72"/>
      <c r="J904" s="72"/>
      <c r="K904" s="71" t="s">
        <v>11647</v>
      </c>
      <c r="L904" s="75"/>
      <c r="M904" s="76"/>
      <c r="N904" s="76"/>
      <c r="O904" s="77"/>
      <c r="P904" s="78"/>
      <c r="Q904" s="78"/>
      <c r="R904" s="92"/>
      <c r="S904" s="92"/>
      <c r="T904" s="92"/>
      <c r="U904" s="92"/>
      <c r="V904" s="52"/>
      <c r="W904" s="52"/>
      <c r="X904" s="52"/>
      <c r="Y904" s="52"/>
      <c r="Z904" s="51"/>
      <c r="AA904" s="73"/>
      <c r="AB904" s="73"/>
      <c r="AC904" s="74"/>
      <c r="AD904" s="80" t="s">
        <v>7471</v>
      </c>
      <c r="AE904" s="85" t="s">
        <v>6376</v>
      </c>
      <c r="AF904" s="80">
        <v>100</v>
      </c>
      <c r="AG904" s="80">
        <v>61</v>
      </c>
      <c r="AH904" s="80">
        <v>5913</v>
      </c>
      <c r="AI904" s="80">
        <v>6971</v>
      </c>
      <c r="AJ904" s="80"/>
      <c r="AK904" s="80" t="s">
        <v>9760</v>
      </c>
      <c r="AL904" s="80"/>
      <c r="AM904" s="80"/>
      <c r="AN904" s="80"/>
      <c r="AO904" s="82">
        <v>43436.010300925926</v>
      </c>
      <c r="AP904" s="87" t="str">
        <f>HYPERLINK("https://pbs.twimg.com/profile_banners/1069022039334313984/1605798804")</f>
        <v>https://pbs.twimg.com/profile_banners/1069022039334313984/1605798804</v>
      </c>
      <c r="AQ904" s="80" t="b">
        <v>1</v>
      </c>
      <c r="AR904" s="80" t="b">
        <v>0</v>
      </c>
      <c r="AS904" s="80" t="b">
        <v>0</v>
      </c>
      <c r="AT904" s="80"/>
      <c r="AU904" s="80">
        <v>0</v>
      </c>
      <c r="AV904" s="80"/>
      <c r="AW904" s="80" t="b">
        <v>0</v>
      </c>
      <c r="AX904" s="80" t="s">
        <v>10746</v>
      </c>
      <c r="AY904" s="87" t="str">
        <f>HYPERLINK("https://twitter.com/gyucheoli")</f>
        <v>https://twitter.com/gyucheoli</v>
      </c>
      <c r="AZ904" s="80" t="s">
        <v>65</v>
      </c>
      <c r="BA904" s="2"/>
      <c r="BB904" s="3"/>
      <c r="BC904" s="3"/>
      <c r="BD904" s="3"/>
      <c r="BE904" s="3"/>
    </row>
    <row r="905" spans="1:57" x14ac:dyDescent="0.35">
      <c r="A905" s="66" t="s">
        <v>936</v>
      </c>
      <c r="B905" s="67"/>
      <c r="C905" s="67"/>
      <c r="D905" s="68"/>
      <c r="E905" s="70"/>
      <c r="F905" s="109" t="str">
        <f>HYPERLINK("https://pbs.twimg.com/profile_images/1439198209591578634/n9tiyiG3_normal.jpg")</f>
        <v>https://pbs.twimg.com/profile_images/1439198209591578634/n9tiyiG3_normal.jpg</v>
      </c>
      <c r="G905" s="67"/>
      <c r="H905" s="71"/>
      <c r="I905" s="72"/>
      <c r="J905" s="72"/>
      <c r="K905" s="71" t="s">
        <v>11648</v>
      </c>
      <c r="L905" s="75"/>
      <c r="M905" s="76"/>
      <c r="N905" s="76"/>
      <c r="O905" s="77"/>
      <c r="P905" s="78"/>
      <c r="Q905" s="78"/>
      <c r="R905" s="92"/>
      <c r="S905" s="92"/>
      <c r="T905" s="92"/>
      <c r="U905" s="92"/>
      <c r="V905" s="52"/>
      <c r="W905" s="52"/>
      <c r="X905" s="52"/>
      <c r="Y905" s="52"/>
      <c r="Z905" s="51"/>
      <c r="AA905" s="73"/>
      <c r="AB905" s="73"/>
      <c r="AC905" s="74"/>
      <c r="AD905" s="80" t="s">
        <v>7472</v>
      </c>
      <c r="AE905" s="85" t="s">
        <v>8638</v>
      </c>
      <c r="AF905" s="80">
        <v>516</v>
      </c>
      <c r="AG905" s="80">
        <v>433</v>
      </c>
      <c r="AH905" s="80">
        <v>4121</v>
      </c>
      <c r="AI905" s="80">
        <v>31090</v>
      </c>
      <c r="AJ905" s="80"/>
      <c r="AK905" s="80" t="s">
        <v>6678</v>
      </c>
      <c r="AL905" s="80" t="s">
        <v>10556</v>
      </c>
      <c r="AM905" s="87" t="str">
        <f>HYPERLINK("https://t.co/szecmLvLm1")</f>
        <v>https://t.co/szecmLvLm1</v>
      </c>
      <c r="AN905" s="80"/>
      <c r="AO905" s="82">
        <v>44094.481666666667</v>
      </c>
      <c r="AP905" s="87" t="str">
        <f>HYPERLINK("https://pbs.twimg.com/profile_banners/1307643986933288961/1631966590")</f>
        <v>https://pbs.twimg.com/profile_banners/1307643986933288961/1631966590</v>
      </c>
      <c r="AQ905" s="80" t="b">
        <v>1</v>
      </c>
      <c r="AR905" s="80" t="b">
        <v>0</v>
      </c>
      <c r="AS905" s="80" t="b">
        <v>0</v>
      </c>
      <c r="AT905" s="80"/>
      <c r="AU905" s="80">
        <v>0</v>
      </c>
      <c r="AV905" s="80"/>
      <c r="AW905" s="80" t="b">
        <v>0</v>
      </c>
      <c r="AX905" s="80" t="s">
        <v>10746</v>
      </c>
      <c r="AY905" s="87" t="str">
        <f>HYPERLINK("https://twitter.com/claruskv")</f>
        <v>https://twitter.com/claruskv</v>
      </c>
      <c r="AZ905" s="80" t="s">
        <v>66</v>
      </c>
      <c r="BA905" s="2"/>
      <c r="BB905" s="3"/>
      <c r="BC905" s="3"/>
      <c r="BD905" s="3"/>
      <c r="BE905" s="3"/>
    </row>
    <row r="906" spans="1:57" x14ac:dyDescent="0.35">
      <c r="A906" s="66" t="s">
        <v>1446</v>
      </c>
      <c r="B906" s="67"/>
      <c r="C906" s="67"/>
      <c r="D906" s="68"/>
      <c r="E906" s="70"/>
      <c r="F906" s="109" t="str">
        <f>HYPERLINK("https://pbs.twimg.com/profile_images/1442504800646537221/mpua7t-g_normal.jpg")</f>
        <v>https://pbs.twimg.com/profile_images/1442504800646537221/mpua7t-g_normal.jpg</v>
      </c>
      <c r="G906" s="67"/>
      <c r="H906" s="71"/>
      <c r="I906" s="72"/>
      <c r="J906" s="72"/>
      <c r="K906" s="71" t="s">
        <v>11649</v>
      </c>
      <c r="L906" s="75"/>
      <c r="M906" s="76"/>
      <c r="N906" s="76"/>
      <c r="O906" s="77"/>
      <c r="P906" s="78"/>
      <c r="Q906" s="78"/>
      <c r="R906" s="92"/>
      <c r="S906" s="92"/>
      <c r="T906" s="92"/>
      <c r="U906" s="92"/>
      <c r="V906" s="52"/>
      <c r="W906" s="52"/>
      <c r="X906" s="52"/>
      <c r="Y906" s="52"/>
      <c r="Z906" s="51"/>
      <c r="AA906" s="73"/>
      <c r="AB906" s="73"/>
      <c r="AC906" s="74"/>
      <c r="AD906" s="80" t="s">
        <v>7473</v>
      </c>
      <c r="AE906" s="85" t="s">
        <v>6377</v>
      </c>
      <c r="AF906" s="80">
        <v>2616</v>
      </c>
      <c r="AG906" s="80">
        <v>2567</v>
      </c>
      <c r="AH906" s="80">
        <v>142394</v>
      </c>
      <c r="AI906" s="80">
        <v>448</v>
      </c>
      <c r="AJ906" s="80"/>
      <c r="AK906" s="80" t="s">
        <v>9761</v>
      </c>
      <c r="AL906" s="80" t="s">
        <v>10557</v>
      </c>
      <c r="AM906" s="87" t="str">
        <f>HYPERLINK("https://t.co/wNRn2WvZz6")</f>
        <v>https://t.co/wNRn2WvZz6</v>
      </c>
      <c r="AN906" s="80"/>
      <c r="AO906" s="82">
        <v>43272.298692129632</v>
      </c>
      <c r="AP906" s="87" t="str">
        <f>HYPERLINK("https://pbs.twimg.com/profile_banners/1009694940404727808/1632754923")</f>
        <v>https://pbs.twimg.com/profile_banners/1009694940404727808/1632754923</v>
      </c>
      <c r="AQ906" s="80" t="b">
        <v>1</v>
      </c>
      <c r="AR906" s="80" t="b">
        <v>0</v>
      </c>
      <c r="AS906" s="80" t="b">
        <v>1</v>
      </c>
      <c r="AT906" s="80"/>
      <c r="AU906" s="80">
        <v>9</v>
      </c>
      <c r="AV906" s="80"/>
      <c r="AW906" s="80" t="b">
        <v>0</v>
      </c>
      <c r="AX906" s="80" t="s">
        <v>10746</v>
      </c>
      <c r="AY906" s="87" t="str">
        <f>HYPERLINK("https://twitter.com/haniphoria")</f>
        <v>https://twitter.com/haniphoria</v>
      </c>
      <c r="AZ906" s="80" t="s">
        <v>65</v>
      </c>
      <c r="BA906" s="2"/>
      <c r="BB906" s="3"/>
      <c r="BC906" s="3"/>
      <c r="BD906" s="3"/>
      <c r="BE906" s="3"/>
    </row>
    <row r="907" spans="1:57" x14ac:dyDescent="0.35">
      <c r="A907" s="66" t="s">
        <v>937</v>
      </c>
      <c r="B907" s="67"/>
      <c r="C907" s="67"/>
      <c r="D907" s="68"/>
      <c r="E907" s="70"/>
      <c r="F907" s="109" t="str">
        <f>HYPERLINK("https://pbs.twimg.com/profile_images/1430158701357375494/2xZW3bUr_normal.jpg")</f>
        <v>https://pbs.twimg.com/profile_images/1430158701357375494/2xZW3bUr_normal.jpg</v>
      </c>
      <c r="G907" s="67"/>
      <c r="H907" s="71"/>
      <c r="I907" s="72"/>
      <c r="J907" s="72"/>
      <c r="K907" s="71" t="s">
        <v>11650</v>
      </c>
      <c r="L907" s="75"/>
      <c r="M907" s="76"/>
      <c r="N907" s="76"/>
      <c r="O907" s="77"/>
      <c r="P907" s="78"/>
      <c r="Q907" s="78"/>
      <c r="R907" s="92"/>
      <c r="S907" s="92"/>
      <c r="T907" s="92"/>
      <c r="U907" s="92"/>
      <c r="V907" s="52"/>
      <c r="W907" s="52"/>
      <c r="X907" s="52"/>
      <c r="Y907" s="52"/>
      <c r="Z907" s="51"/>
      <c r="AA907" s="73"/>
      <c r="AB907" s="73"/>
      <c r="AC907" s="74"/>
      <c r="AD907" s="80" t="s">
        <v>7275</v>
      </c>
      <c r="AE907" s="85" t="s">
        <v>8639</v>
      </c>
      <c r="AF907" s="80">
        <v>1621</v>
      </c>
      <c r="AG907" s="80">
        <v>2136</v>
      </c>
      <c r="AH907" s="80">
        <v>2829</v>
      </c>
      <c r="AI907" s="80">
        <v>11715</v>
      </c>
      <c r="AJ907" s="80"/>
      <c r="AK907" s="80"/>
      <c r="AL907" s="80" t="s">
        <v>10558</v>
      </c>
      <c r="AM907" s="80"/>
      <c r="AN907" s="80"/>
      <c r="AO907" s="82">
        <v>43645.040810185186</v>
      </c>
      <c r="AP907" s="87" t="str">
        <f>HYPERLINK("https://pbs.twimg.com/profile_banners/1144772157966188544/1597798622")</f>
        <v>https://pbs.twimg.com/profile_banners/1144772157966188544/1597798622</v>
      </c>
      <c r="AQ907" s="80" t="b">
        <v>1</v>
      </c>
      <c r="AR907" s="80" t="b">
        <v>0</v>
      </c>
      <c r="AS907" s="80" t="b">
        <v>0</v>
      </c>
      <c r="AT907" s="80"/>
      <c r="AU907" s="80">
        <v>0</v>
      </c>
      <c r="AV907" s="80"/>
      <c r="AW907" s="80" t="b">
        <v>0</v>
      </c>
      <c r="AX907" s="80" t="s">
        <v>10746</v>
      </c>
      <c r="AY907" s="87" t="str">
        <f>HYPERLINK("https://twitter.com/inipandaa_")</f>
        <v>https://twitter.com/inipandaa_</v>
      </c>
      <c r="AZ907" s="80" t="s">
        <v>66</v>
      </c>
      <c r="BA907" s="2"/>
      <c r="BB907" s="3"/>
      <c r="BC907" s="3"/>
      <c r="BD907" s="3"/>
      <c r="BE907" s="3"/>
    </row>
    <row r="908" spans="1:57" x14ac:dyDescent="0.35">
      <c r="A908" s="66" t="s">
        <v>938</v>
      </c>
      <c r="B908" s="67"/>
      <c r="C908" s="67"/>
      <c r="D908" s="68"/>
      <c r="E908" s="70"/>
      <c r="F908" s="109" t="str">
        <f>HYPERLINK("https://pbs.twimg.com/profile_images/1420390917379289089/jo-CmnLk_normal.jpg")</f>
        <v>https://pbs.twimg.com/profile_images/1420390917379289089/jo-CmnLk_normal.jpg</v>
      </c>
      <c r="G908" s="67"/>
      <c r="H908" s="71"/>
      <c r="I908" s="72"/>
      <c r="J908" s="72"/>
      <c r="K908" s="71" t="s">
        <v>11651</v>
      </c>
      <c r="L908" s="75"/>
      <c r="M908" s="76"/>
      <c r="N908" s="76"/>
      <c r="O908" s="77"/>
      <c r="P908" s="78"/>
      <c r="Q908" s="78"/>
      <c r="R908" s="92"/>
      <c r="S908" s="92"/>
      <c r="T908" s="92"/>
      <c r="U908" s="92"/>
      <c r="V908" s="52"/>
      <c r="W908" s="52"/>
      <c r="X908" s="52"/>
      <c r="Y908" s="52"/>
      <c r="Z908" s="51"/>
      <c r="AA908" s="73"/>
      <c r="AB908" s="73"/>
      <c r="AC908" s="74"/>
      <c r="AD908" s="80" t="s">
        <v>7474</v>
      </c>
      <c r="AE908" s="85" t="s">
        <v>8640</v>
      </c>
      <c r="AF908" s="80">
        <v>343</v>
      </c>
      <c r="AG908" s="80">
        <v>330</v>
      </c>
      <c r="AH908" s="80">
        <v>1191</v>
      </c>
      <c r="AI908" s="80">
        <v>240</v>
      </c>
      <c r="AJ908" s="80"/>
      <c r="AK908" s="80" t="s">
        <v>9762</v>
      </c>
      <c r="AL908" s="80" t="s">
        <v>10559</v>
      </c>
      <c r="AM908" s="87" t="str">
        <f>HYPERLINK("https://t.co/wPYo2dDFit")</f>
        <v>https://t.co/wPYo2dDFit</v>
      </c>
      <c r="AN908" s="80"/>
      <c r="AO908" s="82">
        <v>44405.603402777779</v>
      </c>
      <c r="AP908" s="87" t="str">
        <f>HYPERLINK("https://pbs.twimg.com/profile_banners/1420390783581003776/1627483133")</f>
        <v>https://pbs.twimg.com/profile_banners/1420390783581003776/1627483133</v>
      </c>
      <c r="AQ908" s="80" t="b">
        <v>1</v>
      </c>
      <c r="AR908" s="80" t="b">
        <v>0</v>
      </c>
      <c r="AS908" s="80" t="b">
        <v>0</v>
      </c>
      <c r="AT908" s="80"/>
      <c r="AU908" s="80">
        <v>0</v>
      </c>
      <c r="AV908" s="80"/>
      <c r="AW908" s="80" t="b">
        <v>0</v>
      </c>
      <c r="AX908" s="80" t="s">
        <v>10746</v>
      </c>
      <c r="AY908" s="87" t="str">
        <f>HYPERLINK("https://twitter.com/taeilcarts")</f>
        <v>https://twitter.com/taeilcarts</v>
      </c>
      <c r="AZ908" s="80" t="s">
        <v>66</v>
      </c>
      <c r="BA908" s="2"/>
      <c r="BB908" s="3"/>
      <c r="BC908" s="3"/>
      <c r="BD908" s="3"/>
      <c r="BE908" s="3"/>
    </row>
    <row r="909" spans="1:57" x14ac:dyDescent="0.35">
      <c r="A909" s="66" t="s">
        <v>1447</v>
      </c>
      <c r="B909" s="67"/>
      <c r="C909" s="67"/>
      <c r="D909" s="68"/>
      <c r="E909" s="70"/>
      <c r="F909" s="109" t="str">
        <f>HYPERLINK("https://pbs.twimg.com/profile_images/1436286867435966467/u_yrwRIY_normal.png")</f>
        <v>https://pbs.twimg.com/profile_images/1436286867435966467/u_yrwRIY_normal.png</v>
      </c>
      <c r="G909" s="67"/>
      <c r="H909" s="71"/>
      <c r="I909" s="72"/>
      <c r="J909" s="72"/>
      <c r="K909" s="71" t="s">
        <v>11652</v>
      </c>
      <c r="L909" s="75"/>
      <c r="M909" s="76"/>
      <c r="N909" s="76"/>
      <c r="O909" s="77"/>
      <c r="P909" s="78"/>
      <c r="Q909" s="78"/>
      <c r="R909" s="92"/>
      <c r="S909" s="92"/>
      <c r="T909" s="92"/>
      <c r="U909" s="92"/>
      <c r="V909" s="52"/>
      <c r="W909" s="52"/>
      <c r="X909" s="52"/>
      <c r="Y909" s="52"/>
      <c r="Z909" s="51"/>
      <c r="AA909" s="73"/>
      <c r="AB909" s="73"/>
      <c r="AC909" s="74"/>
      <c r="AD909" s="80" t="s">
        <v>7475</v>
      </c>
      <c r="AE909" s="85" t="s">
        <v>6378</v>
      </c>
      <c r="AF909" s="80">
        <v>417</v>
      </c>
      <c r="AG909" s="80">
        <v>393</v>
      </c>
      <c r="AH909" s="80">
        <v>2689</v>
      </c>
      <c r="AI909" s="80">
        <v>1029</v>
      </c>
      <c r="AJ909" s="80"/>
      <c r="AK909" s="80" t="s">
        <v>9763</v>
      </c>
      <c r="AL909" s="80"/>
      <c r="AM909" s="80"/>
      <c r="AN909" s="80"/>
      <c r="AO909" s="82">
        <v>44280.299444444441</v>
      </c>
      <c r="AP909" s="87" t="str">
        <f>HYPERLINK("https://pbs.twimg.com/profile_banners/1374982143437197314/1631272351")</f>
        <v>https://pbs.twimg.com/profile_banners/1374982143437197314/1631272351</v>
      </c>
      <c r="AQ909" s="80" t="b">
        <v>1</v>
      </c>
      <c r="AR909" s="80" t="b">
        <v>0</v>
      </c>
      <c r="AS909" s="80" t="b">
        <v>0</v>
      </c>
      <c r="AT909" s="80"/>
      <c r="AU909" s="80">
        <v>1</v>
      </c>
      <c r="AV909" s="80"/>
      <c r="AW909" s="80" t="b">
        <v>0</v>
      </c>
      <c r="AX909" s="80" t="s">
        <v>10746</v>
      </c>
      <c r="AY909" s="87" t="str">
        <f>HYPERLINK("https://twitter.com/reenjeun")</f>
        <v>https://twitter.com/reenjeun</v>
      </c>
      <c r="AZ909" s="80" t="s">
        <v>65</v>
      </c>
      <c r="BA909" s="2"/>
      <c r="BB909" s="3"/>
      <c r="BC909" s="3"/>
      <c r="BD909" s="3"/>
      <c r="BE909" s="3"/>
    </row>
    <row r="910" spans="1:57" x14ac:dyDescent="0.35">
      <c r="A910" s="66" t="s">
        <v>939</v>
      </c>
      <c r="B910" s="67"/>
      <c r="C910" s="67"/>
      <c r="D910" s="68"/>
      <c r="E910" s="70"/>
      <c r="F910" s="109" t="str">
        <f>HYPERLINK("https://pbs.twimg.com/profile_images/1438058333387169792/4bqlCp4E_normal.jpg")</f>
        <v>https://pbs.twimg.com/profile_images/1438058333387169792/4bqlCp4E_normal.jpg</v>
      </c>
      <c r="G910" s="67"/>
      <c r="H910" s="71"/>
      <c r="I910" s="72"/>
      <c r="J910" s="72"/>
      <c r="K910" s="71" t="s">
        <v>11653</v>
      </c>
      <c r="L910" s="75"/>
      <c r="M910" s="76"/>
      <c r="N910" s="76"/>
      <c r="O910" s="77"/>
      <c r="P910" s="78"/>
      <c r="Q910" s="78"/>
      <c r="R910" s="92"/>
      <c r="S910" s="92"/>
      <c r="T910" s="92"/>
      <c r="U910" s="92"/>
      <c r="V910" s="52"/>
      <c r="W910" s="52"/>
      <c r="X910" s="52"/>
      <c r="Y910" s="52"/>
      <c r="Z910" s="51"/>
      <c r="AA910" s="73"/>
      <c r="AB910" s="73"/>
      <c r="AC910" s="74"/>
      <c r="AD910" s="80" t="s">
        <v>7476</v>
      </c>
      <c r="AE910" s="85" t="s">
        <v>8641</v>
      </c>
      <c r="AF910" s="80">
        <v>309</v>
      </c>
      <c r="AG910" s="80">
        <v>870</v>
      </c>
      <c r="AH910" s="80">
        <v>53970</v>
      </c>
      <c r="AI910" s="80">
        <v>21294</v>
      </c>
      <c r="AJ910" s="80"/>
      <c r="AK910" s="80" t="s">
        <v>9764</v>
      </c>
      <c r="AL910" s="80" t="s">
        <v>10228</v>
      </c>
      <c r="AM910" s="87" t="str">
        <f>HYPERLINK("https://t.co/qBK9bguT2p")</f>
        <v>https://t.co/qBK9bguT2p</v>
      </c>
      <c r="AN910" s="80"/>
      <c r="AO910" s="82">
        <v>40413.321932870371</v>
      </c>
      <c r="AP910" s="87" t="str">
        <f>HYPERLINK("https://pbs.twimg.com/profile_banners/181874744/1579576812")</f>
        <v>https://pbs.twimg.com/profile_banners/181874744/1579576812</v>
      </c>
      <c r="AQ910" s="80" t="b">
        <v>0</v>
      </c>
      <c r="AR910" s="80" t="b">
        <v>0</v>
      </c>
      <c r="AS910" s="80" t="b">
        <v>1</v>
      </c>
      <c r="AT910" s="80"/>
      <c r="AU910" s="80">
        <v>2</v>
      </c>
      <c r="AV910" s="87" t="str">
        <f>HYPERLINK("https://abs.twimg.com/images/themes/theme11/bg.gif")</f>
        <v>https://abs.twimg.com/images/themes/theme11/bg.gif</v>
      </c>
      <c r="AW910" s="80" t="b">
        <v>0</v>
      </c>
      <c r="AX910" s="80" t="s">
        <v>10746</v>
      </c>
      <c r="AY910" s="87" t="str">
        <f>HYPERLINK("https://twitter.com/tetehdrinktea")</f>
        <v>https://twitter.com/tetehdrinktea</v>
      </c>
      <c r="AZ910" s="80" t="s">
        <v>66</v>
      </c>
      <c r="BA910" s="2"/>
      <c r="BB910" s="3"/>
      <c r="BC910" s="3"/>
      <c r="BD910" s="3"/>
      <c r="BE910" s="3"/>
    </row>
    <row r="911" spans="1:57" x14ac:dyDescent="0.35">
      <c r="A911" s="66" t="s">
        <v>940</v>
      </c>
      <c r="B911" s="67"/>
      <c r="C911" s="67"/>
      <c r="D911" s="68"/>
      <c r="E911" s="70"/>
      <c r="F911" s="109" t="str">
        <f>HYPERLINK("https://pbs.twimg.com/profile_images/1401077613339189249/OCHeU4eL_normal.jpg")</f>
        <v>https://pbs.twimg.com/profile_images/1401077613339189249/OCHeU4eL_normal.jpg</v>
      </c>
      <c r="G911" s="67"/>
      <c r="H911" s="71"/>
      <c r="I911" s="72"/>
      <c r="J911" s="72"/>
      <c r="K911" s="71" t="s">
        <v>11654</v>
      </c>
      <c r="L911" s="75"/>
      <c r="M911" s="76"/>
      <c r="N911" s="76"/>
      <c r="O911" s="77"/>
      <c r="P911" s="78"/>
      <c r="Q911" s="78"/>
      <c r="R911" s="92"/>
      <c r="S911" s="92"/>
      <c r="T911" s="92"/>
      <c r="U911" s="92"/>
      <c r="V911" s="52"/>
      <c r="W911" s="52"/>
      <c r="X911" s="52"/>
      <c r="Y911" s="52"/>
      <c r="Z911" s="51"/>
      <c r="AA911" s="73"/>
      <c r="AB911" s="73"/>
      <c r="AC911" s="74"/>
      <c r="AD911" s="80" t="s">
        <v>7477</v>
      </c>
      <c r="AE911" s="85" t="s">
        <v>8642</v>
      </c>
      <c r="AF911" s="80">
        <v>86</v>
      </c>
      <c r="AG911" s="80">
        <v>59</v>
      </c>
      <c r="AH911" s="80">
        <v>372</v>
      </c>
      <c r="AI911" s="80">
        <v>39</v>
      </c>
      <c r="AJ911" s="80"/>
      <c r="AK911" s="80" t="s">
        <v>9765</v>
      </c>
      <c r="AL911" s="80"/>
      <c r="AM911" s="80"/>
      <c r="AN911" s="80"/>
      <c r="AO911" s="82">
        <v>44213.107106481482</v>
      </c>
      <c r="AP911" s="80"/>
      <c r="AQ911" s="80" t="b">
        <v>1</v>
      </c>
      <c r="AR911" s="80" t="b">
        <v>0</v>
      </c>
      <c r="AS911" s="80" t="b">
        <v>0</v>
      </c>
      <c r="AT911" s="80"/>
      <c r="AU911" s="80">
        <v>0</v>
      </c>
      <c r="AV911" s="80"/>
      <c r="AW911" s="80" t="b">
        <v>0</v>
      </c>
      <c r="AX911" s="80" t="s">
        <v>10746</v>
      </c>
      <c r="AY911" s="87" t="str">
        <f>HYPERLINK("https://twitter.com/siapakahaquw")</f>
        <v>https://twitter.com/siapakahaquw</v>
      </c>
      <c r="AZ911" s="80" t="s">
        <v>66</v>
      </c>
      <c r="BA911" s="2"/>
      <c r="BB911" s="3"/>
      <c r="BC911" s="3"/>
      <c r="BD911" s="3"/>
      <c r="BE911" s="3"/>
    </row>
    <row r="912" spans="1:57" x14ac:dyDescent="0.35">
      <c r="A912" s="66" t="s">
        <v>941</v>
      </c>
      <c r="B912" s="67"/>
      <c r="C912" s="67"/>
      <c r="D912" s="68"/>
      <c r="E912" s="70"/>
      <c r="F912" s="109" t="str">
        <f>HYPERLINK("https://pbs.twimg.com/profile_images/1277454139308380160/r5aiTEYH_normal.jpg")</f>
        <v>https://pbs.twimg.com/profile_images/1277454139308380160/r5aiTEYH_normal.jpg</v>
      </c>
      <c r="G912" s="67"/>
      <c r="H912" s="71"/>
      <c r="I912" s="72"/>
      <c r="J912" s="72"/>
      <c r="K912" s="71" t="s">
        <v>11655</v>
      </c>
      <c r="L912" s="75"/>
      <c r="M912" s="76"/>
      <c r="N912" s="76"/>
      <c r="O912" s="77"/>
      <c r="P912" s="78"/>
      <c r="Q912" s="78"/>
      <c r="R912" s="92"/>
      <c r="S912" s="92"/>
      <c r="T912" s="92"/>
      <c r="U912" s="92"/>
      <c r="V912" s="52"/>
      <c r="W912" s="52"/>
      <c r="X912" s="52"/>
      <c r="Y912" s="52"/>
      <c r="Z912" s="51"/>
      <c r="AA912" s="73"/>
      <c r="AB912" s="73"/>
      <c r="AC912" s="74"/>
      <c r="AD912" s="80" t="s">
        <v>7478</v>
      </c>
      <c r="AE912" s="85" t="s">
        <v>6379</v>
      </c>
      <c r="AF912" s="80">
        <v>17</v>
      </c>
      <c r="AG912" s="80">
        <v>7840</v>
      </c>
      <c r="AH912" s="80">
        <v>3713</v>
      </c>
      <c r="AI912" s="80">
        <v>11901</v>
      </c>
      <c r="AJ912" s="80"/>
      <c r="AK912" s="80" t="s">
        <v>9766</v>
      </c>
      <c r="AL912" s="80" t="s">
        <v>6543</v>
      </c>
      <c r="AM912" s="87" t="str">
        <f>HYPERLINK("https://t.co/FKjhppr7vH")</f>
        <v>https://t.co/FKjhppr7vH</v>
      </c>
      <c r="AN912" s="80"/>
      <c r="AO912" s="82">
        <v>43331.637453703705</v>
      </c>
      <c r="AP912" s="87" t="str">
        <f>HYPERLINK("https://pbs.twimg.com/profile_banners/1031198585801437184/1596113148")</f>
        <v>https://pbs.twimg.com/profile_banners/1031198585801437184/1596113148</v>
      </c>
      <c r="AQ912" s="80" t="b">
        <v>1</v>
      </c>
      <c r="AR912" s="80" t="b">
        <v>0</v>
      </c>
      <c r="AS912" s="80" t="b">
        <v>0</v>
      </c>
      <c r="AT912" s="80"/>
      <c r="AU912" s="80">
        <v>18</v>
      </c>
      <c r="AV912" s="80"/>
      <c r="AW912" s="80" t="b">
        <v>0</v>
      </c>
      <c r="AX912" s="80" t="s">
        <v>10746</v>
      </c>
      <c r="AY912" s="87" t="str">
        <f>HYPERLINK("https://twitter.com/potolawas")</f>
        <v>https://twitter.com/potolawas</v>
      </c>
      <c r="AZ912" s="80" t="s">
        <v>66</v>
      </c>
      <c r="BA912" s="2"/>
      <c r="BB912" s="3"/>
      <c r="BC912" s="3"/>
      <c r="BD912" s="3"/>
      <c r="BE912" s="3"/>
    </row>
    <row r="913" spans="1:57" x14ac:dyDescent="0.35">
      <c r="A913" s="66" t="s">
        <v>942</v>
      </c>
      <c r="B913" s="67"/>
      <c r="C913" s="67"/>
      <c r="D913" s="68"/>
      <c r="E913" s="70"/>
      <c r="F913" s="109" t="str">
        <f>HYPERLINK("https://pbs.twimg.com/profile_images/1429720796293845000/h0N_l0r3_normal.jpg")</f>
        <v>https://pbs.twimg.com/profile_images/1429720796293845000/h0N_l0r3_normal.jpg</v>
      </c>
      <c r="G913" s="67"/>
      <c r="H913" s="71"/>
      <c r="I913" s="72"/>
      <c r="J913" s="72"/>
      <c r="K913" s="71" t="s">
        <v>11656</v>
      </c>
      <c r="L913" s="75"/>
      <c r="M913" s="76"/>
      <c r="N913" s="76"/>
      <c r="O913" s="77"/>
      <c r="P913" s="78"/>
      <c r="Q913" s="78"/>
      <c r="R913" s="92"/>
      <c r="S913" s="92"/>
      <c r="T913" s="92"/>
      <c r="U913" s="92"/>
      <c r="V913" s="52"/>
      <c r="W913" s="52"/>
      <c r="X913" s="52"/>
      <c r="Y913" s="52"/>
      <c r="Z913" s="51"/>
      <c r="AA913" s="73"/>
      <c r="AB913" s="73"/>
      <c r="AC913" s="74"/>
      <c r="AD913" s="80" t="s">
        <v>7479</v>
      </c>
      <c r="AE913" s="85" t="s">
        <v>8643</v>
      </c>
      <c r="AF913" s="80">
        <v>1442</v>
      </c>
      <c r="AG913" s="80">
        <v>283</v>
      </c>
      <c r="AH913" s="80">
        <v>26816</v>
      </c>
      <c r="AI913" s="80">
        <v>19718</v>
      </c>
      <c r="AJ913" s="80"/>
      <c r="AK913" s="80" t="s">
        <v>9767</v>
      </c>
      <c r="AL913" s="80"/>
      <c r="AM913" s="80"/>
      <c r="AN913" s="80"/>
      <c r="AO913" s="82">
        <v>40121.290995370371</v>
      </c>
      <c r="AP913" s="87" t="str">
        <f>HYPERLINK("https://pbs.twimg.com/profile_banners/87382264/1573435288")</f>
        <v>https://pbs.twimg.com/profile_banners/87382264/1573435288</v>
      </c>
      <c r="AQ913" s="80" t="b">
        <v>0</v>
      </c>
      <c r="AR913" s="80" t="b">
        <v>0</v>
      </c>
      <c r="AS913" s="80" t="b">
        <v>1</v>
      </c>
      <c r="AT913" s="80"/>
      <c r="AU913" s="80">
        <v>10</v>
      </c>
      <c r="AV913" s="87" t="str">
        <f>HYPERLINK("https://abs.twimg.com/images/themes/theme13/bg.gif")</f>
        <v>https://abs.twimg.com/images/themes/theme13/bg.gif</v>
      </c>
      <c r="AW913" s="80" t="b">
        <v>0</v>
      </c>
      <c r="AX913" s="80" t="s">
        <v>10746</v>
      </c>
      <c r="AY913" s="87" t="str">
        <f>HYPERLINK("https://twitter.com/micimochi")</f>
        <v>https://twitter.com/micimochi</v>
      </c>
      <c r="AZ913" s="80" t="s">
        <v>66</v>
      </c>
      <c r="BA913" s="2"/>
      <c r="BB913" s="3"/>
      <c r="BC913" s="3"/>
      <c r="BD913" s="3"/>
      <c r="BE913" s="3"/>
    </row>
    <row r="914" spans="1:57" x14ac:dyDescent="0.35">
      <c r="A914" s="66" t="s">
        <v>1448</v>
      </c>
      <c r="B914" s="67"/>
      <c r="C914" s="67"/>
      <c r="D914" s="68"/>
      <c r="E914" s="70"/>
      <c r="F914" s="109" t="str">
        <f>HYPERLINK("https://pbs.twimg.com/profile_images/1383133504863567876/5Gk9MyJ-_normal.jpg")</f>
        <v>https://pbs.twimg.com/profile_images/1383133504863567876/5Gk9MyJ-_normal.jpg</v>
      </c>
      <c r="G914" s="67"/>
      <c r="H914" s="71"/>
      <c r="I914" s="72"/>
      <c r="J914" s="72"/>
      <c r="K914" s="71" t="s">
        <v>11657</v>
      </c>
      <c r="L914" s="75"/>
      <c r="M914" s="76"/>
      <c r="N914" s="76"/>
      <c r="O914" s="77"/>
      <c r="P914" s="78"/>
      <c r="Q914" s="78"/>
      <c r="R914" s="92"/>
      <c r="S914" s="92"/>
      <c r="T914" s="92"/>
      <c r="U914" s="92"/>
      <c r="V914" s="52"/>
      <c r="W914" s="52"/>
      <c r="X914" s="52"/>
      <c r="Y914" s="52"/>
      <c r="Z914" s="51"/>
      <c r="AA914" s="73"/>
      <c r="AB914" s="73"/>
      <c r="AC914" s="74"/>
      <c r="AD914" s="80" t="s">
        <v>7480</v>
      </c>
      <c r="AE914" s="85" t="s">
        <v>6380</v>
      </c>
      <c r="AF914" s="80">
        <v>18</v>
      </c>
      <c r="AG914" s="80">
        <v>0</v>
      </c>
      <c r="AH914" s="80">
        <v>41</v>
      </c>
      <c r="AI914" s="80">
        <v>33</v>
      </c>
      <c r="AJ914" s="80"/>
      <c r="AK914" s="80"/>
      <c r="AL914" s="80"/>
      <c r="AM914" s="80"/>
      <c r="AN914" s="80"/>
      <c r="AO914" s="82">
        <v>44302.792326388888</v>
      </c>
      <c r="AP914" s="80"/>
      <c r="AQ914" s="80" t="b">
        <v>1</v>
      </c>
      <c r="AR914" s="80" t="b">
        <v>0</v>
      </c>
      <c r="AS914" s="80" t="b">
        <v>0</v>
      </c>
      <c r="AT914" s="80"/>
      <c r="AU914" s="80">
        <v>0</v>
      </c>
      <c r="AV914" s="80"/>
      <c r="AW914" s="80" t="b">
        <v>0</v>
      </c>
      <c r="AX914" s="80" t="s">
        <v>10746</v>
      </c>
      <c r="AY914" s="87" t="str">
        <f>HYPERLINK("https://twitter.com/translate_n")</f>
        <v>https://twitter.com/translate_n</v>
      </c>
      <c r="AZ914" s="80" t="s">
        <v>65</v>
      </c>
      <c r="BA914" s="2"/>
      <c r="BB914" s="3"/>
      <c r="BC914" s="3"/>
      <c r="BD914" s="3"/>
      <c r="BE914" s="3"/>
    </row>
    <row r="915" spans="1:57" x14ac:dyDescent="0.35">
      <c r="A915" s="66" t="s">
        <v>943</v>
      </c>
      <c r="B915" s="67"/>
      <c r="C915" s="67"/>
      <c r="D915" s="68"/>
      <c r="E915" s="70"/>
      <c r="F915" s="109" t="str">
        <f>HYPERLINK("https://pbs.twimg.com/profile_images/1427413643436593153/zRSKIgJK_normal.jpg")</f>
        <v>https://pbs.twimg.com/profile_images/1427413643436593153/zRSKIgJK_normal.jpg</v>
      </c>
      <c r="G915" s="67"/>
      <c r="H915" s="71"/>
      <c r="I915" s="72"/>
      <c r="J915" s="72"/>
      <c r="K915" s="71" t="s">
        <v>11658</v>
      </c>
      <c r="L915" s="75"/>
      <c r="M915" s="76"/>
      <c r="N915" s="76"/>
      <c r="O915" s="77"/>
      <c r="P915" s="78"/>
      <c r="Q915" s="78"/>
      <c r="R915" s="92"/>
      <c r="S915" s="92"/>
      <c r="T915" s="92"/>
      <c r="U915" s="92"/>
      <c r="V915" s="52"/>
      <c r="W915" s="52"/>
      <c r="X915" s="52"/>
      <c r="Y915" s="52"/>
      <c r="Z915" s="51"/>
      <c r="AA915" s="73"/>
      <c r="AB915" s="73"/>
      <c r="AC915" s="74"/>
      <c r="AD915" s="80" t="s">
        <v>7481</v>
      </c>
      <c r="AE915" s="85" t="s">
        <v>8644</v>
      </c>
      <c r="AF915" s="80">
        <v>446</v>
      </c>
      <c r="AG915" s="80">
        <v>974</v>
      </c>
      <c r="AH915" s="80">
        <v>50438</v>
      </c>
      <c r="AI915" s="80">
        <v>7</v>
      </c>
      <c r="AJ915" s="80"/>
      <c r="AK915" s="80" t="s">
        <v>9768</v>
      </c>
      <c r="AL915" s="80" t="s">
        <v>10159</v>
      </c>
      <c r="AM915" s="80"/>
      <c r="AN915" s="80"/>
      <c r="AO915" s="82">
        <v>42726.481134259258</v>
      </c>
      <c r="AP915" s="87" t="str">
        <f>HYPERLINK("https://pbs.twimg.com/profile_banners/811897280563290112/1622503826")</f>
        <v>https://pbs.twimg.com/profile_banners/811897280563290112/1622503826</v>
      </c>
      <c r="AQ915" s="80" t="b">
        <v>0</v>
      </c>
      <c r="AR915" s="80" t="b">
        <v>0</v>
      </c>
      <c r="AS915" s="80" t="b">
        <v>0</v>
      </c>
      <c r="AT915" s="80"/>
      <c r="AU915" s="80">
        <v>3</v>
      </c>
      <c r="AV915" s="87" t="str">
        <f>HYPERLINK("https://abs.twimg.com/images/themes/theme1/bg.png")</f>
        <v>https://abs.twimg.com/images/themes/theme1/bg.png</v>
      </c>
      <c r="AW915" s="80" t="b">
        <v>0</v>
      </c>
      <c r="AX915" s="80" t="s">
        <v>10746</v>
      </c>
      <c r="AY915" s="87" t="str">
        <f>HYPERLINK("https://twitter.com/koranbumn")</f>
        <v>https://twitter.com/koranbumn</v>
      </c>
      <c r="AZ915" s="80" t="s">
        <v>66</v>
      </c>
      <c r="BA915" s="2"/>
      <c r="BB915" s="3"/>
      <c r="BC915" s="3"/>
      <c r="BD915" s="3"/>
      <c r="BE915" s="3"/>
    </row>
    <row r="916" spans="1:57" x14ac:dyDescent="0.35">
      <c r="A916" s="66" t="s">
        <v>1191</v>
      </c>
      <c r="B916" s="67"/>
      <c r="C916" s="67"/>
      <c r="D916" s="68"/>
      <c r="E916" s="70"/>
      <c r="F916" s="109" t="str">
        <f>HYPERLINK("https://pbs.twimg.com/profile_images/1441733497454923777/he_eX2kk_normal.jpg")</f>
        <v>https://pbs.twimg.com/profile_images/1441733497454923777/he_eX2kk_normal.jpg</v>
      </c>
      <c r="G916" s="67"/>
      <c r="H916" s="71"/>
      <c r="I916" s="72"/>
      <c r="J916" s="72"/>
      <c r="K916" s="71" t="s">
        <v>11659</v>
      </c>
      <c r="L916" s="75"/>
      <c r="M916" s="76"/>
      <c r="N916" s="76"/>
      <c r="O916" s="77"/>
      <c r="P916" s="78"/>
      <c r="Q916" s="78"/>
      <c r="R916" s="92"/>
      <c r="S916" s="92"/>
      <c r="T916" s="92"/>
      <c r="U916" s="92"/>
      <c r="V916" s="52"/>
      <c r="W916" s="52"/>
      <c r="X916" s="52"/>
      <c r="Y916" s="52"/>
      <c r="Z916" s="51"/>
      <c r="AA916" s="73"/>
      <c r="AB916" s="73"/>
      <c r="AC916" s="74"/>
      <c r="AD916" s="80" t="s">
        <v>7482</v>
      </c>
      <c r="AE916" s="85" t="s">
        <v>8645</v>
      </c>
      <c r="AF916" s="80">
        <v>172</v>
      </c>
      <c r="AG916" s="80">
        <v>1170386</v>
      </c>
      <c r="AH916" s="80">
        <v>28656</v>
      </c>
      <c r="AI916" s="80">
        <v>512</v>
      </c>
      <c r="AJ916" s="80"/>
      <c r="AK916" s="80" t="s">
        <v>9769</v>
      </c>
      <c r="AL916" s="80" t="s">
        <v>10560</v>
      </c>
      <c r="AM916" s="87" t="str">
        <f>HYPERLINK("https://t.co/D7aq8ojptM")</f>
        <v>https://t.co/D7aq8ojptM</v>
      </c>
      <c r="AN916" s="80"/>
      <c r="AO916" s="82">
        <v>40403.253425925926</v>
      </c>
      <c r="AP916" s="87" t="str">
        <f>HYPERLINK("https://pbs.twimg.com/profile_banners/177848697/1600855978")</f>
        <v>https://pbs.twimg.com/profile_banners/177848697/1600855978</v>
      </c>
      <c r="AQ916" s="80" t="b">
        <v>0</v>
      </c>
      <c r="AR916" s="80" t="b">
        <v>0</v>
      </c>
      <c r="AS916" s="80" t="b">
        <v>1</v>
      </c>
      <c r="AT916" s="80"/>
      <c r="AU916" s="80">
        <v>754</v>
      </c>
      <c r="AV916" s="87" t="str">
        <f>HYPERLINK("https://abs.twimg.com/images/themes/theme1/bg.png")</f>
        <v>https://abs.twimg.com/images/themes/theme1/bg.png</v>
      </c>
      <c r="AW916" s="80" t="b">
        <v>1</v>
      </c>
      <c r="AX916" s="80" t="s">
        <v>10746</v>
      </c>
      <c r="AY916" s="87" t="str">
        <f>HYPERLINK("https://twitter.com/kemkominfo")</f>
        <v>https://twitter.com/kemkominfo</v>
      </c>
      <c r="AZ916" s="80" t="s">
        <v>66</v>
      </c>
      <c r="BA916" s="2"/>
      <c r="BB916" s="3"/>
      <c r="BC916" s="3"/>
      <c r="BD916" s="3"/>
      <c r="BE916" s="3"/>
    </row>
    <row r="917" spans="1:57" x14ac:dyDescent="0.35">
      <c r="A917" s="66" t="s">
        <v>944</v>
      </c>
      <c r="B917" s="67"/>
      <c r="C917" s="67"/>
      <c r="D917" s="68"/>
      <c r="E917" s="70"/>
      <c r="F917" s="109" t="str">
        <f>HYPERLINK("https://pbs.twimg.com/profile_images/1442170654082568193/_g0OXJMk_normal.jpg")</f>
        <v>https://pbs.twimg.com/profile_images/1442170654082568193/_g0OXJMk_normal.jpg</v>
      </c>
      <c r="G917" s="67"/>
      <c r="H917" s="71"/>
      <c r="I917" s="72"/>
      <c r="J917" s="72"/>
      <c r="K917" s="71" t="s">
        <v>11660</v>
      </c>
      <c r="L917" s="75"/>
      <c r="M917" s="76"/>
      <c r="N917" s="76"/>
      <c r="O917" s="77"/>
      <c r="P917" s="78"/>
      <c r="Q917" s="78"/>
      <c r="R917" s="92"/>
      <c r="S917" s="92"/>
      <c r="T917" s="92"/>
      <c r="U917" s="92"/>
      <c r="V917" s="52"/>
      <c r="W917" s="52"/>
      <c r="X917" s="52"/>
      <c r="Y917" s="52"/>
      <c r="Z917" s="51"/>
      <c r="AA917" s="73"/>
      <c r="AB917" s="73"/>
      <c r="AC917" s="74"/>
      <c r="AD917" s="80" t="s">
        <v>7483</v>
      </c>
      <c r="AE917" s="85" t="s">
        <v>8646</v>
      </c>
      <c r="AF917" s="80">
        <v>784</v>
      </c>
      <c r="AG917" s="80">
        <v>719</v>
      </c>
      <c r="AH917" s="80">
        <v>7043</v>
      </c>
      <c r="AI917" s="80">
        <v>610</v>
      </c>
      <c r="AJ917" s="80"/>
      <c r="AK917" s="80" t="s">
        <v>9770</v>
      </c>
      <c r="AL917" s="80"/>
      <c r="AM917" s="80"/>
      <c r="AN917" s="80"/>
      <c r="AO917" s="82">
        <v>44114.653310185182</v>
      </c>
      <c r="AP917" s="87" t="str">
        <f>HYPERLINK("https://pbs.twimg.com/profile_banners/1314953995060867072/1632674682")</f>
        <v>https://pbs.twimg.com/profile_banners/1314953995060867072/1632674682</v>
      </c>
      <c r="AQ917" s="80" t="b">
        <v>1</v>
      </c>
      <c r="AR917" s="80" t="b">
        <v>0</v>
      </c>
      <c r="AS917" s="80" t="b">
        <v>0</v>
      </c>
      <c r="AT917" s="80"/>
      <c r="AU917" s="80">
        <v>0</v>
      </c>
      <c r="AV917" s="80"/>
      <c r="AW917" s="80" t="b">
        <v>0</v>
      </c>
      <c r="AX917" s="80" t="s">
        <v>10746</v>
      </c>
      <c r="AY917" s="87" t="str">
        <f>HYPERLINK("https://twitter.com/joyxvc1")</f>
        <v>https://twitter.com/joyxvc1</v>
      </c>
      <c r="AZ917" s="80" t="s">
        <v>66</v>
      </c>
      <c r="BA917" s="2"/>
      <c r="BB917" s="3"/>
      <c r="BC917" s="3"/>
      <c r="BD917" s="3"/>
      <c r="BE917" s="3"/>
    </row>
    <row r="918" spans="1:57" x14ac:dyDescent="0.35">
      <c r="A918" s="66" t="s">
        <v>1449</v>
      </c>
      <c r="B918" s="67"/>
      <c r="C918" s="67"/>
      <c r="D918" s="68"/>
      <c r="E918" s="70"/>
      <c r="F918" s="109" t="str">
        <f>HYPERLINK("https://pbs.twimg.com/profile_images/1314397629980106752/AF6nob86_normal.jpg")</f>
        <v>https://pbs.twimg.com/profile_images/1314397629980106752/AF6nob86_normal.jpg</v>
      </c>
      <c r="G918" s="67"/>
      <c r="H918" s="71"/>
      <c r="I918" s="72"/>
      <c r="J918" s="72"/>
      <c r="K918" s="71" t="s">
        <v>11661</v>
      </c>
      <c r="L918" s="75"/>
      <c r="M918" s="76"/>
      <c r="N918" s="76"/>
      <c r="O918" s="77"/>
      <c r="P918" s="78"/>
      <c r="Q918" s="78"/>
      <c r="R918" s="92"/>
      <c r="S918" s="92"/>
      <c r="T918" s="92"/>
      <c r="U918" s="92"/>
      <c r="V918" s="52"/>
      <c r="W918" s="52"/>
      <c r="X918" s="52"/>
      <c r="Y918" s="52"/>
      <c r="Z918" s="51"/>
      <c r="AA918" s="73"/>
      <c r="AB918" s="73"/>
      <c r="AC918" s="74"/>
      <c r="AD918" s="80" t="s">
        <v>7484</v>
      </c>
      <c r="AE918" s="85" t="s">
        <v>6381</v>
      </c>
      <c r="AF918" s="80">
        <v>1496</v>
      </c>
      <c r="AG918" s="80">
        <v>21203</v>
      </c>
      <c r="AH918" s="80">
        <v>155146</v>
      </c>
      <c r="AI918" s="80">
        <v>97</v>
      </c>
      <c r="AJ918" s="80"/>
      <c r="AK918" s="80" t="s">
        <v>9771</v>
      </c>
      <c r="AL918" s="80" t="s">
        <v>6543</v>
      </c>
      <c r="AM918" s="87" t="str">
        <f>HYPERLINK("https://t.co/nC0H3bRTI1")</f>
        <v>https://t.co/nC0H3bRTI1</v>
      </c>
      <c r="AN918" s="80"/>
      <c r="AO918" s="82">
        <v>44112.337638888886</v>
      </c>
      <c r="AP918" s="87" t="str">
        <f>HYPERLINK("https://pbs.twimg.com/profile_banners/1314114791636492288/1602147501")</f>
        <v>https://pbs.twimg.com/profile_banners/1314114791636492288/1602147501</v>
      </c>
      <c r="AQ918" s="80" t="b">
        <v>1</v>
      </c>
      <c r="AR918" s="80" t="b">
        <v>0</v>
      </c>
      <c r="AS918" s="80" t="b">
        <v>0</v>
      </c>
      <c r="AT918" s="80"/>
      <c r="AU918" s="80">
        <v>783</v>
      </c>
      <c r="AV918" s="80"/>
      <c r="AW918" s="80" t="b">
        <v>0</v>
      </c>
      <c r="AX918" s="80" t="s">
        <v>10746</v>
      </c>
      <c r="AY918" s="87" t="str">
        <f>HYPERLINK("https://twitter.com/bighitkantin")</f>
        <v>https://twitter.com/bighitkantin</v>
      </c>
      <c r="AZ918" s="80" t="s">
        <v>65</v>
      </c>
      <c r="BA918" s="2"/>
      <c r="BB918" s="3"/>
      <c r="BC918" s="3"/>
      <c r="BD918" s="3"/>
      <c r="BE918" s="3"/>
    </row>
    <row r="919" spans="1:57" x14ac:dyDescent="0.35">
      <c r="A919" s="66" t="s">
        <v>945</v>
      </c>
      <c r="B919" s="67"/>
      <c r="C919" s="67"/>
      <c r="D919" s="68"/>
      <c r="E919" s="70"/>
      <c r="F919" s="109" t="str">
        <f>HYPERLINK("https://pbs.twimg.com/profile_images/1442313336457084930/dwBGN5Dd_normal.jpg")</f>
        <v>https://pbs.twimg.com/profile_images/1442313336457084930/dwBGN5Dd_normal.jpg</v>
      </c>
      <c r="G919" s="67"/>
      <c r="H919" s="71"/>
      <c r="I919" s="72"/>
      <c r="J919" s="72"/>
      <c r="K919" s="71" t="s">
        <v>11662</v>
      </c>
      <c r="L919" s="75"/>
      <c r="M919" s="76"/>
      <c r="N919" s="76"/>
      <c r="O919" s="77"/>
      <c r="P919" s="78"/>
      <c r="Q919" s="78"/>
      <c r="R919" s="92"/>
      <c r="S919" s="92"/>
      <c r="T919" s="92"/>
      <c r="U919" s="92"/>
      <c r="V919" s="52"/>
      <c r="W919" s="52"/>
      <c r="X919" s="52"/>
      <c r="Y919" s="52"/>
      <c r="Z919" s="51"/>
      <c r="AA919" s="73"/>
      <c r="AB919" s="73"/>
      <c r="AC919" s="74"/>
      <c r="AD919" s="80" t="s">
        <v>7485</v>
      </c>
      <c r="AE919" s="85" t="s">
        <v>8647</v>
      </c>
      <c r="AF919" s="80">
        <v>772</v>
      </c>
      <c r="AG919" s="80">
        <v>160</v>
      </c>
      <c r="AH919" s="80">
        <v>4344</v>
      </c>
      <c r="AI919" s="80">
        <v>11851</v>
      </c>
      <c r="AJ919" s="80"/>
      <c r="AK919" s="85" t="s">
        <v>9772</v>
      </c>
      <c r="AL919" s="80" t="s">
        <v>10411</v>
      </c>
      <c r="AM919" s="87" t="str">
        <f>HYPERLINK("https://t.co/hA6FKrrarQ")</f>
        <v>https://t.co/hA6FKrrarQ</v>
      </c>
      <c r="AN919" s="80"/>
      <c r="AO919" s="82">
        <v>41628.543796296297</v>
      </c>
      <c r="AP919" s="87" t="str">
        <f>HYPERLINK("https://pbs.twimg.com/profile_banners/2254974426/1621390767")</f>
        <v>https://pbs.twimg.com/profile_banners/2254974426/1621390767</v>
      </c>
      <c r="AQ919" s="80" t="b">
        <v>1</v>
      </c>
      <c r="AR919" s="80" t="b">
        <v>0</v>
      </c>
      <c r="AS919" s="80" t="b">
        <v>1</v>
      </c>
      <c r="AT919" s="80"/>
      <c r="AU919" s="80">
        <v>0</v>
      </c>
      <c r="AV919" s="87" t="str">
        <f>HYPERLINK("https://abs.twimg.com/images/themes/theme1/bg.png")</f>
        <v>https://abs.twimg.com/images/themes/theme1/bg.png</v>
      </c>
      <c r="AW919" s="80" t="b">
        <v>0</v>
      </c>
      <c r="AX919" s="80" t="s">
        <v>10746</v>
      </c>
      <c r="AY919" s="87" t="str">
        <f>HYPERLINK("https://twitter.com/characterofr")</f>
        <v>https://twitter.com/characterofr</v>
      </c>
      <c r="AZ919" s="80" t="s">
        <v>66</v>
      </c>
      <c r="BA919" s="2"/>
      <c r="BB919" s="3"/>
      <c r="BC919" s="3"/>
      <c r="BD919" s="3"/>
      <c r="BE919" s="3"/>
    </row>
    <row r="920" spans="1:57" x14ac:dyDescent="0.35">
      <c r="A920" s="66" t="s">
        <v>1450</v>
      </c>
      <c r="B920" s="67"/>
      <c r="C920" s="67"/>
      <c r="D920" s="68"/>
      <c r="E920" s="70"/>
      <c r="F920" s="109" t="str">
        <f>HYPERLINK("https://pbs.twimg.com/profile_images/1433040728372940809/IGz0Ddul_normal.jpg")</f>
        <v>https://pbs.twimg.com/profile_images/1433040728372940809/IGz0Ddul_normal.jpg</v>
      </c>
      <c r="G920" s="67"/>
      <c r="H920" s="71"/>
      <c r="I920" s="72"/>
      <c r="J920" s="72"/>
      <c r="K920" s="71" t="s">
        <v>11663</v>
      </c>
      <c r="L920" s="75"/>
      <c r="M920" s="76"/>
      <c r="N920" s="76"/>
      <c r="O920" s="77"/>
      <c r="P920" s="78"/>
      <c r="Q920" s="78"/>
      <c r="R920" s="92"/>
      <c r="S920" s="92"/>
      <c r="T920" s="92"/>
      <c r="U920" s="92"/>
      <c r="V920" s="52"/>
      <c r="W920" s="52"/>
      <c r="X920" s="52"/>
      <c r="Y920" s="52"/>
      <c r="Z920" s="51"/>
      <c r="AA920" s="73"/>
      <c r="AB920" s="73"/>
      <c r="AC920" s="74"/>
      <c r="AD920" s="80" t="s">
        <v>7486</v>
      </c>
      <c r="AE920" s="85" t="s">
        <v>6382</v>
      </c>
      <c r="AF920" s="80">
        <v>1014</v>
      </c>
      <c r="AG920" s="80">
        <v>606</v>
      </c>
      <c r="AH920" s="80">
        <v>14707</v>
      </c>
      <c r="AI920" s="80">
        <v>1667</v>
      </c>
      <c r="AJ920" s="80"/>
      <c r="AK920" s="80" t="s">
        <v>9773</v>
      </c>
      <c r="AL920" s="80" t="s">
        <v>10561</v>
      </c>
      <c r="AM920" s="80"/>
      <c r="AN920" s="80"/>
      <c r="AO920" s="82">
        <v>40487.574976851851</v>
      </c>
      <c r="AP920" s="87" t="str">
        <f>HYPERLINK("https://pbs.twimg.com/profile_banners/212225380/1389692125")</f>
        <v>https://pbs.twimg.com/profile_banners/212225380/1389692125</v>
      </c>
      <c r="AQ920" s="80" t="b">
        <v>0</v>
      </c>
      <c r="AR920" s="80" t="b">
        <v>0</v>
      </c>
      <c r="AS920" s="80" t="b">
        <v>1</v>
      </c>
      <c r="AT920" s="80"/>
      <c r="AU920" s="80">
        <v>2</v>
      </c>
      <c r="AV920" s="87" t="str">
        <f>HYPERLINK("https://abs.twimg.com/images/themes/theme1/bg.png")</f>
        <v>https://abs.twimg.com/images/themes/theme1/bg.png</v>
      </c>
      <c r="AW920" s="80" t="b">
        <v>0</v>
      </c>
      <c r="AX920" s="80" t="s">
        <v>10746</v>
      </c>
      <c r="AY920" s="87" t="str">
        <f>HYPERLINK("https://twitter.com/3dhatia")</f>
        <v>https://twitter.com/3dhatia</v>
      </c>
      <c r="AZ920" s="80" t="s">
        <v>65</v>
      </c>
      <c r="BA920" s="2"/>
      <c r="BB920" s="3"/>
      <c r="BC920" s="3"/>
      <c r="BD920" s="3"/>
      <c r="BE920" s="3"/>
    </row>
    <row r="921" spans="1:57" x14ac:dyDescent="0.35">
      <c r="A921" s="66" t="s">
        <v>946</v>
      </c>
      <c r="B921" s="67"/>
      <c r="C921" s="67"/>
      <c r="D921" s="68"/>
      <c r="E921" s="70"/>
      <c r="F921" s="109" t="str">
        <f>HYPERLINK("https://pbs.twimg.com/profile_images/1442723682548273156/FG625YYa_normal.jpg")</f>
        <v>https://pbs.twimg.com/profile_images/1442723682548273156/FG625YYa_normal.jpg</v>
      </c>
      <c r="G921" s="67"/>
      <c r="H921" s="71"/>
      <c r="I921" s="72"/>
      <c r="J921" s="72"/>
      <c r="K921" s="71" t="s">
        <v>11664</v>
      </c>
      <c r="L921" s="75"/>
      <c r="M921" s="76"/>
      <c r="N921" s="76"/>
      <c r="O921" s="77"/>
      <c r="P921" s="78"/>
      <c r="Q921" s="78"/>
      <c r="R921" s="92"/>
      <c r="S921" s="92"/>
      <c r="T921" s="92"/>
      <c r="U921" s="92"/>
      <c r="V921" s="52"/>
      <c r="W921" s="52"/>
      <c r="X921" s="52"/>
      <c r="Y921" s="52"/>
      <c r="Z921" s="51"/>
      <c r="AA921" s="73"/>
      <c r="AB921" s="73"/>
      <c r="AC921" s="74"/>
      <c r="AD921" s="80" t="s">
        <v>7487</v>
      </c>
      <c r="AE921" s="85" t="s">
        <v>8648</v>
      </c>
      <c r="AF921" s="80">
        <v>792</v>
      </c>
      <c r="AG921" s="80">
        <v>773</v>
      </c>
      <c r="AH921" s="80">
        <v>7416</v>
      </c>
      <c r="AI921" s="80">
        <v>7688</v>
      </c>
      <c r="AJ921" s="80"/>
      <c r="AK921" s="80" t="s">
        <v>9774</v>
      </c>
      <c r="AL921" s="80" t="s">
        <v>10157</v>
      </c>
      <c r="AM921" s="80"/>
      <c r="AN921" s="80"/>
      <c r="AO921" s="82">
        <v>44445.604016203702</v>
      </c>
      <c r="AP921" s="87" t="str">
        <f>HYPERLINK("https://pbs.twimg.com/profile_banners/1434886471438061573/1632796152")</f>
        <v>https://pbs.twimg.com/profile_banners/1434886471438061573/1632796152</v>
      </c>
      <c r="AQ921" s="80" t="b">
        <v>1</v>
      </c>
      <c r="AR921" s="80" t="b">
        <v>0</v>
      </c>
      <c r="AS921" s="80" t="b">
        <v>0</v>
      </c>
      <c r="AT921" s="80"/>
      <c r="AU921" s="80">
        <v>6</v>
      </c>
      <c r="AV921" s="80"/>
      <c r="AW921" s="80" t="b">
        <v>0</v>
      </c>
      <c r="AX921" s="80" t="s">
        <v>10746</v>
      </c>
      <c r="AY921" s="87" t="str">
        <f>HYPERLINK("https://twitter.com/jjaeluvm")</f>
        <v>https://twitter.com/jjaeluvm</v>
      </c>
      <c r="AZ921" s="80" t="s">
        <v>66</v>
      </c>
      <c r="BA921" s="2"/>
      <c r="BB921" s="3"/>
      <c r="BC921" s="3"/>
      <c r="BD921" s="3"/>
      <c r="BE921" s="3"/>
    </row>
    <row r="922" spans="1:57" x14ac:dyDescent="0.35">
      <c r="A922" s="66" t="s">
        <v>947</v>
      </c>
      <c r="B922" s="67"/>
      <c r="C922" s="67"/>
      <c r="D922" s="68"/>
      <c r="E922" s="70"/>
      <c r="F922" s="109" t="str">
        <f>HYPERLINK("https://pbs.twimg.com/profile_images/1442262490184765443/7pcuREWn_normal.jpg")</f>
        <v>https://pbs.twimg.com/profile_images/1442262490184765443/7pcuREWn_normal.jpg</v>
      </c>
      <c r="G922" s="67"/>
      <c r="H922" s="71"/>
      <c r="I922" s="72"/>
      <c r="J922" s="72"/>
      <c r="K922" s="71" t="s">
        <v>11665</v>
      </c>
      <c r="L922" s="75"/>
      <c r="M922" s="76"/>
      <c r="N922" s="76"/>
      <c r="O922" s="77"/>
      <c r="P922" s="78"/>
      <c r="Q922" s="78"/>
      <c r="R922" s="92"/>
      <c r="S922" s="92"/>
      <c r="T922" s="92"/>
      <c r="U922" s="92"/>
      <c r="V922" s="52"/>
      <c r="W922" s="52"/>
      <c r="X922" s="52"/>
      <c r="Y922" s="52"/>
      <c r="Z922" s="51"/>
      <c r="AA922" s="73"/>
      <c r="AB922" s="73"/>
      <c r="AC922" s="74"/>
      <c r="AD922" s="80" t="s">
        <v>7488</v>
      </c>
      <c r="AE922" s="85" t="s">
        <v>8649</v>
      </c>
      <c r="AF922" s="80">
        <v>994</v>
      </c>
      <c r="AG922" s="80">
        <v>262</v>
      </c>
      <c r="AH922" s="80">
        <v>24806</v>
      </c>
      <c r="AI922" s="80">
        <v>8602</v>
      </c>
      <c r="AJ922" s="80"/>
      <c r="AK922" s="80"/>
      <c r="AL922" s="80"/>
      <c r="AM922" s="80"/>
      <c r="AN922" s="80"/>
      <c r="AO922" s="82">
        <v>42818.433020833334</v>
      </c>
      <c r="AP922" s="87" t="str">
        <f>HYPERLINK("https://pbs.twimg.com/profile_banners/845219526300000257/1630322727")</f>
        <v>https://pbs.twimg.com/profile_banners/845219526300000257/1630322727</v>
      </c>
      <c r="AQ922" s="80" t="b">
        <v>1</v>
      </c>
      <c r="AR922" s="80" t="b">
        <v>0</v>
      </c>
      <c r="AS922" s="80" t="b">
        <v>0</v>
      </c>
      <c r="AT922" s="80"/>
      <c r="AU922" s="80">
        <v>0</v>
      </c>
      <c r="AV922" s="80"/>
      <c r="AW922" s="80" t="b">
        <v>0</v>
      </c>
      <c r="AX922" s="80" t="s">
        <v>10746</v>
      </c>
      <c r="AY922" s="87" t="str">
        <f>HYPERLINK("https://twitter.com/hellloimsthn")</f>
        <v>https://twitter.com/hellloimsthn</v>
      </c>
      <c r="AZ922" s="80" t="s">
        <v>66</v>
      </c>
      <c r="BA922" s="2"/>
      <c r="BB922" s="3"/>
      <c r="BC922" s="3"/>
      <c r="BD922" s="3"/>
      <c r="BE922" s="3"/>
    </row>
    <row r="923" spans="1:57" x14ac:dyDescent="0.35">
      <c r="A923" s="66" t="s">
        <v>948</v>
      </c>
      <c r="B923" s="67"/>
      <c r="C923" s="67"/>
      <c r="D923" s="68"/>
      <c r="E923" s="70"/>
      <c r="F923" s="109" t="str">
        <f>HYPERLINK("https://pbs.twimg.com/profile_images/1357835565568118784/H0TQxZgR_normal.jpg")</f>
        <v>https://pbs.twimg.com/profile_images/1357835565568118784/H0TQxZgR_normal.jpg</v>
      </c>
      <c r="G923" s="67"/>
      <c r="H923" s="71"/>
      <c r="I923" s="72"/>
      <c r="J923" s="72"/>
      <c r="K923" s="71" t="s">
        <v>11666</v>
      </c>
      <c r="L923" s="75"/>
      <c r="M923" s="76"/>
      <c r="N923" s="76"/>
      <c r="O923" s="77"/>
      <c r="P923" s="78"/>
      <c r="Q923" s="78"/>
      <c r="R923" s="92"/>
      <c r="S923" s="92"/>
      <c r="T923" s="92"/>
      <c r="U923" s="92"/>
      <c r="V923" s="52"/>
      <c r="W923" s="52"/>
      <c r="X923" s="52"/>
      <c r="Y923" s="52"/>
      <c r="Z923" s="51"/>
      <c r="AA923" s="73"/>
      <c r="AB923" s="73"/>
      <c r="AC923" s="74"/>
      <c r="AD923" s="80" t="s">
        <v>7489</v>
      </c>
      <c r="AE923" s="85" t="s">
        <v>8650</v>
      </c>
      <c r="AF923" s="80">
        <v>107</v>
      </c>
      <c r="AG923" s="80">
        <v>73</v>
      </c>
      <c r="AH923" s="80">
        <v>686</v>
      </c>
      <c r="AI923" s="80">
        <v>1473</v>
      </c>
      <c r="AJ923" s="80"/>
      <c r="AK923" s="80" t="s">
        <v>9775</v>
      </c>
      <c r="AL923" s="80" t="s">
        <v>10562</v>
      </c>
      <c r="AM923" s="80"/>
      <c r="AN923" s="80"/>
      <c r="AO923" s="82">
        <v>43854.289953703701</v>
      </c>
      <c r="AP923" s="80"/>
      <c r="AQ923" s="80" t="b">
        <v>1</v>
      </c>
      <c r="AR923" s="80" t="b">
        <v>0</v>
      </c>
      <c r="AS923" s="80" t="b">
        <v>0</v>
      </c>
      <c r="AT923" s="80"/>
      <c r="AU923" s="80">
        <v>0</v>
      </c>
      <c r="AV923" s="80"/>
      <c r="AW923" s="80" t="b">
        <v>0</v>
      </c>
      <c r="AX923" s="80" t="s">
        <v>10746</v>
      </c>
      <c r="AY923" s="87" t="str">
        <f>HYPERLINK("https://twitter.com/p3psodent")</f>
        <v>https://twitter.com/p3psodent</v>
      </c>
      <c r="AZ923" s="80" t="s">
        <v>66</v>
      </c>
      <c r="BA923" s="2"/>
      <c r="BB923" s="3"/>
      <c r="BC923" s="3"/>
      <c r="BD923" s="3"/>
      <c r="BE923" s="3"/>
    </row>
    <row r="924" spans="1:57" x14ac:dyDescent="0.35">
      <c r="A924" s="66" t="s">
        <v>1451</v>
      </c>
      <c r="B924" s="67"/>
      <c r="C924" s="67"/>
      <c r="D924" s="68"/>
      <c r="E924" s="70"/>
      <c r="F924" s="109" t="str">
        <f>HYPERLINK("https://pbs.twimg.com/profile_images/1439544380327530502/00hK15rl_normal.jpg")</f>
        <v>https://pbs.twimg.com/profile_images/1439544380327530502/00hK15rl_normal.jpg</v>
      </c>
      <c r="G924" s="67"/>
      <c r="H924" s="71"/>
      <c r="I924" s="72"/>
      <c r="J924" s="72"/>
      <c r="K924" s="71" t="s">
        <v>11667</v>
      </c>
      <c r="L924" s="75"/>
      <c r="M924" s="76"/>
      <c r="N924" s="76"/>
      <c r="O924" s="77"/>
      <c r="P924" s="78"/>
      <c r="Q924" s="78"/>
      <c r="R924" s="92"/>
      <c r="S924" s="92"/>
      <c r="T924" s="92"/>
      <c r="U924" s="92"/>
      <c r="V924" s="52"/>
      <c r="W924" s="52"/>
      <c r="X924" s="52"/>
      <c r="Y924" s="52"/>
      <c r="Z924" s="51"/>
      <c r="AA924" s="73"/>
      <c r="AB924" s="73"/>
      <c r="AC924" s="74"/>
      <c r="AD924" s="80" t="s">
        <v>7490</v>
      </c>
      <c r="AE924" s="85" t="s">
        <v>6383</v>
      </c>
      <c r="AF924" s="80">
        <v>219</v>
      </c>
      <c r="AG924" s="80">
        <v>153</v>
      </c>
      <c r="AH924" s="80">
        <v>1856</v>
      </c>
      <c r="AI924" s="80">
        <v>101</v>
      </c>
      <c r="AJ924" s="80"/>
      <c r="AK924" s="80" t="s">
        <v>9776</v>
      </c>
      <c r="AL924" s="80"/>
      <c r="AM924" s="80"/>
      <c r="AN924" s="80"/>
      <c r="AO924" s="82">
        <v>43965.246006944442</v>
      </c>
      <c r="AP924" s="87" t="str">
        <f>HYPERLINK("https://pbs.twimg.com/profile_banners/1260810522976346112/1589466315")</f>
        <v>https://pbs.twimg.com/profile_banners/1260810522976346112/1589466315</v>
      </c>
      <c r="AQ924" s="80" t="b">
        <v>1</v>
      </c>
      <c r="AR924" s="80" t="b">
        <v>0</v>
      </c>
      <c r="AS924" s="80" t="b">
        <v>0</v>
      </c>
      <c r="AT924" s="80"/>
      <c r="AU924" s="80">
        <v>1</v>
      </c>
      <c r="AV924" s="80"/>
      <c r="AW924" s="80" t="b">
        <v>0</v>
      </c>
      <c r="AX924" s="80" t="s">
        <v>10746</v>
      </c>
      <c r="AY924" s="87" t="str">
        <f>HYPERLINK("https://twitter.com/bukanfahiraa")</f>
        <v>https://twitter.com/bukanfahiraa</v>
      </c>
      <c r="AZ924" s="80" t="s">
        <v>65</v>
      </c>
      <c r="BA924" s="2"/>
      <c r="BB924" s="3"/>
      <c r="BC924" s="3"/>
      <c r="BD924" s="3"/>
      <c r="BE924" s="3"/>
    </row>
    <row r="925" spans="1:57" x14ac:dyDescent="0.35">
      <c r="A925" s="66" t="s">
        <v>949</v>
      </c>
      <c r="B925" s="67"/>
      <c r="C925" s="67"/>
      <c r="D925" s="68"/>
      <c r="E925" s="70"/>
      <c r="F925" s="109" t="str">
        <f>HYPERLINK("https://pbs.twimg.com/profile_images/1440362529385902088/2h3LzmnO_normal.jpg")</f>
        <v>https://pbs.twimg.com/profile_images/1440362529385902088/2h3LzmnO_normal.jpg</v>
      </c>
      <c r="G925" s="67"/>
      <c r="H925" s="71"/>
      <c r="I925" s="72"/>
      <c r="J925" s="72"/>
      <c r="K925" s="71" t="s">
        <v>11668</v>
      </c>
      <c r="L925" s="75"/>
      <c r="M925" s="76"/>
      <c r="N925" s="76"/>
      <c r="O925" s="77"/>
      <c r="P925" s="78"/>
      <c r="Q925" s="78"/>
      <c r="R925" s="92"/>
      <c r="S925" s="92"/>
      <c r="T925" s="92"/>
      <c r="U925" s="92"/>
      <c r="V925" s="52"/>
      <c r="W925" s="52"/>
      <c r="X925" s="52"/>
      <c r="Y925" s="52"/>
      <c r="Z925" s="51"/>
      <c r="AA925" s="73"/>
      <c r="AB925" s="73"/>
      <c r="AC925" s="74"/>
      <c r="AD925" s="80" t="s">
        <v>7153</v>
      </c>
      <c r="AE925" s="85" t="s">
        <v>8651</v>
      </c>
      <c r="AF925" s="80">
        <v>5185</v>
      </c>
      <c r="AG925" s="80">
        <v>5238</v>
      </c>
      <c r="AH925" s="80">
        <v>36320</v>
      </c>
      <c r="AI925" s="80">
        <v>5142</v>
      </c>
      <c r="AJ925" s="80"/>
      <c r="AK925" s="80"/>
      <c r="AL925" s="80"/>
      <c r="AM925" s="80"/>
      <c r="AN925" s="80"/>
      <c r="AO925" s="82">
        <v>43863.507673611108</v>
      </c>
      <c r="AP925" s="87" t="str">
        <f>HYPERLINK("https://pbs.twimg.com/profile_banners/1223941780665552897/1631805012")</f>
        <v>https://pbs.twimg.com/profile_banners/1223941780665552897/1631805012</v>
      </c>
      <c r="AQ925" s="80" t="b">
        <v>1</v>
      </c>
      <c r="AR925" s="80" t="b">
        <v>0</v>
      </c>
      <c r="AS925" s="80" t="b">
        <v>0</v>
      </c>
      <c r="AT925" s="80"/>
      <c r="AU925" s="80">
        <v>1</v>
      </c>
      <c r="AV925" s="80"/>
      <c r="AW925" s="80" t="b">
        <v>0</v>
      </c>
      <c r="AX925" s="80" t="s">
        <v>10746</v>
      </c>
      <c r="AY925" s="87" t="str">
        <f>HYPERLINK("https://twitter.com/jerukcina")</f>
        <v>https://twitter.com/jerukcina</v>
      </c>
      <c r="AZ925" s="80" t="s">
        <v>66</v>
      </c>
      <c r="BA925" s="2"/>
      <c r="BB925" s="3"/>
      <c r="BC925" s="3"/>
      <c r="BD925" s="3"/>
      <c r="BE925" s="3"/>
    </row>
    <row r="926" spans="1:57" x14ac:dyDescent="0.35">
      <c r="A926" s="66" t="s">
        <v>950</v>
      </c>
      <c r="B926" s="67"/>
      <c r="C926" s="67"/>
      <c r="D926" s="68"/>
      <c r="E926" s="70"/>
      <c r="F926" s="109" t="str">
        <f>HYPERLINK("https://pbs.twimg.com/profile_images/1440724584643260419/LkH_tIqO_normal.jpg")</f>
        <v>https://pbs.twimg.com/profile_images/1440724584643260419/LkH_tIqO_normal.jpg</v>
      </c>
      <c r="G926" s="67"/>
      <c r="H926" s="71"/>
      <c r="I926" s="72"/>
      <c r="J926" s="72"/>
      <c r="K926" s="71" t="s">
        <v>11669</v>
      </c>
      <c r="L926" s="75"/>
      <c r="M926" s="76"/>
      <c r="N926" s="76"/>
      <c r="O926" s="77"/>
      <c r="P926" s="78"/>
      <c r="Q926" s="78"/>
      <c r="R926" s="92"/>
      <c r="S926" s="92"/>
      <c r="T926" s="92"/>
      <c r="U926" s="92"/>
      <c r="V926" s="52"/>
      <c r="W926" s="52"/>
      <c r="X926" s="52"/>
      <c r="Y926" s="52"/>
      <c r="Z926" s="51"/>
      <c r="AA926" s="73"/>
      <c r="AB926" s="73"/>
      <c r="AC926" s="74"/>
      <c r="AD926" s="80" t="s">
        <v>7491</v>
      </c>
      <c r="AE926" s="85" t="s">
        <v>8652</v>
      </c>
      <c r="AF926" s="80">
        <v>32</v>
      </c>
      <c r="AG926" s="80">
        <v>6</v>
      </c>
      <c r="AH926" s="80">
        <v>98</v>
      </c>
      <c r="AI926" s="80">
        <v>6</v>
      </c>
      <c r="AJ926" s="80"/>
      <c r="AK926" s="80" t="s">
        <v>9777</v>
      </c>
      <c r="AL926" s="80" t="s">
        <v>10563</v>
      </c>
      <c r="AM926" s="80"/>
      <c r="AN926" s="80"/>
      <c r="AO926" s="82">
        <v>44461.709976851853</v>
      </c>
      <c r="AP926" s="87" t="str">
        <f>HYPERLINK("https://pbs.twimg.com/profile_banners/1440723087561949189/1632330483")</f>
        <v>https://pbs.twimg.com/profile_banners/1440723087561949189/1632330483</v>
      </c>
      <c r="AQ926" s="80" t="b">
        <v>1</v>
      </c>
      <c r="AR926" s="80" t="b">
        <v>0</v>
      </c>
      <c r="AS926" s="80" t="b">
        <v>0</v>
      </c>
      <c r="AT926" s="80"/>
      <c r="AU926" s="80">
        <v>0</v>
      </c>
      <c r="AV926" s="80"/>
      <c r="AW926" s="80" t="b">
        <v>0</v>
      </c>
      <c r="AX926" s="80" t="s">
        <v>10746</v>
      </c>
      <c r="AY926" s="87" t="str">
        <f>HYPERLINK("https://twitter.com/lvlyjbblyy")</f>
        <v>https://twitter.com/lvlyjbblyy</v>
      </c>
      <c r="AZ926" s="80" t="s">
        <v>66</v>
      </c>
      <c r="BA926" s="2"/>
      <c r="BB926" s="3"/>
      <c r="BC926" s="3"/>
      <c r="BD926" s="3"/>
      <c r="BE926" s="3"/>
    </row>
    <row r="927" spans="1:57" x14ac:dyDescent="0.35">
      <c r="A927" s="66" t="s">
        <v>951</v>
      </c>
      <c r="B927" s="67"/>
      <c r="C927" s="67"/>
      <c r="D927" s="68"/>
      <c r="E927" s="70"/>
      <c r="F927" s="109" t="str">
        <f>HYPERLINK("https://pbs.twimg.com/profile_images/1441287491802128384/WjhmCeoJ_normal.jpg")</f>
        <v>https://pbs.twimg.com/profile_images/1441287491802128384/WjhmCeoJ_normal.jpg</v>
      </c>
      <c r="G927" s="67"/>
      <c r="H927" s="71"/>
      <c r="I927" s="72"/>
      <c r="J927" s="72"/>
      <c r="K927" s="71" t="s">
        <v>11670</v>
      </c>
      <c r="L927" s="75"/>
      <c r="M927" s="76"/>
      <c r="N927" s="76"/>
      <c r="O927" s="77"/>
      <c r="P927" s="78"/>
      <c r="Q927" s="78"/>
      <c r="R927" s="92"/>
      <c r="S927" s="92"/>
      <c r="T927" s="92"/>
      <c r="U927" s="92"/>
      <c r="V927" s="52"/>
      <c r="W927" s="52"/>
      <c r="X927" s="52"/>
      <c r="Y927" s="52"/>
      <c r="Z927" s="51"/>
      <c r="AA927" s="73"/>
      <c r="AB927" s="73"/>
      <c r="AC927" s="74"/>
      <c r="AD927" s="80" t="s">
        <v>7492</v>
      </c>
      <c r="AE927" s="85" t="s">
        <v>8653</v>
      </c>
      <c r="AF927" s="80">
        <v>173</v>
      </c>
      <c r="AG927" s="80">
        <v>3</v>
      </c>
      <c r="AH927" s="80">
        <v>1227</v>
      </c>
      <c r="AI927" s="80">
        <v>764</v>
      </c>
      <c r="AJ927" s="80"/>
      <c r="AK927" s="80" t="s">
        <v>9778</v>
      </c>
      <c r="AL927" s="80"/>
      <c r="AM927" s="80"/>
      <c r="AN927" s="80"/>
      <c r="AO927" s="82">
        <v>44042.741840277777</v>
      </c>
      <c r="AP927" s="87" t="str">
        <f>HYPERLINK("https://pbs.twimg.com/profile_banners/1288894136204972032/1632717443")</f>
        <v>https://pbs.twimg.com/profile_banners/1288894136204972032/1632717443</v>
      </c>
      <c r="AQ927" s="80" t="b">
        <v>1</v>
      </c>
      <c r="AR927" s="80" t="b">
        <v>0</v>
      </c>
      <c r="AS927" s="80" t="b">
        <v>0</v>
      </c>
      <c r="AT927" s="80"/>
      <c r="AU927" s="80">
        <v>0</v>
      </c>
      <c r="AV927" s="80"/>
      <c r="AW927" s="80" t="b">
        <v>0</v>
      </c>
      <c r="AX927" s="80" t="s">
        <v>10746</v>
      </c>
      <c r="AY927" s="87" t="str">
        <f>HYPERLINK("https://twitter.com/lightaboo")</f>
        <v>https://twitter.com/lightaboo</v>
      </c>
      <c r="AZ927" s="80" t="s">
        <v>66</v>
      </c>
      <c r="BA927" s="2"/>
      <c r="BB927" s="3"/>
      <c r="BC927" s="3"/>
      <c r="BD927" s="3"/>
      <c r="BE927" s="3"/>
    </row>
    <row r="928" spans="1:57" x14ac:dyDescent="0.35">
      <c r="A928" s="66" t="s">
        <v>952</v>
      </c>
      <c r="B928" s="67"/>
      <c r="C928" s="67"/>
      <c r="D928" s="68"/>
      <c r="E928" s="70"/>
      <c r="F928" s="109" t="str">
        <f>HYPERLINK("https://pbs.twimg.com/profile_images/1814337748/ICON_MHT_normal.png")</f>
        <v>https://pbs.twimg.com/profile_images/1814337748/ICON_MHT_normal.png</v>
      </c>
      <c r="G928" s="67"/>
      <c r="H928" s="71"/>
      <c r="I928" s="72"/>
      <c r="J928" s="72"/>
      <c r="K928" s="71" t="s">
        <v>11671</v>
      </c>
      <c r="L928" s="75"/>
      <c r="M928" s="76"/>
      <c r="N928" s="76"/>
      <c r="O928" s="77"/>
      <c r="P928" s="78"/>
      <c r="Q928" s="78"/>
      <c r="R928" s="92"/>
      <c r="S928" s="92"/>
      <c r="T928" s="92"/>
      <c r="U928" s="92"/>
      <c r="V928" s="52"/>
      <c r="W928" s="52"/>
      <c r="X928" s="52"/>
      <c r="Y928" s="52"/>
      <c r="Z928" s="51"/>
      <c r="AA928" s="73"/>
      <c r="AB928" s="73"/>
      <c r="AC928" s="74"/>
      <c r="AD928" s="80" t="s">
        <v>7493</v>
      </c>
      <c r="AE928" s="85" t="s">
        <v>8654</v>
      </c>
      <c r="AF928" s="80">
        <v>953</v>
      </c>
      <c r="AG928" s="80">
        <v>1736</v>
      </c>
      <c r="AH928" s="80">
        <v>4400</v>
      </c>
      <c r="AI928" s="80">
        <v>39</v>
      </c>
      <c r="AJ928" s="80"/>
      <c r="AK928" s="80" t="s">
        <v>9779</v>
      </c>
      <c r="AL928" s="80" t="s">
        <v>10564</v>
      </c>
      <c r="AM928" s="87" t="str">
        <f>HYPERLINK("https://t.co/PkDAKS6Qfy")</f>
        <v>https://t.co/PkDAKS6Qfy</v>
      </c>
      <c r="AN928" s="80"/>
      <c r="AO928" s="82">
        <v>40712.3674537037</v>
      </c>
      <c r="AP928" s="87" t="str">
        <f>HYPERLINK("https://pbs.twimg.com/profile_banners/319538228/1623655676")</f>
        <v>https://pbs.twimg.com/profile_banners/319538228/1623655676</v>
      </c>
      <c r="AQ928" s="80" t="b">
        <v>0</v>
      </c>
      <c r="AR928" s="80" t="b">
        <v>0</v>
      </c>
      <c r="AS928" s="80" t="b">
        <v>1</v>
      </c>
      <c r="AT928" s="80"/>
      <c r="AU928" s="80">
        <v>0</v>
      </c>
      <c r="AV928" s="87" t="str">
        <f>HYPERLINK("https://abs.twimg.com/images/themes/theme4/bg.gif")</f>
        <v>https://abs.twimg.com/images/themes/theme4/bg.gif</v>
      </c>
      <c r="AW928" s="80" t="b">
        <v>0</v>
      </c>
      <c r="AX928" s="80" t="s">
        <v>10746</v>
      </c>
      <c r="AY928" s="87" t="str">
        <f>HYPERLINK("https://twitter.com/univ_mhthamrin")</f>
        <v>https://twitter.com/univ_mhthamrin</v>
      </c>
      <c r="AZ928" s="80" t="s">
        <v>66</v>
      </c>
      <c r="BA928" s="2"/>
      <c r="BB928" s="3"/>
      <c r="BC928" s="3"/>
      <c r="BD928" s="3"/>
      <c r="BE928" s="3"/>
    </row>
    <row r="929" spans="1:57" x14ac:dyDescent="0.35">
      <c r="A929" s="66" t="s">
        <v>953</v>
      </c>
      <c r="B929" s="67"/>
      <c r="C929" s="67"/>
      <c r="D929" s="68"/>
      <c r="E929" s="70"/>
      <c r="F929" s="109" t="str">
        <f>HYPERLINK("https://pbs.twimg.com/profile_images/1441027595034771459/0gmsx8Tx_normal.jpg")</f>
        <v>https://pbs.twimg.com/profile_images/1441027595034771459/0gmsx8Tx_normal.jpg</v>
      </c>
      <c r="G929" s="67"/>
      <c r="H929" s="71"/>
      <c r="I929" s="72"/>
      <c r="J929" s="72"/>
      <c r="K929" s="71" t="s">
        <v>11672</v>
      </c>
      <c r="L929" s="75"/>
      <c r="M929" s="76"/>
      <c r="N929" s="76"/>
      <c r="O929" s="77"/>
      <c r="P929" s="78"/>
      <c r="Q929" s="78"/>
      <c r="R929" s="92"/>
      <c r="S929" s="92"/>
      <c r="T929" s="92"/>
      <c r="U929" s="92"/>
      <c r="V929" s="52"/>
      <c r="W929" s="52"/>
      <c r="X929" s="52"/>
      <c r="Y929" s="52"/>
      <c r="Z929" s="51"/>
      <c r="AA929" s="73"/>
      <c r="AB929" s="73"/>
      <c r="AC929" s="74"/>
      <c r="AD929" s="80" t="s">
        <v>7494</v>
      </c>
      <c r="AE929" s="85" t="s">
        <v>8655</v>
      </c>
      <c r="AF929" s="80">
        <v>477</v>
      </c>
      <c r="AG929" s="80">
        <v>469</v>
      </c>
      <c r="AH929" s="80">
        <v>2126</v>
      </c>
      <c r="AI929" s="80">
        <v>12563</v>
      </c>
      <c r="AJ929" s="80"/>
      <c r="AK929" s="80" t="s">
        <v>9780</v>
      </c>
      <c r="AL929" s="80" t="s">
        <v>10154</v>
      </c>
      <c r="AM929" s="80"/>
      <c r="AN929" s="80"/>
      <c r="AO929" s="82">
        <v>44157.540983796294</v>
      </c>
      <c r="AP929" s="87" t="str">
        <f>HYPERLINK("https://pbs.twimg.com/profile_banners/1330495968618422275/1632402726")</f>
        <v>https://pbs.twimg.com/profile_banners/1330495968618422275/1632402726</v>
      </c>
      <c r="AQ929" s="80" t="b">
        <v>1</v>
      </c>
      <c r="AR929" s="80" t="b">
        <v>0</v>
      </c>
      <c r="AS929" s="80" t="b">
        <v>0</v>
      </c>
      <c r="AT929" s="80"/>
      <c r="AU929" s="80">
        <v>0</v>
      </c>
      <c r="AV929" s="80"/>
      <c r="AW929" s="80" t="b">
        <v>0</v>
      </c>
      <c r="AX929" s="80" t="s">
        <v>10746</v>
      </c>
      <c r="AY929" s="87" t="str">
        <f>HYPERLINK("https://twitter.com/artsyyflower")</f>
        <v>https://twitter.com/artsyyflower</v>
      </c>
      <c r="AZ929" s="80" t="s">
        <v>66</v>
      </c>
      <c r="BA929" s="2"/>
      <c r="BB929" s="3"/>
      <c r="BC929" s="3"/>
      <c r="BD929" s="3"/>
      <c r="BE929" s="3"/>
    </row>
    <row r="930" spans="1:57" x14ac:dyDescent="0.35">
      <c r="A930" s="66" t="s">
        <v>954</v>
      </c>
      <c r="B930" s="67"/>
      <c r="C930" s="67"/>
      <c r="D930" s="68"/>
      <c r="E930" s="70"/>
      <c r="F930" s="109" t="str">
        <f>HYPERLINK("https://pbs.twimg.com/profile_images/1439197292112740357/76YdYySv_normal.jpg")</f>
        <v>https://pbs.twimg.com/profile_images/1439197292112740357/76YdYySv_normal.jpg</v>
      </c>
      <c r="G930" s="67"/>
      <c r="H930" s="71"/>
      <c r="I930" s="72"/>
      <c r="J930" s="72"/>
      <c r="K930" s="71" t="s">
        <v>11673</v>
      </c>
      <c r="L930" s="75"/>
      <c r="M930" s="76"/>
      <c r="N930" s="76"/>
      <c r="O930" s="77"/>
      <c r="P930" s="78"/>
      <c r="Q930" s="78"/>
      <c r="R930" s="92"/>
      <c r="S930" s="92"/>
      <c r="T930" s="92"/>
      <c r="U930" s="92"/>
      <c r="V930" s="52"/>
      <c r="W930" s="52"/>
      <c r="X930" s="52"/>
      <c r="Y930" s="52"/>
      <c r="Z930" s="51"/>
      <c r="AA930" s="73"/>
      <c r="AB930" s="73"/>
      <c r="AC930" s="74"/>
      <c r="AD930" s="80" t="s">
        <v>7495</v>
      </c>
      <c r="AE930" s="85" t="s">
        <v>8656</v>
      </c>
      <c r="AF930" s="80">
        <v>1093</v>
      </c>
      <c r="AG930" s="80">
        <v>816</v>
      </c>
      <c r="AH930" s="80">
        <v>23238</v>
      </c>
      <c r="AI930" s="80">
        <v>59909</v>
      </c>
      <c r="AJ930" s="80"/>
      <c r="AK930" s="80" t="s">
        <v>9781</v>
      </c>
      <c r="AL930" s="80" t="s">
        <v>10565</v>
      </c>
      <c r="AM930" s="87" t="str">
        <f>HYPERLINK("https://t.co/aNtKOaD6qc")</f>
        <v>https://t.co/aNtKOaD6qc</v>
      </c>
      <c r="AN930" s="80"/>
      <c r="AO930" s="82">
        <v>43052.495011574072</v>
      </c>
      <c r="AP930" s="87" t="str">
        <f>HYPERLINK("https://pbs.twimg.com/profile_banners/930040753014816770/1632148133")</f>
        <v>https://pbs.twimg.com/profile_banners/930040753014816770/1632148133</v>
      </c>
      <c r="AQ930" s="80" t="b">
        <v>0</v>
      </c>
      <c r="AR930" s="80" t="b">
        <v>0</v>
      </c>
      <c r="AS930" s="80" t="b">
        <v>0</v>
      </c>
      <c r="AT930" s="80"/>
      <c r="AU930" s="80">
        <v>4</v>
      </c>
      <c r="AV930" s="87" t="str">
        <f>HYPERLINK("https://abs.twimg.com/images/themes/theme1/bg.png")</f>
        <v>https://abs.twimg.com/images/themes/theme1/bg.png</v>
      </c>
      <c r="AW930" s="80" t="b">
        <v>0</v>
      </c>
      <c r="AX930" s="80" t="s">
        <v>10746</v>
      </c>
      <c r="AY930" s="87" t="str">
        <f>HYPERLINK("https://twitter.com/flirtswkook")</f>
        <v>https://twitter.com/flirtswkook</v>
      </c>
      <c r="AZ930" s="80" t="s">
        <v>66</v>
      </c>
      <c r="BA930" s="2"/>
      <c r="BB930" s="3"/>
      <c r="BC930" s="3"/>
      <c r="BD930" s="3"/>
      <c r="BE930" s="3"/>
    </row>
    <row r="931" spans="1:57" x14ac:dyDescent="0.35">
      <c r="A931" s="66" t="s">
        <v>955</v>
      </c>
      <c r="B931" s="67"/>
      <c r="C931" s="67"/>
      <c r="D931" s="68"/>
      <c r="E931" s="70"/>
      <c r="F931" s="109" t="str">
        <f>HYPERLINK("https://pbs.twimg.com/profile_images/1438543518037725193/a2EZIqrO_normal.jpg")</f>
        <v>https://pbs.twimg.com/profile_images/1438543518037725193/a2EZIqrO_normal.jpg</v>
      </c>
      <c r="G931" s="67"/>
      <c r="H931" s="71"/>
      <c r="I931" s="72"/>
      <c r="J931" s="72"/>
      <c r="K931" s="71" t="s">
        <v>11674</v>
      </c>
      <c r="L931" s="75"/>
      <c r="M931" s="76"/>
      <c r="N931" s="76"/>
      <c r="O931" s="77"/>
      <c r="P931" s="78"/>
      <c r="Q931" s="78"/>
      <c r="R931" s="92"/>
      <c r="S931" s="92"/>
      <c r="T931" s="92"/>
      <c r="U931" s="92"/>
      <c r="V931" s="52"/>
      <c r="W931" s="52"/>
      <c r="X931" s="52"/>
      <c r="Y931" s="52"/>
      <c r="Z931" s="51"/>
      <c r="AA931" s="73"/>
      <c r="AB931" s="73"/>
      <c r="AC931" s="74"/>
      <c r="AD931" s="80" t="s">
        <v>7496</v>
      </c>
      <c r="AE931" s="85" t="s">
        <v>8657</v>
      </c>
      <c r="AF931" s="80">
        <v>897</v>
      </c>
      <c r="AG931" s="80">
        <v>195</v>
      </c>
      <c r="AH931" s="80">
        <v>3196</v>
      </c>
      <c r="AI931" s="80">
        <v>21288</v>
      </c>
      <c r="AJ931" s="80"/>
      <c r="AK931" s="80" t="s">
        <v>9782</v>
      </c>
      <c r="AL931" s="80"/>
      <c r="AM931" s="80"/>
      <c r="AN931" s="80"/>
      <c r="AO931" s="82">
        <v>44272.272615740738</v>
      </c>
      <c r="AP931" s="87" t="str">
        <f>HYPERLINK("https://pbs.twimg.com/profile_banners/1372072939244244998/1631501604")</f>
        <v>https://pbs.twimg.com/profile_banners/1372072939244244998/1631501604</v>
      </c>
      <c r="AQ931" s="80" t="b">
        <v>1</v>
      </c>
      <c r="AR931" s="80" t="b">
        <v>0</v>
      </c>
      <c r="AS931" s="80" t="b">
        <v>0</v>
      </c>
      <c r="AT931" s="80"/>
      <c r="AU931" s="80">
        <v>0</v>
      </c>
      <c r="AV931" s="80"/>
      <c r="AW931" s="80" t="b">
        <v>0</v>
      </c>
      <c r="AX931" s="80" t="s">
        <v>10746</v>
      </c>
      <c r="AY931" s="87" t="str">
        <f>HYPERLINK("https://twitter.com/jinkidubuu")</f>
        <v>https://twitter.com/jinkidubuu</v>
      </c>
      <c r="AZ931" s="80" t="s">
        <v>66</v>
      </c>
      <c r="BA931" s="2"/>
      <c r="BB931" s="3"/>
      <c r="BC931" s="3"/>
      <c r="BD931" s="3"/>
      <c r="BE931" s="3"/>
    </row>
    <row r="932" spans="1:57" x14ac:dyDescent="0.35">
      <c r="A932" s="66" t="s">
        <v>1452</v>
      </c>
      <c r="B932" s="67"/>
      <c r="C932" s="67"/>
      <c r="D932" s="68"/>
      <c r="E932" s="70"/>
      <c r="F932" s="109" t="str">
        <f>HYPERLINK("https://pbs.twimg.com/profile_images/1442283701253992449/qctxIPX6_normal.jpg")</f>
        <v>https://pbs.twimg.com/profile_images/1442283701253992449/qctxIPX6_normal.jpg</v>
      </c>
      <c r="G932" s="67"/>
      <c r="H932" s="71"/>
      <c r="I932" s="72"/>
      <c r="J932" s="72"/>
      <c r="K932" s="71" t="s">
        <v>11675</v>
      </c>
      <c r="L932" s="75"/>
      <c r="M932" s="76"/>
      <c r="N932" s="76"/>
      <c r="O932" s="77"/>
      <c r="P932" s="78"/>
      <c r="Q932" s="78"/>
      <c r="R932" s="92"/>
      <c r="S932" s="92"/>
      <c r="T932" s="92"/>
      <c r="U932" s="92"/>
      <c r="V932" s="52"/>
      <c r="W932" s="52"/>
      <c r="X932" s="52"/>
      <c r="Y932" s="52"/>
      <c r="Z932" s="51"/>
      <c r="AA932" s="73"/>
      <c r="AB932" s="73"/>
      <c r="AC932" s="74"/>
      <c r="AD932" s="80" t="s">
        <v>7497</v>
      </c>
      <c r="AE932" s="85" t="s">
        <v>6384</v>
      </c>
      <c r="AF932" s="80">
        <v>1052</v>
      </c>
      <c r="AG932" s="80">
        <v>960</v>
      </c>
      <c r="AH932" s="80">
        <v>15547</v>
      </c>
      <c r="AI932" s="80">
        <v>16398</v>
      </c>
      <c r="AJ932" s="80"/>
      <c r="AK932" s="80" t="s">
        <v>9783</v>
      </c>
      <c r="AL932" s="80" t="s">
        <v>10566</v>
      </c>
      <c r="AM932" s="87" t="str">
        <f>HYPERLINK("https://t.co/iayzNRoe4w")</f>
        <v>https://t.co/iayzNRoe4w</v>
      </c>
      <c r="AN932" s="80"/>
      <c r="AO932" s="82">
        <v>43302.44935185185</v>
      </c>
      <c r="AP932" s="87" t="str">
        <f>HYPERLINK("https://pbs.twimg.com/profile_banners/1020621170368864256/1628439348")</f>
        <v>https://pbs.twimg.com/profile_banners/1020621170368864256/1628439348</v>
      </c>
      <c r="AQ932" s="80" t="b">
        <v>1</v>
      </c>
      <c r="AR932" s="80" t="b">
        <v>0</v>
      </c>
      <c r="AS932" s="80" t="b">
        <v>0</v>
      </c>
      <c r="AT932" s="80"/>
      <c r="AU932" s="80">
        <v>5</v>
      </c>
      <c r="AV932" s="80"/>
      <c r="AW932" s="80" t="b">
        <v>0</v>
      </c>
      <c r="AX932" s="80" t="s">
        <v>10746</v>
      </c>
      <c r="AY932" s="87" t="str">
        <f>HYPERLINK("https://twitter.com/justicefyingme")</f>
        <v>https://twitter.com/justicefyingme</v>
      </c>
      <c r="AZ932" s="80" t="s">
        <v>65</v>
      </c>
      <c r="BA932" s="2"/>
      <c r="BB932" s="3"/>
      <c r="BC932" s="3"/>
      <c r="BD932" s="3"/>
      <c r="BE932" s="3"/>
    </row>
    <row r="933" spans="1:57" x14ac:dyDescent="0.35">
      <c r="A933" s="66" t="s">
        <v>956</v>
      </c>
      <c r="B933" s="67"/>
      <c r="C933" s="67"/>
      <c r="D933" s="68"/>
      <c r="E933" s="70"/>
      <c r="F933" s="109" t="str">
        <f>HYPERLINK("https://pbs.twimg.com/profile_images/1441726621908570119/U7XsWmRP_normal.jpg")</f>
        <v>https://pbs.twimg.com/profile_images/1441726621908570119/U7XsWmRP_normal.jpg</v>
      </c>
      <c r="G933" s="67"/>
      <c r="H933" s="71"/>
      <c r="I933" s="72"/>
      <c r="J933" s="72"/>
      <c r="K933" s="71" t="s">
        <v>11676</v>
      </c>
      <c r="L933" s="75"/>
      <c r="M933" s="76"/>
      <c r="N933" s="76"/>
      <c r="O933" s="77"/>
      <c r="P933" s="78"/>
      <c r="Q933" s="78"/>
      <c r="R933" s="92"/>
      <c r="S933" s="92"/>
      <c r="T933" s="92"/>
      <c r="U933" s="92"/>
      <c r="V933" s="52"/>
      <c r="W933" s="52"/>
      <c r="X933" s="52"/>
      <c r="Y933" s="52"/>
      <c r="Z933" s="51"/>
      <c r="AA933" s="73"/>
      <c r="AB933" s="73"/>
      <c r="AC933" s="74"/>
      <c r="AD933" s="80" t="s">
        <v>7498</v>
      </c>
      <c r="AE933" s="85" t="s">
        <v>8658</v>
      </c>
      <c r="AF933" s="80">
        <v>301</v>
      </c>
      <c r="AG933" s="80">
        <v>82</v>
      </c>
      <c r="AH933" s="80">
        <v>19509</v>
      </c>
      <c r="AI933" s="80">
        <v>8520</v>
      </c>
      <c r="AJ933" s="80"/>
      <c r="AK933" s="80"/>
      <c r="AL933" s="80" t="s">
        <v>10567</v>
      </c>
      <c r="AM933" s="80"/>
      <c r="AN933" s="80"/>
      <c r="AO933" s="82">
        <v>44199.9687037037</v>
      </c>
      <c r="AP933" s="87" t="str">
        <f>HYPERLINK("https://pbs.twimg.com/profile_banners/1345871263873466368/1632755722")</f>
        <v>https://pbs.twimg.com/profile_banners/1345871263873466368/1632755722</v>
      </c>
      <c r="AQ933" s="80" t="b">
        <v>1</v>
      </c>
      <c r="AR933" s="80" t="b">
        <v>0</v>
      </c>
      <c r="AS933" s="80" t="b">
        <v>0</v>
      </c>
      <c r="AT933" s="80"/>
      <c r="AU933" s="80">
        <v>1</v>
      </c>
      <c r="AV933" s="80"/>
      <c r="AW933" s="80" t="b">
        <v>0</v>
      </c>
      <c r="AX933" s="80" t="s">
        <v>10746</v>
      </c>
      <c r="AY933" s="87" t="str">
        <f>HYPERLINK("https://twitter.com/jcpacaran")</f>
        <v>https://twitter.com/jcpacaran</v>
      </c>
      <c r="AZ933" s="80" t="s">
        <v>66</v>
      </c>
      <c r="BA933" s="2"/>
      <c r="BB933" s="3"/>
      <c r="BC933" s="3"/>
      <c r="BD933" s="3"/>
      <c r="BE933" s="3"/>
    </row>
    <row r="934" spans="1:57" x14ac:dyDescent="0.35">
      <c r="A934" s="66" t="s">
        <v>1453</v>
      </c>
      <c r="B934" s="67"/>
      <c r="C934" s="67"/>
      <c r="D934" s="68"/>
      <c r="E934" s="70"/>
      <c r="F934" s="109" t="str">
        <f>HYPERLINK("https://pbs.twimg.com/profile_images/1439263387007868932/ziSKyg0p_normal.jpg")</f>
        <v>https://pbs.twimg.com/profile_images/1439263387007868932/ziSKyg0p_normal.jpg</v>
      </c>
      <c r="G934" s="67"/>
      <c r="H934" s="71"/>
      <c r="I934" s="72"/>
      <c r="J934" s="72"/>
      <c r="K934" s="71" t="s">
        <v>11677</v>
      </c>
      <c r="L934" s="75"/>
      <c r="M934" s="76"/>
      <c r="N934" s="76"/>
      <c r="O934" s="77"/>
      <c r="P934" s="78"/>
      <c r="Q934" s="78"/>
      <c r="R934" s="92"/>
      <c r="S934" s="92"/>
      <c r="T934" s="92"/>
      <c r="U934" s="92"/>
      <c r="V934" s="52"/>
      <c r="W934" s="52"/>
      <c r="X934" s="52"/>
      <c r="Y934" s="52"/>
      <c r="Z934" s="51"/>
      <c r="AA934" s="73"/>
      <c r="AB934" s="73"/>
      <c r="AC934" s="74"/>
      <c r="AD934" s="80" t="s">
        <v>7499</v>
      </c>
      <c r="AE934" s="85" t="s">
        <v>6385</v>
      </c>
      <c r="AF934" s="80">
        <v>157</v>
      </c>
      <c r="AG934" s="80">
        <v>45</v>
      </c>
      <c r="AH934" s="80">
        <v>9323</v>
      </c>
      <c r="AI934" s="80">
        <v>841</v>
      </c>
      <c r="AJ934" s="80"/>
      <c r="AK934" s="80" t="s">
        <v>9784</v>
      </c>
      <c r="AL934" s="80" t="s">
        <v>10568</v>
      </c>
      <c r="AM934" s="87" t="str">
        <f>HYPERLINK("https://t.co/uWb53OtwPg")</f>
        <v>https://t.co/uWb53OtwPg</v>
      </c>
      <c r="AN934" s="80"/>
      <c r="AO934" s="82">
        <v>41414.508229166669</v>
      </c>
      <c r="AP934" s="87" t="str">
        <f>HYPERLINK("https://pbs.twimg.com/profile_banners/1443648080/1629914967")</f>
        <v>https://pbs.twimg.com/profile_banners/1443648080/1629914967</v>
      </c>
      <c r="AQ934" s="80" t="b">
        <v>1</v>
      </c>
      <c r="AR934" s="80" t="b">
        <v>0</v>
      </c>
      <c r="AS934" s="80" t="b">
        <v>0</v>
      </c>
      <c r="AT934" s="80"/>
      <c r="AU934" s="80">
        <v>0</v>
      </c>
      <c r="AV934" s="87" t="str">
        <f>HYPERLINK("https://abs.twimg.com/images/themes/theme1/bg.png")</f>
        <v>https://abs.twimg.com/images/themes/theme1/bg.png</v>
      </c>
      <c r="AW934" s="80" t="b">
        <v>0</v>
      </c>
      <c r="AX934" s="80" t="s">
        <v>10746</v>
      </c>
      <c r="AY934" s="87" t="str">
        <f>HYPERLINK("https://twitter.com/sunustm")</f>
        <v>https://twitter.com/sunustm</v>
      </c>
      <c r="AZ934" s="80" t="s">
        <v>65</v>
      </c>
      <c r="BA934" s="2"/>
      <c r="BB934" s="3"/>
      <c r="BC934" s="3"/>
      <c r="BD934" s="3"/>
      <c r="BE934" s="3"/>
    </row>
    <row r="935" spans="1:57" x14ac:dyDescent="0.35">
      <c r="A935" s="66" t="s">
        <v>957</v>
      </c>
      <c r="B935" s="67"/>
      <c r="C935" s="67"/>
      <c r="D935" s="68"/>
      <c r="E935" s="70"/>
      <c r="F935" s="109" t="str">
        <f>HYPERLINK("https://pbs.twimg.com/profile_images/1406059743735554051/SzybUTpL_normal.jpg")</f>
        <v>https://pbs.twimg.com/profile_images/1406059743735554051/SzybUTpL_normal.jpg</v>
      </c>
      <c r="G935" s="67"/>
      <c r="H935" s="71"/>
      <c r="I935" s="72"/>
      <c r="J935" s="72"/>
      <c r="K935" s="71" t="s">
        <v>11678</v>
      </c>
      <c r="L935" s="75"/>
      <c r="M935" s="76"/>
      <c r="N935" s="76"/>
      <c r="O935" s="77"/>
      <c r="P935" s="78"/>
      <c r="Q935" s="78"/>
      <c r="R935" s="92"/>
      <c r="S935" s="92"/>
      <c r="T935" s="92"/>
      <c r="U935" s="92"/>
      <c r="V935" s="52"/>
      <c r="W935" s="52"/>
      <c r="X935" s="52"/>
      <c r="Y935" s="52"/>
      <c r="Z935" s="51"/>
      <c r="AA935" s="73"/>
      <c r="AB935" s="73"/>
      <c r="AC935" s="74"/>
      <c r="AD935" s="80" t="s">
        <v>7500</v>
      </c>
      <c r="AE935" s="85" t="s">
        <v>8659</v>
      </c>
      <c r="AF935" s="80">
        <v>259</v>
      </c>
      <c r="AG935" s="80">
        <v>438</v>
      </c>
      <c r="AH935" s="80">
        <v>37498</v>
      </c>
      <c r="AI935" s="80">
        <v>10968</v>
      </c>
      <c r="AJ935" s="80"/>
      <c r="AK935" s="80" t="s">
        <v>9785</v>
      </c>
      <c r="AL935" s="80" t="s">
        <v>10182</v>
      </c>
      <c r="AM935" s="80"/>
      <c r="AN935" s="80"/>
      <c r="AO935" s="82">
        <v>41287.242280092592</v>
      </c>
      <c r="AP935" s="80"/>
      <c r="AQ935" s="80" t="b">
        <v>0</v>
      </c>
      <c r="AR935" s="80" t="b">
        <v>0</v>
      </c>
      <c r="AS935" s="80" t="b">
        <v>1</v>
      </c>
      <c r="AT935" s="80"/>
      <c r="AU935" s="80">
        <v>4</v>
      </c>
      <c r="AV935" s="87" t="str">
        <f>HYPERLINK("https://abs.twimg.com/images/themes/theme9/bg.gif")</f>
        <v>https://abs.twimg.com/images/themes/theme9/bg.gif</v>
      </c>
      <c r="AW935" s="80" t="b">
        <v>0</v>
      </c>
      <c r="AX935" s="80" t="s">
        <v>10746</v>
      </c>
      <c r="AY935" s="87" t="str">
        <f>HYPERLINK("https://twitter.com/hjia__")</f>
        <v>https://twitter.com/hjia__</v>
      </c>
      <c r="AZ935" s="80" t="s">
        <v>66</v>
      </c>
      <c r="BA935" s="2"/>
      <c r="BB935" s="3"/>
      <c r="BC935" s="3"/>
      <c r="BD935" s="3"/>
      <c r="BE935" s="3"/>
    </row>
    <row r="936" spans="1:57" x14ac:dyDescent="0.35">
      <c r="A936" s="66" t="s">
        <v>1454</v>
      </c>
      <c r="B936" s="67"/>
      <c r="C936" s="67"/>
      <c r="D936" s="68"/>
      <c r="E936" s="70"/>
      <c r="F936" s="109" t="str">
        <f>HYPERLINK("https://pbs.twimg.com/profile_images/1334411578809098240/MTrG5JZF_normal.jpg")</f>
        <v>https://pbs.twimg.com/profile_images/1334411578809098240/MTrG5JZF_normal.jpg</v>
      </c>
      <c r="G936" s="67"/>
      <c r="H936" s="71"/>
      <c r="I936" s="72"/>
      <c r="J936" s="72"/>
      <c r="K936" s="71" t="s">
        <v>11679</v>
      </c>
      <c r="L936" s="75"/>
      <c r="M936" s="76"/>
      <c r="N936" s="76"/>
      <c r="O936" s="77"/>
      <c r="P936" s="78"/>
      <c r="Q936" s="78"/>
      <c r="R936" s="92"/>
      <c r="S936" s="92"/>
      <c r="T936" s="92"/>
      <c r="U936" s="92"/>
      <c r="V936" s="52"/>
      <c r="W936" s="52"/>
      <c r="X936" s="52"/>
      <c r="Y936" s="52"/>
      <c r="Z936" s="51"/>
      <c r="AA936" s="73"/>
      <c r="AB936" s="73"/>
      <c r="AC936" s="74"/>
      <c r="AD936" s="80" t="s">
        <v>7501</v>
      </c>
      <c r="AE936" s="85" t="s">
        <v>8660</v>
      </c>
      <c r="AF936" s="80">
        <v>3</v>
      </c>
      <c r="AG936" s="80">
        <v>4339</v>
      </c>
      <c r="AH936" s="80">
        <v>6999</v>
      </c>
      <c r="AI936" s="80">
        <v>1989</v>
      </c>
      <c r="AJ936" s="80"/>
      <c r="AK936" s="80" t="s">
        <v>9786</v>
      </c>
      <c r="AL936" s="80"/>
      <c r="AM936" s="80"/>
      <c r="AN936" s="80"/>
      <c r="AO936" s="82">
        <v>43536.526180555556</v>
      </c>
      <c r="AP936" s="87" t="str">
        <f>HYPERLINK("https://pbs.twimg.com/profile_banners/1105447775968276482/1554233760")</f>
        <v>https://pbs.twimg.com/profile_banners/1105447775968276482/1554233760</v>
      </c>
      <c r="AQ936" s="80" t="b">
        <v>1</v>
      </c>
      <c r="AR936" s="80" t="b">
        <v>0</v>
      </c>
      <c r="AS936" s="80" t="b">
        <v>0</v>
      </c>
      <c r="AT936" s="80"/>
      <c r="AU936" s="80">
        <v>9</v>
      </c>
      <c r="AV936" s="80"/>
      <c r="AW936" s="80" t="b">
        <v>0</v>
      </c>
      <c r="AX936" s="80" t="s">
        <v>10746</v>
      </c>
      <c r="AY936" s="87" t="str">
        <f>HYPERLINK("https://twitter.com/kogiexorealpc")</f>
        <v>https://twitter.com/kogiexorealpc</v>
      </c>
      <c r="AZ936" s="80" t="s">
        <v>65</v>
      </c>
      <c r="BA936" s="2"/>
      <c r="BB936" s="3"/>
      <c r="BC936" s="3"/>
      <c r="BD936" s="3"/>
      <c r="BE936" s="3"/>
    </row>
    <row r="937" spans="1:57" x14ac:dyDescent="0.35">
      <c r="A937" s="66" t="s">
        <v>1028</v>
      </c>
      <c r="B937" s="67"/>
      <c r="C937" s="67"/>
      <c r="D937" s="68"/>
      <c r="E937" s="70"/>
      <c r="F937" s="109" t="str">
        <f>HYPERLINK("https://pbs.twimg.com/profile_images/1442131247996686342/3w3YCZ-1_normal.jpg")</f>
        <v>https://pbs.twimg.com/profile_images/1442131247996686342/3w3YCZ-1_normal.jpg</v>
      </c>
      <c r="G937" s="67"/>
      <c r="H937" s="71"/>
      <c r="I937" s="72"/>
      <c r="J937" s="72"/>
      <c r="K937" s="71" t="s">
        <v>11680</v>
      </c>
      <c r="L937" s="75"/>
      <c r="M937" s="76"/>
      <c r="N937" s="76"/>
      <c r="O937" s="77"/>
      <c r="P937" s="78"/>
      <c r="Q937" s="78"/>
      <c r="R937" s="92"/>
      <c r="S937" s="92"/>
      <c r="T937" s="92"/>
      <c r="U937" s="92"/>
      <c r="V937" s="52"/>
      <c r="W937" s="52"/>
      <c r="X937" s="52"/>
      <c r="Y937" s="52"/>
      <c r="Z937" s="51"/>
      <c r="AA937" s="73"/>
      <c r="AB937" s="73"/>
      <c r="AC937" s="74"/>
      <c r="AD937" s="80" t="s">
        <v>7502</v>
      </c>
      <c r="AE937" s="85" t="s">
        <v>8661</v>
      </c>
      <c r="AF937" s="80">
        <v>211</v>
      </c>
      <c r="AG937" s="80">
        <v>206</v>
      </c>
      <c r="AH937" s="80">
        <v>8466</v>
      </c>
      <c r="AI937" s="80">
        <v>30008</v>
      </c>
      <c r="AJ937" s="80"/>
      <c r="AK937" s="80"/>
      <c r="AL937" s="80" t="s">
        <v>10569</v>
      </c>
      <c r="AM937" s="80"/>
      <c r="AN937" s="80"/>
      <c r="AO937" s="82">
        <v>43907.668287037035</v>
      </c>
      <c r="AP937" s="87" t="str">
        <f>HYPERLINK("https://pbs.twimg.com/profile_banners/1239945112370556928/1632741279")</f>
        <v>https://pbs.twimg.com/profile_banners/1239945112370556928/1632741279</v>
      </c>
      <c r="AQ937" s="80" t="b">
        <v>1</v>
      </c>
      <c r="AR937" s="80" t="b">
        <v>0</v>
      </c>
      <c r="AS937" s="80" t="b">
        <v>0</v>
      </c>
      <c r="AT937" s="80"/>
      <c r="AU937" s="80">
        <v>0</v>
      </c>
      <c r="AV937" s="80"/>
      <c r="AW937" s="80" t="b">
        <v>0</v>
      </c>
      <c r="AX937" s="80" t="s">
        <v>10746</v>
      </c>
      <c r="AY937" s="87" t="str">
        <f>HYPERLINK("https://twitter.com/syafiqaaazm")</f>
        <v>https://twitter.com/syafiqaaazm</v>
      </c>
      <c r="AZ937" s="80" t="s">
        <v>66</v>
      </c>
      <c r="BA937" s="2"/>
      <c r="BB937" s="3"/>
      <c r="BC937" s="3"/>
      <c r="BD937" s="3"/>
      <c r="BE937" s="3"/>
    </row>
    <row r="938" spans="1:57" x14ac:dyDescent="0.35">
      <c r="A938" s="66" t="s">
        <v>958</v>
      </c>
      <c r="B938" s="67"/>
      <c r="C938" s="67"/>
      <c r="D938" s="68"/>
      <c r="E938" s="70"/>
      <c r="F938" s="109" t="str">
        <f>HYPERLINK("https://pbs.twimg.com/profile_images/1439502555772375040/ceHsLq4F_normal.jpg")</f>
        <v>https://pbs.twimg.com/profile_images/1439502555772375040/ceHsLq4F_normal.jpg</v>
      </c>
      <c r="G938" s="67"/>
      <c r="H938" s="71"/>
      <c r="I938" s="72"/>
      <c r="J938" s="72"/>
      <c r="K938" s="71" t="s">
        <v>11681</v>
      </c>
      <c r="L938" s="75"/>
      <c r="M938" s="76"/>
      <c r="N938" s="76"/>
      <c r="O938" s="77"/>
      <c r="P938" s="78"/>
      <c r="Q938" s="78"/>
      <c r="R938" s="92"/>
      <c r="S938" s="92"/>
      <c r="T938" s="92"/>
      <c r="U938" s="92"/>
      <c r="V938" s="52"/>
      <c r="W938" s="52"/>
      <c r="X938" s="52"/>
      <c r="Y938" s="52"/>
      <c r="Z938" s="51"/>
      <c r="AA938" s="73"/>
      <c r="AB938" s="73"/>
      <c r="AC938" s="74"/>
      <c r="AD938" s="80" t="s">
        <v>7503</v>
      </c>
      <c r="AE938" s="85" t="s">
        <v>6386</v>
      </c>
      <c r="AF938" s="80">
        <v>388</v>
      </c>
      <c r="AG938" s="80">
        <v>114</v>
      </c>
      <c r="AH938" s="80">
        <v>8950</v>
      </c>
      <c r="AI938" s="80">
        <v>16279</v>
      </c>
      <c r="AJ938" s="80"/>
      <c r="AK938" s="80" t="s">
        <v>9787</v>
      </c>
      <c r="AL938" s="80" t="s">
        <v>10570</v>
      </c>
      <c r="AM938" s="80"/>
      <c r="AN938" s="80"/>
      <c r="AO938" s="82">
        <v>43840.591805555552</v>
      </c>
      <c r="AP938" s="87" t="str">
        <f>HYPERLINK("https://pbs.twimg.com/profile_banners/1215637424916713472/1630579854")</f>
        <v>https://pbs.twimg.com/profile_banners/1215637424916713472/1630579854</v>
      </c>
      <c r="AQ938" s="80" t="b">
        <v>1</v>
      </c>
      <c r="AR938" s="80" t="b">
        <v>0</v>
      </c>
      <c r="AS938" s="80" t="b">
        <v>0</v>
      </c>
      <c r="AT938" s="80"/>
      <c r="AU938" s="80">
        <v>0</v>
      </c>
      <c r="AV938" s="80"/>
      <c r="AW938" s="80" t="b">
        <v>0</v>
      </c>
      <c r="AX938" s="80" t="s">
        <v>10746</v>
      </c>
      <c r="AY938" s="87" t="str">
        <f>HYPERLINK("https://twitter.com/byeommin")</f>
        <v>https://twitter.com/byeommin</v>
      </c>
      <c r="AZ938" s="80" t="s">
        <v>66</v>
      </c>
      <c r="BA938" s="2"/>
      <c r="BB938" s="3"/>
      <c r="BC938" s="3"/>
      <c r="BD938" s="3"/>
      <c r="BE938" s="3"/>
    </row>
    <row r="939" spans="1:57" x14ac:dyDescent="0.35">
      <c r="A939" s="66" t="s">
        <v>959</v>
      </c>
      <c r="B939" s="67"/>
      <c r="C939" s="67"/>
      <c r="D939" s="68"/>
      <c r="E939" s="70"/>
      <c r="F939" s="109" t="str">
        <f>HYPERLINK("https://pbs.twimg.com/profile_images/1267752156322381826/7n8p6zMA_normal.jpg")</f>
        <v>https://pbs.twimg.com/profile_images/1267752156322381826/7n8p6zMA_normal.jpg</v>
      </c>
      <c r="G939" s="67"/>
      <c r="H939" s="71"/>
      <c r="I939" s="72"/>
      <c r="J939" s="72"/>
      <c r="K939" s="71" t="s">
        <v>11682</v>
      </c>
      <c r="L939" s="75"/>
      <c r="M939" s="76"/>
      <c r="N939" s="76"/>
      <c r="O939" s="77"/>
      <c r="P939" s="78"/>
      <c r="Q939" s="78"/>
      <c r="R939" s="92"/>
      <c r="S939" s="92"/>
      <c r="T939" s="92"/>
      <c r="U939" s="92"/>
      <c r="V939" s="52"/>
      <c r="W939" s="52"/>
      <c r="X939" s="52"/>
      <c r="Y939" s="52"/>
      <c r="Z939" s="51"/>
      <c r="AA939" s="73"/>
      <c r="AB939" s="73"/>
      <c r="AC939" s="74"/>
      <c r="AD939" s="80" t="s">
        <v>7504</v>
      </c>
      <c r="AE939" s="85" t="s">
        <v>6390</v>
      </c>
      <c r="AF939" s="80">
        <v>22</v>
      </c>
      <c r="AG939" s="80">
        <v>3</v>
      </c>
      <c r="AH939" s="80">
        <v>468</v>
      </c>
      <c r="AI939" s="80">
        <v>39</v>
      </c>
      <c r="AJ939" s="80"/>
      <c r="AK939" s="80" t="s">
        <v>9788</v>
      </c>
      <c r="AL939" s="80"/>
      <c r="AM939" s="80"/>
      <c r="AN939" s="80"/>
      <c r="AO939" s="82">
        <v>43984.400150462963</v>
      </c>
      <c r="AP939" s="80"/>
      <c r="AQ939" s="80" t="b">
        <v>1</v>
      </c>
      <c r="AR939" s="80" t="b">
        <v>0</v>
      </c>
      <c r="AS939" s="80" t="b">
        <v>0</v>
      </c>
      <c r="AT939" s="80"/>
      <c r="AU939" s="80">
        <v>0</v>
      </c>
      <c r="AV939" s="80"/>
      <c r="AW939" s="80" t="b">
        <v>0</v>
      </c>
      <c r="AX939" s="80" t="s">
        <v>10746</v>
      </c>
      <c r="AY939" s="87" t="str">
        <f>HYPERLINK("https://twitter.com/unclemuthu05")</f>
        <v>https://twitter.com/unclemuthu05</v>
      </c>
      <c r="AZ939" s="80" t="s">
        <v>66</v>
      </c>
      <c r="BA939" s="2"/>
      <c r="BB939" s="3"/>
      <c r="BC939" s="3"/>
      <c r="BD939" s="3"/>
      <c r="BE939" s="3"/>
    </row>
    <row r="940" spans="1:57" x14ac:dyDescent="0.35">
      <c r="A940" s="66" t="s">
        <v>1455</v>
      </c>
      <c r="B940" s="67"/>
      <c r="C940" s="67"/>
      <c r="D940" s="68"/>
      <c r="E940" s="70"/>
      <c r="F940" s="109" t="str">
        <f>HYPERLINK("https://pbs.twimg.com/profile_images/1316385497254514688/zwsvwjRH_normal.jpg")</f>
        <v>https://pbs.twimg.com/profile_images/1316385497254514688/zwsvwjRH_normal.jpg</v>
      </c>
      <c r="G940" s="67"/>
      <c r="H940" s="71"/>
      <c r="I940" s="72"/>
      <c r="J940" s="72"/>
      <c r="K940" s="71" t="s">
        <v>11683</v>
      </c>
      <c r="L940" s="75"/>
      <c r="M940" s="76"/>
      <c r="N940" s="76"/>
      <c r="O940" s="77"/>
      <c r="P940" s="78"/>
      <c r="Q940" s="78"/>
      <c r="R940" s="92"/>
      <c r="S940" s="92"/>
      <c r="T940" s="92"/>
      <c r="U940" s="92"/>
      <c r="V940" s="52"/>
      <c r="W940" s="52"/>
      <c r="X940" s="52"/>
      <c r="Y940" s="52"/>
      <c r="Z940" s="51"/>
      <c r="AA940" s="73"/>
      <c r="AB940" s="73"/>
      <c r="AC940" s="74"/>
      <c r="AD940" s="80" t="s">
        <v>7505</v>
      </c>
      <c r="AE940" s="85" t="s">
        <v>6387</v>
      </c>
      <c r="AF940" s="80">
        <v>145</v>
      </c>
      <c r="AG940" s="80">
        <v>37</v>
      </c>
      <c r="AH940" s="80">
        <v>1352</v>
      </c>
      <c r="AI940" s="80">
        <v>997</v>
      </c>
      <c r="AJ940" s="80"/>
      <c r="AK940" s="80"/>
      <c r="AL940" s="80" t="s">
        <v>10571</v>
      </c>
      <c r="AM940" s="80"/>
      <c r="AN940" s="80"/>
      <c r="AO940" s="82">
        <v>40881.733101851853</v>
      </c>
      <c r="AP940" s="80"/>
      <c r="AQ940" s="80" t="b">
        <v>1</v>
      </c>
      <c r="AR940" s="80" t="b">
        <v>0</v>
      </c>
      <c r="AS940" s="80" t="b">
        <v>1</v>
      </c>
      <c r="AT940" s="80"/>
      <c r="AU940" s="80">
        <v>0</v>
      </c>
      <c r="AV940" s="87" t="str">
        <f>HYPERLINK("https://abs.twimg.com/images/themes/theme1/bg.png")</f>
        <v>https://abs.twimg.com/images/themes/theme1/bg.png</v>
      </c>
      <c r="AW940" s="80" t="b">
        <v>0</v>
      </c>
      <c r="AX940" s="80" t="s">
        <v>10746</v>
      </c>
      <c r="AY940" s="87" t="str">
        <f>HYPERLINK("https://twitter.com/om_hendri")</f>
        <v>https://twitter.com/om_hendri</v>
      </c>
      <c r="AZ940" s="80" t="s">
        <v>65</v>
      </c>
      <c r="BA940" s="2"/>
      <c r="BB940" s="3"/>
      <c r="BC940" s="3"/>
      <c r="BD940" s="3"/>
      <c r="BE940" s="3"/>
    </row>
    <row r="941" spans="1:57" x14ac:dyDescent="0.35">
      <c r="A941" s="66" t="s">
        <v>1456</v>
      </c>
      <c r="B941" s="67"/>
      <c r="C941" s="67"/>
      <c r="D941" s="68"/>
      <c r="E941" s="70"/>
      <c r="F941" s="109" t="str">
        <f>HYPERLINK("https://pbs.twimg.com/profile_images/1361287896213323780/AqW8PxBr_normal.jpg")</f>
        <v>https://pbs.twimg.com/profile_images/1361287896213323780/AqW8PxBr_normal.jpg</v>
      </c>
      <c r="G941" s="67"/>
      <c r="H941" s="71"/>
      <c r="I941" s="72"/>
      <c r="J941" s="72"/>
      <c r="K941" s="71" t="s">
        <v>11684</v>
      </c>
      <c r="L941" s="75"/>
      <c r="M941" s="76"/>
      <c r="N941" s="76"/>
      <c r="O941" s="77"/>
      <c r="P941" s="78"/>
      <c r="Q941" s="78"/>
      <c r="R941" s="92"/>
      <c r="S941" s="92"/>
      <c r="T941" s="92"/>
      <c r="U941" s="92"/>
      <c r="V941" s="52"/>
      <c r="W941" s="52"/>
      <c r="X941" s="52"/>
      <c r="Y941" s="52"/>
      <c r="Z941" s="51"/>
      <c r="AA941" s="73"/>
      <c r="AB941" s="73"/>
      <c r="AC941" s="74"/>
      <c r="AD941" s="80" t="s">
        <v>6678</v>
      </c>
      <c r="AE941" s="85" t="s">
        <v>6388</v>
      </c>
      <c r="AF941" s="80">
        <v>128</v>
      </c>
      <c r="AG941" s="80">
        <v>86</v>
      </c>
      <c r="AH941" s="80">
        <v>26401</v>
      </c>
      <c r="AI941" s="80">
        <v>175</v>
      </c>
      <c r="AJ941" s="80"/>
      <c r="AK941" s="80" t="s">
        <v>9789</v>
      </c>
      <c r="AL941" s="80"/>
      <c r="AM941" s="80"/>
      <c r="AN941" s="80"/>
      <c r="AO941" s="82">
        <v>39994.241770833331</v>
      </c>
      <c r="AP941" s="87" t="str">
        <f>HYPERLINK("https://pbs.twimg.com/profile_banners/52318427/1616486482")</f>
        <v>https://pbs.twimg.com/profile_banners/52318427/1616486482</v>
      </c>
      <c r="AQ941" s="80" t="b">
        <v>0</v>
      </c>
      <c r="AR941" s="80" t="b">
        <v>0</v>
      </c>
      <c r="AS941" s="80" t="b">
        <v>1</v>
      </c>
      <c r="AT941" s="80"/>
      <c r="AU941" s="80">
        <v>3</v>
      </c>
      <c r="AV941" s="87" t="str">
        <f>HYPERLINK("https://abs.twimg.com/images/themes/theme13/bg.gif")</f>
        <v>https://abs.twimg.com/images/themes/theme13/bg.gif</v>
      </c>
      <c r="AW941" s="80" t="b">
        <v>0</v>
      </c>
      <c r="AX941" s="80" t="s">
        <v>10746</v>
      </c>
      <c r="AY941" s="87" t="str">
        <f>HYPERLINK("https://twitter.com/aaariniii")</f>
        <v>https://twitter.com/aaariniii</v>
      </c>
      <c r="AZ941" s="80" t="s">
        <v>65</v>
      </c>
      <c r="BA941" s="2"/>
      <c r="BB941" s="3"/>
      <c r="BC941" s="3"/>
      <c r="BD941" s="3"/>
      <c r="BE941" s="3"/>
    </row>
    <row r="942" spans="1:57" x14ac:dyDescent="0.35">
      <c r="A942" s="66" t="s">
        <v>960</v>
      </c>
      <c r="B942" s="67"/>
      <c r="C942" s="67"/>
      <c r="D942" s="68"/>
      <c r="E942" s="70"/>
      <c r="F942" s="109" t="str">
        <f>HYPERLINK("https://pbs.twimg.com/profile_images/1413600731165118464/Smi9sx6l_normal.jpg")</f>
        <v>https://pbs.twimg.com/profile_images/1413600731165118464/Smi9sx6l_normal.jpg</v>
      </c>
      <c r="G942" s="67"/>
      <c r="H942" s="71"/>
      <c r="I942" s="72"/>
      <c r="J942" s="72"/>
      <c r="K942" s="71" t="s">
        <v>11685</v>
      </c>
      <c r="L942" s="75"/>
      <c r="M942" s="76"/>
      <c r="N942" s="76"/>
      <c r="O942" s="77"/>
      <c r="P942" s="78"/>
      <c r="Q942" s="78"/>
      <c r="R942" s="92"/>
      <c r="S942" s="92"/>
      <c r="T942" s="92"/>
      <c r="U942" s="92"/>
      <c r="V942" s="52"/>
      <c r="W942" s="52"/>
      <c r="X942" s="52"/>
      <c r="Y942" s="52"/>
      <c r="Z942" s="51"/>
      <c r="AA942" s="73"/>
      <c r="AB942" s="73"/>
      <c r="AC942" s="74"/>
      <c r="AD942" s="80" t="s">
        <v>7506</v>
      </c>
      <c r="AE942" s="85" t="s">
        <v>6389</v>
      </c>
      <c r="AF942" s="80">
        <v>94</v>
      </c>
      <c r="AG942" s="80">
        <v>1</v>
      </c>
      <c r="AH942" s="80">
        <v>3175</v>
      </c>
      <c r="AI942" s="80">
        <v>518</v>
      </c>
      <c r="AJ942" s="80"/>
      <c r="AK942" s="80" t="s">
        <v>9790</v>
      </c>
      <c r="AL942" s="80"/>
      <c r="AM942" s="80"/>
      <c r="AN942" s="80"/>
      <c r="AO942" s="82">
        <v>43270.22011574074</v>
      </c>
      <c r="AP942" s="87" t="str">
        <f>HYPERLINK("https://pbs.twimg.com/profile_banners/1008941689824731136/1587657033")</f>
        <v>https://pbs.twimg.com/profile_banners/1008941689824731136/1587657033</v>
      </c>
      <c r="AQ942" s="80" t="b">
        <v>0</v>
      </c>
      <c r="AR942" s="80" t="b">
        <v>0</v>
      </c>
      <c r="AS942" s="80" t="b">
        <v>1</v>
      </c>
      <c r="AT942" s="80"/>
      <c r="AU942" s="80">
        <v>0</v>
      </c>
      <c r="AV942" s="87" t="str">
        <f>HYPERLINK("https://abs.twimg.com/images/themes/theme1/bg.png")</f>
        <v>https://abs.twimg.com/images/themes/theme1/bg.png</v>
      </c>
      <c r="AW942" s="80" t="b">
        <v>0</v>
      </c>
      <c r="AX942" s="80" t="s">
        <v>10746</v>
      </c>
      <c r="AY942" s="87" t="str">
        <f>HYPERLINK("https://twitter.com/jeneralkenobii")</f>
        <v>https://twitter.com/jeneralkenobii</v>
      </c>
      <c r="AZ942" s="80" t="s">
        <v>66</v>
      </c>
      <c r="BA942" s="2"/>
      <c r="BB942" s="3"/>
      <c r="BC942" s="3"/>
      <c r="BD942" s="3"/>
      <c r="BE942" s="3"/>
    </row>
    <row r="943" spans="1:57" x14ac:dyDescent="0.35">
      <c r="A943" s="66" t="s">
        <v>961</v>
      </c>
      <c r="B943" s="67"/>
      <c r="C943" s="67"/>
      <c r="D943" s="68"/>
      <c r="E943" s="70"/>
      <c r="F943" s="109" t="str">
        <f>HYPERLINK("https://pbs.twimg.com/profile_images/1437034466615070723/g5HtDvbA_normal.jpg")</f>
        <v>https://pbs.twimg.com/profile_images/1437034466615070723/g5HtDvbA_normal.jpg</v>
      </c>
      <c r="G943" s="67"/>
      <c r="H943" s="71"/>
      <c r="I943" s="72"/>
      <c r="J943" s="72"/>
      <c r="K943" s="71" t="s">
        <v>11686</v>
      </c>
      <c r="L943" s="75"/>
      <c r="M943" s="76"/>
      <c r="N943" s="76"/>
      <c r="O943" s="77"/>
      <c r="P943" s="78"/>
      <c r="Q943" s="78"/>
      <c r="R943" s="92"/>
      <c r="S943" s="92"/>
      <c r="T943" s="92"/>
      <c r="U943" s="92"/>
      <c r="V943" s="52"/>
      <c r="W943" s="52"/>
      <c r="X943" s="52"/>
      <c r="Y943" s="52"/>
      <c r="Z943" s="51"/>
      <c r="AA943" s="73"/>
      <c r="AB943" s="73"/>
      <c r="AC943" s="74"/>
      <c r="AD943" s="80" t="s">
        <v>7507</v>
      </c>
      <c r="AE943" s="85" t="s">
        <v>8662</v>
      </c>
      <c r="AF943" s="80">
        <v>452</v>
      </c>
      <c r="AG943" s="80">
        <v>217</v>
      </c>
      <c r="AH943" s="80">
        <v>28641</v>
      </c>
      <c r="AI943" s="80">
        <v>28279</v>
      </c>
      <c r="AJ943" s="80"/>
      <c r="AK943" s="80" t="s">
        <v>9791</v>
      </c>
      <c r="AL943" s="80" t="s">
        <v>10572</v>
      </c>
      <c r="AM943" s="80"/>
      <c r="AN943" s="80"/>
      <c r="AO943" s="82">
        <v>42517.283101851855</v>
      </c>
      <c r="AP943" s="87" t="str">
        <f>HYPERLINK("https://pbs.twimg.com/profile_banners/736086448684703744/1627184278")</f>
        <v>https://pbs.twimg.com/profile_banners/736086448684703744/1627184278</v>
      </c>
      <c r="AQ943" s="80" t="b">
        <v>1</v>
      </c>
      <c r="AR943" s="80" t="b">
        <v>0</v>
      </c>
      <c r="AS943" s="80" t="b">
        <v>1</v>
      </c>
      <c r="AT943" s="80"/>
      <c r="AU943" s="80">
        <v>0</v>
      </c>
      <c r="AV943" s="80"/>
      <c r="AW943" s="80" t="b">
        <v>0</v>
      </c>
      <c r="AX943" s="80" t="s">
        <v>10746</v>
      </c>
      <c r="AY943" s="87" t="str">
        <f>HYPERLINK("https://twitter.com/aniszulkifle")</f>
        <v>https://twitter.com/aniszulkifle</v>
      </c>
      <c r="AZ943" s="80" t="s">
        <v>66</v>
      </c>
      <c r="BA943" s="2"/>
      <c r="BB943" s="3"/>
      <c r="BC943" s="3"/>
      <c r="BD943" s="3"/>
      <c r="BE943" s="3"/>
    </row>
    <row r="944" spans="1:57" x14ac:dyDescent="0.35">
      <c r="A944" s="66" t="s">
        <v>962</v>
      </c>
      <c r="B944" s="67"/>
      <c r="C944" s="67"/>
      <c r="D944" s="68"/>
      <c r="E944" s="70"/>
      <c r="F944" s="109" t="str">
        <f>HYPERLINK("https://pbs.twimg.com/profile_images/1409161500447547394/Qqy5oGOb_normal.jpg")</f>
        <v>https://pbs.twimg.com/profile_images/1409161500447547394/Qqy5oGOb_normal.jpg</v>
      </c>
      <c r="G944" s="67"/>
      <c r="H944" s="71"/>
      <c r="I944" s="72"/>
      <c r="J944" s="72"/>
      <c r="K944" s="71" t="s">
        <v>11687</v>
      </c>
      <c r="L944" s="75"/>
      <c r="M944" s="76"/>
      <c r="N944" s="76"/>
      <c r="O944" s="77"/>
      <c r="P944" s="78"/>
      <c r="Q944" s="78"/>
      <c r="R944" s="92"/>
      <c r="S944" s="92"/>
      <c r="T944" s="92"/>
      <c r="U944" s="92"/>
      <c r="V944" s="52"/>
      <c r="W944" s="52"/>
      <c r="X944" s="52"/>
      <c r="Y944" s="52"/>
      <c r="Z944" s="51"/>
      <c r="AA944" s="73"/>
      <c r="AB944" s="73"/>
      <c r="AC944" s="74"/>
      <c r="AD944" s="80" t="s">
        <v>7508</v>
      </c>
      <c r="AE944" s="85" t="s">
        <v>8663</v>
      </c>
      <c r="AF944" s="80">
        <v>4869</v>
      </c>
      <c r="AG944" s="80">
        <v>450</v>
      </c>
      <c r="AH944" s="80">
        <v>17693</v>
      </c>
      <c r="AI944" s="80">
        <v>13375</v>
      </c>
      <c r="AJ944" s="80"/>
      <c r="AK944" s="80" t="s">
        <v>9792</v>
      </c>
      <c r="AL944" s="80" t="s">
        <v>10573</v>
      </c>
      <c r="AM944" s="87" t="str">
        <f>HYPERLINK("https://t.co/kasTevvfh4")</f>
        <v>https://t.co/kasTevvfh4</v>
      </c>
      <c r="AN944" s="80"/>
      <c r="AO944" s="82">
        <v>39910.409780092596</v>
      </c>
      <c r="AP944" s="87" t="str">
        <f>HYPERLINK("https://pbs.twimg.com/profile_banners/29418329/1630400489")</f>
        <v>https://pbs.twimg.com/profile_banners/29418329/1630400489</v>
      </c>
      <c r="AQ944" s="80" t="b">
        <v>0</v>
      </c>
      <c r="AR944" s="80" t="b">
        <v>0</v>
      </c>
      <c r="AS944" s="80" t="b">
        <v>1</v>
      </c>
      <c r="AT944" s="80"/>
      <c r="AU944" s="80">
        <v>10</v>
      </c>
      <c r="AV944" s="87" t="str">
        <f>HYPERLINK("https://abs.twimg.com/images/themes/theme1/bg.png")</f>
        <v>https://abs.twimg.com/images/themes/theme1/bg.png</v>
      </c>
      <c r="AW944" s="80" t="b">
        <v>0</v>
      </c>
      <c r="AX944" s="80" t="s">
        <v>10746</v>
      </c>
      <c r="AY944" s="87" t="str">
        <f>HYPERLINK("https://twitter.com/ahidahid")</f>
        <v>https://twitter.com/ahidahid</v>
      </c>
      <c r="AZ944" s="80" t="s">
        <v>66</v>
      </c>
      <c r="BA944" s="2"/>
      <c r="BB944" s="3"/>
      <c r="BC944" s="3"/>
      <c r="BD944" s="3"/>
      <c r="BE944" s="3"/>
    </row>
    <row r="945" spans="1:57" x14ac:dyDescent="0.35">
      <c r="A945" s="66" t="s">
        <v>1457</v>
      </c>
      <c r="B945" s="67"/>
      <c r="C945" s="67"/>
      <c r="D945" s="68"/>
      <c r="E945" s="70"/>
      <c r="F945" s="109" t="str">
        <f>HYPERLINK("https://pbs.twimg.com/profile_images/1336531299037659137/-yDBnGbY_normal.jpg")</f>
        <v>https://pbs.twimg.com/profile_images/1336531299037659137/-yDBnGbY_normal.jpg</v>
      </c>
      <c r="G945" s="67"/>
      <c r="H945" s="71"/>
      <c r="I945" s="72"/>
      <c r="J945" s="72"/>
      <c r="K945" s="71" t="s">
        <v>11688</v>
      </c>
      <c r="L945" s="75"/>
      <c r="M945" s="76"/>
      <c r="N945" s="76"/>
      <c r="O945" s="77"/>
      <c r="P945" s="78"/>
      <c r="Q945" s="78"/>
      <c r="R945" s="92"/>
      <c r="S945" s="92"/>
      <c r="T945" s="92"/>
      <c r="U945" s="92"/>
      <c r="V945" s="52"/>
      <c r="W945" s="52"/>
      <c r="X945" s="52"/>
      <c r="Y945" s="52"/>
      <c r="Z945" s="51"/>
      <c r="AA945" s="73"/>
      <c r="AB945" s="73"/>
      <c r="AC945" s="74"/>
      <c r="AD945" s="80" t="s">
        <v>7509</v>
      </c>
      <c r="AE945" s="85" t="s">
        <v>8664</v>
      </c>
      <c r="AF945" s="80">
        <v>36</v>
      </c>
      <c r="AG945" s="80">
        <v>40426</v>
      </c>
      <c r="AH945" s="80">
        <v>5450</v>
      </c>
      <c r="AI945" s="80">
        <v>1633</v>
      </c>
      <c r="AJ945" s="80"/>
      <c r="AK945" s="80" t="s">
        <v>9793</v>
      </c>
      <c r="AL945" s="80"/>
      <c r="AM945" s="80"/>
      <c r="AN945" s="80"/>
      <c r="AO945" s="82">
        <v>44147.414444444446</v>
      </c>
      <c r="AP945" s="87" t="str">
        <f>HYPERLINK("https://pbs.twimg.com/profile_banners/1326826176749449217/1610071200")</f>
        <v>https://pbs.twimg.com/profile_banners/1326826176749449217/1610071200</v>
      </c>
      <c r="AQ945" s="80" t="b">
        <v>1</v>
      </c>
      <c r="AR945" s="80" t="b">
        <v>0</v>
      </c>
      <c r="AS945" s="80" t="b">
        <v>1</v>
      </c>
      <c r="AT945" s="80"/>
      <c r="AU945" s="80">
        <v>192</v>
      </c>
      <c r="AV945" s="80"/>
      <c r="AW945" s="80" t="b">
        <v>0</v>
      </c>
      <c r="AX945" s="80" t="s">
        <v>10746</v>
      </c>
      <c r="AY945" s="87" t="str">
        <f>HYPERLINK("https://twitter.com/txtdrikurir")</f>
        <v>https://twitter.com/txtdrikurir</v>
      </c>
      <c r="AZ945" s="80" t="s">
        <v>65</v>
      </c>
      <c r="BA945" s="2"/>
      <c r="BB945" s="3"/>
      <c r="BC945" s="3"/>
      <c r="BD945" s="3"/>
      <c r="BE945" s="3"/>
    </row>
    <row r="946" spans="1:57" x14ac:dyDescent="0.35">
      <c r="A946" s="66" t="s">
        <v>963</v>
      </c>
      <c r="B946" s="67"/>
      <c r="C946" s="67"/>
      <c r="D946" s="68"/>
      <c r="E946" s="70"/>
      <c r="F946" s="109" t="str">
        <f>HYPERLINK("https://pbs.twimg.com/profile_images/1433944359146192896/Ek6o8LmT_normal.jpg")</f>
        <v>https://pbs.twimg.com/profile_images/1433944359146192896/Ek6o8LmT_normal.jpg</v>
      </c>
      <c r="G946" s="67"/>
      <c r="H946" s="71"/>
      <c r="I946" s="72"/>
      <c r="J946" s="72"/>
      <c r="K946" s="71" t="s">
        <v>11689</v>
      </c>
      <c r="L946" s="75"/>
      <c r="M946" s="76"/>
      <c r="N946" s="76"/>
      <c r="O946" s="77"/>
      <c r="P946" s="78"/>
      <c r="Q946" s="78"/>
      <c r="R946" s="92"/>
      <c r="S946" s="92"/>
      <c r="T946" s="92"/>
      <c r="U946" s="92"/>
      <c r="V946" s="52"/>
      <c r="W946" s="52"/>
      <c r="X946" s="52"/>
      <c r="Y946" s="52"/>
      <c r="Z946" s="51"/>
      <c r="AA946" s="73"/>
      <c r="AB946" s="73"/>
      <c r="AC946" s="74"/>
      <c r="AD946" s="80" t="s">
        <v>7510</v>
      </c>
      <c r="AE946" s="85" t="s">
        <v>8665</v>
      </c>
      <c r="AF946" s="80">
        <v>106</v>
      </c>
      <c r="AG946" s="80">
        <v>0</v>
      </c>
      <c r="AH946" s="80">
        <v>712</v>
      </c>
      <c r="AI946" s="80">
        <v>3</v>
      </c>
      <c r="AJ946" s="80"/>
      <c r="AK946" s="80"/>
      <c r="AL946" s="80" t="s">
        <v>10574</v>
      </c>
      <c r="AM946" s="80"/>
      <c r="AN946" s="80"/>
      <c r="AO946" s="82">
        <v>44427.559201388889</v>
      </c>
      <c r="AP946" s="87" t="str">
        <f>HYPERLINK("https://pbs.twimg.com/profile_banners/1428347283402158090/1630713951")</f>
        <v>https://pbs.twimg.com/profile_banners/1428347283402158090/1630713951</v>
      </c>
      <c r="AQ946" s="80" t="b">
        <v>1</v>
      </c>
      <c r="AR946" s="80" t="b">
        <v>0</v>
      </c>
      <c r="AS946" s="80" t="b">
        <v>0</v>
      </c>
      <c r="AT946" s="80"/>
      <c r="AU946" s="80">
        <v>0</v>
      </c>
      <c r="AV946" s="80"/>
      <c r="AW946" s="80" t="b">
        <v>0</v>
      </c>
      <c r="AX946" s="80" t="s">
        <v>10746</v>
      </c>
      <c r="AY946" s="87" t="str">
        <f>HYPERLINK("https://twitter.com/reloadnih")</f>
        <v>https://twitter.com/reloadnih</v>
      </c>
      <c r="AZ946" s="80" t="s">
        <v>66</v>
      </c>
      <c r="BA946" s="2"/>
      <c r="BB946" s="3"/>
      <c r="BC946" s="3"/>
      <c r="BD946" s="3"/>
      <c r="BE946" s="3"/>
    </row>
    <row r="947" spans="1:57" x14ac:dyDescent="0.35">
      <c r="A947" s="66" t="s">
        <v>1458</v>
      </c>
      <c r="B947" s="67"/>
      <c r="C947" s="67"/>
      <c r="D947" s="68"/>
      <c r="E947" s="70"/>
      <c r="F947" s="109" t="str">
        <f>HYPERLINK("https://pbs.twimg.com/profile_images/1421507172110725130/-CEUae-9_normal.jpg")</f>
        <v>https://pbs.twimg.com/profile_images/1421507172110725130/-CEUae-9_normal.jpg</v>
      </c>
      <c r="G947" s="67"/>
      <c r="H947" s="71"/>
      <c r="I947" s="72"/>
      <c r="J947" s="72"/>
      <c r="K947" s="71" t="s">
        <v>11690</v>
      </c>
      <c r="L947" s="75"/>
      <c r="M947" s="76"/>
      <c r="N947" s="76"/>
      <c r="O947" s="77"/>
      <c r="P947" s="78"/>
      <c r="Q947" s="78"/>
      <c r="R947" s="92"/>
      <c r="S947" s="92"/>
      <c r="T947" s="92"/>
      <c r="U947" s="92"/>
      <c r="V947" s="52"/>
      <c r="W947" s="52"/>
      <c r="X947" s="52"/>
      <c r="Y947" s="52"/>
      <c r="Z947" s="51"/>
      <c r="AA947" s="73"/>
      <c r="AB947" s="73"/>
      <c r="AC947" s="74"/>
      <c r="AD947" s="80" t="s">
        <v>7511</v>
      </c>
      <c r="AE947" s="85" t="s">
        <v>8666</v>
      </c>
      <c r="AF947" s="80">
        <v>1</v>
      </c>
      <c r="AG947" s="80">
        <v>811558</v>
      </c>
      <c r="AH947" s="80">
        <v>11480</v>
      </c>
      <c r="AI947" s="80">
        <v>1641</v>
      </c>
      <c r="AJ947" s="80"/>
      <c r="AK947" s="80" t="s">
        <v>9794</v>
      </c>
      <c r="AL947" s="80" t="s">
        <v>10575</v>
      </c>
      <c r="AM947" s="87" t="str">
        <f>HYPERLINK("https://t.co/JwIQmbyMBs")</f>
        <v>https://t.co/JwIQmbyMBs</v>
      </c>
      <c r="AN947" s="80"/>
      <c r="AO947" s="82">
        <v>41242.993634259263</v>
      </c>
      <c r="AP947" s="87" t="str">
        <f>HYPERLINK("https://pbs.twimg.com/profile_banners/979392686/1606106354")</f>
        <v>https://pbs.twimg.com/profile_banners/979392686/1606106354</v>
      </c>
      <c r="AQ947" s="80" t="b">
        <v>1</v>
      </c>
      <c r="AR947" s="80" t="b">
        <v>0</v>
      </c>
      <c r="AS947" s="80" t="b">
        <v>0</v>
      </c>
      <c r="AT947" s="80"/>
      <c r="AU947" s="80">
        <v>2206</v>
      </c>
      <c r="AV947" s="87" t="str">
        <f>HYPERLINK("https://abs.twimg.com/images/themes/theme1/bg.png")</f>
        <v>https://abs.twimg.com/images/themes/theme1/bg.png</v>
      </c>
      <c r="AW947" s="80" t="b">
        <v>0</v>
      </c>
      <c r="AX947" s="80" t="s">
        <v>10746</v>
      </c>
      <c r="AY947" s="87" t="str">
        <f>HYPERLINK("https://twitter.com/txtdarionlshop")</f>
        <v>https://twitter.com/txtdarionlshop</v>
      </c>
      <c r="AZ947" s="80" t="s">
        <v>65</v>
      </c>
      <c r="BA947" s="2"/>
      <c r="BB947" s="3"/>
      <c r="BC947" s="3"/>
      <c r="BD947" s="3"/>
      <c r="BE947" s="3"/>
    </row>
    <row r="948" spans="1:57" x14ac:dyDescent="0.35">
      <c r="A948" s="66" t="s">
        <v>964</v>
      </c>
      <c r="B948" s="67"/>
      <c r="C948" s="67"/>
      <c r="D948" s="68"/>
      <c r="E948" s="70"/>
      <c r="F948" s="109" t="str">
        <f>HYPERLINK("https://pbs.twimg.com/profile_images/1439085783349039107/cuyR-Bqx_normal.jpg")</f>
        <v>https://pbs.twimg.com/profile_images/1439085783349039107/cuyR-Bqx_normal.jpg</v>
      </c>
      <c r="G948" s="67"/>
      <c r="H948" s="71"/>
      <c r="I948" s="72"/>
      <c r="J948" s="72"/>
      <c r="K948" s="71" t="s">
        <v>11691</v>
      </c>
      <c r="L948" s="75"/>
      <c r="M948" s="76"/>
      <c r="N948" s="76"/>
      <c r="O948" s="77"/>
      <c r="P948" s="78"/>
      <c r="Q948" s="78"/>
      <c r="R948" s="92"/>
      <c r="S948" s="92"/>
      <c r="T948" s="92"/>
      <c r="U948" s="92"/>
      <c r="V948" s="52"/>
      <c r="W948" s="52"/>
      <c r="X948" s="52"/>
      <c r="Y948" s="52"/>
      <c r="Z948" s="51"/>
      <c r="AA948" s="73"/>
      <c r="AB948" s="73"/>
      <c r="AC948" s="74"/>
      <c r="AD948" s="80" t="s">
        <v>7512</v>
      </c>
      <c r="AE948" s="85" t="s">
        <v>8667</v>
      </c>
      <c r="AF948" s="80">
        <v>2397</v>
      </c>
      <c r="AG948" s="80">
        <v>4261</v>
      </c>
      <c r="AH948" s="80">
        <v>49167</v>
      </c>
      <c r="AI948" s="80">
        <v>570</v>
      </c>
      <c r="AJ948" s="80"/>
      <c r="AK948" s="80" t="s">
        <v>9795</v>
      </c>
      <c r="AL948" s="80" t="s">
        <v>10159</v>
      </c>
      <c r="AM948" s="87" t="str">
        <f>HYPERLINK("https://t.co/uhCWg5xwFs")</f>
        <v>https://t.co/uhCWg5xwFs</v>
      </c>
      <c r="AN948" s="80"/>
      <c r="AO948" s="82">
        <v>43612.22210648148</v>
      </c>
      <c r="AP948" s="87" t="str">
        <f>HYPERLINK("https://pbs.twimg.com/profile_banners/1132879057761124352/1631871952")</f>
        <v>https://pbs.twimg.com/profile_banners/1132879057761124352/1631871952</v>
      </c>
      <c r="AQ948" s="80" t="b">
        <v>1</v>
      </c>
      <c r="AR948" s="80" t="b">
        <v>0</v>
      </c>
      <c r="AS948" s="80" t="b">
        <v>1</v>
      </c>
      <c r="AT948" s="80"/>
      <c r="AU948" s="80">
        <v>4</v>
      </c>
      <c r="AV948" s="80"/>
      <c r="AW948" s="80" t="b">
        <v>0</v>
      </c>
      <c r="AX948" s="80" t="s">
        <v>10746</v>
      </c>
      <c r="AY948" s="87" t="str">
        <f>HYPERLINK("https://twitter.com/mkomeliya")</f>
        <v>https://twitter.com/mkomeliya</v>
      </c>
      <c r="AZ948" s="80" t="s">
        <v>66</v>
      </c>
      <c r="BA948" s="2"/>
      <c r="BB948" s="3"/>
      <c r="BC948" s="3"/>
      <c r="BD948" s="3"/>
      <c r="BE948" s="3"/>
    </row>
    <row r="949" spans="1:57" x14ac:dyDescent="0.35">
      <c r="A949" s="66" t="s">
        <v>965</v>
      </c>
      <c r="B949" s="67"/>
      <c r="C949" s="67"/>
      <c r="D949" s="68"/>
      <c r="E949" s="70"/>
      <c r="F949" s="109" t="str">
        <f>HYPERLINK("https://pbs.twimg.com/profile_images/1404851253461413893/5c-Fgglm_normal.jpg")</f>
        <v>https://pbs.twimg.com/profile_images/1404851253461413893/5c-Fgglm_normal.jpg</v>
      </c>
      <c r="G949" s="67"/>
      <c r="H949" s="71"/>
      <c r="I949" s="72"/>
      <c r="J949" s="72"/>
      <c r="K949" s="71" t="s">
        <v>11692</v>
      </c>
      <c r="L949" s="75"/>
      <c r="M949" s="76"/>
      <c r="N949" s="76"/>
      <c r="O949" s="77"/>
      <c r="P949" s="78"/>
      <c r="Q949" s="78"/>
      <c r="R949" s="92"/>
      <c r="S949" s="92"/>
      <c r="T949" s="92"/>
      <c r="U949" s="92"/>
      <c r="V949" s="52"/>
      <c r="W949" s="52"/>
      <c r="X949" s="52"/>
      <c r="Y949" s="52"/>
      <c r="Z949" s="51"/>
      <c r="AA949" s="73"/>
      <c r="AB949" s="73"/>
      <c r="AC949" s="74"/>
      <c r="AD949" s="80" t="s">
        <v>7513</v>
      </c>
      <c r="AE949" s="85" t="s">
        <v>8668</v>
      </c>
      <c r="AF949" s="80">
        <v>961</v>
      </c>
      <c r="AG949" s="80">
        <v>159</v>
      </c>
      <c r="AH949" s="80">
        <v>74468</v>
      </c>
      <c r="AI949" s="80">
        <v>146131</v>
      </c>
      <c r="AJ949" s="80"/>
      <c r="AK949" s="80" t="s">
        <v>9796</v>
      </c>
      <c r="AL949" s="80" t="s">
        <v>10182</v>
      </c>
      <c r="AM949" s="87" t="str">
        <f>HYPERLINK("https://t.co/ln3H3DHnlF")</f>
        <v>https://t.co/ln3H3DHnlF</v>
      </c>
      <c r="AN949" s="80"/>
      <c r="AO949" s="82">
        <v>43098.714930555558</v>
      </c>
      <c r="AP949" s="87" t="str">
        <f>HYPERLINK("https://pbs.twimg.com/profile_banners/946790289657565185/1622992426")</f>
        <v>https://pbs.twimg.com/profile_banners/946790289657565185/1622992426</v>
      </c>
      <c r="AQ949" s="80" t="b">
        <v>1</v>
      </c>
      <c r="AR949" s="80" t="b">
        <v>0</v>
      </c>
      <c r="AS949" s="80" t="b">
        <v>0</v>
      </c>
      <c r="AT949" s="80"/>
      <c r="AU949" s="80">
        <v>2</v>
      </c>
      <c r="AV949" s="87" t="str">
        <f>HYPERLINK("https://abs.twimg.com/images/themes/theme1/bg.png")</f>
        <v>https://abs.twimg.com/images/themes/theme1/bg.png</v>
      </c>
      <c r="AW949" s="80" t="b">
        <v>0</v>
      </c>
      <c r="AX949" s="80" t="s">
        <v>10746</v>
      </c>
      <c r="AY949" s="87" t="str">
        <f>HYPERLINK("https://twitter.com/smolwoonie")</f>
        <v>https://twitter.com/smolwoonie</v>
      </c>
      <c r="AZ949" s="80" t="s">
        <v>66</v>
      </c>
      <c r="BA949" s="2"/>
      <c r="BB949" s="3"/>
      <c r="BC949" s="3"/>
      <c r="BD949" s="3"/>
      <c r="BE949" s="3"/>
    </row>
    <row r="950" spans="1:57" x14ac:dyDescent="0.35">
      <c r="A950" s="66" t="s">
        <v>966</v>
      </c>
      <c r="B950" s="67"/>
      <c r="C950" s="67"/>
      <c r="D950" s="68"/>
      <c r="E950" s="70"/>
      <c r="F950" s="109" t="str">
        <f>HYPERLINK("https://pbs.twimg.com/profile_images/1433461502313304066/J9wjadoE_normal.jpg")</f>
        <v>https://pbs.twimg.com/profile_images/1433461502313304066/J9wjadoE_normal.jpg</v>
      </c>
      <c r="G950" s="67"/>
      <c r="H950" s="71"/>
      <c r="I950" s="72"/>
      <c r="J950" s="72"/>
      <c r="K950" s="71" t="s">
        <v>11693</v>
      </c>
      <c r="L950" s="75"/>
      <c r="M950" s="76"/>
      <c r="N950" s="76"/>
      <c r="O950" s="77"/>
      <c r="P950" s="78"/>
      <c r="Q950" s="78"/>
      <c r="R950" s="92"/>
      <c r="S950" s="92"/>
      <c r="T950" s="92"/>
      <c r="U950" s="92"/>
      <c r="V950" s="52"/>
      <c r="W950" s="52"/>
      <c r="X950" s="52"/>
      <c r="Y950" s="52"/>
      <c r="Z950" s="51"/>
      <c r="AA950" s="73"/>
      <c r="AB950" s="73"/>
      <c r="AC950" s="74"/>
      <c r="AD950" s="80" t="s">
        <v>7514</v>
      </c>
      <c r="AE950" s="85" t="s">
        <v>8669</v>
      </c>
      <c r="AF950" s="80">
        <v>580</v>
      </c>
      <c r="AG950" s="80">
        <v>665</v>
      </c>
      <c r="AH950" s="80">
        <v>1807</v>
      </c>
      <c r="AI950" s="80">
        <v>4789</v>
      </c>
      <c r="AJ950" s="80"/>
      <c r="AK950" s="80" t="s">
        <v>9797</v>
      </c>
      <c r="AL950" s="80"/>
      <c r="AM950" s="80"/>
      <c r="AN950" s="80"/>
      <c r="AO950" s="82">
        <v>43146.093298611115</v>
      </c>
      <c r="AP950" s="87" t="str">
        <f>HYPERLINK("https://pbs.twimg.com/profile_banners/963959636473741312/1623723764")</f>
        <v>https://pbs.twimg.com/profile_banners/963959636473741312/1623723764</v>
      </c>
      <c r="AQ950" s="80" t="b">
        <v>1</v>
      </c>
      <c r="AR950" s="80" t="b">
        <v>0</v>
      </c>
      <c r="AS950" s="80" t="b">
        <v>0</v>
      </c>
      <c r="AT950" s="80"/>
      <c r="AU950" s="80">
        <v>1</v>
      </c>
      <c r="AV950" s="80"/>
      <c r="AW950" s="80" t="b">
        <v>0</v>
      </c>
      <c r="AX950" s="80" t="s">
        <v>10746</v>
      </c>
      <c r="AY950" s="87" t="str">
        <f>HYPERLINK("https://twitter.com/izzarose")</f>
        <v>https://twitter.com/izzarose</v>
      </c>
      <c r="AZ950" s="80" t="s">
        <v>66</v>
      </c>
      <c r="BA950" s="2"/>
      <c r="BB950" s="3"/>
      <c r="BC950" s="3"/>
      <c r="BD950" s="3"/>
      <c r="BE950" s="3"/>
    </row>
    <row r="951" spans="1:57" x14ac:dyDescent="0.35">
      <c r="A951" s="66" t="s">
        <v>967</v>
      </c>
      <c r="B951" s="67"/>
      <c r="C951" s="67"/>
      <c r="D951" s="68"/>
      <c r="E951" s="70"/>
      <c r="F951" s="109" t="str">
        <f>HYPERLINK("https://pbs.twimg.com/profile_images/1256186660489965573/wOGdjLLY_normal.jpg")</f>
        <v>https://pbs.twimg.com/profile_images/1256186660489965573/wOGdjLLY_normal.jpg</v>
      </c>
      <c r="G951" s="67"/>
      <c r="H951" s="71"/>
      <c r="I951" s="72"/>
      <c r="J951" s="72"/>
      <c r="K951" s="71" t="s">
        <v>11694</v>
      </c>
      <c r="L951" s="75"/>
      <c r="M951" s="76"/>
      <c r="N951" s="76"/>
      <c r="O951" s="77"/>
      <c r="P951" s="78"/>
      <c r="Q951" s="78"/>
      <c r="R951" s="92"/>
      <c r="S951" s="92"/>
      <c r="T951" s="92"/>
      <c r="U951" s="92"/>
      <c r="V951" s="52"/>
      <c r="W951" s="52"/>
      <c r="X951" s="52"/>
      <c r="Y951" s="52"/>
      <c r="Z951" s="51"/>
      <c r="AA951" s="73"/>
      <c r="AB951" s="73"/>
      <c r="AC951" s="74"/>
      <c r="AD951" s="80" t="s">
        <v>7515</v>
      </c>
      <c r="AE951" s="85" t="s">
        <v>8670</v>
      </c>
      <c r="AF951" s="80">
        <v>100</v>
      </c>
      <c r="AG951" s="80">
        <v>239</v>
      </c>
      <c r="AH951" s="80">
        <v>6976</v>
      </c>
      <c r="AI951" s="80">
        <v>133</v>
      </c>
      <c r="AJ951" s="80"/>
      <c r="AK951" s="80"/>
      <c r="AL951" s="80" t="s">
        <v>10576</v>
      </c>
      <c r="AM951" s="87" t="str">
        <f>HYPERLINK("https://t.co/9s4e2FMvjC")</f>
        <v>https://t.co/9s4e2FMvjC</v>
      </c>
      <c r="AN951" s="80"/>
      <c r="AO951" s="82">
        <v>41147.300555555557</v>
      </c>
      <c r="AP951" s="80"/>
      <c r="AQ951" s="80" t="b">
        <v>0</v>
      </c>
      <c r="AR951" s="80" t="b">
        <v>0</v>
      </c>
      <c r="AS951" s="80" t="b">
        <v>1</v>
      </c>
      <c r="AT951" s="80"/>
      <c r="AU951" s="80">
        <v>1</v>
      </c>
      <c r="AV951" s="87" t="str">
        <f>HYPERLINK("https://abs.twimg.com/images/themes/theme1/bg.png")</f>
        <v>https://abs.twimg.com/images/themes/theme1/bg.png</v>
      </c>
      <c r="AW951" s="80" t="b">
        <v>0</v>
      </c>
      <c r="AX951" s="80" t="s">
        <v>10746</v>
      </c>
      <c r="AY951" s="87" t="str">
        <f>HYPERLINK("https://twitter.com/ndanaaaaaa")</f>
        <v>https://twitter.com/ndanaaaaaa</v>
      </c>
      <c r="AZ951" s="80" t="s">
        <v>66</v>
      </c>
      <c r="BA951" s="2"/>
      <c r="BB951" s="3"/>
      <c r="BC951" s="3"/>
      <c r="BD951" s="3"/>
      <c r="BE951" s="3"/>
    </row>
    <row r="952" spans="1:57" x14ac:dyDescent="0.35">
      <c r="A952" s="66" t="s">
        <v>968</v>
      </c>
      <c r="B952" s="67"/>
      <c r="C952" s="67"/>
      <c r="D952" s="68"/>
      <c r="E952" s="70"/>
      <c r="F952" s="109" t="str">
        <f>HYPERLINK("https://pbs.twimg.com/profile_images/1286265256327569408/Vy1XmTKq_normal.jpg")</f>
        <v>https://pbs.twimg.com/profile_images/1286265256327569408/Vy1XmTKq_normal.jpg</v>
      </c>
      <c r="G952" s="67"/>
      <c r="H952" s="71"/>
      <c r="I952" s="72"/>
      <c r="J952" s="72"/>
      <c r="K952" s="71" t="s">
        <v>11695</v>
      </c>
      <c r="L952" s="75"/>
      <c r="M952" s="76"/>
      <c r="N952" s="76"/>
      <c r="O952" s="77"/>
      <c r="P952" s="78"/>
      <c r="Q952" s="78"/>
      <c r="R952" s="92"/>
      <c r="S952" s="92"/>
      <c r="T952" s="92"/>
      <c r="U952" s="92"/>
      <c r="V952" s="52"/>
      <c r="W952" s="52"/>
      <c r="X952" s="52"/>
      <c r="Y952" s="52"/>
      <c r="Z952" s="51"/>
      <c r="AA952" s="73"/>
      <c r="AB952" s="73"/>
      <c r="AC952" s="74"/>
      <c r="AD952" s="80" t="s">
        <v>7516</v>
      </c>
      <c r="AE952" s="85" t="s">
        <v>8671</v>
      </c>
      <c r="AF952" s="80">
        <v>247</v>
      </c>
      <c r="AG952" s="80">
        <v>640</v>
      </c>
      <c r="AH952" s="80">
        <v>26455</v>
      </c>
      <c r="AI952" s="80">
        <v>7109</v>
      </c>
      <c r="AJ952" s="80"/>
      <c r="AK952" s="80" t="s">
        <v>9798</v>
      </c>
      <c r="AL952" s="80"/>
      <c r="AM952" s="87" t="str">
        <f>HYPERLINK("https://t.co/R0tV6a0ioI")</f>
        <v>https://t.co/R0tV6a0ioI</v>
      </c>
      <c r="AN952" s="80"/>
      <c r="AO952" s="82">
        <v>41103.691342592596</v>
      </c>
      <c r="AP952" s="80"/>
      <c r="AQ952" s="80" t="b">
        <v>0</v>
      </c>
      <c r="AR952" s="80" t="b">
        <v>0</v>
      </c>
      <c r="AS952" s="80" t="b">
        <v>1</v>
      </c>
      <c r="AT952" s="80"/>
      <c r="AU952" s="80">
        <v>1</v>
      </c>
      <c r="AV952" s="87" t="str">
        <f>HYPERLINK("https://abs.twimg.com/images/themes/theme13/bg.gif")</f>
        <v>https://abs.twimg.com/images/themes/theme13/bg.gif</v>
      </c>
      <c r="AW952" s="80" t="b">
        <v>0</v>
      </c>
      <c r="AX952" s="80" t="s">
        <v>10746</v>
      </c>
      <c r="AY952" s="87" t="str">
        <f>HYPERLINK("https://twitter.com/cxlendulx")</f>
        <v>https://twitter.com/cxlendulx</v>
      </c>
      <c r="AZ952" s="80" t="s">
        <v>66</v>
      </c>
      <c r="BA952" s="2"/>
      <c r="BB952" s="3"/>
      <c r="BC952" s="3"/>
      <c r="BD952" s="3"/>
      <c r="BE952" s="3"/>
    </row>
    <row r="953" spans="1:57" x14ac:dyDescent="0.35">
      <c r="A953" s="66" t="s">
        <v>1459</v>
      </c>
      <c r="B953" s="67"/>
      <c r="C953" s="67"/>
      <c r="D953" s="68"/>
      <c r="E953" s="70"/>
      <c r="F953" s="109" t="str">
        <f>HYPERLINK("https://pbs.twimg.com/profile_images/1374700038304174084/nWd5wgIy_normal.jpg")</f>
        <v>https://pbs.twimg.com/profile_images/1374700038304174084/nWd5wgIy_normal.jpg</v>
      </c>
      <c r="G953" s="67"/>
      <c r="H953" s="71"/>
      <c r="I953" s="72"/>
      <c r="J953" s="72"/>
      <c r="K953" s="71" t="s">
        <v>11696</v>
      </c>
      <c r="L953" s="75"/>
      <c r="M953" s="76"/>
      <c r="N953" s="76"/>
      <c r="O953" s="77"/>
      <c r="P953" s="78"/>
      <c r="Q953" s="78"/>
      <c r="R953" s="92"/>
      <c r="S953" s="92"/>
      <c r="T953" s="92"/>
      <c r="U953" s="92"/>
      <c r="V953" s="52"/>
      <c r="W953" s="52"/>
      <c r="X953" s="52"/>
      <c r="Y953" s="52"/>
      <c r="Z953" s="51"/>
      <c r="AA953" s="73"/>
      <c r="AB953" s="73"/>
      <c r="AC953" s="74"/>
      <c r="AD953" s="80" t="s">
        <v>7517</v>
      </c>
      <c r="AE953" s="85" t="s">
        <v>6391</v>
      </c>
      <c r="AF953" s="80">
        <v>281</v>
      </c>
      <c r="AG953" s="80">
        <v>472</v>
      </c>
      <c r="AH953" s="80">
        <v>1704</v>
      </c>
      <c r="AI953" s="80">
        <v>117</v>
      </c>
      <c r="AJ953" s="80"/>
      <c r="AK953" s="80" t="s">
        <v>9799</v>
      </c>
      <c r="AL953" s="80"/>
      <c r="AM953" s="80"/>
      <c r="AN953" s="80"/>
      <c r="AO953" s="82">
        <v>41372.293252314812</v>
      </c>
      <c r="AP953" s="87" t="str">
        <f>HYPERLINK("https://pbs.twimg.com/profile_banners/1335929088/1629091145")</f>
        <v>https://pbs.twimg.com/profile_banners/1335929088/1629091145</v>
      </c>
      <c r="AQ953" s="80" t="b">
        <v>0</v>
      </c>
      <c r="AR953" s="80" t="b">
        <v>0</v>
      </c>
      <c r="AS953" s="80" t="b">
        <v>1</v>
      </c>
      <c r="AT953" s="80"/>
      <c r="AU953" s="80">
        <v>0</v>
      </c>
      <c r="AV953" s="87" t="str">
        <f>HYPERLINK("https://abs.twimg.com/images/themes/theme5/bg.gif")</f>
        <v>https://abs.twimg.com/images/themes/theme5/bg.gif</v>
      </c>
      <c r="AW953" s="80" t="b">
        <v>0</v>
      </c>
      <c r="AX953" s="80" t="s">
        <v>10746</v>
      </c>
      <c r="AY953" s="87" t="str">
        <f>HYPERLINK("https://twitter.com/anlmsraa")</f>
        <v>https://twitter.com/anlmsraa</v>
      </c>
      <c r="AZ953" s="80" t="s">
        <v>65</v>
      </c>
      <c r="BA953" s="2"/>
      <c r="BB953" s="3"/>
      <c r="BC953" s="3"/>
      <c r="BD953" s="3"/>
      <c r="BE953" s="3"/>
    </row>
    <row r="954" spans="1:57" x14ac:dyDescent="0.35">
      <c r="A954" s="66" t="s">
        <v>969</v>
      </c>
      <c r="B954" s="67"/>
      <c r="C954" s="67"/>
      <c r="D954" s="68"/>
      <c r="E954" s="70"/>
      <c r="F954" s="109" t="str">
        <f>HYPERLINK("https://pbs.twimg.com/profile_images/1290577090010419200/7khW0PER_normal.jpg")</f>
        <v>https://pbs.twimg.com/profile_images/1290577090010419200/7khW0PER_normal.jpg</v>
      </c>
      <c r="G954" s="67"/>
      <c r="H954" s="71"/>
      <c r="I954" s="72"/>
      <c r="J954" s="72"/>
      <c r="K954" s="71" t="s">
        <v>11697</v>
      </c>
      <c r="L954" s="75"/>
      <c r="M954" s="76"/>
      <c r="N954" s="76"/>
      <c r="O954" s="77"/>
      <c r="P954" s="78"/>
      <c r="Q954" s="78"/>
      <c r="R954" s="92"/>
      <c r="S954" s="92"/>
      <c r="T954" s="92"/>
      <c r="U954" s="92"/>
      <c r="V954" s="52"/>
      <c r="W954" s="52"/>
      <c r="X954" s="52"/>
      <c r="Y954" s="52"/>
      <c r="Z954" s="51"/>
      <c r="AA954" s="73"/>
      <c r="AB954" s="73"/>
      <c r="AC954" s="74"/>
      <c r="AD954" s="80" t="s">
        <v>2632</v>
      </c>
      <c r="AE954" s="85" t="s">
        <v>8672</v>
      </c>
      <c r="AF954" s="80">
        <v>664</v>
      </c>
      <c r="AG954" s="80">
        <v>144</v>
      </c>
      <c r="AH954" s="80">
        <v>967</v>
      </c>
      <c r="AI954" s="80">
        <v>23</v>
      </c>
      <c r="AJ954" s="80"/>
      <c r="AK954" s="80" t="s">
        <v>9800</v>
      </c>
      <c r="AL954" s="80"/>
      <c r="AM954" s="87" t="str">
        <f>HYPERLINK("https://t.co/Ay2c4FyF08")</f>
        <v>https://t.co/Ay2c4FyF08</v>
      </c>
      <c r="AN954" s="80"/>
      <c r="AO954" s="82">
        <v>44035.179872685185</v>
      </c>
      <c r="AP954" s="87" t="str">
        <f>HYPERLINK("https://pbs.twimg.com/profile_banners/1286153201578778625/1598189086")</f>
        <v>https://pbs.twimg.com/profile_banners/1286153201578778625/1598189086</v>
      </c>
      <c r="AQ954" s="80" t="b">
        <v>1</v>
      </c>
      <c r="AR954" s="80" t="b">
        <v>0</v>
      </c>
      <c r="AS954" s="80" t="b">
        <v>0</v>
      </c>
      <c r="AT954" s="80"/>
      <c r="AU954" s="80">
        <v>0</v>
      </c>
      <c r="AV954" s="80"/>
      <c r="AW954" s="80" t="b">
        <v>0</v>
      </c>
      <c r="AX954" s="80" t="s">
        <v>10746</v>
      </c>
      <c r="AY954" s="87" t="str">
        <f>HYPERLINK("https://twitter.com/bandungnewsid")</f>
        <v>https://twitter.com/bandungnewsid</v>
      </c>
      <c r="AZ954" s="80" t="s">
        <v>66</v>
      </c>
      <c r="BA954" s="2"/>
      <c r="BB954" s="3"/>
      <c r="BC954" s="3"/>
      <c r="BD954" s="3"/>
      <c r="BE954" s="3"/>
    </row>
    <row r="955" spans="1:57" x14ac:dyDescent="0.35">
      <c r="A955" s="66" t="s">
        <v>970</v>
      </c>
      <c r="B955" s="67"/>
      <c r="C955" s="67"/>
      <c r="D955" s="68"/>
      <c r="E955" s="70"/>
      <c r="F955" s="109" t="str">
        <f>HYPERLINK("https://pbs.twimg.com/profile_images/1230469523842707456/1nqEZvCp_normal.jpg")</f>
        <v>https://pbs.twimg.com/profile_images/1230469523842707456/1nqEZvCp_normal.jpg</v>
      </c>
      <c r="G955" s="67"/>
      <c r="H955" s="71"/>
      <c r="I955" s="72"/>
      <c r="J955" s="72"/>
      <c r="K955" s="71" t="s">
        <v>11698</v>
      </c>
      <c r="L955" s="75"/>
      <c r="M955" s="76"/>
      <c r="N955" s="76"/>
      <c r="O955" s="77"/>
      <c r="P955" s="78"/>
      <c r="Q955" s="78"/>
      <c r="R955" s="92"/>
      <c r="S955" s="92"/>
      <c r="T955" s="92"/>
      <c r="U955" s="92"/>
      <c r="V955" s="52"/>
      <c r="W955" s="52"/>
      <c r="X955" s="52"/>
      <c r="Y955" s="52"/>
      <c r="Z955" s="51"/>
      <c r="AA955" s="73"/>
      <c r="AB955" s="73"/>
      <c r="AC955" s="74"/>
      <c r="AD955" s="80" t="s">
        <v>7518</v>
      </c>
      <c r="AE955" s="85" t="s">
        <v>8673</v>
      </c>
      <c r="AF955" s="80">
        <v>52</v>
      </c>
      <c r="AG955" s="80">
        <v>1641309</v>
      </c>
      <c r="AH955" s="80">
        <v>1719048</v>
      </c>
      <c r="AI955" s="80">
        <v>1024</v>
      </c>
      <c r="AJ955" s="80"/>
      <c r="AK955" s="80" t="s">
        <v>9801</v>
      </c>
      <c r="AL955" s="80" t="s">
        <v>10139</v>
      </c>
      <c r="AM955" s="87" t="str">
        <f>HYPERLINK("https://t.co/La76PKicQX")</f>
        <v>https://t.co/La76PKicQX</v>
      </c>
      <c r="AN955" s="80"/>
      <c r="AO955" s="82">
        <v>39871.430902777778</v>
      </c>
      <c r="AP955" s="87" t="str">
        <f>HYPERLINK("https://pbs.twimg.com/profile_banners/22126902/1627627906")</f>
        <v>https://pbs.twimg.com/profile_banners/22126902/1627627906</v>
      </c>
      <c r="AQ955" s="80" t="b">
        <v>0</v>
      </c>
      <c r="AR955" s="80" t="b">
        <v>0</v>
      </c>
      <c r="AS955" s="80" t="b">
        <v>1</v>
      </c>
      <c r="AT955" s="80"/>
      <c r="AU955" s="80">
        <v>2980</v>
      </c>
      <c r="AV955" s="87" t="str">
        <f>HYPERLINK("https://abs.twimg.com/images/themes/theme1/bg.png")</f>
        <v>https://abs.twimg.com/images/themes/theme1/bg.png</v>
      </c>
      <c r="AW955" s="80" t="b">
        <v>1</v>
      </c>
      <c r="AX955" s="80" t="s">
        <v>10746</v>
      </c>
      <c r="AY955" s="87" t="str">
        <f>HYPERLINK("https://twitter.com/republikaonline")</f>
        <v>https://twitter.com/republikaonline</v>
      </c>
      <c r="AZ955" s="80" t="s">
        <v>66</v>
      </c>
      <c r="BA955" s="2"/>
      <c r="BB955" s="3"/>
      <c r="BC955" s="3"/>
      <c r="BD955" s="3"/>
      <c r="BE955" s="3"/>
    </row>
    <row r="956" spans="1:57" x14ac:dyDescent="0.35">
      <c r="A956" s="66" t="s">
        <v>971</v>
      </c>
      <c r="B956" s="67"/>
      <c r="C956" s="67"/>
      <c r="D956" s="68"/>
      <c r="E956" s="70"/>
      <c r="F956" s="109" t="str">
        <f>HYPERLINK("https://pbs.twimg.com/profile_images/1419278652160708611/N-9Jru4z_normal.jpg")</f>
        <v>https://pbs.twimg.com/profile_images/1419278652160708611/N-9Jru4z_normal.jpg</v>
      </c>
      <c r="G956" s="67"/>
      <c r="H956" s="71"/>
      <c r="I956" s="72"/>
      <c r="J956" s="72"/>
      <c r="K956" s="71" t="s">
        <v>11699</v>
      </c>
      <c r="L956" s="75"/>
      <c r="M956" s="76"/>
      <c r="N956" s="76"/>
      <c r="O956" s="77"/>
      <c r="P956" s="78"/>
      <c r="Q956" s="78"/>
      <c r="R956" s="92"/>
      <c r="S956" s="92"/>
      <c r="T956" s="92"/>
      <c r="U956" s="92"/>
      <c r="V956" s="52"/>
      <c r="W956" s="52"/>
      <c r="X956" s="52"/>
      <c r="Y956" s="52"/>
      <c r="Z956" s="51"/>
      <c r="AA956" s="73"/>
      <c r="AB956" s="73"/>
      <c r="AC956" s="74"/>
      <c r="AD956" s="80" t="s">
        <v>7519</v>
      </c>
      <c r="AE956" s="85" t="s">
        <v>8674</v>
      </c>
      <c r="AF956" s="80">
        <v>2210</v>
      </c>
      <c r="AG956" s="80">
        <v>1041</v>
      </c>
      <c r="AH956" s="80">
        <v>41238</v>
      </c>
      <c r="AI956" s="80">
        <v>51141</v>
      </c>
      <c r="AJ956" s="80"/>
      <c r="AK956" s="80" t="s">
        <v>9802</v>
      </c>
      <c r="AL956" s="80" t="s">
        <v>10577</v>
      </c>
      <c r="AM956" s="80"/>
      <c r="AN956" s="80"/>
      <c r="AO956" s="82">
        <v>44346.127349537041</v>
      </c>
      <c r="AP956" s="87" t="str">
        <f>HYPERLINK("https://pbs.twimg.com/profile_banners/1398837359790022660/1627055992")</f>
        <v>https://pbs.twimg.com/profile_banners/1398837359790022660/1627055992</v>
      </c>
      <c r="AQ956" s="80" t="b">
        <v>1</v>
      </c>
      <c r="AR956" s="80" t="b">
        <v>0</v>
      </c>
      <c r="AS956" s="80" t="b">
        <v>0</v>
      </c>
      <c r="AT956" s="80"/>
      <c r="AU956" s="80">
        <v>0</v>
      </c>
      <c r="AV956" s="80"/>
      <c r="AW956" s="80" t="b">
        <v>0</v>
      </c>
      <c r="AX956" s="80" t="s">
        <v>10746</v>
      </c>
      <c r="AY956" s="87" t="str">
        <f>HYPERLINK("https://twitter.com/bunnedu")</f>
        <v>https://twitter.com/bunnedu</v>
      </c>
      <c r="AZ956" s="80" t="s">
        <v>66</v>
      </c>
      <c r="BA956" s="2"/>
      <c r="BB956" s="3"/>
      <c r="BC956" s="3"/>
      <c r="BD956" s="3"/>
      <c r="BE956" s="3"/>
    </row>
    <row r="957" spans="1:57" x14ac:dyDescent="0.35">
      <c r="A957" s="66" t="s">
        <v>972</v>
      </c>
      <c r="B957" s="67"/>
      <c r="C957" s="67"/>
      <c r="D957" s="68"/>
      <c r="E957" s="70"/>
      <c r="F957" s="109" t="str">
        <f>HYPERLINK("https://pbs.twimg.com/profile_images/1425728456302624773/60TXrYzb_normal.jpg")</f>
        <v>https://pbs.twimg.com/profile_images/1425728456302624773/60TXrYzb_normal.jpg</v>
      </c>
      <c r="G957" s="67"/>
      <c r="H957" s="71"/>
      <c r="I957" s="72"/>
      <c r="J957" s="72"/>
      <c r="K957" s="71" t="s">
        <v>11700</v>
      </c>
      <c r="L957" s="75"/>
      <c r="M957" s="76"/>
      <c r="N957" s="76"/>
      <c r="O957" s="77"/>
      <c r="P957" s="78"/>
      <c r="Q957" s="78"/>
      <c r="R957" s="92"/>
      <c r="S957" s="92"/>
      <c r="T957" s="92"/>
      <c r="U957" s="92"/>
      <c r="V957" s="52"/>
      <c r="W957" s="52"/>
      <c r="X957" s="52"/>
      <c r="Y957" s="52"/>
      <c r="Z957" s="51"/>
      <c r="AA957" s="73"/>
      <c r="AB957" s="73"/>
      <c r="AC957" s="74"/>
      <c r="AD957" s="80" t="s">
        <v>7520</v>
      </c>
      <c r="AE957" s="85" t="s">
        <v>8675</v>
      </c>
      <c r="AF957" s="80">
        <v>223</v>
      </c>
      <c r="AG957" s="80">
        <v>209</v>
      </c>
      <c r="AH957" s="80">
        <v>25031</v>
      </c>
      <c r="AI957" s="80">
        <v>13036</v>
      </c>
      <c r="AJ957" s="80"/>
      <c r="AK957" s="80" t="s">
        <v>9803</v>
      </c>
      <c r="AL957" s="80"/>
      <c r="AM957" s="87" t="str">
        <f>HYPERLINK("https://t.co/cSD123Pte6")</f>
        <v>https://t.co/cSD123Pte6</v>
      </c>
      <c r="AN957" s="80"/>
      <c r="AO957" s="82">
        <v>41384.091400462959</v>
      </c>
      <c r="AP957" s="87" t="str">
        <f>HYPERLINK("https://pbs.twimg.com/profile_banners/1365928519/1620377386")</f>
        <v>https://pbs.twimg.com/profile_banners/1365928519/1620377386</v>
      </c>
      <c r="AQ957" s="80" t="b">
        <v>0</v>
      </c>
      <c r="AR957" s="80" t="b">
        <v>0</v>
      </c>
      <c r="AS957" s="80" t="b">
        <v>1</v>
      </c>
      <c r="AT957" s="80"/>
      <c r="AU957" s="80">
        <v>3</v>
      </c>
      <c r="AV957" s="87" t="str">
        <f>HYPERLINK("https://abs.twimg.com/images/themes/theme1/bg.png")</f>
        <v>https://abs.twimg.com/images/themes/theme1/bg.png</v>
      </c>
      <c r="AW957" s="80" t="b">
        <v>0</v>
      </c>
      <c r="AX957" s="80" t="s">
        <v>10746</v>
      </c>
      <c r="AY957" s="87" t="str">
        <f>HYPERLINK("https://twitter.com/allif33")</f>
        <v>https://twitter.com/allif33</v>
      </c>
      <c r="AZ957" s="80" t="s">
        <v>66</v>
      </c>
      <c r="BA957" s="2"/>
      <c r="BB957" s="3"/>
      <c r="BC957" s="3"/>
      <c r="BD957" s="3"/>
      <c r="BE957" s="3"/>
    </row>
    <row r="958" spans="1:57" x14ac:dyDescent="0.35">
      <c r="A958" s="66" t="s">
        <v>973</v>
      </c>
      <c r="B958" s="67"/>
      <c r="C958" s="67"/>
      <c r="D958" s="68"/>
      <c r="E958" s="70"/>
      <c r="F958" s="109" t="str">
        <f>HYPERLINK("https://pbs.twimg.com/profile_images/1416024357441212418/qo9f5NgH_normal.jpg")</f>
        <v>https://pbs.twimg.com/profile_images/1416024357441212418/qo9f5NgH_normal.jpg</v>
      </c>
      <c r="G958" s="67"/>
      <c r="H958" s="71"/>
      <c r="I958" s="72"/>
      <c r="J958" s="72"/>
      <c r="K958" s="71" t="s">
        <v>11701</v>
      </c>
      <c r="L958" s="75"/>
      <c r="M958" s="76"/>
      <c r="N958" s="76"/>
      <c r="O958" s="77"/>
      <c r="P958" s="78"/>
      <c r="Q958" s="78"/>
      <c r="R958" s="92"/>
      <c r="S958" s="92"/>
      <c r="T958" s="92"/>
      <c r="U958" s="92"/>
      <c r="V958" s="52"/>
      <c r="W958" s="52"/>
      <c r="X958" s="52"/>
      <c r="Y958" s="52"/>
      <c r="Z958" s="51"/>
      <c r="AA958" s="73"/>
      <c r="AB958" s="73"/>
      <c r="AC958" s="74"/>
      <c r="AD958" s="80" t="s">
        <v>7521</v>
      </c>
      <c r="AE958" s="85" t="s">
        <v>8676</v>
      </c>
      <c r="AF958" s="80">
        <v>394</v>
      </c>
      <c r="AG958" s="80">
        <v>222</v>
      </c>
      <c r="AH958" s="80">
        <v>46169</v>
      </c>
      <c r="AI958" s="80">
        <v>3406</v>
      </c>
      <c r="AJ958" s="80"/>
      <c r="AK958" s="80" t="s">
        <v>9804</v>
      </c>
      <c r="AL958" s="80" t="s">
        <v>10578</v>
      </c>
      <c r="AM958" s="80"/>
      <c r="AN958" s="80"/>
      <c r="AO958" s="82">
        <v>40418.180509259262</v>
      </c>
      <c r="AP958" s="80"/>
      <c r="AQ958" s="80" t="b">
        <v>0</v>
      </c>
      <c r="AR958" s="80" t="b">
        <v>0</v>
      </c>
      <c r="AS958" s="80" t="b">
        <v>0</v>
      </c>
      <c r="AT958" s="80"/>
      <c r="AU958" s="80">
        <v>5</v>
      </c>
      <c r="AV958" s="87" t="str">
        <f>HYPERLINK("https://abs.twimg.com/images/themes/theme14/bg.gif")</f>
        <v>https://abs.twimg.com/images/themes/theme14/bg.gif</v>
      </c>
      <c r="AW958" s="80" t="b">
        <v>0</v>
      </c>
      <c r="AX958" s="80" t="s">
        <v>10746</v>
      </c>
      <c r="AY958" s="87" t="str">
        <f>HYPERLINK("https://twitter.com/drjoealexander")</f>
        <v>https://twitter.com/drjoealexander</v>
      </c>
      <c r="AZ958" s="80" t="s">
        <v>66</v>
      </c>
      <c r="BA958" s="2"/>
      <c r="BB958" s="3"/>
      <c r="BC958" s="3"/>
      <c r="BD958" s="3"/>
      <c r="BE958" s="3"/>
    </row>
    <row r="959" spans="1:57" x14ac:dyDescent="0.35">
      <c r="A959" s="66" t="s">
        <v>974</v>
      </c>
      <c r="B959" s="67"/>
      <c r="C959" s="67"/>
      <c r="D959" s="68"/>
      <c r="E959" s="70"/>
      <c r="F959" s="109" t="str">
        <f>HYPERLINK("https://pbs.twimg.com/profile_images/1427791685388435456/HmFH2YqC_normal.jpg")</f>
        <v>https://pbs.twimg.com/profile_images/1427791685388435456/HmFH2YqC_normal.jpg</v>
      </c>
      <c r="G959" s="67"/>
      <c r="H959" s="71"/>
      <c r="I959" s="72"/>
      <c r="J959" s="72"/>
      <c r="K959" s="71" t="s">
        <v>11702</v>
      </c>
      <c r="L959" s="75"/>
      <c r="M959" s="76"/>
      <c r="N959" s="76"/>
      <c r="O959" s="77"/>
      <c r="P959" s="78"/>
      <c r="Q959" s="78"/>
      <c r="R959" s="92"/>
      <c r="S959" s="92"/>
      <c r="T959" s="92"/>
      <c r="U959" s="92"/>
      <c r="V959" s="52"/>
      <c r="W959" s="52"/>
      <c r="X959" s="52"/>
      <c r="Y959" s="52"/>
      <c r="Z959" s="51"/>
      <c r="AA959" s="73"/>
      <c r="AB959" s="73"/>
      <c r="AC959" s="74"/>
      <c r="AD959" s="80" t="s">
        <v>6744</v>
      </c>
      <c r="AE959" s="85" t="s">
        <v>8677</v>
      </c>
      <c r="AF959" s="80">
        <v>219</v>
      </c>
      <c r="AG959" s="80">
        <v>111</v>
      </c>
      <c r="AH959" s="80">
        <v>1216</v>
      </c>
      <c r="AI959" s="80">
        <v>3966</v>
      </c>
      <c r="AJ959" s="80"/>
      <c r="AK959" s="80" t="s">
        <v>9805</v>
      </c>
      <c r="AL959" s="80" t="s">
        <v>10579</v>
      </c>
      <c r="AM959" s="80"/>
      <c r="AN959" s="80"/>
      <c r="AO959" s="82">
        <v>43765.038275462961</v>
      </c>
      <c r="AP959" s="87" t="str">
        <f>HYPERLINK("https://pbs.twimg.com/profile_banners/1188257728050810881/1620235771")</f>
        <v>https://pbs.twimg.com/profile_banners/1188257728050810881/1620235771</v>
      </c>
      <c r="AQ959" s="80" t="b">
        <v>1</v>
      </c>
      <c r="AR959" s="80" t="b">
        <v>0</v>
      </c>
      <c r="AS959" s="80" t="b">
        <v>0</v>
      </c>
      <c r="AT959" s="80"/>
      <c r="AU959" s="80">
        <v>0</v>
      </c>
      <c r="AV959" s="80"/>
      <c r="AW959" s="80" t="b">
        <v>0</v>
      </c>
      <c r="AX959" s="80" t="s">
        <v>10746</v>
      </c>
      <c r="AY959" s="87" t="str">
        <f>HYPERLINK("https://twitter.com/cringeunicorn_")</f>
        <v>https://twitter.com/cringeunicorn_</v>
      </c>
      <c r="AZ959" s="80" t="s">
        <v>66</v>
      </c>
      <c r="BA959" s="2"/>
      <c r="BB959" s="3"/>
      <c r="BC959" s="3"/>
      <c r="BD959" s="3"/>
      <c r="BE959" s="3"/>
    </row>
    <row r="960" spans="1:57" x14ac:dyDescent="0.35">
      <c r="A960" s="66" t="s">
        <v>1460</v>
      </c>
      <c r="B960" s="67"/>
      <c r="C960" s="67"/>
      <c r="D960" s="68"/>
      <c r="E960" s="70"/>
      <c r="F960" s="109" t="str">
        <f>HYPERLINK("https://pbs.twimg.com/profile_images/1437218592399917056/ZVsc_BKi_normal.jpg")</f>
        <v>https://pbs.twimg.com/profile_images/1437218592399917056/ZVsc_BKi_normal.jpg</v>
      </c>
      <c r="G960" s="67"/>
      <c r="H960" s="71"/>
      <c r="I960" s="72"/>
      <c r="J960" s="72"/>
      <c r="K960" s="71" t="s">
        <v>11703</v>
      </c>
      <c r="L960" s="75"/>
      <c r="M960" s="76"/>
      <c r="N960" s="76"/>
      <c r="O960" s="77"/>
      <c r="P960" s="78"/>
      <c r="Q960" s="78"/>
      <c r="R960" s="92"/>
      <c r="S960" s="92"/>
      <c r="T960" s="92"/>
      <c r="U960" s="92"/>
      <c r="V960" s="52"/>
      <c r="W960" s="52"/>
      <c r="X960" s="52"/>
      <c r="Y960" s="52"/>
      <c r="Z960" s="51"/>
      <c r="AA960" s="73"/>
      <c r="AB960" s="73"/>
      <c r="AC960" s="74"/>
      <c r="AD960" s="80" t="s">
        <v>7522</v>
      </c>
      <c r="AE960" s="85" t="s">
        <v>6392</v>
      </c>
      <c r="AF960" s="80">
        <v>209</v>
      </c>
      <c r="AG960" s="80">
        <v>219</v>
      </c>
      <c r="AH960" s="80">
        <v>2560</v>
      </c>
      <c r="AI960" s="80">
        <v>9813</v>
      </c>
      <c r="AJ960" s="80"/>
      <c r="AK960" s="80" t="s">
        <v>9806</v>
      </c>
      <c r="AL960" s="80" t="s">
        <v>10580</v>
      </c>
      <c r="AM960" s="80"/>
      <c r="AN960" s="80"/>
      <c r="AO960" s="82">
        <v>43371.613541666666</v>
      </c>
      <c r="AP960" s="87" t="str">
        <f>HYPERLINK("https://pbs.twimg.com/profile_banners/1045685436847284225/1616142238")</f>
        <v>https://pbs.twimg.com/profile_banners/1045685436847284225/1616142238</v>
      </c>
      <c r="AQ960" s="80" t="b">
        <v>1</v>
      </c>
      <c r="AR960" s="80" t="b">
        <v>0</v>
      </c>
      <c r="AS960" s="80" t="b">
        <v>0</v>
      </c>
      <c r="AT960" s="80"/>
      <c r="AU960" s="80">
        <v>0</v>
      </c>
      <c r="AV960" s="80"/>
      <c r="AW960" s="80" t="b">
        <v>0</v>
      </c>
      <c r="AX960" s="80" t="s">
        <v>10746</v>
      </c>
      <c r="AY960" s="87" t="str">
        <f>HYPERLINK("https://twitter.com/ruangaleeya")</f>
        <v>https://twitter.com/ruangaleeya</v>
      </c>
      <c r="AZ960" s="80" t="s">
        <v>65</v>
      </c>
      <c r="BA960" s="2"/>
      <c r="BB960" s="3"/>
      <c r="BC960" s="3"/>
      <c r="BD960" s="3"/>
      <c r="BE960" s="3"/>
    </row>
    <row r="961" spans="1:57" x14ac:dyDescent="0.35">
      <c r="A961" s="66" t="s">
        <v>975</v>
      </c>
      <c r="B961" s="67"/>
      <c r="C961" s="67"/>
      <c r="D961" s="68"/>
      <c r="E961" s="70"/>
      <c r="F961" s="109" t="str">
        <f>HYPERLINK("https://pbs.twimg.com/profile_images/1441387946834161670/Pload_JQ_normal.jpg")</f>
        <v>https://pbs.twimg.com/profile_images/1441387946834161670/Pload_JQ_normal.jpg</v>
      </c>
      <c r="G961" s="67"/>
      <c r="H961" s="71"/>
      <c r="I961" s="72"/>
      <c r="J961" s="72"/>
      <c r="K961" s="71" t="s">
        <v>11704</v>
      </c>
      <c r="L961" s="75"/>
      <c r="M961" s="76"/>
      <c r="N961" s="76"/>
      <c r="O961" s="77"/>
      <c r="P961" s="78"/>
      <c r="Q961" s="78"/>
      <c r="R961" s="92"/>
      <c r="S961" s="92"/>
      <c r="T961" s="92"/>
      <c r="U961" s="92"/>
      <c r="V961" s="52"/>
      <c r="W961" s="52"/>
      <c r="X961" s="52"/>
      <c r="Y961" s="52"/>
      <c r="Z961" s="51"/>
      <c r="AA961" s="73"/>
      <c r="AB961" s="73"/>
      <c r="AC961" s="74"/>
      <c r="AD961" s="80" t="s">
        <v>7523</v>
      </c>
      <c r="AE961" s="85" t="s">
        <v>8678</v>
      </c>
      <c r="AF961" s="80">
        <v>704</v>
      </c>
      <c r="AG961" s="80">
        <v>759</v>
      </c>
      <c r="AH961" s="80">
        <v>42976</v>
      </c>
      <c r="AI961" s="80">
        <v>758</v>
      </c>
      <c r="AJ961" s="80"/>
      <c r="AK961" s="80" t="s">
        <v>9807</v>
      </c>
      <c r="AL961" s="80" t="s">
        <v>10581</v>
      </c>
      <c r="AM961" s="87" t="str">
        <f>HYPERLINK("https://t.co/JOMcpcn0yk")</f>
        <v>https://t.co/JOMcpcn0yk</v>
      </c>
      <c r="AN961" s="80"/>
      <c r="AO961" s="82">
        <v>41957.365671296298</v>
      </c>
      <c r="AP961" s="87" t="str">
        <f>HYPERLINK("https://pbs.twimg.com/profile_banners/2899171772/1632559139")</f>
        <v>https://pbs.twimg.com/profile_banners/2899171772/1632559139</v>
      </c>
      <c r="AQ961" s="80" t="b">
        <v>1</v>
      </c>
      <c r="AR961" s="80" t="b">
        <v>0</v>
      </c>
      <c r="AS961" s="80" t="b">
        <v>1</v>
      </c>
      <c r="AT961" s="80"/>
      <c r="AU961" s="80">
        <v>5</v>
      </c>
      <c r="AV961" s="87" t="str">
        <f>HYPERLINK("https://abs.twimg.com/images/themes/theme1/bg.png")</f>
        <v>https://abs.twimg.com/images/themes/theme1/bg.png</v>
      </c>
      <c r="AW961" s="80" t="b">
        <v>0</v>
      </c>
      <c r="AX961" s="80" t="s">
        <v>10746</v>
      </c>
      <c r="AY961" s="87" t="str">
        <f>HYPERLINK("https://twitter.com/jonguparx")</f>
        <v>https://twitter.com/jonguparx</v>
      </c>
      <c r="AZ961" s="80" t="s">
        <v>66</v>
      </c>
      <c r="BA961" s="2"/>
      <c r="BB961" s="3"/>
      <c r="BC961" s="3"/>
      <c r="BD961" s="3"/>
      <c r="BE961" s="3"/>
    </row>
    <row r="962" spans="1:57" x14ac:dyDescent="0.35">
      <c r="A962" s="66" t="s">
        <v>1461</v>
      </c>
      <c r="B962" s="67"/>
      <c r="C962" s="67"/>
      <c r="D962" s="68"/>
      <c r="E962" s="70"/>
      <c r="F962" s="109" t="str">
        <f>HYPERLINK("https://pbs.twimg.com/profile_images/1440897517781073925/swFAHhki_normal.png")</f>
        <v>https://pbs.twimg.com/profile_images/1440897517781073925/swFAHhki_normal.png</v>
      </c>
      <c r="G962" s="67"/>
      <c r="H962" s="71"/>
      <c r="I962" s="72"/>
      <c r="J962" s="72"/>
      <c r="K962" s="71" t="s">
        <v>11705</v>
      </c>
      <c r="L962" s="75"/>
      <c r="M962" s="76"/>
      <c r="N962" s="76"/>
      <c r="O962" s="77"/>
      <c r="P962" s="78"/>
      <c r="Q962" s="78"/>
      <c r="R962" s="92"/>
      <c r="S962" s="92"/>
      <c r="T962" s="92"/>
      <c r="U962" s="92"/>
      <c r="V962" s="52"/>
      <c r="W962" s="52"/>
      <c r="X962" s="52"/>
      <c r="Y962" s="52"/>
      <c r="Z962" s="51"/>
      <c r="AA962" s="73"/>
      <c r="AB962" s="73"/>
      <c r="AC962" s="74"/>
      <c r="AD962" s="80" t="s">
        <v>7524</v>
      </c>
      <c r="AE962" s="85" t="s">
        <v>6393</v>
      </c>
      <c r="AF962" s="80">
        <v>144</v>
      </c>
      <c r="AG962" s="80">
        <v>137</v>
      </c>
      <c r="AH962" s="80">
        <v>2040</v>
      </c>
      <c r="AI962" s="80">
        <v>213</v>
      </c>
      <c r="AJ962" s="80"/>
      <c r="AK962" s="80" t="s">
        <v>9808</v>
      </c>
      <c r="AL962" s="80" t="s">
        <v>10582</v>
      </c>
      <c r="AM962" s="87" t="str">
        <f>HYPERLINK("https://t.co/0Fc7qMpLcj")</f>
        <v>https://t.co/0Fc7qMpLcj</v>
      </c>
      <c r="AN962" s="80"/>
      <c r="AO962" s="82">
        <v>44402.557592592595</v>
      </c>
      <c r="AP962" s="87" t="str">
        <f>HYPERLINK("https://pbs.twimg.com/profile_banners/1419286992601325568/1632371715")</f>
        <v>https://pbs.twimg.com/profile_banners/1419286992601325568/1632371715</v>
      </c>
      <c r="AQ962" s="80" t="b">
        <v>1</v>
      </c>
      <c r="AR962" s="80" t="b">
        <v>0</v>
      </c>
      <c r="AS962" s="80" t="b">
        <v>0</v>
      </c>
      <c r="AT962" s="80"/>
      <c r="AU962" s="80">
        <v>1</v>
      </c>
      <c r="AV962" s="80"/>
      <c r="AW962" s="80" t="b">
        <v>0</v>
      </c>
      <c r="AX962" s="80" t="s">
        <v>10746</v>
      </c>
      <c r="AY962" s="87" t="str">
        <f>HYPERLINK("https://twitter.com/yewdams")</f>
        <v>https://twitter.com/yewdams</v>
      </c>
      <c r="AZ962" s="80" t="s">
        <v>65</v>
      </c>
      <c r="BA962" s="2"/>
      <c r="BB962" s="3"/>
      <c r="BC962" s="3"/>
      <c r="BD962" s="3"/>
      <c r="BE962" s="3"/>
    </row>
    <row r="963" spans="1:57" x14ac:dyDescent="0.35">
      <c r="A963" s="66" t="s">
        <v>976</v>
      </c>
      <c r="B963" s="67"/>
      <c r="C963" s="67"/>
      <c r="D963" s="68"/>
      <c r="E963" s="70"/>
      <c r="F963" s="109" t="str">
        <f>HYPERLINK("https://pbs.twimg.com/profile_images/1379463183795036160/PSMd3JMd_normal.jpg")</f>
        <v>https://pbs.twimg.com/profile_images/1379463183795036160/PSMd3JMd_normal.jpg</v>
      </c>
      <c r="G963" s="67"/>
      <c r="H963" s="71"/>
      <c r="I963" s="72"/>
      <c r="J963" s="72"/>
      <c r="K963" s="71" t="s">
        <v>11706</v>
      </c>
      <c r="L963" s="75"/>
      <c r="M963" s="76"/>
      <c r="N963" s="76"/>
      <c r="O963" s="77"/>
      <c r="P963" s="78"/>
      <c r="Q963" s="78"/>
      <c r="R963" s="92"/>
      <c r="S963" s="92"/>
      <c r="T963" s="92"/>
      <c r="U963" s="92"/>
      <c r="V963" s="52"/>
      <c r="W963" s="52"/>
      <c r="X963" s="52"/>
      <c r="Y963" s="52"/>
      <c r="Z963" s="51"/>
      <c r="AA963" s="73"/>
      <c r="AB963" s="73"/>
      <c r="AC963" s="74"/>
      <c r="AD963" s="80" t="s">
        <v>7525</v>
      </c>
      <c r="AE963" s="85" t="s">
        <v>8679</v>
      </c>
      <c r="AF963" s="80">
        <v>236</v>
      </c>
      <c r="AG963" s="80">
        <v>252</v>
      </c>
      <c r="AH963" s="80">
        <v>4980</v>
      </c>
      <c r="AI963" s="80">
        <v>10183</v>
      </c>
      <c r="AJ963" s="80"/>
      <c r="AK963" s="80" t="s">
        <v>9809</v>
      </c>
      <c r="AL963" s="80" t="s">
        <v>10583</v>
      </c>
      <c r="AM963" s="87" t="str">
        <f>HYPERLINK("https://t.co/Gy8XLP9De1")</f>
        <v>https://t.co/Gy8XLP9De1</v>
      </c>
      <c r="AN963" s="80"/>
      <c r="AO963" s="82">
        <v>41184.114502314813</v>
      </c>
      <c r="AP963" s="87" t="str">
        <f>HYPERLINK("https://pbs.twimg.com/profile_banners/857392927/1617724580")</f>
        <v>https://pbs.twimg.com/profile_banners/857392927/1617724580</v>
      </c>
      <c r="AQ963" s="80" t="b">
        <v>0</v>
      </c>
      <c r="AR963" s="80" t="b">
        <v>0</v>
      </c>
      <c r="AS963" s="80" t="b">
        <v>0</v>
      </c>
      <c r="AT963" s="80"/>
      <c r="AU963" s="80">
        <v>0</v>
      </c>
      <c r="AV963" s="87" t="str">
        <f>HYPERLINK("https://abs.twimg.com/images/themes/theme10/bg.gif")</f>
        <v>https://abs.twimg.com/images/themes/theme10/bg.gif</v>
      </c>
      <c r="AW963" s="80" t="b">
        <v>0</v>
      </c>
      <c r="AX963" s="80" t="s">
        <v>10746</v>
      </c>
      <c r="AY963" s="87" t="str">
        <f>HYPERLINK("https://twitter.com/kinanthings")</f>
        <v>https://twitter.com/kinanthings</v>
      </c>
      <c r="AZ963" s="80" t="s">
        <v>66</v>
      </c>
      <c r="BA963" s="2"/>
      <c r="BB963" s="3"/>
      <c r="BC963" s="3"/>
      <c r="BD963" s="3"/>
      <c r="BE963" s="3"/>
    </row>
    <row r="964" spans="1:57" x14ac:dyDescent="0.35">
      <c r="A964" s="66" t="s">
        <v>977</v>
      </c>
      <c r="B964" s="67"/>
      <c r="C964" s="67"/>
      <c r="D964" s="68"/>
      <c r="E964" s="70"/>
      <c r="F964" s="109" t="str">
        <f>HYPERLINK("https://pbs.twimg.com/profile_images/1133573876070400000/T4uyAxQb_normal.png")</f>
        <v>https://pbs.twimg.com/profile_images/1133573876070400000/T4uyAxQb_normal.png</v>
      </c>
      <c r="G964" s="67"/>
      <c r="H964" s="71"/>
      <c r="I964" s="72"/>
      <c r="J964" s="72"/>
      <c r="K964" s="71" t="s">
        <v>11707</v>
      </c>
      <c r="L964" s="75"/>
      <c r="M964" s="76"/>
      <c r="N964" s="76"/>
      <c r="O964" s="77"/>
      <c r="P964" s="78"/>
      <c r="Q964" s="78"/>
      <c r="R964" s="92"/>
      <c r="S964" s="92"/>
      <c r="T964" s="92"/>
      <c r="U964" s="92"/>
      <c r="V964" s="52"/>
      <c r="W964" s="52"/>
      <c r="X964" s="52"/>
      <c r="Y964" s="52"/>
      <c r="Z964" s="51"/>
      <c r="AA964" s="73"/>
      <c r="AB964" s="73"/>
      <c r="AC964" s="74"/>
      <c r="AD964" s="80" t="s">
        <v>7526</v>
      </c>
      <c r="AE964" s="85" t="s">
        <v>8680</v>
      </c>
      <c r="AF964" s="80">
        <v>785</v>
      </c>
      <c r="AG964" s="80">
        <v>1940</v>
      </c>
      <c r="AH964" s="80">
        <v>117340</v>
      </c>
      <c r="AI964" s="80">
        <v>16</v>
      </c>
      <c r="AJ964" s="80"/>
      <c r="AK964" s="80" t="s">
        <v>9810</v>
      </c>
      <c r="AL964" s="80" t="s">
        <v>10584</v>
      </c>
      <c r="AM964" s="87" t="str">
        <f>HYPERLINK("https://t.co/L7zqbVQlt7")</f>
        <v>https://t.co/L7zqbVQlt7</v>
      </c>
      <c r="AN964" s="80"/>
      <c r="AO964" s="82">
        <v>41675.860625000001</v>
      </c>
      <c r="AP964" s="87" t="str">
        <f>HYPERLINK("https://pbs.twimg.com/profile_banners/2329327184/1472283579")</f>
        <v>https://pbs.twimg.com/profile_banners/2329327184/1472283579</v>
      </c>
      <c r="AQ964" s="80" t="b">
        <v>0</v>
      </c>
      <c r="AR964" s="80" t="b">
        <v>0</v>
      </c>
      <c r="AS964" s="80" t="b">
        <v>0</v>
      </c>
      <c r="AT964" s="80"/>
      <c r="AU964" s="80">
        <v>14</v>
      </c>
      <c r="AV964" s="87" t="str">
        <f>HYPERLINK("https://abs.twimg.com/images/themes/theme17/bg.gif")</f>
        <v>https://abs.twimg.com/images/themes/theme17/bg.gif</v>
      </c>
      <c r="AW964" s="80" t="b">
        <v>0</v>
      </c>
      <c r="AX964" s="80" t="s">
        <v>10746</v>
      </c>
      <c r="AY964" s="87" t="str">
        <f>HYPERLINK("https://twitter.com/kbharianaceh")</f>
        <v>https://twitter.com/kbharianaceh</v>
      </c>
      <c r="AZ964" s="80" t="s">
        <v>66</v>
      </c>
      <c r="BA964" s="2"/>
      <c r="BB964" s="3"/>
      <c r="BC964" s="3"/>
      <c r="BD964" s="3"/>
      <c r="BE964" s="3"/>
    </row>
    <row r="965" spans="1:57" x14ac:dyDescent="0.35">
      <c r="A965" s="66" t="s">
        <v>978</v>
      </c>
      <c r="B965" s="67"/>
      <c r="C965" s="67"/>
      <c r="D965" s="68"/>
      <c r="E965" s="70"/>
      <c r="F965" s="109" t="str">
        <f>HYPERLINK("https://pbs.twimg.com/profile_images/1304779979159343106/-NY-t1KC_normal.jpg")</f>
        <v>https://pbs.twimg.com/profile_images/1304779979159343106/-NY-t1KC_normal.jpg</v>
      </c>
      <c r="G965" s="67"/>
      <c r="H965" s="71"/>
      <c r="I965" s="72"/>
      <c r="J965" s="72"/>
      <c r="K965" s="71" t="s">
        <v>11708</v>
      </c>
      <c r="L965" s="75"/>
      <c r="M965" s="76"/>
      <c r="N965" s="76"/>
      <c r="O965" s="77"/>
      <c r="P965" s="78"/>
      <c r="Q965" s="78"/>
      <c r="R965" s="92"/>
      <c r="S965" s="92"/>
      <c r="T965" s="92"/>
      <c r="U965" s="92"/>
      <c r="V965" s="52"/>
      <c r="W965" s="52"/>
      <c r="X965" s="52"/>
      <c r="Y965" s="52"/>
      <c r="Z965" s="51"/>
      <c r="AA965" s="73"/>
      <c r="AB965" s="73"/>
      <c r="AC965" s="74"/>
      <c r="AD965" s="80" t="s">
        <v>7527</v>
      </c>
      <c r="AE965" s="85" t="s">
        <v>8681</v>
      </c>
      <c r="AF965" s="80">
        <v>287</v>
      </c>
      <c r="AG965" s="80">
        <v>329</v>
      </c>
      <c r="AH965" s="80">
        <v>11150</v>
      </c>
      <c r="AI965" s="80">
        <v>0</v>
      </c>
      <c r="AJ965" s="80"/>
      <c r="AK965" s="80" t="s">
        <v>9811</v>
      </c>
      <c r="AL965" s="80" t="s">
        <v>10585</v>
      </c>
      <c r="AM965" s="80"/>
      <c r="AN965" s="80"/>
      <c r="AO965" s="82">
        <v>40917.682696759257</v>
      </c>
      <c r="AP965" s="87" t="str">
        <f>HYPERLINK("https://pbs.twimg.com/profile_banners/459390042/1434560968")</f>
        <v>https://pbs.twimg.com/profile_banners/459390042/1434560968</v>
      </c>
      <c r="AQ965" s="80" t="b">
        <v>0</v>
      </c>
      <c r="AR965" s="80" t="b">
        <v>0</v>
      </c>
      <c r="AS965" s="80" t="b">
        <v>1</v>
      </c>
      <c r="AT965" s="80"/>
      <c r="AU965" s="80">
        <v>14</v>
      </c>
      <c r="AV965" s="87" t="str">
        <f>HYPERLINK("https://abs.twimg.com/images/themes/theme1/bg.png")</f>
        <v>https://abs.twimg.com/images/themes/theme1/bg.png</v>
      </c>
      <c r="AW965" s="80" t="b">
        <v>0</v>
      </c>
      <c r="AX965" s="80" t="s">
        <v>10746</v>
      </c>
      <c r="AY965" s="87" t="str">
        <f>HYPERLINK("https://twitter.com/chyoevil13")</f>
        <v>https://twitter.com/chyoevil13</v>
      </c>
      <c r="AZ965" s="80" t="s">
        <v>66</v>
      </c>
      <c r="BA965" s="2"/>
      <c r="BB965" s="3"/>
      <c r="BC965" s="3"/>
      <c r="BD965" s="3"/>
      <c r="BE965" s="3"/>
    </row>
    <row r="966" spans="1:57" x14ac:dyDescent="0.35">
      <c r="A966" s="66" t="s">
        <v>979</v>
      </c>
      <c r="B966" s="67"/>
      <c r="C966" s="67"/>
      <c r="D966" s="68"/>
      <c r="E966" s="70"/>
      <c r="F966" s="109" t="str">
        <f>HYPERLINK("https://pbs.twimg.com/profile_images/1442462229429829637/syHWaSMP_normal.jpg")</f>
        <v>https://pbs.twimg.com/profile_images/1442462229429829637/syHWaSMP_normal.jpg</v>
      </c>
      <c r="G966" s="67"/>
      <c r="H966" s="71"/>
      <c r="I966" s="72"/>
      <c r="J966" s="72"/>
      <c r="K966" s="71" t="s">
        <v>11709</v>
      </c>
      <c r="L966" s="75"/>
      <c r="M966" s="76"/>
      <c r="N966" s="76"/>
      <c r="O966" s="77"/>
      <c r="P966" s="78"/>
      <c r="Q966" s="78"/>
      <c r="R966" s="92"/>
      <c r="S966" s="92"/>
      <c r="T966" s="92"/>
      <c r="U966" s="92"/>
      <c r="V966" s="52"/>
      <c r="W966" s="52"/>
      <c r="X966" s="52"/>
      <c r="Y966" s="52"/>
      <c r="Z966" s="51"/>
      <c r="AA966" s="73"/>
      <c r="AB966" s="73"/>
      <c r="AC966" s="74"/>
      <c r="AD966" s="80" t="s">
        <v>7528</v>
      </c>
      <c r="AE966" s="85" t="s">
        <v>8682</v>
      </c>
      <c r="AF966" s="80">
        <v>57</v>
      </c>
      <c r="AG966" s="80">
        <v>414</v>
      </c>
      <c r="AH966" s="80">
        <v>2585</v>
      </c>
      <c r="AI966" s="80">
        <v>961</v>
      </c>
      <c r="AJ966" s="80"/>
      <c r="AK966" s="80"/>
      <c r="AL966" s="80" t="s">
        <v>10586</v>
      </c>
      <c r="AM966" s="87" t="str">
        <f>HYPERLINK("https://t.co/95a2TXUWgw")</f>
        <v>https://t.co/95a2TXUWgw</v>
      </c>
      <c r="AN966" s="80"/>
      <c r="AO966" s="82">
        <v>44162.5153587963</v>
      </c>
      <c r="AP966" s="87" t="str">
        <f>HYPERLINK("https://pbs.twimg.com/profile_banners/1332298425828667393/1632745809")</f>
        <v>https://pbs.twimg.com/profile_banners/1332298425828667393/1632745809</v>
      </c>
      <c r="AQ966" s="80" t="b">
        <v>1</v>
      </c>
      <c r="AR966" s="80" t="b">
        <v>0</v>
      </c>
      <c r="AS966" s="80" t="b">
        <v>0</v>
      </c>
      <c r="AT966" s="80"/>
      <c r="AU966" s="80">
        <v>3</v>
      </c>
      <c r="AV966" s="80"/>
      <c r="AW966" s="80" t="b">
        <v>0</v>
      </c>
      <c r="AX966" s="80" t="s">
        <v>10746</v>
      </c>
      <c r="AY966" s="87" t="str">
        <f>HYPERLINK("https://twitter.com/birrubiw")</f>
        <v>https://twitter.com/birrubiw</v>
      </c>
      <c r="AZ966" s="80" t="s">
        <v>66</v>
      </c>
      <c r="BA966" s="2"/>
      <c r="BB966" s="3"/>
      <c r="BC966" s="3"/>
      <c r="BD966" s="3"/>
      <c r="BE966" s="3"/>
    </row>
    <row r="967" spans="1:57" x14ac:dyDescent="0.35">
      <c r="A967" s="66" t="s">
        <v>1462</v>
      </c>
      <c r="B967" s="67"/>
      <c r="C967" s="67"/>
      <c r="D967" s="68"/>
      <c r="E967" s="70"/>
      <c r="F967" s="109" t="str">
        <f>HYPERLINK("https://pbs.twimg.com/profile_images/1436522988866719751/gYemGHnL_normal.jpg")</f>
        <v>https://pbs.twimg.com/profile_images/1436522988866719751/gYemGHnL_normal.jpg</v>
      </c>
      <c r="G967" s="67"/>
      <c r="H967" s="71"/>
      <c r="I967" s="72"/>
      <c r="J967" s="72"/>
      <c r="K967" s="71" t="s">
        <v>11710</v>
      </c>
      <c r="L967" s="75"/>
      <c r="M967" s="76"/>
      <c r="N967" s="76"/>
      <c r="O967" s="77"/>
      <c r="P967" s="78"/>
      <c r="Q967" s="78"/>
      <c r="R967" s="92"/>
      <c r="S967" s="92"/>
      <c r="T967" s="92"/>
      <c r="U967" s="92"/>
      <c r="V967" s="52"/>
      <c r="W967" s="52"/>
      <c r="X967" s="52"/>
      <c r="Y967" s="52"/>
      <c r="Z967" s="51"/>
      <c r="AA967" s="73"/>
      <c r="AB967" s="73"/>
      <c r="AC967" s="74"/>
      <c r="AD967" s="80" t="s">
        <v>7529</v>
      </c>
      <c r="AE967" s="85" t="s">
        <v>6394</v>
      </c>
      <c r="AF967" s="80">
        <v>674</v>
      </c>
      <c r="AG967" s="80">
        <v>759</v>
      </c>
      <c r="AH967" s="80">
        <v>2348</v>
      </c>
      <c r="AI967" s="80">
        <v>1427</v>
      </c>
      <c r="AJ967" s="80"/>
      <c r="AK967" s="80" t="s">
        <v>9812</v>
      </c>
      <c r="AL967" s="80" t="s">
        <v>10587</v>
      </c>
      <c r="AM967" s="87" t="str">
        <f>HYPERLINK("https://t.co/gJYqqo0KGh")</f>
        <v>https://t.co/gJYqqo0KGh</v>
      </c>
      <c r="AN967" s="80"/>
      <c r="AO967" s="82">
        <v>44395.426030092596</v>
      </c>
      <c r="AP967" s="87" t="str">
        <f>HYPERLINK("https://pbs.twimg.com/profile_banners/1416702481283706881/1626604243")</f>
        <v>https://pbs.twimg.com/profile_banners/1416702481283706881/1626604243</v>
      </c>
      <c r="AQ967" s="80" t="b">
        <v>1</v>
      </c>
      <c r="AR967" s="80" t="b">
        <v>0</v>
      </c>
      <c r="AS967" s="80" t="b">
        <v>0</v>
      </c>
      <c r="AT967" s="80"/>
      <c r="AU967" s="80">
        <v>1</v>
      </c>
      <c r="AV967" s="80"/>
      <c r="AW967" s="80" t="b">
        <v>0</v>
      </c>
      <c r="AX967" s="80" t="s">
        <v>10746</v>
      </c>
      <c r="AY967" s="87" t="str">
        <f>HYPERLINK("https://twitter.com/kalonamuse")</f>
        <v>https://twitter.com/kalonamuse</v>
      </c>
      <c r="AZ967" s="80" t="s">
        <v>65</v>
      </c>
      <c r="BA967" s="2"/>
      <c r="BB967" s="3"/>
      <c r="BC967" s="3"/>
      <c r="BD967" s="3"/>
      <c r="BE967" s="3"/>
    </row>
    <row r="968" spans="1:57" x14ac:dyDescent="0.35">
      <c r="A968" s="66" t="s">
        <v>980</v>
      </c>
      <c r="B968" s="67"/>
      <c r="C968" s="67"/>
      <c r="D968" s="68"/>
      <c r="E968" s="70"/>
      <c r="F968" s="109" t="str">
        <f>HYPERLINK("https://pbs.twimg.com/profile_images/1438502926985535495/T3_rAfxd_normal.jpg")</f>
        <v>https://pbs.twimg.com/profile_images/1438502926985535495/T3_rAfxd_normal.jpg</v>
      </c>
      <c r="G968" s="67"/>
      <c r="H968" s="71"/>
      <c r="I968" s="72"/>
      <c r="J968" s="72"/>
      <c r="K968" s="71" t="s">
        <v>11711</v>
      </c>
      <c r="L968" s="75"/>
      <c r="M968" s="76"/>
      <c r="N968" s="76"/>
      <c r="O968" s="77"/>
      <c r="P968" s="78"/>
      <c r="Q968" s="78"/>
      <c r="R968" s="92"/>
      <c r="S968" s="92"/>
      <c r="T968" s="92"/>
      <c r="U968" s="92"/>
      <c r="V968" s="52"/>
      <c r="W968" s="52"/>
      <c r="X968" s="52"/>
      <c r="Y968" s="52"/>
      <c r="Z968" s="51"/>
      <c r="AA968" s="73"/>
      <c r="AB968" s="73"/>
      <c r="AC968" s="74"/>
      <c r="AD968" s="80" t="s">
        <v>7530</v>
      </c>
      <c r="AE968" s="85" t="s">
        <v>8683</v>
      </c>
      <c r="AF968" s="80">
        <v>575</v>
      </c>
      <c r="AG968" s="80">
        <v>621</v>
      </c>
      <c r="AH968" s="80">
        <v>40469</v>
      </c>
      <c r="AI968" s="80">
        <v>3299</v>
      </c>
      <c r="AJ968" s="80"/>
      <c r="AK968" s="80" t="s">
        <v>9813</v>
      </c>
      <c r="AL968" s="80" t="s">
        <v>10588</v>
      </c>
      <c r="AM968" s="87" t="str">
        <f>HYPERLINK("https://t.co/mlGJoMcP7J")</f>
        <v>https://t.co/mlGJoMcP7J</v>
      </c>
      <c r="AN968" s="80"/>
      <c r="AO968" s="82">
        <v>44169.937152777777</v>
      </c>
      <c r="AP968" s="87" t="str">
        <f>HYPERLINK("https://pbs.twimg.com/profile_banners/1334988182098595840/1631801470")</f>
        <v>https://pbs.twimg.com/profile_banners/1334988182098595840/1631801470</v>
      </c>
      <c r="AQ968" s="80" t="b">
        <v>1</v>
      </c>
      <c r="AR968" s="80" t="b">
        <v>0</v>
      </c>
      <c r="AS968" s="80" t="b">
        <v>0</v>
      </c>
      <c r="AT968" s="80"/>
      <c r="AU968" s="80">
        <v>2</v>
      </c>
      <c r="AV968" s="80"/>
      <c r="AW968" s="80" t="b">
        <v>0</v>
      </c>
      <c r="AX968" s="80" t="s">
        <v>10746</v>
      </c>
      <c r="AY968" s="87" t="str">
        <f>HYPERLINK("https://twitter.com/binbreacker")</f>
        <v>https://twitter.com/binbreacker</v>
      </c>
      <c r="AZ968" s="80" t="s">
        <v>66</v>
      </c>
      <c r="BA968" s="2"/>
      <c r="BB968" s="3"/>
      <c r="BC968" s="3"/>
      <c r="BD968" s="3"/>
      <c r="BE968" s="3"/>
    </row>
    <row r="969" spans="1:57" x14ac:dyDescent="0.35">
      <c r="A969" s="66" t="s">
        <v>1463</v>
      </c>
      <c r="B969" s="67"/>
      <c r="C969" s="67"/>
      <c r="D969" s="68"/>
      <c r="E969" s="70"/>
      <c r="F969" s="109" t="str">
        <f>HYPERLINK("https://pbs.twimg.com/profile_images/1423867386562711554/sulTWVeg_normal.jpg")</f>
        <v>https://pbs.twimg.com/profile_images/1423867386562711554/sulTWVeg_normal.jpg</v>
      </c>
      <c r="G969" s="67"/>
      <c r="H969" s="71"/>
      <c r="I969" s="72"/>
      <c r="J969" s="72"/>
      <c r="K969" s="71" t="s">
        <v>11712</v>
      </c>
      <c r="L969" s="75"/>
      <c r="M969" s="76"/>
      <c r="N969" s="76"/>
      <c r="O969" s="77"/>
      <c r="P969" s="78"/>
      <c r="Q969" s="78"/>
      <c r="R969" s="92"/>
      <c r="S969" s="92"/>
      <c r="T969" s="92"/>
      <c r="U969" s="92"/>
      <c r="V969" s="52"/>
      <c r="W969" s="52"/>
      <c r="X969" s="52"/>
      <c r="Y969" s="52"/>
      <c r="Z969" s="51"/>
      <c r="AA969" s="73"/>
      <c r="AB969" s="73"/>
      <c r="AC969" s="74"/>
      <c r="AD969" s="80" t="s">
        <v>7531</v>
      </c>
      <c r="AE969" s="85" t="s">
        <v>6395</v>
      </c>
      <c r="AF969" s="80">
        <v>460</v>
      </c>
      <c r="AG969" s="80">
        <v>236</v>
      </c>
      <c r="AH969" s="80">
        <v>56926</v>
      </c>
      <c r="AI969" s="80">
        <v>12982</v>
      </c>
      <c r="AJ969" s="80"/>
      <c r="AK969" s="80" t="s">
        <v>9814</v>
      </c>
      <c r="AL969" s="80" t="s">
        <v>10589</v>
      </c>
      <c r="AM969" s="87" t="str">
        <f>HYPERLINK("https://t.co/fG96JbaMNW")</f>
        <v>https://t.co/fG96JbaMNW</v>
      </c>
      <c r="AN969" s="80"/>
      <c r="AO969" s="82">
        <v>43893.303460648145</v>
      </c>
      <c r="AP969" s="87" t="str">
        <f>HYPERLINK("https://pbs.twimg.com/profile_banners/1234739484954157056/1631376932")</f>
        <v>https://pbs.twimg.com/profile_banners/1234739484954157056/1631376932</v>
      </c>
      <c r="AQ969" s="80" t="b">
        <v>1</v>
      </c>
      <c r="AR969" s="80" t="b">
        <v>0</v>
      </c>
      <c r="AS969" s="80" t="b">
        <v>0</v>
      </c>
      <c r="AT969" s="80"/>
      <c r="AU969" s="80">
        <v>2</v>
      </c>
      <c r="AV969" s="80"/>
      <c r="AW969" s="80" t="b">
        <v>0</v>
      </c>
      <c r="AX969" s="80" t="s">
        <v>10746</v>
      </c>
      <c r="AY969" s="87" t="str">
        <f>HYPERLINK("https://twitter.com/tdcwonwoo")</f>
        <v>https://twitter.com/tdcwonwoo</v>
      </c>
      <c r="AZ969" s="80" t="s">
        <v>65</v>
      </c>
      <c r="BA969" s="2"/>
      <c r="BB969" s="3"/>
      <c r="BC969" s="3"/>
      <c r="BD969" s="3"/>
      <c r="BE969" s="3"/>
    </row>
    <row r="970" spans="1:57" x14ac:dyDescent="0.35">
      <c r="A970" s="66" t="s">
        <v>981</v>
      </c>
      <c r="B970" s="67"/>
      <c r="C970" s="67"/>
      <c r="D970" s="68"/>
      <c r="E970" s="70"/>
      <c r="F970" s="109" t="str">
        <f>HYPERLINK("https://pbs.twimg.com/profile_images/1440323824201863184/ke63J3qZ_normal.jpg")</f>
        <v>https://pbs.twimg.com/profile_images/1440323824201863184/ke63J3qZ_normal.jpg</v>
      </c>
      <c r="G970" s="67"/>
      <c r="H970" s="71"/>
      <c r="I970" s="72"/>
      <c r="J970" s="72"/>
      <c r="K970" s="71" t="s">
        <v>11713</v>
      </c>
      <c r="L970" s="75"/>
      <c r="M970" s="76"/>
      <c r="N970" s="76"/>
      <c r="O970" s="77"/>
      <c r="P970" s="78"/>
      <c r="Q970" s="78"/>
      <c r="R970" s="92"/>
      <c r="S970" s="92"/>
      <c r="T970" s="92"/>
      <c r="U970" s="92"/>
      <c r="V970" s="52"/>
      <c r="W970" s="52"/>
      <c r="X970" s="52"/>
      <c r="Y970" s="52"/>
      <c r="Z970" s="51"/>
      <c r="AA970" s="73"/>
      <c r="AB970" s="73"/>
      <c r="AC970" s="74"/>
      <c r="AD970" s="80" t="s">
        <v>7532</v>
      </c>
      <c r="AE970" s="85" t="s">
        <v>8684</v>
      </c>
      <c r="AF970" s="80">
        <v>59</v>
      </c>
      <c r="AG970" s="80">
        <v>28</v>
      </c>
      <c r="AH970" s="80">
        <v>472</v>
      </c>
      <c r="AI970" s="80">
        <v>163</v>
      </c>
      <c r="AJ970" s="80"/>
      <c r="AK970" s="80" t="s">
        <v>9815</v>
      </c>
      <c r="AL970" s="80"/>
      <c r="AM970" s="80"/>
      <c r="AN970" s="80"/>
      <c r="AO970" s="82">
        <v>44453.545312499999</v>
      </c>
      <c r="AP970" s="87" t="str">
        <f>HYPERLINK("https://pbs.twimg.com/profile_banners/1437764335061790721/1632650610")</f>
        <v>https://pbs.twimg.com/profile_banners/1437764335061790721/1632650610</v>
      </c>
      <c r="AQ970" s="80" t="b">
        <v>1</v>
      </c>
      <c r="AR970" s="80" t="b">
        <v>0</v>
      </c>
      <c r="AS970" s="80" t="b">
        <v>0</v>
      </c>
      <c r="AT970" s="80"/>
      <c r="AU970" s="80">
        <v>0</v>
      </c>
      <c r="AV970" s="80"/>
      <c r="AW970" s="80" t="b">
        <v>0</v>
      </c>
      <c r="AX970" s="80" t="s">
        <v>10746</v>
      </c>
      <c r="AY970" s="87" t="str">
        <f>HYPERLINK("https://twitter.com/hj7bkt20sgr3")</f>
        <v>https://twitter.com/hj7bkt20sgr3</v>
      </c>
      <c r="AZ970" s="80" t="s">
        <v>66</v>
      </c>
      <c r="BA970" s="2"/>
      <c r="BB970" s="3"/>
      <c r="BC970" s="3"/>
      <c r="BD970" s="3"/>
      <c r="BE970" s="3"/>
    </row>
    <row r="971" spans="1:57" x14ac:dyDescent="0.35">
      <c r="A971" s="66" t="s">
        <v>982</v>
      </c>
      <c r="B971" s="67"/>
      <c r="C971" s="67"/>
      <c r="D971" s="68"/>
      <c r="E971" s="70"/>
      <c r="F971" s="109" t="str">
        <f>HYPERLINK("https://pbs.twimg.com/profile_images/1440683609686360064/-Txz3cig_normal.jpg")</f>
        <v>https://pbs.twimg.com/profile_images/1440683609686360064/-Txz3cig_normal.jpg</v>
      </c>
      <c r="G971" s="67"/>
      <c r="H971" s="71"/>
      <c r="I971" s="72"/>
      <c r="J971" s="72"/>
      <c r="K971" s="71" t="s">
        <v>11714</v>
      </c>
      <c r="L971" s="75"/>
      <c r="M971" s="76"/>
      <c r="N971" s="76"/>
      <c r="O971" s="77"/>
      <c r="P971" s="78"/>
      <c r="Q971" s="78"/>
      <c r="R971" s="92"/>
      <c r="S971" s="92"/>
      <c r="T971" s="92"/>
      <c r="U971" s="92"/>
      <c r="V971" s="52"/>
      <c r="W971" s="52"/>
      <c r="X971" s="52"/>
      <c r="Y971" s="52"/>
      <c r="Z971" s="51"/>
      <c r="AA971" s="73"/>
      <c r="AB971" s="73"/>
      <c r="AC971" s="74"/>
      <c r="AD971" s="80" t="s">
        <v>7533</v>
      </c>
      <c r="AE971" s="85" t="s">
        <v>6396</v>
      </c>
      <c r="AF971" s="80">
        <v>651</v>
      </c>
      <c r="AG971" s="80">
        <v>278</v>
      </c>
      <c r="AH971" s="80">
        <v>6265</v>
      </c>
      <c r="AI971" s="80">
        <v>23536</v>
      </c>
      <c r="AJ971" s="80"/>
      <c r="AK971" s="80" t="s">
        <v>9816</v>
      </c>
      <c r="AL971" s="80"/>
      <c r="AM971" s="80"/>
      <c r="AN971" s="80"/>
      <c r="AO971" s="82">
        <v>44208.477025462962</v>
      </c>
      <c r="AP971" s="87" t="str">
        <f>HYPERLINK("https://pbs.twimg.com/profile_banners/1348954540012261377/1630837276")</f>
        <v>https://pbs.twimg.com/profile_banners/1348954540012261377/1630837276</v>
      </c>
      <c r="AQ971" s="80" t="b">
        <v>1</v>
      </c>
      <c r="AR971" s="80" t="b">
        <v>0</v>
      </c>
      <c r="AS971" s="80" t="b">
        <v>0</v>
      </c>
      <c r="AT971" s="80"/>
      <c r="AU971" s="80">
        <v>2</v>
      </c>
      <c r="AV971" s="80"/>
      <c r="AW971" s="80" t="b">
        <v>0</v>
      </c>
      <c r="AX971" s="80" t="s">
        <v>10746</v>
      </c>
      <c r="AY971" s="87" t="str">
        <f>HYPERLINK("https://twitter.com/yojeong9196")</f>
        <v>https://twitter.com/yojeong9196</v>
      </c>
      <c r="AZ971" s="80" t="s">
        <v>66</v>
      </c>
      <c r="BA971" s="2"/>
      <c r="BB971" s="3"/>
      <c r="BC971" s="3"/>
      <c r="BD971" s="3"/>
      <c r="BE971" s="3"/>
    </row>
    <row r="972" spans="1:57" x14ac:dyDescent="0.35">
      <c r="A972" s="66" t="s">
        <v>983</v>
      </c>
      <c r="B972" s="67"/>
      <c r="C972" s="67"/>
      <c r="D972" s="68"/>
      <c r="E972" s="70"/>
      <c r="F972" s="109" t="str">
        <f>HYPERLINK("https://pbs.twimg.com/profile_images/1383673548728799239/ZVOJozh6_normal.jpg")</f>
        <v>https://pbs.twimg.com/profile_images/1383673548728799239/ZVOJozh6_normal.jpg</v>
      </c>
      <c r="G972" s="67"/>
      <c r="H972" s="71"/>
      <c r="I972" s="72"/>
      <c r="J972" s="72"/>
      <c r="K972" s="71" t="s">
        <v>11715</v>
      </c>
      <c r="L972" s="75"/>
      <c r="M972" s="76"/>
      <c r="N972" s="76"/>
      <c r="O972" s="77"/>
      <c r="P972" s="78"/>
      <c r="Q972" s="78"/>
      <c r="R972" s="92"/>
      <c r="S972" s="92"/>
      <c r="T972" s="92"/>
      <c r="U972" s="92"/>
      <c r="V972" s="52"/>
      <c r="W972" s="52"/>
      <c r="X972" s="52"/>
      <c r="Y972" s="52"/>
      <c r="Z972" s="51"/>
      <c r="AA972" s="73"/>
      <c r="AB972" s="73"/>
      <c r="AC972" s="74"/>
      <c r="AD972" s="80" t="s">
        <v>7534</v>
      </c>
      <c r="AE972" s="85" t="s">
        <v>8685</v>
      </c>
      <c r="AF972" s="80">
        <v>38</v>
      </c>
      <c r="AG972" s="80">
        <v>48</v>
      </c>
      <c r="AH972" s="80">
        <v>2368</v>
      </c>
      <c r="AI972" s="80">
        <v>2</v>
      </c>
      <c r="AJ972" s="80"/>
      <c r="AK972" s="80" t="s">
        <v>9817</v>
      </c>
      <c r="AL972" s="80"/>
      <c r="AM972" s="80"/>
      <c r="AN972" s="80"/>
      <c r="AO972" s="82">
        <v>44304.282743055555</v>
      </c>
      <c r="AP972" s="80"/>
      <c r="AQ972" s="80" t="b">
        <v>1</v>
      </c>
      <c r="AR972" s="80" t="b">
        <v>0</v>
      </c>
      <c r="AS972" s="80" t="b">
        <v>0</v>
      </c>
      <c r="AT972" s="80"/>
      <c r="AU972" s="80">
        <v>0</v>
      </c>
      <c r="AV972" s="80"/>
      <c r="AW972" s="80" t="b">
        <v>0</v>
      </c>
      <c r="AX972" s="80" t="s">
        <v>10746</v>
      </c>
      <c r="AY972" s="87" t="str">
        <f>HYPERLINK("https://twitter.com/portalkalbar1")</f>
        <v>https://twitter.com/portalkalbar1</v>
      </c>
      <c r="AZ972" s="80" t="s">
        <v>66</v>
      </c>
      <c r="BA972" s="2"/>
      <c r="BB972" s="3"/>
      <c r="BC972" s="3"/>
      <c r="BD972" s="3"/>
      <c r="BE972" s="3"/>
    </row>
    <row r="973" spans="1:57" x14ac:dyDescent="0.35">
      <c r="A973" s="66" t="s">
        <v>984</v>
      </c>
      <c r="B973" s="67"/>
      <c r="C973" s="67"/>
      <c r="D973" s="68"/>
      <c r="E973" s="70"/>
      <c r="F973" s="109" t="str">
        <f>HYPERLINK("https://pbs.twimg.com/profile_images/1439083317232484356/YYL9opNs_normal.png")</f>
        <v>https://pbs.twimg.com/profile_images/1439083317232484356/YYL9opNs_normal.png</v>
      </c>
      <c r="G973" s="67"/>
      <c r="H973" s="71"/>
      <c r="I973" s="72"/>
      <c r="J973" s="72"/>
      <c r="K973" s="71" t="s">
        <v>11716</v>
      </c>
      <c r="L973" s="75"/>
      <c r="M973" s="76"/>
      <c r="N973" s="76"/>
      <c r="O973" s="77"/>
      <c r="P973" s="78"/>
      <c r="Q973" s="78"/>
      <c r="R973" s="92"/>
      <c r="S973" s="92"/>
      <c r="T973" s="92"/>
      <c r="U973" s="92"/>
      <c r="V973" s="52"/>
      <c r="W973" s="52"/>
      <c r="X973" s="52"/>
      <c r="Y973" s="52"/>
      <c r="Z973" s="51"/>
      <c r="AA973" s="73"/>
      <c r="AB973" s="73"/>
      <c r="AC973" s="74"/>
      <c r="AD973" s="80" t="s">
        <v>7535</v>
      </c>
      <c r="AE973" s="85" t="s">
        <v>8686</v>
      </c>
      <c r="AF973" s="80">
        <v>108</v>
      </c>
      <c r="AG973" s="80">
        <v>111</v>
      </c>
      <c r="AH973" s="80">
        <v>3707</v>
      </c>
      <c r="AI973" s="80">
        <v>2435</v>
      </c>
      <c r="AJ973" s="80"/>
      <c r="AK973" s="80" t="s">
        <v>9818</v>
      </c>
      <c r="AL973" s="80" t="s">
        <v>10590</v>
      </c>
      <c r="AM973" s="87" t="str">
        <f>HYPERLINK("https://t.co/sdMODQxglN")</f>
        <v>https://t.co/sdMODQxglN</v>
      </c>
      <c r="AN973" s="80"/>
      <c r="AO973" s="82">
        <v>44101.258634259262</v>
      </c>
      <c r="AP973" s="87" t="str">
        <f>HYPERLINK("https://pbs.twimg.com/profile_banners/1310099885908131850/1631939178")</f>
        <v>https://pbs.twimg.com/profile_banners/1310099885908131850/1631939178</v>
      </c>
      <c r="AQ973" s="80" t="b">
        <v>1</v>
      </c>
      <c r="AR973" s="80" t="b">
        <v>0</v>
      </c>
      <c r="AS973" s="80" t="b">
        <v>0</v>
      </c>
      <c r="AT973" s="80"/>
      <c r="AU973" s="80">
        <v>0</v>
      </c>
      <c r="AV973" s="80"/>
      <c r="AW973" s="80" t="b">
        <v>0</v>
      </c>
      <c r="AX973" s="80" t="s">
        <v>10746</v>
      </c>
      <c r="AY973" s="87" t="str">
        <f>HYPERLINK("https://twitter.com/cwecani")</f>
        <v>https://twitter.com/cwecani</v>
      </c>
      <c r="AZ973" s="80" t="s">
        <v>66</v>
      </c>
      <c r="BA973" s="2"/>
      <c r="BB973" s="3"/>
      <c r="BC973" s="3"/>
      <c r="BD973" s="3"/>
      <c r="BE973" s="3"/>
    </row>
    <row r="974" spans="1:57" x14ac:dyDescent="0.35">
      <c r="A974" s="66" t="s">
        <v>1464</v>
      </c>
      <c r="B974" s="67"/>
      <c r="C974" s="67"/>
      <c r="D974" s="68"/>
      <c r="E974" s="70"/>
      <c r="F974" s="109" t="str">
        <f>HYPERLINK("https://pbs.twimg.com/profile_images/1423210125192400896/TI0iMb5H_normal.jpg")</f>
        <v>https://pbs.twimg.com/profile_images/1423210125192400896/TI0iMb5H_normal.jpg</v>
      </c>
      <c r="G974" s="67"/>
      <c r="H974" s="71"/>
      <c r="I974" s="72"/>
      <c r="J974" s="72"/>
      <c r="K974" s="71" t="s">
        <v>11717</v>
      </c>
      <c r="L974" s="75"/>
      <c r="M974" s="76"/>
      <c r="N974" s="76"/>
      <c r="O974" s="77"/>
      <c r="P974" s="78"/>
      <c r="Q974" s="78"/>
      <c r="R974" s="92"/>
      <c r="S974" s="92"/>
      <c r="T974" s="92"/>
      <c r="U974" s="92"/>
      <c r="V974" s="52"/>
      <c r="W974" s="52"/>
      <c r="X974" s="52"/>
      <c r="Y974" s="52"/>
      <c r="Z974" s="51"/>
      <c r="AA974" s="73"/>
      <c r="AB974" s="73"/>
      <c r="AC974" s="74"/>
      <c r="AD974" s="80" t="s">
        <v>7536</v>
      </c>
      <c r="AE974" s="85" t="s">
        <v>6397</v>
      </c>
      <c r="AF974" s="80">
        <v>729</v>
      </c>
      <c r="AG974" s="80">
        <v>14992</v>
      </c>
      <c r="AH974" s="80">
        <v>153404</v>
      </c>
      <c r="AI974" s="80">
        <v>13</v>
      </c>
      <c r="AJ974" s="80"/>
      <c r="AK974" s="80" t="s">
        <v>9819</v>
      </c>
      <c r="AL974" s="80" t="s">
        <v>10591</v>
      </c>
      <c r="AM974" s="87" t="str">
        <f>HYPERLINK("https://t.co/jcXXqAtpwN")</f>
        <v>https://t.co/jcXXqAtpwN</v>
      </c>
      <c r="AN974" s="80"/>
      <c r="AO974" s="82">
        <v>42857.543969907405</v>
      </c>
      <c r="AP974" s="87" t="str">
        <f>HYPERLINK("https://pbs.twimg.com/profile_banners/859392858540789761/1628154712")</f>
        <v>https://pbs.twimg.com/profile_banners/859392858540789761/1628154712</v>
      </c>
      <c r="AQ974" s="80" t="b">
        <v>1</v>
      </c>
      <c r="AR974" s="80" t="b">
        <v>0</v>
      </c>
      <c r="AS974" s="80" t="b">
        <v>0</v>
      </c>
      <c r="AT974" s="80"/>
      <c r="AU974" s="80">
        <v>264</v>
      </c>
      <c r="AV974" s="80"/>
      <c r="AW974" s="80" t="b">
        <v>0</v>
      </c>
      <c r="AX974" s="80" t="s">
        <v>10746</v>
      </c>
      <c r="AY974" s="87" t="str">
        <f>HYPERLINK("https://twitter.com/ctbzale")</f>
        <v>https://twitter.com/ctbzale</v>
      </c>
      <c r="AZ974" s="80" t="s">
        <v>65</v>
      </c>
      <c r="BA974" s="2"/>
      <c r="BB974" s="3"/>
      <c r="BC974" s="3"/>
      <c r="BD974" s="3"/>
      <c r="BE974" s="3"/>
    </row>
    <row r="975" spans="1:57" x14ac:dyDescent="0.35">
      <c r="A975" s="66" t="s">
        <v>985</v>
      </c>
      <c r="B975" s="67"/>
      <c r="C975" s="67"/>
      <c r="D975" s="68"/>
      <c r="E975" s="70"/>
      <c r="F975" s="109" t="str">
        <f>HYPERLINK("https://pbs.twimg.com/profile_images/1397013821705768960/Zc5WzBPV_normal.jpg")</f>
        <v>https://pbs.twimg.com/profile_images/1397013821705768960/Zc5WzBPV_normal.jpg</v>
      </c>
      <c r="G975" s="67"/>
      <c r="H975" s="71"/>
      <c r="I975" s="72"/>
      <c r="J975" s="72"/>
      <c r="K975" s="71" t="s">
        <v>11718</v>
      </c>
      <c r="L975" s="75"/>
      <c r="M975" s="76"/>
      <c r="N975" s="76"/>
      <c r="O975" s="77"/>
      <c r="P975" s="78"/>
      <c r="Q975" s="78"/>
      <c r="R975" s="92"/>
      <c r="S975" s="92"/>
      <c r="T975" s="92"/>
      <c r="U975" s="92"/>
      <c r="V975" s="52"/>
      <c r="W975" s="52"/>
      <c r="X975" s="52"/>
      <c r="Y975" s="52"/>
      <c r="Z975" s="51"/>
      <c r="AA975" s="73"/>
      <c r="AB975" s="73"/>
      <c r="AC975" s="74"/>
      <c r="AD975" s="80" t="s">
        <v>7537</v>
      </c>
      <c r="AE975" s="85" t="s">
        <v>8687</v>
      </c>
      <c r="AF975" s="80">
        <v>424</v>
      </c>
      <c r="AG975" s="80">
        <v>225</v>
      </c>
      <c r="AH975" s="80">
        <v>67409</v>
      </c>
      <c r="AI975" s="80">
        <v>14711</v>
      </c>
      <c r="AJ975" s="80"/>
      <c r="AK975" s="80" t="s">
        <v>9820</v>
      </c>
      <c r="AL975" s="80"/>
      <c r="AM975" s="80"/>
      <c r="AN975" s="80"/>
      <c r="AO975" s="82">
        <v>43114.65252314815</v>
      </c>
      <c r="AP975" s="87" t="str">
        <f>HYPERLINK("https://pbs.twimg.com/profile_banners/952565879115456513/1605024405")</f>
        <v>https://pbs.twimg.com/profile_banners/952565879115456513/1605024405</v>
      </c>
      <c r="AQ975" s="80" t="b">
        <v>1</v>
      </c>
      <c r="AR975" s="80" t="b">
        <v>0</v>
      </c>
      <c r="AS975" s="80" t="b">
        <v>1</v>
      </c>
      <c r="AT975" s="80"/>
      <c r="AU975" s="80">
        <v>1</v>
      </c>
      <c r="AV975" s="80"/>
      <c r="AW975" s="80" t="b">
        <v>0</v>
      </c>
      <c r="AX975" s="80" t="s">
        <v>10746</v>
      </c>
      <c r="AY975" s="87" t="str">
        <f>HYPERLINK("https://twitter.com/fluff__yunicorn")</f>
        <v>https://twitter.com/fluff__yunicorn</v>
      </c>
      <c r="AZ975" s="80" t="s">
        <v>66</v>
      </c>
      <c r="BA975" s="2"/>
      <c r="BB975" s="3"/>
      <c r="BC975" s="3"/>
      <c r="BD975" s="3"/>
      <c r="BE975" s="3"/>
    </row>
    <row r="976" spans="1:57" x14ac:dyDescent="0.35">
      <c r="A976" s="66" t="s">
        <v>986</v>
      </c>
      <c r="B976" s="67"/>
      <c r="C976" s="67"/>
      <c r="D976" s="68"/>
      <c r="E976" s="70"/>
      <c r="F976" s="109" t="str">
        <f>HYPERLINK("https://pbs.twimg.com/profile_images/1438773004297666562/t85M4NGa_normal.jpg")</f>
        <v>https://pbs.twimg.com/profile_images/1438773004297666562/t85M4NGa_normal.jpg</v>
      </c>
      <c r="G976" s="67"/>
      <c r="H976" s="71"/>
      <c r="I976" s="72"/>
      <c r="J976" s="72"/>
      <c r="K976" s="71" t="s">
        <v>11719</v>
      </c>
      <c r="L976" s="75"/>
      <c r="M976" s="76"/>
      <c r="N976" s="76"/>
      <c r="O976" s="77"/>
      <c r="P976" s="78"/>
      <c r="Q976" s="78"/>
      <c r="R976" s="92"/>
      <c r="S976" s="92"/>
      <c r="T976" s="92"/>
      <c r="U976" s="92"/>
      <c r="V976" s="52"/>
      <c r="W976" s="52"/>
      <c r="X976" s="52"/>
      <c r="Y976" s="52"/>
      <c r="Z976" s="51"/>
      <c r="AA976" s="73"/>
      <c r="AB976" s="73"/>
      <c r="AC976" s="74"/>
      <c r="AD976" s="80" t="s">
        <v>7538</v>
      </c>
      <c r="AE976" s="85" t="s">
        <v>6398</v>
      </c>
      <c r="AF976" s="80">
        <v>453</v>
      </c>
      <c r="AG976" s="80">
        <v>14143</v>
      </c>
      <c r="AH976" s="80">
        <v>240780</v>
      </c>
      <c r="AI976" s="80">
        <v>140336</v>
      </c>
      <c r="AJ976" s="80"/>
      <c r="AK976" s="80" t="s">
        <v>9821</v>
      </c>
      <c r="AL976" s="80" t="s">
        <v>10592</v>
      </c>
      <c r="AM976" s="87" t="str">
        <f>HYPERLINK("https://t.co/Vrs7MR0zJD")</f>
        <v>https://t.co/Vrs7MR0zJD</v>
      </c>
      <c r="AN976" s="80"/>
      <c r="AO976" s="82">
        <v>42024.064571759256</v>
      </c>
      <c r="AP976" s="87" t="str">
        <f>HYPERLINK("https://pbs.twimg.com/profile_banners/2990465502/1609807599")</f>
        <v>https://pbs.twimg.com/profile_banners/2990465502/1609807599</v>
      </c>
      <c r="AQ976" s="80" t="b">
        <v>1</v>
      </c>
      <c r="AR976" s="80" t="b">
        <v>0</v>
      </c>
      <c r="AS976" s="80" t="b">
        <v>1</v>
      </c>
      <c r="AT976" s="80"/>
      <c r="AU976" s="80">
        <v>23</v>
      </c>
      <c r="AV976" s="87" t="str">
        <f>HYPERLINK("https://abs.twimg.com/images/themes/theme1/bg.png")</f>
        <v>https://abs.twimg.com/images/themes/theme1/bg.png</v>
      </c>
      <c r="AW976" s="80" t="b">
        <v>0</v>
      </c>
      <c r="AX976" s="80" t="s">
        <v>10746</v>
      </c>
      <c r="AY976" s="87" t="str">
        <f>HYPERLINK("https://twitter.com/bkipm_kkp")</f>
        <v>https://twitter.com/bkipm_kkp</v>
      </c>
      <c r="AZ976" s="80" t="s">
        <v>66</v>
      </c>
      <c r="BA976" s="2"/>
      <c r="BB976" s="3"/>
      <c r="BC976" s="3"/>
      <c r="BD976" s="3"/>
      <c r="BE976" s="3"/>
    </row>
    <row r="977" spans="1:57" x14ac:dyDescent="0.35">
      <c r="A977" s="66" t="s">
        <v>987</v>
      </c>
      <c r="B977" s="67"/>
      <c r="C977" s="67"/>
      <c r="D977" s="68"/>
      <c r="E977" s="70"/>
      <c r="F977" s="109" t="str">
        <f>HYPERLINK("https://pbs.twimg.com/profile_images/930818251390558208/5F8BKHd1_normal.jpg")</f>
        <v>https://pbs.twimg.com/profile_images/930818251390558208/5F8BKHd1_normal.jpg</v>
      </c>
      <c r="G977" s="67"/>
      <c r="H977" s="71"/>
      <c r="I977" s="72"/>
      <c r="J977" s="72"/>
      <c r="K977" s="71" t="s">
        <v>11720</v>
      </c>
      <c r="L977" s="75"/>
      <c r="M977" s="76"/>
      <c r="N977" s="76"/>
      <c r="O977" s="77"/>
      <c r="P977" s="78"/>
      <c r="Q977" s="78"/>
      <c r="R977" s="92"/>
      <c r="S977" s="92"/>
      <c r="T977" s="92"/>
      <c r="U977" s="92"/>
      <c r="V977" s="52"/>
      <c r="W977" s="52"/>
      <c r="X977" s="52"/>
      <c r="Y977" s="52"/>
      <c r="Z977" s="51"/>
      <c r="AA977" s="73"/>
      <c r="AB977" s="73"/>
      <c r="AC977" s="74"/>
      <c r="AD977" s="80" t="s">
        <v>7539</v>
      </c>
      <c r="AE977" s="85" t="s">
        <v>8688</v>
      </c>
      <c r="AF977" s="80">
        <v>130</v>
      </c>
      <c r="AG977" s="80">
        <v>604</v>
      </c>
      <c r="AH977" s="80">
        <v>11355</v>
      </c>
      <c r="AI977" s="80">
        <v>2383</v>
      </c>
      <c r="AJ977" s="80"/>
      <c r="AK977" s="80" t="s">
        <v>9822</v>
      </c>
      <c r="AL977" s="80" t="s">
        <v>10593</v>
      </c>
      <c r="AM977" s="87" t="str">
        <f>HYPERLINK("https://t.co/5qmdx1O6K4")</f>
        <v>https://t.co/5qmdx1O6K4</v>
      </c>
      <c r="AN977" s="80"/>
      <c r="AO977" s="82">
        <v>42878.473645833335</v>
      </c>
      <c r="AP977" s="87" t="str">
        <f>HYPERLINK("https://pbs.twimg.com/profile_banners/866977522931572736/1584177189")</f>
        <v>https://pbs.twimg.com/profile_banners/866977522931572736/1584177189</v>
      </c>
      <c r="AQ977" s="80" t="b">
        <v>0</v>
      </c>
      <c r="AR977" s="80" t="b">
        <v>0</v>
      </c>
      <c r="AS977" s="80" t="b">
        <v>1</v>
      </c>
      <c r="AT977" s="80"/>
      <c r="AU977" s="80">
        <v>1</v>
      </c>
      <c r="AV977" s="87" t="str">
        <f>HYPERLINK("https://abs.twimg.com/images/themes/theme1/bg.png")</f>
        <v>https://abs.twimg.com/images/themes/theme1/bg.png</v>
      </c>
      <c r="AW977" s="80" t="b">
        <v>0</v>
      </c>
      <c r="AX977" s="80" t="s">
        <v>10746</v>
      </c>
      <c r="AY977" s="87" t="str">
        <f>HYPERLINK("https://twitter.com/wilkerjalaludin")</f>
        <v>https://twitter.com/wilkerjalaludin</v>
      </c>
      <c r="AZ977" s="80" t="s">
        <v>66</v>
      </c>
      <c r="BA977" s="2"/>
      <c r="BB977" s="3"/>
      <c r="BC977" s="3"/>
      <c r="BD977" s="3"/>
      <c r="BE977" s="3"/>
    </row>
    <row r="978" spans="1:57" x14ac:dyDescent="0.35">
      <c r="A978" s="66" t="s">
        <v>988</v>
      </c>
      <c r="B978" s="67"/>
      <c r="C978" s="67"/>
      <c r="D978" s="68"/>
      <c r="E978" s="70"/>
      <c r="F978" s="109" t="str">
        <f>HYPERLINK("https://pbs.twimg.com/profile_images/1440275434856333322/gnZAUznN_normal.jpg")</f>
        <v>https://pbs.twimg.com/profile_images/1440275434856333322/gnZAUznN_normal.jpg</v>
      </c>
      <c r="G978" s="67"/>
      <c r="H978" s="71"/>
      <c r="I978" s="72"/>
      <c r="J978" s="72"/>
      <c r="K978" s="71" t="s">
        <v>11721</v>
      </c>
      <c r="L978" s="75"/>
      <c r="M978" s="76"/>
      <c r="N978" s="76"/>
      <c r="O978" s="77"/>
      <c r="P978" s="78"/>
      <c r="Q978" s="78"/>
      <c r="R978" s="92"/>
      <c r="S978" s="92"/>
      <c r="T978" s="92"/>
      <c r="U978" s="92"/>
      <c r="V978" s="52"/>
      <c r="W978" s="52"/>
      <c r="X978" s="52"/>
      <c r="Y978" s="52"/>
      <c r="Z978" s="51"/>
      <c r="AA978" s="73"/>
      <c r="AB978" s="73"/>
      <c r="AC978" s="74"/>
      <c r="AD978" s="80" t="s">
        <v>7540</v>
      </c>
      <c r="AE978" s="85" t="s">
        <v>8689</v>
      </c>
      <c r="AF978" s="80">
        <v>602</v>
      </c>
      <c r="AG978" s="80">
        <v>961</v>
      </c>
      <c r="AH978" s="80">
        <v>2523</v>
      </c>
      <c r="AI978" s="80">
        <v>3216</v>
      </c>
      <c r="AJ978" s="80"/>
      <c r="AK978" s="80" t="s">
        <v>9823</v>
      </c>
      <c r="AL978" s="80" t="s">
        <v>10594</v>
      </c>
      <c r="AM978" s="80"/>
      <c r="AN978" s="80"/>
      <c r="AO978" s="82">
        <v>44445.651666666665</v>
      </c>
      <c r="AP978" s="87" t="str">
        <f>HYPERLINK("https://pbs.twimg.com/profile_banners/1434903691509649412/1632206422")</f>
        <v>https://pbs.twimg.com/profile_banners/1434903691509649412/1632206422</v>
      </c>
      <c r="AQ978" s="80" t="b">
        <v>1</v>
      </c>
      <c r="AR978" s="80" t="b">
        <v>0</v>
      </c>
      <c r="AS978" s="80" t="b">
        <v>0</v>
      </c>
      <c r="AT978" s="80"/>
      <c r="AU978" s="80">
        <v>1</v>
      </c>
      <c r="AV978" s="80"/>
      <c r="AW978" s="80" t="b">
        <v>0</v>
      </c>
      <c r="AX978" s="80" t="s">
        <v>10746</v>
      </c>
      <c r="AY978" s="87" t="str">
        <f>HYPERLINK("https://twitter.com/craemkoo")</f>
        <v>https://twitter.com/craemkoo</v>
      </c>
      <c r="AZ978" s="80" t="s">
        <v>66</v>
      </c>
      <c r="BA978" s="2"/>
      <c r="BB978" s="3"/>
      <c r="BC978" s="3"/>
      <c r="BD978" s="3"/>
      <c r="BE978" s="3"/>
    </row>
    <row r="979" spans="1:57" x14ac:dyDescent="0.35">
      <c r="A979" s="66" t="s">
        <v>989</v>
      </c>
      <c r="B979" s="67"/>
      <c r="C979" s="67"/>
      <c r="D979" s="68"/>
      <c r="E979" s="70"/>
      <c r="F979" s="109" t="str">
        <f>HYPERLINK("https://pbs.twimg.com/profile_images/1434936736317009922/tcvrUlpW_normal.jpg")</f>
        <v>https://pbs.twimg.com/profile_images/1434936736317009922/tcvrUlpW_normal.jpg</v>
      </c>
      <c r="G979" s="67"/>
      <c r="H979" s="71"/>
      <c r="I979" s="72"/>
      <c r="J979" s="72"/>
      <c r="K979" s="71" t="s">
        <v>11722</v>
      </c>
      <c r="L979" s="75"/>
      <c r="M979" s="76"/>
      <c r="N979" s="76"/>
      <c r="O979" s="77"/>
      <c r="P979" s="78"/>
      <c r="Q979" s="78"/>
      <c r="R979" s="92"/>
      <c r="S979" s="92"/>
      <c r="T979" s="92"/>
      <c r="U979" s="92"/>
      <c r="V979" s="52"/>
      <c r="W979" s="52"/>
      <c r="X979" s="52"/>
      <c r="Y979" s="52"/>
      <c r="Z979" s="51"/>
      <c r="AA979" s="73"/>
      <c r="AB979" s="73"/>
      <c r="AC979" s="74"/>
      <c r="AD979" s="80" t="s">
        <v>7541</v>
      </c>
      <c r="AE979" s="85" t="s">
        <v>8690</v>
      </c>
      <c r="AF979" s="80">
        <v>210</v>
      </c>
      <c r="AG979" s="80">
        <v>176</v>
      </c>
      <c r="AH979" s="80">
        <v>7398</v>
      </c>
      <c r="AI979" s="80">
        <v>13098</v>
      </c>
      <c r="AJ979" s="80"/>
      <c r="AK979" s="80" t="s">
        <v>9824</v>
      </c>
      <c r="AL979" s="80" t="s">
        <v>10595</v>
      </c>
      <c r="AM979" s="80"/>
      <c r="AN979" s="80"/>
      <c r="AO979" s="82">
        <v>43451.470219907409</v>
      </c>
      <c r="AP979" s="87" t="str">
        <f>HYPERLINK("https://pbs.twimg.com/profile_banners/1074624527894700032/1632111749")</f>
        <v>https://pbs.twimg.com/profile_banners/1074624527894700032/1632111749</v>
      </c>
      <c r="AQ979" s="80" t="b">
        <v>1</v>
      </c>
      <c r="AR979" s="80" t="b">
        <v>0</v>
      </c>
      <c r="AS979" s="80" t="b">
        <v>0</v>
      </c>
      <c r="AT979" s="80"/>
      <c r="AU979" s="80">
        <v>0</v>
      </c>
      <c r="AV979" s="80"/>
      <c r="AW979" s="80" t="b">
        <v>0</v>
      </c>
      <c r="AX979" s="80" t="s">
        <v>10746</v>
      </c>
      <c r="AY979" s="87" t="str">
        <f>HYPERLINK("https://twitter.com/imanassrii")</f>
        <v>https://twitter.com/imanassrii</v>
      </c>
      <c r="AZ979" s="80" t="s">
        <v>66</v>
      </c>
      <c r="BA979" s="2"/>
      <c r="BB979" s="3"/>
      <c r="BC979" s="3"/>
      <c r="BD979" s="3"/>
      <c r="BE979" s="3"/>
    </row>
    <row r="980" spans="1:57" x14ac:dyDescent="0.35">
      <c r="A980" s="66" t="s">
        <v>991</v>
      </c>
      <c r="B980" s="67"/>
      <c r="C980" s="67"/>
      <c r="D980" s="68"/>
      <c r="E980" s="70"/>
      <c r="F980" s="109" t="str">
        <f>HYPERLINK("https://pbs.twimg.com/profile_images/1442520761630003202/grtZro-j_normal.jpg")</f>
        <v>https://pbs.twimg.com/profile_images/1442520761630003202/grtZro-j_normal.jpg</v>
      </c>
      <c r="G980" s="67"/>
      <c r="H980" s="71"/>
      <c r="I980" s="72"/>
      <c r="J980" s="72"/>
      <c r="K980" s="71" t="s">
        <v>11723</v>
      </c>
      <c r="L980" s="75"/>
      <c r="M980" s="76"/>
      <c r="N980" s="76"/>
      <c r="O980" s="77"/>
      <c r="P980" s="78"/>
      <c r="Q980" s="78"/>
      <c r="R980" s="92"/>
      <c r="S980" s="92"/>
      <c r="T980" s="92"/>
      <c r="U980" s="92"/>
      <c r="V980" s="52"/>
      <c r="W980" s="52"/>
      <c r="X980" s="52"/>
      <c r="Y980" s="52"/>
      <c r="Z980" s="51"/>
      <c r="AA980" s="73"/>
      <c r="AB980" s="73"/>
      <c r="AC980" s="74"/>
      <c r="AD980" s="80" t="s">
        <v>7542</v>
      </c>
      <c r="AE980" s="85" t="s">
        <v>8691</v>
      </c>
      <c r="AF980" s="80">
        <v>235</v>
      </c>
      <c r="AG980" s="80">
        <v>251</v>
      </c>
      <c r="AH980" s="80">
        <v>8459</v>
      </c>
      <c r="AI980" s="80">
        <v>8430</v>
      </c>
      <c r="AJ980" s="80"/>
      <c r="AK980" s="80" t="s">
        <v>9825</v>
      </c>
      <c r="AL980" s="80" t="s">
        <v>10596</v>
      </c>
      <c r="AM980" s="80"/>
      <c r="AN980" s="80"/>
      <c r="AO980" s="82">
        <v>44345.614537037036</v>
      </c>
      <c r="AP980" s="87" t="str">
        <f>HYPERLINK("https://pbs.twimg.com/profile_banners/1398651484313579524/1632764392")</f>
        <v>https://pbs.twimg.com/profile_banners/1398651484313579524/1632764392</v>
      </c>
      <c r="AQ980" s="80" t="b">
        <v>1</v>
      </c>
      <c r="AR980" s="80" t="b">
        <v>0</v>
      </c>
      <c r="AS980" s="80" t="b">
        <v>1</v>
      </c>
      <c r="AT980" s="80"/>
      <c r="AU980" s="80">
        <v>1</v>
      </c>
      <c r="AV980" s="80"/>
      <c r="AW980" s="80" t="b">
        <v>0</v>
      </c>
      <c r="AX980" s="80" t="s">
        <v>10746</v>
      </c>
      <c r="AY980" s="87" t="str">
        <f>HYPERLINK("https://twitter.com/yangf41ry")</f>
        <v>https://twitter.com/yangf41ry</v>
      </c>
      <c r="AZ980" s="80" t="s">
        <v>66</v>
      </c>
      <c r="BA980" s="2"/>
      <c r="BB980" s="3"/>
      <c r="BC980" s="3"/>
      <c r="BD980" s="3"/>
      <c r="BE980" s="3"/>
    </row>
    <row r="981" spans="1:57" x14ac:dyDescent="0.35">
      <c r="A981" s="66" t="s">
        <v>992</v>
      </c>
      <c r="B981" s="67"/>
      <c r="C981" s="67"/>
      <c r="D981" s="68"/>
      <c r="E981" s="70"/>
      <c r="F981" s="109" t="str">
        <f>HYPERLINK("https://pbs.twimg.com/profile_images/1441757792235253768/JKjsucSE_normal.png")</f>
        <v>https://pbs.twimg.com/profile_images/1441757792235253768/JKjsucSE_normal.png</v>
      </c>
      <c r="G981" s="67"/>
      <c r="H981" s="71"/>
      <c r="I981" s="72"/>
      <c r="J981" s="72"/>
      <c r="K981" s="71" t="s">
        <v>11724</v>
      </c>
      <c r="L981" s="75"/>
      <c r="M981" s="76"/>
      <c r="N981" s="76"/>
      <c r="O981" s="77"/>
      <c r="P981" s="78"/>
      <c r="Q981" s="78"/>
      <c r="R981" s="92"/>
      <c r="S981" s="92"/>
      <c r="T981" s="92"/>
      <c r="U981" s="92"/>
      <c r="V981" s="52"/>
      <c r="W981" s="52"/>
      <c r="X981" s="52"/>
      <c r="Y981" s="52"/>
      <c r="Z981" s="51"/>
      <c r="AA981" s="73"/>
      <c r="AB981" s="73"/>
      <c r="AC981" s="74"/>
      <c r="AD981" s="80" t="s">
        <v>7543</v>
      </c>
      <c r="AE981" s="85" t="s">
        <v>8692</v>
      </c>
      <c r="AF981" s="80">
        <v>183</v>
      </c>
      <c r="AG981" s="80">
        <v>83</v>
      </c>
      <c r="AH981" s="80">
        <v>405</v>
      </c>
      <c r="AI981" s="80">
        <v>135</v>
      </c>
      <c r="AJ981" s="80"/>
      <c r="AK981" s="80" t="s">
        <v>9826</v>
      </c>
      <c r="AL981" s="80" t="s">
        <v>10597</v>
      </c>
      <c r="AM981" s="87" t="str">
        <f>HYPERLINK("https://t.co/kiiwMNc4IF")</f>
        <v>https://t.co/kiiwMNc4IF</v>
      </c>
      <c r="AN981" s="80"/>
      <c r="AO981" s="82">
        <v>42656.430601851855</v>
      </c>
      <c r="AP981" s="87" t="str">
        <f>HYPERLINK("https://pbs.twimg.com/profile_banners/786511816562126849/1632576830")</f>
        <v>https://pbs.twimg.com/profile_banners/786511816562126849/1632576830</v>
      </c>
      <c r="AQ981" s="80" t="b">
        <v>1</v>
      </c>
      <c r="AR981" s="80" t="b">
        <v>0</v>
      </c>
      <c r="AS981" s="80" t="b">
        <v>0</v>
      </c>
      <c r="AT981" s="80"/>
      <c r="AU981" s="80">
        <v>0</v>
      </c>
      <c r="AV981" s="80"/>
      <c r="AW981" s="80" t="b">
        <v>0</v>
      </c>
      <c r="AX981" s="80" t="s">
        <v>10746</v>
      </c>
      <c r="AY981" s="87" t="str">
        <f>HYPERLINK("https://twitter.com/occeanview")</f>
        <v>https://twitter.com/occeanview</v>
      </c>
      <c r="AZ981" s="80" t="s">
        <v>66</v>
      </c>
      <c r="BA981" s="2"/>
      <c r="BB981" s="3"/>
      <c r="BC981" s="3"/>
      <c r="BD981" s="3"/>
      <c r="BE981" s="3"/>
    </row>
    <row r="982" spans="1:57" x14ac:dyDescent="0.35">
      <c r="A982" s="66" t="s">
        <v>993</v>
      </c>
      <c r="B982" s="67"/>
      <c r="C982" s="67"/>
      <c r="D982" s="68"/>
      <c r="E982" s="70"/>
      <c r="F982" s="109" t="str">
        <f>HYPERLINK("https://pbs.twimg.com/profile_images/1408015822912585728/rOHIyfTL_normal.jpg")</f>
        <v>https://pbs.twimg.com/profile_images/1408015822912585728/rOHIyfTL_normal.jpg</v>
      </c>
      <c r="G982" s="67"/>
      <c r="H982" s="71"/>
      <c r="I982" s="72"/>
      <c r="J982" s="72"/>
      <c r="K982" s="71" t="s">
        <v>11725</v>
      </c>
      <c r="L982" s="75"/>
      <c r="M982" s="76"/>
      <c r="N982" s="76"/>
      <c r="O982" s="77"/>
      <c r="P982" s="78"/>
      <c r="Q982" s="78"/>
      <c r="R982" s="92"/>
      <c r="S982" s="92"/>
      <c r="T982" s="92"/>
      <c r="U982" s="92"/>
      <c r="V982" s="52"/>
      <c r="W982" s="52"/>
      <c r="X982" s="52"/>
      <c r="Y982" s="52"/>
      <c r="Z982" s="51"/>
      <c r="AA982" s="73"/>
      <c r="AB982" s="73"/>
      <c r="AC982" s="74"/>
      <c r="AD982" s="80" t="s">
        <v>7544</v>
      </c>
      <c r="AE982" s="85" t="s">
        <v>8693</v>
      </c>
      <c r="AF982" s="80">
        <v>136</v>
      </c>
      <c r="AG982" s="80">
        <v>5</v>
      </c>
      <c r="AH982" s="80">
        <v>89</v>
      </c>
      <c r="AI982" s="80">
        <v>74</v>
      </c>
      <c r="AJ982" s="80"/>
      <c r="AK982" s="80" t="s">
        <v>9827</v>
      </c>
      <c r="AL982" s="80" t="s">
        <v>10520</v>
      </c>
      <c r="AM982" s="80"/>
      <c r="AN982" s="80"/>
      <c r="AO982" s="82">
        <v>42691.031469907408</v>
      </c>
      <c r="AP982" s="87" t="str">
        <f>HYPERLINK("https://pbs.twimg.com/profile_banners/799050749980254208/1624532109")</f>
        <v>https://pbs.twimg.com/profile_banners/799050749980254208/1624532109</v>
      </c>
      <c r="AQ982" s="80" t="b">
        <v>1</v>
      </c>
      <c r="AR982" s="80" t="b">
        <v>0</v>
      </c>
      <c r="AS982" s="80" t="b">
        <v>0</v>
      </c>
      <c r="AT982" s="80"/>
      <c r="AU982" s="80">
        <v>0</v>
      </c>
      <c r="AV982" s="80"/>
      <c r="AW982" s="80" t="b">
        <v>0</v>
      </c>
      <c r="AX982" s="80" t="s">
        <v>10746</v>
      </c>
      <c r="AY982" s="87" t="str">
        <f>HYPERLINK("https://twitter.com/tariprinsa")</f>
        <v>https://twitter.com/tariprinsa</v>
      </c>
      <c r="AZ982" s="80" t="s">
        <v>66</v>
      </c>
      <c r="BA982" s="2"/>
      <c r="BB982" s="3"/>
      <c r="BC982" s="3"/>
      <c r="BD982" s="3"/>
      <c r="BE982" s="3"/>
    </row>
    <row r="983" spans="1:57" x14ac:dyDescent="0.35">
      <c r="A983" s="66" t="s">
        <v>1465</v>
      </c>
      <c r="B983" s="67"/>
      <c r="C983" s="67"/>
      <c r="D983" s="68"/>
      <c r="E983" s="70"/>
      <c r="F983" s="109" t="str">
        <f>HYPERLINK("https://pbs.twimg.com/profile_images/1396830612342730753/neVl0nVC_normal.jpg")</f>
        <v>https://pbs.twimg.com/profile_images/1396830612342730753/neVl0nVC_normal.jpg</v>
      </c>
      <c r="G983" s="67"/>
      <c r="H983" s="71"/>
      <c r="I983" s="72"/>
      <c r="J983" s="72"/>
      <c r="K983" s="71" t="s">
        <v>11726</v>
      </c>
      <c r="L983" s="75"/>
      <c r="M983" s="76"/>
      <c r="N983" s="76"/>
      <c r="O983" s="77"/>
      <c r="P983" s="78"/>
      <c r="Q983" s="78"/>
      <c r="R983" s="92"/>
      <c r="S983" s="92"/>
      <c r="T983" s="92"/>
      <c r="U983" s="92"/>
      <c r="V983" s="52"/>
      <c r="W983" s="52"/>
      <c r="X983" s="52"/>
      <c r="Y983" s="52"/>
      <c r="Z983" s="51"/>
      <c r="AA983" s="73"/>
      <c r="AB983" s="73"/>
      <c r="AC983" s="74"/>
      <c r="AD983" s="80" t="s">
        <v>7545</v>
      </c>
      <c r="AE983" s="85" t="s">
        <v>6399</v>
      </c>
      <c r="AF983" s="80">
        <v>13916</v>
      </c>
      <c r="AG983" s="80">
        <v>24671</v>
      </c>
      <c r="AH983" s="80">
        <v>10196</v>
      </c>
      <c r="AI983" s="80">
        <v>335</v>
      </c>
      <c r="AJ983" s="80"/>
      <c r="AK983" s="80" t="s">
        <v>9828</v>
      </c>
      <c r="AL983" s="80"/>
      <c r="AM983" s="80"/>
      <c r="AN983" s="80"/>
      <c r="AO983" s="82">
        <v>40646.248287037037</v>
      </c>
      <c r="AP983" s="87" t="str">
        <f>HYPERLINK("https://pbs.twimg.com/profile_banners/281388053/1592581484")</f>
        <v>https://pbs.twimg.com/profile_banners/281388053/1592581484</v>
      </c>
      <c r="AQ983" s="80" t="b">
        <v>0</v>
      </c>
      <c r="AR983" s="80" t="b">
        <v>0</v>
      </c>
      <c r="AS983" s="80" t="b">
        <v>0</v>
      </c>
      <c r="AT983" s="80"/>
      <c r="AU983" s="80">
        <v>44</v>
      </c>
      <c r="AV983" s="87" t="str">
        <f>HYPERLINK("https://abs.twimg.com/images/themes/theme13/bg.gif")</f>
        <v>https://abs.twimg.com/images/themes/theme13/bg.gif</v>
      </c>
      <c r="AW983" s="80" t="b">
        <v>0</v>
      </c>
      <c r="AX983" s="80" t="s">
        <v>10746</v>
      </c>
      <c r="AY983" s="87" t="str">
        <f>HYPERLINK("https://twitter.com/txtdariolshop_")</f>
        <v>https://twitter.com/txtdariolshop_</v>
      </c>
      <c r="AZ983" s="80" t="s">
        <v>65</v>
      </c>
      <c r="BA983" s="2"/>
      <c r="BB983" s="3"/>
      <c r="BC983" s="3"/>
      <c r="BD983" s="3"/>
      <c r="BE983" s="3"/>
    </row>
    <row r="984" spans="1:57" x14ac:dyDescent="0.35">
      <c r="A984" s="66" t="s">
        <v>994</v>
      </c>
      <c r="B984" s="67"/>
      <c r="C984" s="67"/>
      <c r="D984" s="68"/>
      <c r="E984" s="70"/>
      <c r="F984" s="109" t="str">
        <f>HYPERLINK("https://pbs.twimg.com/profile_images/1439883605015105540/r1Iy5DhT_normal.jpg")</f>
        <v>https://pbs.twimg.com/profile_images/1439883605015105540/r1Iy5DhT_normal.jpg</v>
      </c>
      <c r="G984" s="67"/>
      <c r="H984" s="71"/>
      <c r="I984" s="72"/>
      <c r="J984" s="72"/>
      <c r="K984" s="71" t="s">
        <v>11727</v>
      </c>
      <c r="L984" s="75"/>
      <c r="M984" s="76"/>
      <c r="N984" s="76"/>
      <c r="O984" s="77"/>
      <c r="P984" s="78"/>
      <c r="Q984" s="78"/>
      <c r="R984" s="92"/>
      <c r="S984" s="92"/>
      <c r="T984" s="92"/>
      <c r="U984" s="92"/>
      <c r="V984" s="52"/>
      <c r="W984" s="52"/>
      <c r="X984" s="52"/>
      <c r="Y984" s="52"/>
      <c r="Z984" s="51"/>
      <c r="AA984" s="73"/>
      <c r="AB984" s="73"/>
      <c r="AC984" s="74"/>
      <c r="AD984" s="80" t="s">
        <v>7546</v>
      </c>
      <c r="AE984" s="85" t="s">
        <v>8694</v>
      </c>
      <c r="AF984" s="80">
        <v>86</v>
      </c>
      <c r="AG984" s="80">
        <v>1</v>
      </c>
      <c r="AH984" s="80">
        <v>759</v>
      </c>
      <c r="AI984" s="80">
        <v>1084</v>
      </c>
      <c r="AJ984" s="80"/>
      <c r="AK984" s="80" t="s">
        <v>9829</v>
      </c>
      <c r="AL984" s="80" t="s">
        <v>10598</v>
      </c>
      <c r="AM984" s="87" t="str">
        <f>HYPERLINK("https://t.co/7SiYLbnrIS")</f>
        <v>https://t.co/7SiYLbnrIS</v>
      </c>
      <c r="AN984" s="80"/>
      <c r="AO984" s="82">
        <v>44289.188298611109</v>
      </c>
      <c r="AP984" s="87" t="str">
        <f>HYPERLINK("https://pbs.twimg.com/profile_banners/1378202566069129221/1632129977")</f>
        <v>https://pbs.twimg.com/profile_banners/1378202566069129221/1632129977</v>
      </c>
      <c r="AQ984" s="80" t="b">
        <v>1</v>
      </c>
      <c r="AR984" s="80" t="b">
        <v>0</v>
      </c>
      <c r="AS984" s="80" t="b">
        <v>0</v>
      </c>
      <c r="AT984" s="80"/>
      <c r="AU984" s="80">
        <v>0</v>
      </c>
      <c r="AV984" s="80"/>
      <c r="AW984" s="80" t="b">
        <v>0</v>
      </c>
      <c r="AX984" s="80" t="s">
        <v>10746</v>
      </c>
      <c r="AY984" s="87" t="str">
        <f>HYPERLINK("https://twitter.com/lcadies")</f>
        <v>https://twitter.com/lcadies</v>
      </c>
      <c r="AZ984" s="80" t="s">
        <v>66</v>
      </c>
      <c r="BA984" s="2"/>
      <c r="BB984" s="3"/>
      <c r="BC984" s="3"/>
      <c r="BD984" s="3"/>
      <c r="BE984" s="3"/>
    </row>
    <row r="985" spans="1:57" x14ac:dyDescent="0.35">
      <c r="A985" s="66" t="s">
        <v>995</v>
      </c>
      <c r="B985" s="67"/>
      <c r="C985" s="67"/>
      <c r="D985" s="68"/>
      <c r="E985" s="70"/>
      <c r="F985" s="109" t="str">
        <f>HYPERLINK("https://pbs.twimg.com/profile_images/1347744069330509826/r_ntje69_normal.jpg")</f>
        <v>https://pbs.twimg.com/profile_images/1347744069330509826/r_ntje69_normal.jpg</v>
      </c>
      <c r="G985" s="67"/>
      <c r="H985" s="71"/>
      <c r="I985" s="72"/>
      <c r="J985" s="72"/>
      <c r="K985" s="71" t="s">
        <v>11728</v>
      </c>
      <c r="L985" s="75"/>
      <c r="M985" s="76"/>
      <c r="N985" s="76"/>
      <c r="O985" s="77"/>
      <c r="P985" s="78"/>
      <c r="Q985" s="78"/>
      <c r="R985" s="92"/>
      <c r="S985" s="92"/>
      <c r="T985" s="92"/>
      <c r="U985" s="92"/>
      <c r="V985" s="52"/>
      <c r="W985" s="52"/>
      <c r="X985" s="52"/>
      <c r="Y985" s="52"/>
      <c r="Z985" s="51"/>
      <c r="AA985" s="73"/>
      <c r="AB985" s="73"/>
      <c r="AC985" s="74"/>
      <c r="AD985" s="80" t="s">
        <v>7547</v>
      </c>
      <c r="AE985" s="85" t="s">
        <v>8695</v>
      </c>
      <c r="AF985" s="80">
        <v>186</v>
      </c>
      <c r="AG985" s="80">
        <v>663</v>
      </c>
      <c r="AH985" s="80">
        <v>1752</v>
      </c>
      <c r="AI985" s="80">
        <v>642</v>
      </c>
      <c r="AJ985" s="80"/>
      <c r="AK985" s="80" t="s">
        <v>9830</v>
      </c>
      <c r="AL985" s="80" t="s">
        <v>10599</v>
      </c>
      <c r="AM985" s="87" t="str">
        <f>HYPERLINK("https://t.co/QTK35lc6nL")</f>
        <v>https://t.co/QTK35lc6nL</v>
      </c>
      <c r="AN985" s="80"/>
      <c r="AO985" s="82">
        <v>42457.397905092592</v>
      </c>
      <c r="AP985" s="87" t="str">
        <f>HYPERLINK("https://pbs.twimg.com/profile_banners/714384780171718656/1610162199")</f>
        <v>https://pbs.twimg.com/profile_banners/714384780171718656/1610162199</v>
      </c>
      <c r="AQ985" s="80" t="b">
        <v>1</v>
      </c>
      <c r="AR985" s="80" t="b">
        <v>0</v>
      </c>
      <c r="AS985" s="80" t="b">
        <v>1</v>
      </c>
      <c r="AT985" s="80"/>
      <c r="AU985" s="80">
        <v>0</v>
      </c>
      <c r="AV985" s="80"/>
      <c r="AW985" s="80" t="b">
        <v>0</v>
      </c>
      <c r="AX985" s="80" t="s">
        <v>10746</v>
      </c>
      <c r="AY985" s="87" t="str">
        <f>HYPERLINK("https://twitter.com/bnnksleman")</f>
        <v>https://twitter.com/bnnksleman</v>
      </c>
      <c r="AZ985" s="80" t="s">
        <v>66</v>
      </c>
      <c r="BA985" s="2"/>
      <c r="BB985" s="3"/>
      <c r="BC985" s="3"/>
      <c r="BD985" s="3"/>
      <c r="BE985" s="3"/>
    </row>
    <row r="986" spans="1:57" x14ac:dyDescent="0.35">
      <c r="A986" s="66" t="s">
        <v>996</v>
      </c>
      <c r="B986" s="67"/>
      <c r="C986" s="67"/>
      <c r="D986" s="68"/>
      <c r="E986" s="70"/>
      <c r="F986" s="109" t="str">
        <f>HYPERLINK("https://pbs.twimg.com/profile_images/1275777160213524482/ummI5RSO_normal.jpg")</f>
        <v>https://pbs.twimg.com/profile_images/1275777160213524482/ummI5RSO_normal.jpg</v>
      </c>
      <c r="G986" s="67"/>
      <c r="H986" s="71"/>
      <c r="I986" s="72"/>
      <c r="J986" s="72"/>
      <c r="K986" s="71" t="s">
        <v>11729</v>
      </c>
      <c r="L986" s="75"/>
      <c r="M986" s="76"/>
      <c r="N986" s="76"/>
      <c r="O986" s="77"/>
      <c r="P986" s="78"/>
      <c r="Q986" s="78"/>
      <c r="R986" s="92"/>
      <c r="S986" s="92"/>
      <c r="T986" s="92"/>
      <c r="U986" s="92"/>
      <c r="V986" s="52"/>
      <c r="W986" s="52"/>
      <c r="X986" s="52"/>
      <c r="Y986" s="52"/>
      <c r="Z986" s="51"/>
      <c r="AA986" s="73"/>
      <c r="AB986" s="73"/>
      <c r="AC986" s="74"/>
      <c r="AD986" s="80" t="s">
        <v>7548</v>
      </c>
      <c r="AE986" s="85" t="s">
        <v>8696</v>
      </c>
      <c r="AF986" s="80">
        <v>443</v>
      </c>
      <c r="AG986" s="80">
        <v>2988</v>
      </c>
      <c r="AH986" s="80">
        <v>105744</v>
      </c>
      <c r="AI986" s="80">
        <v>1416</v>
      </c>
      <c r="AJ986" s="80"/>
      <c r="AK986" s="80" t="s">
        <v>9831</v>
      </c>
      <c r="AL986" s="80"/>
      <c r="AM986" s="87" t="str">
        <f>HYPERLINK("https://t.co/yGvM7ljGh5")</f>
        <v>https://t.co/yGvM7ljGh5</v>
      </c>
      <c r="AN986" s="80"/>
      <c r="AO986" s="82">
        <v>41297.195347222223</v>
      </c>
      <c r="AP986" s="87" t="str">
        <f>HYPERLINK("https://pbs.twimg.com/profile_banners/1113465019/1594277031")</f>
        <v>https://pbs.twimg.com/profile_banners/1113465019/1594277031</v>
      </c>
      <c r="AQ986" s="80" t="b">
        <v>1</v>
      </c>
      <c r="AR986" s="80" t="b">
        <v>0</v>
      </c>
      <c r="AS986" s="80" t="b">
        <v>1</v>
      </c>
      <c r="AT986" s="80"/>
      <c r="AU986" s="80">
        <v>11</v>
      </c>
      <c r="AV986" s="87" t="str">
        <f>HYPERLINK("https://abs.twimg.com/images/themes/theme1/bg.png")</f>
        <v>https://abs.twimg.com/images/themes/theme1/bg.png</v>
      </c>
      <c r="AW986" s="80" t="b">
        <v>0</v>
      </c>
      <c r="AX986" s="80" t="s">
        <v>10746</v>
      </c>
      <c r="AY986" s="87" t="str">
        <f>HYPERLINK("https://twitter.com/dyanahr")</f>
        <v>https://twitter.com/dyanahr</v>
      </c>
      <c r="AZ986" s="80" t="s">
        <v>66</v>
      </c>
      <c r="BA986" s="2"/>
      <c r="BB986" s="3"/>
      <c r="BC986" s="3"/>
      <c r="BD986" s="3"/>
      <c r="BE986" s="3"/>
    </row>
    <row r="987" spans="1:57" x14ac:dyDescent="0.35">
      <c r="A987" s="66" t="s">
        <v>1466</v>
      </c>
      <c r="B987" s="67"/>
      <c r="C987" s="67"/>
      <c r="D987" s="68"/>
      <c r="E987" s="70"/>
      <c r="F987" s="109" t="str">
        <f>HYPERLINK("https://pbs.twimg.com/profile_images/1410569514564001795/QNextiNs_normal.jpg")</f>
        <v>https://pbs.twimg.com/profile_images/1410569514564001795/QNextiNs_normal.jpg</v>
      </c>
      <c r="G987" s="67"/>
      <c r="H987" s="71"/>
      <c r="I987" s="72"/>
      <c r="J987" s="72"/>
      <c r="K987" s="71" t="s">
        <v>11730</v>
      </c>
      <c r="L987" s="75"/>
      <c r="M987" s="76"/>
      <c r="N987" s="76"/>
      <c r="O987" s="77"/>
      <c r="P987" s="78"/>
      <c r="Q987" s="78"/>
      <c r="R987" s="92"/>
      <c r="S987" s="92"/>
      <c r="T987" s="92"/>
      <c r="U987" s="92"/>
      <c r="V987" s="52"/>
      <c r="W987" s="52"/>
      <c r="X987" s="52"/>
      <c r="Y987" s="52"/>
      <c r="Z987" s="51"/>
      <c r="AA987" s="73"/>
      <c r="AB987" s="73"/>
      <c r="AC987" s="74"/>
      <c r="AD987" s="80" t="s">
        <v>7549</v>
      </c>
      <c r="AE987" s="85" t="s">
        <v>6400</v>
      </c>
      <c r="AF987" s="80">
        <v>318</v>
      </c>
      <c r="AG987" s="80">
        <v>720</v>
      </c>
      <c r="AH987" s="80">
        <v>170877</v>
      </c>
      <c r="AI987" s="80">
        <v>1485</v>
      </c>
      <c r="AJ987" s="80"/>
      <c r="AK987" s="80" t="s">
        <v>9832</v>
      </c>
      <c r="AL987" s="80"/>
      <c r="AM987" s="80"/>
      <c r="AN987" s="80"/>
      <c r="AO987" s="82">
        <v>40264.169328703705</v>
      </c>
      <c r="AP987" s="80"/>
      <c r="AQ987" s="80" t="b">
        <v>0</v>
      </c>
      <c r="AR987" s="80" t="b">
        <v>0</v>
      </c>
      <c r="AS987" s="80" t="b">
        <v>0</v>
      </c>
      <c r="AT987" s="80"/>
      <c r="AU987" s="80">
        <v>7</v>
      </c>
      <c r="AV987" s="87" t="str">
        <f>HYPERLINK("https://abs.twimg.com/images/themes/theme7/bg.gif")</f>
        <v>https://abs.twimg.com/images/themes/theme7/bg.gif</v>
      </c>
      <c r="AW987" s="80" t="b">
        <v>0</v>
      </c>
      <c r="AX987" s="80" t="s">
        <v>10746</v>
      </c>
      <c r="AY987" s="87" t="str">
        <f>HYPERLINK("https://twitter.com/syazkurus")</f>
        <v>https://twitter.com/syazkurus</v>
      </c>
      <c r="AZ987" s="80" t="s">
        <v>65</v>
      </c>
      <c r="BA987" s="2"/>
      <c r="BB987" s="3"/>
      <c r="BC987" s="3"/>
      <c r="BD987" s="3"/>
      <c r="BE987" s="3"/>
    </row>
    <row r="988" spans="1:57" x14ac:dyDescent="0.35">
      <c r="A988" s="66" t="s">
        <v>997</v>
      </c>
      <c r="B988" s="67"/>
      <c r="C988" s="67"/>
      <c r="D988" s="68"/>
      <c r="E988" s="70"/>
      <c r="F988" s="109" t="str">
        <f>HYPERLINK("https://pbs.twimg.com/profile_images/1434816067323367427/blv2ecKY_normal.jpg")</f>
        <v>https://pbs.twimg.com/profile_images/1434816067323367427/blv2ecKY_normal.jpg</v>
      </c>
      <c r="G988" s="67"/>
      <c r="H988" s="71"/>
      <c r="I988" s="72"/>
      <c r="J988" s="72"/>
      <c r="K988" s="71" t="s">
        <v>11731</v>
      </c>
      <c r="L988" s="75"/>
      <c r="M988" s="76"/>
      <c r="N988" s="76"/>
      <c r="O988" s="77"/>
      <c r="P988" s="78"/>
      <c r="Q988" s="78"/>
      <c r="R988" s="92"/>
      <c r="S988" s="92"/>
      <c r="T988" s="92"/>
      <c r="U988" s="92"/>
      <c r="V988" s="52"/>
      <c r="W988" s="52"/>
      <c r="X988" s="52"/>
      <c r="Y988" s="52"/>
      <c r="Z988" s="51"/>
      <c r="AA988" s="73"/>
      <c r="AB988" s="73"/>
      <c r="AC988" s="74"/>
      <c r="AD988" s="80" t="s">
        <v>7550</v>
      </c>
      <c r="AE988" s="85" t="s">
        <v>6401</v>
      </c>
      <c r="AF988" s="80">
        <v>674</v>
      </c>
      <c r="AG988" s="80">
        <v>22644</v>
      </c>
      <c r="AH988" s="80">
        <v>105341</v>
      </c>
      <c r="AI988" s="80">
        <v>7702</v>
      </c>
      <c r="AJ988" s="80"/>
      <c r="AK988" s="80" t="s">
        <v>9833</v>
      </c>
      <c r="AL988" s="80" t="s">
        <v>6543</v>
      </c>
      <c r="AM988" s="87" t="str">
        <f>HYPERLINK("https://t.co/k9LVkO7oLT")</f>
        <v>https://t.co/k9LVkO7oLT</v>
      </c>
      <c r="AN988" s="80"/>
      <c r="AO988" s="82">
        <v>43318.26190972222</v>
      </c>
      <c r="AP988" s="87" t="str">
        <f>HYPERLINK("https://pbs.twimg.com/profile_banners/1026351452761944064/1630923952")</f>
        <v>https://pbs.twimg.com/profile_banners/1026351452761944064/1630923952</v>
      </c>
      <c r="AQ988" s="80" t="b">
        <v>1</v>
      </c>
      <c r="AR988" s="80" t="b">
        <v>0</v>
      </c>
      <c r="AS988" s="80" t="b">
        <v>1</v>
      </c>
      <c r="AT988" s="80"/>
      <c r="AU988" s="80">
        <v>51</v>
      </c>
      <c r="AV988" s="80"/>
      <c r="AW988" s="80" t="b">
        <v>0</v>
      </c>
      <c r="AX988" s="80" t="s">
        <v>10746</v>
      </c>
      <c r="AY988" s="87" t="str">
        <f>HYPERLINK("https://twitter.com/orchidpoison")</f>
        <v>https://twitter.com/orchidpoison</v>
      </c>
      <c r="AZ988" s="80" t="s">
        <v>66</v>
      </c>
      <c r="BA988" s="2"/>
      <c r="BB988" s="3"/>
      <c r="BC988" s="3"/>
      <c r="BD988" s="3"/>
      <c r="BE988" s="3"/>
    </row>
    <row r="989" spans="1:57" x14ac:dyDescent="0.35">
      <c r="A989" s="66" t="s">
        <v>998</v>
      </c>
      <c r="B989" s="67"/>
      <c r="C989" s="67"/>
      <c r="D989" s="68"/>
      <c r="E989" s="70"/>
      <c r="F989" s="109" t="str">
        <f>HYPERLINK("https://pbs.twimg.com/profile_images/1434897306730463234/43-XSpMM_normal.jpg")</f>
        <v>https://pbs.twimg.com/profile_images/1434897306730463234/43-XSpMM_normal.jpg</v>
      </c>
      <c r="G989" s="67"/>
      <c r="H989" s="71"/>
      <c r="I989" s="72"/>
      <c r="J989" s="72"/>
      <c r="K989" s="71" t="s">
        <v>11732</v>
      </c>
      <c r="L989" s="75"/>
      <c r="M989" s="76"/>
      <c r="N989" s="76"/>
      <c r="O989" s="77"/>
      <c r="P989" s="78"/>
      <c r="Q989" s="78"/>
      <c r="R989" s="92"/>
      <c r="S989" s="92"/>
      <c r="T989" s="92"/>
      <c r="U989" s="92"/>
      <c r="V989" s="52"/>
      <c r="W989" s="52"/>
      <c r="X989" s="52"/>
      <c r="Y989" s="52"/>
      <c r="Z989" s="51"/>
      <c r="AA989" s="73"/>
      <c r="AB989" s="73"/>
      <c r="AC989" s="74"/>
      <c r="AD989" s="80" t="s">
        <v>7551</v>
      </c>
      <c r="AE989" s="85" t="s">
        <v>8697</v>
      </c>
      <c r="AF989" s="80">
        <v>573</v>
      </c>
      <c r="AG989" s="80">
        <v>147</v>
      </c>
      <c r="AH989" s="80">
        <v>1244</v>
      </c>
      <c r="AI989" s="80">
        <v>14</v>
      </c>
      <c r="AJ989" s="80"/>
      <c r="AK989" s="80" t="s">
        <v>9834</v>
      </c>
      <c r="AL989" s="80" t="s">
        <v>10228</v>
      </c>
      <c r="AM989" s="87" t="str">
        <f>HYPERLINK("https://t.co/V6ILpLHiRO")</f>
        <v>https://t.co/V6ILpLHiRO</v>
      </c>
      <c r="AN989" s="80"/>
      <c r="AO989" s="82">
        <v>44408.654606481483</v>
      </c>
      <c r="AP989" s="87" t="str">
        <f>HYPERLINK("https://pbs.twimg.com/profile_banners/1421496493886693377/1630941193")</f>
        <v>https://pbs.twimg.com/profile_banners/1421496493886693377/1630941193</v>
      </c>
      <c r="AQ989" s="80" t="b">
        <v>1</v>
      </c>
      <c r="AR989" s="80" t="b">
        <v>0</v>
      </c>
      <c r="AS989" s="80" t="b">
        <v>0</v>
      </c>
      <c r="AT989" s="80"/>
      <c r="AU989" s="80">
        <v>0</v>
      </c>
      <c r="AV989" s="80"/>
      <c r="AW989" s="80" t="b">
        <v>0</v>
      </c>
      <c r="AX989" s="80" t="s">
        <v>10746</v>
      </c>
      <c r="AY989" s="87" t="str">
        <f>HYPERLINK("https://twitter.com/fokus_satu")</f>
        <v>https://twitter.com/fokus_satu</v>
      </c>
      <c r="AZ989" s="80" t="s">
        <v>66</v>
      </c>
      <c r="BA989" s="2"/>
      <c r="BB989" s="3"/>
      <c r="BC989" s="3"/>
      <c r="BD989" s="3"/>
      <c r="BE989" s="3"/>
    </row>
    <row r="990" spans="1:57" x14ac:dyDescent="0.35">
      <c r="A990" s="66" t="s">
        <v>999</v>
      </c>
      <c r="B990" s="67"/>
      <c r="C990" s="67"/>
      <c r="D990" s="68"/>
      <c r="E990" s="70"/>
      <c r="F990" s="109" t="str">
        <f>HYPERLINK("https://pbs.twimg.com/profile_images/914798666367475712/FrpfZMrS_normal.jpg")</f>
        <v>https://pbs.twimg.com/profile_images/914798666367475712/FrpfZMrS_normal.jpg</v>
      </c>
      <c r="G990" s="67"/>
      <c r="H990" s="71"/>
      <c r="I990" s="72"/>
      <c r="J990" s="72"/>
      <c r="K990" s="71" t="s">
        <v>11733</v>
      </c>
      <c r="L990" s="75"/>
      <c r="M990" s="76"/>
      <c r="N990" s="76"/>
      <c r="O990" s="77"/>
      <c r="P990" s="78"/>
      <c r="Q990" s="78"/>
      <c r="R990" s="92"/>
      <c r="S990" s="92"/>
      <c r="T990" s="92"/>
      <c r="U990" s="92"/>
      <c r="V990" s="52"/>
      <c r="W990" s="52"/>
      <c r="X990" s="52"/>
      <c r="Y990" s="52"/>
      <c r="Z990" s="51"/>
      <c r="AA990" s="73"/>
      <c r="AB990" s="73"/>
      <c r="AC990" s="74"/>
      <c r="AD990" s="80" t="s">
        <v>7552</v>
      </c>
      <c r="AE990" s="85" t="s">
        <v>8698</v>
      </c>
      <c r="AF990" s="80">
        <v>339</v>
      </c>
      <c r="AG990" s="80">
        <v>155</v>
      </c>
      <c r="AH990" s="80">
        <v>7757</v>
      </c>
      <c r="AI990" s="80">
        <v>593</v>
      </c>
      <c r="AJ990" s="80"/>
      <c r="AK990" s="80" t="s">
        <v>9835</v>
      </c>
      <c r="AL990" s="80">
        <v>404</v>
      </c>
      <c r="AM990" s="80"/>
      <c r="AN990" s="80"/>
      <c r="AO990" s="82">
        <v>40567.92391203704</v>
      </c>
      <c r="AP990" s="87" t="str">
        <f>HYPERLINK("https://pbs.twimg.com/profile_banners/242485315/1632581015")</f>
        <v>https://pbs.twimg.com/profile_banners/242485315/1632581015</v>
      </c>
      <c r="AQ990" s="80" t="b">
        <v>0</v>
      </c>
      <c r="AR990" s="80" t="b">
        <v>0</v>
      </c>
      <c r="AS990" s="80" t="b">
        <v>1</v>
      </c>
      <c r="AT990" s="80"/>
      <c r="AU990" s="80">
        <v>0</v>
      </c>
      <c r="AV990" s="87" t="str">
        <f>HYPERLINK("https://abs.twimg.com/images/themes/theme14/bg.gif")</f>
        <v>https://abs.twimg.com/images/themes/theme14/bg.gif</v>
      </c>
      <c r="AW990" s="80" t="b">
        <v>0</v>
      </c>
      <c r="AX990" s="80" t="s">
        <v>10746</v>
      </c>
      <c r="AY990" s="87" t="str">
        <f>HYPERLINK("https://twitter.com/sapepulakni")</f>
        <v>https://twitter.com/sapepulakni</v>
      </c>
      <c r="AZ990" s="80" t="s">
        <v>66</v>
      </c>
      <c r="BA990" s="2"/>
      <c r="BB990" s="3"/>
      <c r="BC990" s="3"/>
      <c r="BD990" s="3"/>
      <c r="BE990" s="3"/>
    </row>
    <row r="991" spans="1:57" x14ac:dyDescent="0.35">
      <c r="A991" s="66" t="s">
        <v>1000</v>
      </c>
      <c r="B991" s="67"/>
      <c r="C991" s="67"/>
      <c r="D991" s="68"/>
      <c r="E991" s="70"/>
      <c r="F991" s="109" t="str">
        <f>HYPERLINK("https://pbs.twimg.com/profile_images/1426679799313960960/uc_0K0z5_normal.jpg")</f>
        <v>https://pbs.twimg.com/profile_images/1426679799313960960/uc_0K0z5_normal.jpg</v>
      </c>
      <c r="G991" s="67"/>
      <c r="H991" s="71"/>
      <c r="I991" s="72"/>
      <c r="J991" s="72"/>
      <c r="K991" s="71" t="s">
        <v>11734</v>
      </c>
      <c r="L991" s="75"/>
      <c r="M991" s="76"/>
      <c r="N991" s="76"/>
      <c r="O991" s="77"/>
      <c r="P991" s="78"/>
      <c r="Q991" s="78"/>
      <c r="R991" s="92"/>
      <c r="S991" s="92"/>
      <c r="T991" s="92"/>
      <c r="U991" s="92"/>
      <c r="V991" s="52"/>
      <c r="W991" s="52"/>
      <c r="X991" s="52"/>
      <c r="Y991" s="52"/>
      <c r="Z991" s="51"/>
      <c r="AA991" s="73"/>
      <c r="AB991" s="73"/>
      <c r="AC991" s="74"/>
      <c r="AD991" s="80" t="s">
        <v>7553</v>
      </c>
      <c r="AE991" s="85" t="s">
        <v>8699</v>
      </c>
      <c r="AF991" s="80">
        <v>76</v>
      </c>
      <c r="AG991" s="80">
        <v>49</v>
      </c>
      <c r="AH991" s="80">
        <v>1752</v>
      </c>
      <c r="AI991" s="80">
        <v>170</v>
      </c>
      <c r="AJ991" s="80"/>
      <c r="AK991" s="80" t="s">
        <v>9836</v>
      </c>
      <c r="AL991" s="80" t="s">
        <v>10218</v>
      </c>
      <c r="AM991" s="80"/>
      <c r="AN991" s="80"/>
      <c r="AO991" s="82">
        <v>44097.508912037039</v>
      </c>
      <c r="AP991" s="87" t="str">
        <f>HYPERLINK("https://pbs.twimg.com/profile_banners/1308741041260908544/1631850636")</f>
        <v>https://pbs.twimg.com/profile_banners/1308741041260908544/1631850636</v>
      </c>
      <c r="AQ991" s="80" t="b">
        <v>1</v>
      </c>
      <c r="AR991" s="80" t="b">
        <v>0</v>
      </c>
      <c r="AS991" s="80" t="b">
        <v>1</v>
      </c>
      <c r="AT991" s="80"/>
      <c r="AU991" s="80">
        <v>0</v>
      </c>
      <c r="AV991" s="80"/>
      <c r="AW991" s="80" t="b">
        <v>0</v>
      </c>
      <c r="AX991" s="80" t="s">
        <v>10746</v>
      </c>
      <c r="AY991" s="87" t="str">
        <f>HYPERLINK("https://twitter.com/khairudinzack07")</f>
        <v>https://twitter.com/khairudinzack07</v>
      </c>
      <c r="AZ991" s="80" t="s">
        <v>66</v>
      </c>
      <c r="BA991" s="2"/>
      <c r="BB991" s="3"/>
      <c r="BC991" s="3"/>
      <c r="BD991" s="3"/>
      <c r="BE991" s="3"/>
    </row>
    <row r="992" spans="1:57" x14ac:dyDescent="0.35">
      <c r="A992" s="66" t="s">
        <v>1467</v>
      </c>
      <c r="B992" s="67"/>
      <c r="C992" s="67"/>
      <c r="D992" s="68"/>
      <c r="E992" s="70"/>
      <c r="F992" s="109" t="str">
        <f>HYPERLINK("https://pbs.twimg.com/profile_images/768130274018205697/QECNmj4__normal.jpg")</f>
        <v>https://pbs.twimg.com/profile_images/768130274018205697/QECNmj4__normal.jpg</v>
      </c>
      <c r="G992" s="67"/>
      <c r="H992" s="71"/>
      <c r="I992" s="72"/>
      <c r="J992" s="72"/>
      <c r="K992" s="71" t="s">
        <v>11735</v>
      </c>
      <c r="L992" s="75"/>
      <c r="M992" s="76"/>
      <c r="N992" s="76"/>
      <c r="O992" s="77"/>
      <c r="P992" s="78"/>
      <c r="Q992" s="78"/>
      <c r="R992" s="92"/>
      <c r="S992" s="92"/>
      <c r="T992" s="92"/>
      <c r="U992" s="92"/>
      <c r="V992" s="52"/>
      <c r="W992" s="52"/>
      <c r="X992" s="52"/>
      <c r="Y992" s="52"/>
      <c r="Z992" s="51"/>
      <c r="AA992" s="73"/>
      <c r="AB992" s="73"/>
      <c r="AC992" s="74"/>
      <c r="AD992" s="80" t="s">
        <v>7554</v>
      </c>
      <c r="AE992" s="85" t="s">
        <v>8700</v>
      </c>
      <c r="AF992" s="80">
        <v>630</v>
      </c>
      <c r="AG992" s="80">
        <v>600</v>
      </c>
      <c r="AH992" s="80">
        <v>27436</v>
      </c>
      <c r="AI992" s="80">
        <v>4939</v>
      </c>
      <c r="AJ992" s="80"/>
      <c r="AK992" s="80" t="s">
        <v>9837</v>
      </c>
      <c r="AL992" s="80" t="s">
        <v>10600</v>
      </c>
      <c r="AM992" s="87" t="str">
        <f>HYPERLINK("https://t.co/8xcFYiV17T")</f>
        <v>https://t.co/8xcFYiV17T</v>
      </c>
      <c r="AN992" s="80"/>
      <c r="AO992" s="82">
        <v>40703.685960648145</v>
      </c>
      <c r="AP992" s="87" t="str">
        <f>HYPERLINK("https://pbs.twimg.com/profile_banners/314040433/1620334756")</f>
        <v>https://pbs.twimg.com/profile_banners/314040433/1620334756</v>
      </c>
      <c r="AQ992" s="80" t="b">
        <v>0</v>
      </c>
      <c r="AR992" s="80" t="b">
        <v>0</v>
      </c>
      <c r="AS992" s="80" t="b">
        <v>1</v>
      </c>
      <c r="AT992" s="80"/>
      <c r="AU992" s="80">
        <v>2</v>
      </c>
      <c r="AV992" s="87" t="str">
        <f>HYPERLINK("https://abs.twimg.com/images/themes/theme1/bg.png")</f>
        <v>https://abs.twimg.com/images/themes/theme1/bg.png</v>
      </c>
      <c r="AW992" s="80" t="b">
        <v>0</v>
      </c>
      <c r="AX992" s="80" t="s">
        <v>10746</v>
      </c>
      <c r="AY992" s="87" t="str">
        <f>HYPERLINK("https://twitter.com/mamatdinzz")</f>
        <v>https://twitter.com/mamatdinzz</v>
      </c>
      <c r="AZ992" s="80" t="s">
        <v>65</v>
      </c>
      <c r="BA992" s="2"/>
      <c r="BB992" s="3"/>
      <c r="BC992" s="3"/>
      <c r="BD992" s="3"/>
      <c r="BE992" s="3"/>
    </row>
    <row r="993" spans="1:57" x14ac:dyDescent="0.35">
      <c r="A993" s="66" t="s">
        <v>1468</v>
      </c>
      <c r="B993" s="67"/>
      <c r="C993" s="67"/>
      <c r="D993" s="68"/>
      <c r="E993" s="70"/>
      <c r="F993" s="109" t="str">
        <f>HYPERLINK("https://pbs.twimg.com/profile_images/1328393117884551168/iImE7Gdq_normal.jpg")</f>
        <v>https://pbs.twimg.com/profile_images/1328393117884551168/iImE7Gdq_normal.jpg</v>
      </c>
      <c r="G993" s="67"/>
      <c r="H993" s="71"/>
      <c r="I993" s="72"/>
      <c r="J993" s="72"/>
      <c r="K993" s="71" t="s">
        <v>11736</v>
      </c>
      <c r="L993" s="75"/>
      <c r="M993" s="76"/>
      <c r="N993" s="76"/>
      <c r="O993" s="77"/>
      <c r="P993" s="78"/>
      <c r="Q993" s="78"/>
      <c r="R993" s="92"/>
      <c r="S993" s="92"/>
      <c r="T993" s="92"/>
      <c r="U993" s="92"/>
      <c r="V993" s="52"/>
      <c r="W993" s="52"/>
      <c r="X993" s="52"/>
      <c r="Y993" s="52"/>
      <c r="Z993" s="51"/>
      <c r="AA993" s="73"/>
      <c r="AB993" s="73"/>
      <c r="AC993" s="74"/>
      <c r="AD993" s="80" t="s">
        <v>7555</v>
      </c>
      <c r="AE993" s="85" t="s">
        <v>6402</v>
      </c>
      <c r="AF993" s="80">
        <v>710</v>
      </c>
      <c r="AG993" s="80">
        <v>712</v>
      </c>
      <c r="AH993" s="80">
        <v>27760</v>
      </c>
      <c r="AI993" s="80">
        <v>12806</v>
      </c>
      <c r="AJ993" s="80"/>
      <c r="AK993" s="80" t="s">
        <v>9838</v>
      </c>
      <c r="AL993" s="80"/>
      <c r="AM993" s="80"/>
      <c r="AN993" s="80"/>
      <c r="AO993" s="82">
        <v>41276.714467592596</v>
      </c>
      <c r="AP993" s="87" t="str">
        <f>HYPERLINK("https://pbs.twimg.com/profile_banners/1055594166/1618026281")</f>
        <v>https://pbs.twimg.com/profile_banners/1055594166/1618026281</v>
      </c>
      <c r="AQ993" s="80" t="b">
        <v>0</v>
      </c>
      <c r="AR993" s="80" t="b">
        <v>0</v>
      </c>
      <c r="AS993" s="80" t="b">
        <v>1</v>
      </c>
      <c r="AT993" s="80"/>
      <c r="AU993" s="80">
        <v>0</v>
      </c>
      <c r="AV993" s="87" t="str">
        <f>HYPERLINK("https://abs.twimg.com/images/themes/theme2/bg.gif")</f>
        <v>https://abs.twimg.com/images/themes/theme2/bg.gif</v>
      </c>
      <c r="AW993" s="80" t="b">
        <v>0</v>
      </c>
      <c r="AX993" s="80" t="s">
        <v>10746</v>
      </c>
      <c r="AY993" s="87" t="str">
        <f>HYPERLINK("https://twitter.com/mohdruzainii")</f>
        <v>https://twitter.com/mohdruzainii</v>
      </c>
      <c r="AZ993" s="80" t="s">
        <v>65</v>
      </c>
      <c r="BA993" s="2"/>
      <c r="BB993" s="3"/>
      <c r="BC993" s="3"/>
      <c r="BD993" s="3"/>
      <c r="BE993" s="3"/>
    </row>
    <row r="994" spans="1:57" x14ac:dyDescent="0.35">
      <c r="A994" s="66" t="s">
        <v>1001</v>
      </c>
      <c r="B994" s="67"/>
      <c r="C994" s="67"/>
      <c r="D994" s="68"/>
      <c r="E994" s="70"/>
      <c r="F994" s="109" t="str">
        <f>HYPERLINK("https://pbs.twimg.com/profile_images/1418975032668196865/GYPK3gsY_normal.jpg")</f>
        <v>https://pbs.twimg.com/profile_images/1418975032668196865/GYPK3gsY_normal.jpg</v>
      </c>
      <c r="G994" s="67"/>
      <c r="H994" s="71"/>
      <c r="I994" s="72"/>
      <c r="J994" s="72"/>
      <c r="K994" s="71" t="s">
        <v>11737</v>
      </c>
      <c r="L994" s="75"/>
      <c r="M994" s="76"/>
      <c r="N994" s="76"/>
      <c r="O994" s="77"/>
      <c r="P994" s="78"/>
      <c r="Q994" s="78"/>
      <c r="R994" s="92"/>
      <c r="S994" s="92"/>
      <c r="T994" s="92"/>
      <c r="U994" s="92"/>
      <c r="V994" s="52"/>
      <c r="W994" s="52"/>
      <c r="X994" s="52"/>
      <c r="Y994" s="52"/>
      <c r="Z994" s="51"/>
      <c r="AA994" s="73"/>
      <c r="AB994" s="73"/>
      <c r="AC994" s="74"/>
      <c r="AD994" s="80" t="s">
        <v>7556</v>
      </c>
      <c r="AE994" s="85" t="s">
        <v>8701</v>
      </c>
      <c r="AF994" s="80">
        <v>480</v>
      </c>
      <c r="AG994" s="80">
        <v>557</v>
      </c>
      <c r="AH994" s="80">
        <v>3780</v>
      </c>
      <c r="AI994" s="80">
        <v>4432</v>
      </c>
      <c r="AJ994" s="80"/>
      <c r="AK994" s="80" t="s">
        <v>9839</v>
      </c>
      <c r="AL994" s="80" t="s">
        <v>10601</v>
      </c>
      <c r="AM994" s="80"/>
      <c r="AN994" s="80"/>
      <c r="AO994" s="82">
        <v>43286.388564814813</v>
      </c>
      <c r="AP994" s="80"/>
      <c r="AQ994" s="80" t="b">
        <v>1</v>
      </c>
      <c r="AR994" s="80" t="b">
        <v>0</v>
      </c>
      <c r="AS994" s="80" t="b">
        <v>0</v>
      </c>
      <c r="AT994" s="80"/>
      <c r="AU994" s="80">
        <v>0</v>
      </c>
      <c r="AV994" s="80"/>
      <c r="AW994" s="80" t="b">
        <v>0</v>
      </c>
      <c r="AX994" s="80" t="s">
        <v>10746</v>
      </c>
      <c r="AY994" s="87" t="str">
        <f>HYPERLINK("https://twitter.com/bobahyuck")</f>
        <v>https://twitter.com/bobahyuck</v>
      </c>
      <c r="AZ994" s="80" t="s">
        <v>66</v>
      </c>
      <c r="BA994" s="2"/>
      <c r="BB994" s="3"/>
      <c r="BC994" s="3"/>
      <c r="BD994" s="3"/>
      <c r="BE994" s="3"/>
    </row>
    <row r="995" spans="1:57" x14ac:dyDescent="0.35">
      <c r="A995" s="66" t="s">
        <v>1002</v>
      </c>
      <c r="B995" s="67"/>
      <c r="C995" s="67"/>
      <c r="D995" s="68"/>
      <c r="E995" s="70"/>
      <c r="F995" s="109" t="str">
        <f>HYPERLINK("https://pbs.twimg.com/profile_images/1021661104932511744/L1OZvNpI_normal.jpg")</f>
        <v>https://pbs.twimg.com/profile_images/1021661104932511744/L1OZvNpI_normal.jpg</v>
      </c>
      <c r="G995" s="67"/>
      <c r="H995" s="71"/>
      <c r="I995" s="72"/>
      <c r="J995" s="72"/>
      <c r="K995" s="71" t="s">
        <v>11738</v>
      </c>
      <c r="L995" s="75"/>
      <c r="M995" s="76"/>
      <c r="N995" s="76"/>
      <c r="O995" s="77"/>
      <c r="P995" s="78"/>
      <c r="Q995" s="78"/>
      <c r="R995" s="92"/>
      <c r="S995" s="92"/>
      <c r="T995" s="92"/>
      <c r="U995" s="92"/>
      <c r="V995" s="52"/>
      <c r="W995" s="52"/>
      <c r="X995" s="52"/>
      <c r="Y995" s="52"/>
      <c r="Z995" s="51"/>
      <c r="AA995" s="73"/>
      <c r="AB995" s="73"/>
      <c r="AC995" s="74"/>
      <c r="AD995" s="80" t="s">
        <v>7557</v>
      </c>
      <c r="AE995" s="85" t="s">
        <v>6403</v>
      </c>
      <c r="AF995" s="80">
        <v>385</v>
      </c>
      <c r="AG995" s="80">
        <v>476</v>
      </c>
      <c r="AH995" s="80">
        <v>41282</v>
      </c>
      <c r="AI995" s="80">
        <v>3209</v>
      </c>
      <c r="AJ995" s="80"/>
      <c r="AK995" s="80" t="s">
        <v>9840</v>
      </c>
      <c r="AL995" s="80" t="s">
        <v>10602</v>
      </c>
      <c r="AM995" s="87" t="str">
        <f>HYPERLINK("https://t.co/vQ6N7rCGiP")</f>
        <v>https://t.co/vQ6N7rCGiP</v>
      </c>
      <c r="AN995" s="80"/>
      <c r="AO995" s="82">
        <v>40335.359201388892</v>
      </c>
      <c r="AP995" s="87" t="str">
        <f>HYPERLINK("https://pbs.twimg.com/profile_banners/152568455/1529670486")</f>
        <v>https://pbs.twimg.com/profile_banners/152568455/1529670486</v>
      </c>
      <c r="AQ995" s="80" t="b">
        <v>0</v>
      </c>
      <c r="AR995" s="80" t="b">
        <v>0</v>
      </c>
      <c r="AS995" s="80" t="b">
        <v>1</v>
      </c>
      <c r="AT995" s="80"/>
      <c r="AU995" s="80">
        <v>13</v>
      </c>
      <c r="AV995" s="87" t="str">
        <f>HYPERLINK("https://abs.twimg.com/images/themes/theme1/bg.png")</f>
        <v>https://abs.twimg.com/images/themes/theme1/bg.png</v>
      </c>
      <c r="AW995" s="80" t="b">
        <v>0</v>
      </c>
      <c r="AX995" s="80" t="s">
        <v>10746</v>
      </c>
      <c r="AY995" s="87" t="str">
        <f>HYPERLINK("https://twitter.com/putrirahmayln")</f>
        <v>https://twitter.com/putrirahmayln</v>
      </c>
      <c r="AZ995" s="80" t="s">
        <v>66</v>
      </c>
      <c r="BA995" s="2"/>
      <c r="BB995" s="3"/>
      <c r="BC995" s="3"/>
      <c r="BD995" s="3"/>
      <c r="BE995" s="3"/>
    </row>
    <row r="996" spans="1:57" x14ac:dyDescent="0.35">
      <c r="A996" s="66" t="s">
        <v>1003</v>
      </c>
      <c r="B996" s="67"/>
      <c r="C996" s="67"/>
      <c r="D996" s="68"/>
      <c r="E996" s="70"/>
      <c r="F996" s="109" t="str">
        <f>HYPERLINK("https://pbs.twimg.com/profile_images/1107535346634358784/kDsTTDG1_normal.jpg")</f>
        <v>https://pbs.twimg.com/profile_images/1107535346634358784/kDsTTDG1_normal.jpg</v>
      </c>
      <c r="G996" s="67"/>
      <c r="H996" s="71"/>
      <c r="I996" s="72"/>
      <c r="J996" s="72"/>
      <c r="K996" s="71" t="s">
        <v>11739</v>
      </c>
      <c r="L996" s="75"/>
      <c r="M996" s="76"/>
      <c r="N996" s="76"/>
      <c r="O996" s="77"/>
      <c r="P996" s="78"/>
      <c r="Q996" s="78"/>
      <c r="R996" s="92"/>
      <c r="S996" s="92"/>
      <c r="T996" s="92"/>
      <c r="U996" s="92"/>
      <c r="V996" s="52"/>
      <c r="W996" s="52"/>
      <c r="X996" s="52"/>
      <c r="Y996" s="52"/>
      <c r="Z996" s="51"/>
      <c r="AA996" s="73"/>
      <c r="AB996" s="73"/>
      <c r="AC996" s="74"/>
      <c r="AD996" s="80" t="s">
        <v>7558</v>
      </c>
      <c r="AE996" s="85" t="s">
        <v>6404</v>
      </c>
      <c r="AF996" s="80">
        <v>18</v>
      </c>
      <c r="AG996" s="80">
        <v>118</v>
      </c>
      <c r="AH996" s="80">
        <v>488</v>
      </c>
      <c r="AI996" s="80">
        <v>82</v>
      </c>
      <c r="AJ996" s="80"/>
      <c r="AK996" s="80" t="s">
        <v>9841</v>
      </c>
      <c r="AL996" s="80" t="s">
        <v>10603</v>
      </c>
      <c r="AM996" s="80"/>
      <c r="AN996" s="80"/>
      <c r="AO996" s="82">
        <v>43542.278067129628</v>
      </c>
      <c r="AP996" s="80"/>
      <c r="AQ996" s="80" t="b">
        <v>1</v>
      </c>
      <c r="AR996" s="80" t="b">
        <v>0</v>
      </c>
      <c r="AS996" s="80" t="b">
        <v>0</v>
      </c>
      <c r="AT996" s="80"/>
      <c r="AU996" s="80">
        <v>0</v>
      </c>
      <c r="AV996" s="80"/>
      <c r="AW996" s="80" t="b">
        <v>0</v>
      </c>
      <c r="AX996" s="80" t="s">
        <v>10746</v>
      </c>
      <c r="AY996" s="87" t="str">
        <f>HYPERLINK("https://twitter.com/himasurautm")</f>
        <v>https://twitter.com/himasurautm</v>
      </c>
      <c r="AZ996" s="80" t="s">
        <v>66</v>
      </c>
      <c r="BA996" s="2"/>
      <c r="BB996" s="3"/>
      <c r="BC996" s="3"/>
      <c r="BD996" s="3"/>
      <c r="BE996" s="3"/>
    </row>
    <row r="997" spans="1:57" x14ac:dyDescent="0.35">
      <c r="A997" s="66" t="s">
        <v>1004</v>
      </c>
      <c r="B997" s="67"/>
      <c r="C997" s="67"/>
      <c r="D997" s="68"/>
      <c r="E997" s="70"/>
      <c r="F997" s="109" t="str">
        <f>HYPERLINK("https://pbs.twimg.com/profile_images/1066367991133069312/HOMM77rM_normal.jpg")</f>
        <v>https://pbs.twimg.com/profile_images/1066367991133069312/HOMM77rM_normal.jpg</v>
      </c>
      <c r="G997" s="67"/>
      <c r="H997" s="71"/>
      <c r="I997" s="72"/>
      <c r="J997" s="72"/>
      <c r="K997" s="71" t="s">
        <v>11740</v>
      </c>
      <c r="L997" s="75"/>
      <c r="M997" s="76"/>
      <c r="N997" s="76"/>
      <c r="O997" s="77"/>
      <c r="P997" s="78"/>
      <c r="Q997" s="78"/>
      <c r="R997" s="92"/>
      <c r="S997" s="92"/>
      <c r="T997" s="92"/>
      <c r="U997" s="92"/>
      <c r="V997" s="52"/>
      <c r="W997" s="52"/>
      <c r="X997" s="52"/>
      <c r="Y997" s="52"/>
      <c r="Z997" s="51"/>
      <c r="AA997" s="73"/>
      <c r="AB997" s="73"/>
      <c r="AC997" s="74"/>
      <c r="AD997" s="80" t="s">
        <v>7559</v>
      </c>
      <c r="AE997" s="85" t="s">
        <v>8702</v>
      </c>
      <c r="AF997" s="80">
        <v>13</v>
      </c>
      <c r="AG997" s="80">
        <v>7</v>
      </c>
      <c r="AH997" s="80">
        <v>235</v>
      </c>
      <c r="AI997" s="80">
        <v>13</v>
      </c>
      <c r="AJ997" s="80"/>
      <c r="AK997" s="80" t="s">
        <v>9842</v>
      </c>
      <c r="AL997" s="80" t="s">
        <v>6547</v>
      </c>
      <c r="AM997" s="80"/>
      <c r="AN997" s="80"/>
      <c r="AO997" s="82">
        <v>43428.682523148149</v>
      </c>
      <c r="AP997" s="87" t="str">
        <f>HYPERLINK("https://pbs.twimg.com/profile_banners/1066366539765444608/1543077130")</f>
        <v>https://pbs.twimg.com/profile_banners/1066366539765444608/1543077130</v>
      </c>
      <c r="AQ997" s="80" t="b">
        <v>1</v>
      </c>
      <c r="AR997" s="80" t="b">
        <v>0</v>
      </c>
      <c r="AS997" s="80" t="b">
        <v>0</v>
      </c>
      <c r="AT997" s="80"/>
      <c r="AU997" s="80">
        <v>0</v>
      </c>
      <c r="AV997" s="80"/>
      <c r="AW997" s="80" t="b">
        <v>0</v>
      </c>
      <c r="AX997" s="80" t="s">
        <v>10746</v>
      </c>
      <c r="AY997" s="87" t="str">
        <f>HYPERLINK("https://twitter.com/helloindonesian")</f>
        <v>https://twitter.com/helloindonesian</v>
      </c>
      <c r="AZ997" s="80" t="s">
        <v>66</v>
      </c>
      <c r="BA997" s="2"/>
      <c r="BB997" s="3"/>
      <c r="BC997" s="3"/>
      <c r="BD997" s="3"/>
      <c r="BE997" s="3"/>
    </row>
    <row r="998" spans="1:57" x14ac:dyDescent="0.35">
      <c r="A998" s="66" t="s">
        <v>1005</v>
      </c>
      <c r="B998" s="67"/>
      <c r="C998" s="67"/>
      <c r="D998" s="68"/>
      <c r="E998" s="70"/>
      <c r="F998" s="109" t="str">
        <f>HYPERLINK("https://pbs.twimg.com/profile_images/1442319845077372931/tjV1s_kR_normal.jpg")</f>
        <v>https://pbs.twimg.com/profile_images/1442319845077372931/tjV1s_kR_normal.jpg</v>
      </c>
      <c r="G998" s="67"/>
      <c r="H998" s="71"/>
      <c r="I998" s="72"/>
      <c r="J998" s="72"/>
      <c r="K998" s="71" t="s">
        <v>11741</v>
      </c>
      <c r="L998" s="75"/>
      <c r="M998" s="76"/>
      <c r="N998" s="76"/>
      <c r="O998" s="77"/>
      <c r="P998" s="78"/>
      <c r="Q998" s="78"/>
      <c r="R998" s="92"/>
      <c r="S998" s="92"/>
      <c r="T998" s="92"/>
      <c r="U998" s="92"/>
      <c r="V998" s="52"/>
      <c r="W998" s="52"/>
      <c r="X998" s="52"/>
      <c r="Y998" s="52"/>
      <c r="Z998" s="51"/>
      <c r="AA998" s="73"/>
      <c r="AB998" s="73"/>
      <c r="AC998" s="74"/>
      <c r="AD998" s="80" t="s">
        <v>7560</v>
      </c>
      <c r="AE998" s="85" t="s">
        <v>6405</v>
      </c>
      <c r="AF998" s="80">
        <v>656</v>
      </c>
      <c r="AG998" s="80">
        <v>21</v>
      </c>
      <c r="AH998" s="80">
        <v>46</v>
      </c>
      <c r="AI998" s="80">
        <v>69</v>
      </c>
      <c r="AJ998" s="80"/>
      <c r="AK998" s="80" t="s">
        <v>9843</v>
      </c>
      <c r="AL998" s="80" t="s">
        <v>10604</v>
      </c>
      <c r="AM998" s="87" t="str">
        <f>HYPERLINK("https://t.co/81UwH4lMl8")</f>
        <v>https://t.co/81UwH4lMl8</v>
      </c>
      <c r="AN998" s="80"/>
      <c r="AO998" s="82">
        <v>44245.782476851855</v>
      </c>
      <c r="AP998" s="87" t="str">
        <f>HYPERLINK("https://pbs.twimg.com/profile_banners/1362473591959261185/1632732629")</f>
        <v>https://pbs.twimg.com/profile_banners/1362473591959261185/1632732629</v>
      </c>
      <c r="AQ998" s="80" t="b">
        <v>1</v>
      </c>
      <c r="AR998" s="80" t="b">
        <v>0</v>
      </c>
      <c r="AS998" s="80" t="b">
        <v>1</v>
      </c>
      <c r="AT998" s="80"/>
      <c r="AU998" s="80">
        <v>0</v>
      </c>
      <c r="AV998" s="80"/>
      <c r="AW998" s="80" t="b">
        <v>0</v>
      </c>
      <c r="AX998" s="80" t="s">
        <v>10746</v>
      </c>
      <c r="AY998" s="87" t="str">
        <f>HYPERLINK("https://twitter.com/rsupelitahusada")</f>
        <v>https://twitter.com/rsupelitahusada</v>
      </c>
      <c r="AZ998" s="80" t="s">
        <v>66</v>
      </c>
      <c r="BA998" s="2"/>
      <c r="BB998" s="3"/>
      <c r="BC998" s="3"/>
      <c r="BD998" s="3"/>
      <c r="BE998" s="3"/>
    </row>
    <row r="999" spans="1:57" x14ac:dyDescent="0.35">
      <c r="A999" s="66" t="s">
        <v>1006</v>
      </c>
      <c r="B999" s="67"/>
      <c r="C999" s="67"/>
      <c r="D999" s="68"/>
      <c r="E999" s="70"/>
      <c r="F999" s="109" t="str">
        <f>HYPERLINK("https://pbs.twimg.com/profile_images/702022036969795584/Bcx0vLW7_normal.jpg")</f>
        <v>https://pbs.twimg.com/profile_images/702022036969795584/Bcx0vLW7_normal.jpg</v>
      </c>
      <c r="G999" s="67"/>
      <c r="H999" s="71"/>
      <c r="I999" s="72"/>
      <c r="J999" s="72"/>
      <c r="K999" s="71" t="s">
        <v>11742</v>
      </c>
      <c r="L999" s="75"/>
      <c r="M999" s="76"/>
      <c r="N999" s="76"/>
      <c r="O999" s="77"/>
      <c r="P999" s="78"/>
      <c r="Q999" s="78"/>
      <c r="R999" s="92"/>
      <c r="S999" s="92"/>
      <c r="T999" s="92"/>
      <c r="U999" s="92"/>
      <c r="V999" s="52"/>
      <c r="W999" s="52"/>
      <c r="X999" s="52"/>
      <c r="Y999" s="52"/>
      <c r="Z999" s="51"/>
      <c r="AA999" s="73"/>
      <c r="AB999" s="73"/>
      <c r="AC999" s="74"/>
      <c r="AD999" s="80" t="s">
        <v>7561</v>
      </c>
      <c r="AE999" s="85" t="s">
        <v>8703</v>
      </c>
      <c r="AF999" s="80">
        <v>120</v>
      </c>
      <c r="AG999" s="80">
        <v>5654</v>
      </c>
      <c r="AH999" s="80">
        <v>6990</v>
      </c>
      <c r="AI999" s="80">
        <v>496</v>
      </c>
      <c r="AJ999" s="80"/>
      <c r="AK999" s="80" t="s">
        <v>9844</v>
      </c>
      <c r="AL999" s="80" t="s">
        <v>10605</v>
      </c>
      <c r="AM999" s="87" t="str">
        <f>HYPERLINK("https://t.co/ar404vwefI")</f>
        <v>https://t.co/ar404vwefI</v>
      </c>
      <c r="AN999" s="80"/>
      <c r="AO999" s="82">
        <v>41940.150729166664</v>
      </c>
      <c r="AP999" s="87" t="str">
        <f>HYPERLINK("https://pbs.twimg.com/profile_banners/2880322033/1514878339")</f>
        <v>https://pbs.twimg.com/profile_banners/2880322033/1514878339</v>
      </c>
      <c r="AQ999" s="80" t="b">
        <v>0</v>
      </c>
      <c r="AR999" s="80" t="b">
        <v>0</v>
      </c>
      <c r="AS999" s="80" t="b">
        <v>0</v>
      </c>
      <c r="AT999" s="80"/>
      <c r="AU999" s="80">
        <v>3</v>
      </c>
      <c r="AV999" s="87" t="str">
        <f>HYPERLINK("https://abs.twimg.com/images/themes/theme15/bg.png")</f>
        <v>https://abs.twimg.com/images/themes/theme15/bg.png</v>
      </c>
      <c r="AW999" s="80" t="b">
        <v>1</v>
      </c>
      <c r="AX999" s="80" t="s">
        <v>10746</v>
      </c>
      <c r="AY999" s="87" t="str">
        <f>HYPERLINK("https://twitter.com/karanganyarkab")</f>
        <v>https://twitter.com/karanganyarkab</v>
      </c>
      <c r="AZ999" s="80" t="s">
        <v>66</v>
      </c>
      <c r="BA999" s="2"/>
      <c r="BB999" s="3"/>
      <c r="BC999" s="3"/>
      <c r="BD999" s="3"/>
      <c r="BE999" s="3"/>
    </row>
    <row r="1000" spans="1:57" x14ac:dyDescent="0.35">
      <c r="A1000" s="66" t="s">
        <v>1007</v>
      </c>
      <c r="B1000" s="67"/>
      <c r="C1000" s="67"/>
      <c r="D1000" s="68"/>
      <c r="E1000" s="70"/>
      <c r="F1000" s="109" t="str">
        <f>HYPERLINK("https://pbs.twimg.com/profile_images/1427488092143816704/9sGAgIrs_normal.jpg")</f>
        <v>https://pbs.twimg.com/profile_images/1427488092143816704/9sGAgIrs_normal.jpg</v>
      </c>
      <c r="G1000" s="67"/>
      <c r="H1000" s="71"/>
      <c r="I1000" s="72"/>
      <c r="J1000" s="72"/>
      <c r="K1000" s="71" t="s">
        <v>11743</v>
      </c>
      <c r="L1000" s="75"/>
      <c r="M1000" s="76"/>
      <c r="N1000" s="76"/>
      <c r="O1000" s="77"/>
      <c r="P1000" s="78"/>
      <c r="Q1000" s="78"/>
      <c r="R1000" s="92"/>
      <c r="S1000" s="92"/>
      <c r="T1000" s="92"/>
      <c r="U1000" s="92"/>
      <c r="V1000" s="52"/>
      <c r="W1000" s="52"/>
      <c r="X1000" s="52"/>
      <c r="Y1000" s="52"/>
      <c r="Z1000" s="51"/>
      <c r="AA1000" s="73"/>
      <c r="AB1000" s="73"/>
      <c r="AC1000" s="74"/>
      <c r="AD1000" s="80" t="s">
        <v>7562</v>
      </c>
      <c r="AE1000" s="85" t="s">
        <v>8704</v>
      </c>
      <c r="AF1000" s="80">
        <v>166</v>
      </c>
      <c r="AG1000" s="80">
        <v>49</v>
      </c>
      <c r="AH1000" s="80">
        <v>2545</v>
      </c>
      <c r="AI1000" s="80">
        <v>1597</v>
      </c>
      <c r="AJ1000" s="80"/>
      <c r="AK1000" s="80"/>
      <c r="AL1000" s="80"/>
      <c r="AM1000" s="87" t="str">
        <f>HYPERLINK("https://t.co/QVne9pUhVd")</f>
        <v>https://t.co/QVne9pUhVd</v>
      </c>
      <c r="AN1000" s="80"/>
      <c r="AO1000" s="82">
        <v>42341.51939814815</v>
      </c>
      <c r="AP1000" s="87" t="str">
        <f>HYPERLINK("https://pbs.twimg.com/profile_banners/4361281996/1629173463")</f>
        <v>https://pbs.twimg.com/profile_banners/4361281996/1629173463</v>
      </c>
      <c r="AQ1000" s="80" t="b">
        <v>1</v>
      </c>
      <c r="AR1000" s="80" t="b">
        <v>0</v>
      </c>
      <c r="AS1000" s="80" t="b">
        <v>0</v>
      </c>
      <c r="AT1000" s="80"/>
      <c r="AU1000" s="80">
        <v>0</v>
      </c>
      <c r="AV1000" s="87" t="str">
        <f>HYPERLINK("https://abs.twimg.com/images/themes/theme1/bg.png")</f>
        <v>https://abs.twimg.com/images/themes/theme1/bg.png</v>
      </c>
      <c r="AW1000" s="80" t="b">
        <v>0</v>
      </c>
      <c r="AX1000" s="80" t="s">
        <v>10746</v>
      </c>
      <c r="AY1000" s="87" t="str">
        <f>HYPERLINK("https://twitter.com/writerwkamah")</f>
        <v>https://twitter.com/writerwkamah</v>
      </c>
      <c r="AZ1000" s="80" t="s">
        <v>66</v>
      </c>
      <c r="BA1000" s="2"/>
      <c r="BB1000" s="3"/>
      <c r="BC1000" s="3"/>
      <c r="BD1000" s="3"/>
      <c r="BE1000" s="3"/>
    </row>
    <row r="1001" spans="1:57" x14ac:dyDescent="0.35">
      <c r="A1001" s="66" t="s">
        <v>1008</v>
      </c>
      <c r="B1001" s="67"/>
      <c r="C1001" s="67"/>
      <c r="D1001" s="68"/>
      <c r="E1001" s="70"/>
      <c r="F1001" s="109" t="str">
        <f>HYPERLINK("https://pbs.twimg.com/profile_images/1426320602621612034/SlKJn1Rv_normal.jpg")</f>
        <v>https://pbs.twimg.com/profile_images/1426320602621612034/SlKJn1Rv_normal.jpg</v>
      </c>
      <c r="G1001" s="67"/>
      <c r="H1001" s="71"/>
      <c r="I1001" s="72"/>
      <c r="J1001" s="72"/>
      <c r="K1001" s="71" t="s">
        <v>11744</v>
      </c>
      <c r="L1001" s="75"/>
      <c r="M1001" s="76"/>
      <c r="N1001" s="76"/>
      <c r="O1001" s="77"/>
      <c r="P1001" s="78"/>
      <c r="Q1001" s="78"/>
      <c r="R1001" s="92"/>
      <c r="S1001" s="92"/>
      <c r="T1001" s="92"/>
      <c r="U1001" s="92"/>
      <c r="V1001" s="52"/>
      <c r="W1001" s="52"/>
      <c r="X1001" s="52"/>
      <c r="Y1001" s="52"/>
      <c r="Z1001" s="51"/>
      <c r="AA1001" s="73"/>
      <c r="AB1001" s="73"/>
      <c r="AC1001" s="74"/>
      <c r="AD1001" s="80" t="s">
        <v>7563</v>
      </c>
      <c r="AE1001" s="85" t="s">
        <v>8705</v>
      </c>
      <c r="AF1001" s="80">
        <v>35</v>
      </c>
      <c r="AG1001" s="80">
        <v>407</v>
      </c>
      <c r="AH1001" s="80">
        <v>2209</v>
      </c>
      <c r="AI1001" s="80">
        <v>6000</v>
      </c>
      <c r="AJ1001" s="80"/>
      <c r="AK1001" s="80" t="s">
        <v>9845</v>
      </c>
      <c r="AL1001" s="80" t="s">
        <v>10606</v>
      </c>
      <c r="AM1001" s="87" t="str">
        <f>HYPERLINK("https://t.co/M1Q7VE0gay")</f>
        <v>https://t.co/M1Q7VE0gay</v>
      </c>
      <c r="AN1001" s="80"/>
      <c r="AO1001" s="82">
        <v>41985.142685185187</v>
      </c>
      <c r="AP1001" s="87" t="str">
        <f>HYPERLINK("https://pbs.twimg.com/profile_banners/2916804137/1629295742")</f>
        <v>https://pbs.twimg.com/profile_banners/2916804137/1629295742</v>
      </c>
      <c r="AQ1001" s="80" t="b">
        <v>1</v>
      </c>
      <c r="AR1001" s="80" t="b">
        <v>0</v>
      </c>
      <c r="AS1001" s="80" t="b">
        <v>1</v>
      </c>
      <c r="AT1001" s="80"/>
      <c r="AU1001" s="80">
        <v>0</v>
      </c>
      <c r="AV1001" s="87" t="str">
        <f>HYPERLINK("https://abs.twimg.com/images/themes/theme1/bg.png")</f>
        <v>https://abs.twimg.com/images/themes/theme1/bg.png</v>
      </c>
      <c r="AW1001" s="80" t="b">
        <v>0</v>
      </c>
      <c r="AX1001" s="80" t="s">
        <v>10746</v>
      </c>
      <c r="AY1001" s="87" t="str">
        <f>HYPERLINK("https://twitter.com/infomjkt")</f>
        <v>https://twitter.com/infomjkt</v>
      </c>
      <c r="AZ1001" s="80" t="s">
        <v>66</v>
      </c>
      <c r="BA1001" s="2"/>
      <c r="BB1001" s="3"/>
      <c r="BC1001" s="3"/>
      <c r="BD1001" s="3"/>
      <c r="BE1001" s="3"/>
    </row>
    <row r="1002" spans="1:57" x14ac:dyDescent="0.35">
      <c r="A1002" s="66" t="s">
        <v>1009</v>
      </c>
      <c r="B1002" s="67"/>
      <c r="C1002" s="67"/>
      <c r="D1002" s="68"/>
      <c r="E1002" s="70"/>
      <c r="F1002" s="109" t="str">
        <f>HYPERLINK("https://pbs.twimg.com/profile_images/1441893140382707712/JYefa1EX_normal.jpg")</f>
        <v>https://pbs.twimg.com/profile_images/1441893140382707712/JYefa1EX_normal.jpg</v>
      </c>
      <c r="G1002" s="67"/>
      <c r="H1002" s="71"/>
      <c r="I1002" s="72"/>
      <c r="J1002" s="72"/>
      <c r="K1002" s="71" t="s">
        <v>11745</v>
      </c>
      <c r="L1002" s="75"/>
      <c r="M1002" s="76"/>
      <c r="N1002" s="76"/>
      <c r="O1002" s="77"/>
      <c r="P1002" s="78"/>
      <c r="Q1002" s="78"/>
      <c r="R1002" s="92"/>
      <c r="S1002" s="92"/>
      <c r="T1002" s="92"/>
      <c r="U1002" s="92"/>
      <c r="V1002" s="52"/>
      <c r="W1002" s="52"/>
      <c r="X1002" s="52"/>
      <c r="Y1002" s="52"/>
      <c r="Z1002" s="51"/>
      <c r="AA1002" s="73"/>
      <c r="AB1002" s="73"/>
      <c r="AC1002" s="74"/>
      <c r="AD1002" s="80" t="s">
        <v>7564</v>
      </c>
      <c r="AE1002" s="85" t="s">
        <v>8706</v>
      </c>
      <c r="AF1002" s="80">
        <v>2323</v>
      </c>
      <c r="AG1002" s="80">
        <v>2612</v>
      </c>
      <c r="AH1002" s="80">
        <v>26614</v>
      </c>
      <c r="AI1002" s="80">
        <v>2830</v>
      </c>
      <c r="AJ1002" s="80"/>
      <c r="AK1002" s="80" t="s">
        <v>9846</v>
      </c>
      <c r="AL1002" s="80" t="s">
        <v>10606</v>
      </c>
      <c r="AM1002" s="87" t="str">
        <f>HYPERLINK("https://t.co/rJnzh6vesz")</f>
        <v>https://t.co/rJnzh6vesz</v>
      </c>
      <c r="AN1002" s="80"/>
      <c r="AO1002" s="82">
        <v>41775.047395833331</v>
      </c>
      <c r="AP1002" s="87" t="str">
        <f>HYPERLINK("https://pbs.twimg.com/profile_banners/2497472294/1470358702")</f>
        <v>https://pbs.twimg.com/profile_banners/2497472294/1470358702</v>
      </c>
      <c r="AQ1002" s="80" t="b">
        <v>1</v>
      </c>
      <c r="AR1002" s="80" t="b">
        <v>0</v>
      </c>
      <c r="AS1002" s="80" t="b">
        <v>1</v>
      </c>
      <c r="AT1002" s="80"/>
      <c r="AU1002" s="80">
        <v>2</v>
      </c>
      <c r="AV1002" s="87" t="str">
        <f>HYPERLINK("https://abs.twimg.com/images/themes/theme1/bg.png")</f>
        <v>https://abs.twimg.com/images/themes/theme1/bg.png</v>
      </c>
      <c r="AW1002" s="80" t="b">
        <v>0</v>
      </c>
      <c r="AX1002" s="80" t="s">
        <v>10746</v>
      </c>
      <c r="AY1002" s="87" t="str">
        <f>HYPERLINK("https://twitter.com/masdoddd")</f>
        <v>https://twitter.com/masdoddd</v>
      </c>
      <c r="AZ1002" s="80" t="s">
        <v>66</v>
      </c>
      <c r="BA1002" s="2"/>
      <c r="BB1002" s="3"/>
      <c r="BC1002" s="3"/>
      <c r="BD1002" s="3"/>
      <c r="BE1002" s="3"/>
    </row>
    <row r="1003" spans="1:57" x14ac:dyDescent="0.35">
      <c r="A1003" s="66" t="s">
        <v>1010</v>
      </c>
      <c r="B1003" s="67"/>
      <c r="C1003" s="67"/>
      <c r="D1003" s="68"/>
      <c r="E1003" s="70"/>
      <c r="F1003" s="109" t="str">
        <f>HYPERLINK("https://pbs.twimg.com/profile_images/1210016342608232448/MQehpAGv_normal.jpg")</f>
        <v>https://pbs.twimg.com/profile_images/1210016342608232448/MQehpAGv_normal.jpg</v>
      </c>
      <c r="G1003" s="67"/>
      <c r="H1003" s="71"/>
      <c r="I1003" s="72"/>
      <c r="J1003" s="72"/>
      <c r="K1003" s="71" t="s">
        <v>11746</v>
      </c>
      <c r="L1003" s="75"/>
      <c r="M1003" s="76"/>
      <c r="N1003" s="76"/>
      <c r="O1003" s="77"/>
      <c r="P1003" s="78"/>
      <c r="Q1003" s="78"/>
      <c r="R1003" s="92"/>
      <c r="S1003" s="92"/>
      <c r="T1003" s="92"/>
      <c r="U1003" s="92"/>
      <c r="V1003" s="52"/>
      <c r="W1003" s="52"/>
      <c r="X1003" s="52"/>
      <c r="Y1003" s="52"/>
      <c r="Z1003" s="51"/>
      <c r="AA1003" s="73"/>
      <c r="AB1003" s="73"/>
      <c r="AC1003" s="74"/>
      <c r="AD1003" s="80" t="s">
        <v>7565</v>
      </c>
      <c r="AE1003" s="85" t="s">
        <v>8707</v>
      </c>
      <c r="AF1003" s="80">
        <v>22</v>
      </c>
      <c r="AG1003" s="80">
        <v>6</v>
      </c>
      <c r="AH1003" s="80">
        <v>187</v>
      </c>
      <c r="AI1003" s="80">
        <v>20</v>
      </c>
      <c r="AJ1003" s="80"/>
      <c r="AK1003" s="80"/>
      <c r="AL1003" s="80"/>
      <c r="AM1003" s="80"/>
      <c r="AN1003" s="80"/>
      <c r="AO1003" s="82">
        <v>43699.129305555558</v>
      </c>
      <c r="AP1003" s="87" t="str">
        <f>HYPERLINK("https://pbs.twimg.com/profile_banners/1164373059211448320/1577325353")</f>
        <v>https://pbs.twimg.com/profile_banners/1164373059211448320/1577325353</v>
      </c>
      <c r="AQ1003" s="80" t="b">
        <v>1</v>
      </c>
      <c r="AR1003" s="80" t="b">
        <v>0</v>
      </c>
      <c r="AS1003" s="80" t="b">
        <v>0</v>
      </c>
      <c r="AT1003" s="80"/>
      <c r="AU1003" s="80">
        <v>0</v>
      </c>
      <c r="AV1003" s="80"/>
      <c r="AW1003" s="80" t="b">
        <v>0</v>
      </c>
      <c r="AX1003" s="80" t="s">
        <v>10746</v>
      </c>
      <c r="AY1003" s="87" t="str">
        <f>HYPERLINK("https://twitter.com/bawaslutator")</f>
        <v>https://twitter.com/bawaslutator</v>
      </c>
      <c r="AZ1003" s="80" t="s">
        <v>66</v>
      </c>
      <c r="BA1003" s="2"/>
      <c r="BB1003" s="3"/>
      <c r="BC1003" s="3"/>
      <c r="BD1003" s="3"/>
      <c r="BE1003" s="3"/>
    </row>
    <row r="1004" spans="1:57" x14ac:dyDescent="0.35">
      <c r="A1004" s="66" t="s">
        <v>1011</v>
      </c>
      <c r="B1004" s="67"/>
      <c r="C1004" s="67"/>
      <c r="D1004" s="68"/>
      <c r="E1004" s="70"/>
      <c r="F1004" s="109" t="str">
        <f>HYPERLINK("https://pbs.twimg.com/profile_images/1258369905016975361/BuhU3A0Q_normal.jpg")</f>
        <v>https://pbs.twimg.com/profile_images/1258369905016975361/BuhU3A0Q_normal.jpg</v>
      </c>
      <c r="G1004" s="67"/>
      <c r="H1004" s="71"/>
      <c r="I1004" s="72"/>
      <c r="J1004" s="72"/>
      <c r="K1004" s="71" t="s">
        <v>11747</v>
      </c>
      <c r="L1004" s="75"/>
      <c r="M1004" s="76"/>
      <c r="N1004" s="76"/>
      <c r="O1004" s="77"/>
      <c r="P1004" s="78"/>
      <c r="Q1004" s="78"/>
      <c r="R1004" s="92"/>
      <c r="S1004" s="92"/>
      <c r="T1004" s="92"/>
      <c r="U1004" s="92"/>
      <c r="V1004" s="52"/>
      <c r="W1004" s="52"/>
      <c r="X1004" s="52"/>
      <c r="Y1004" s="52"/>
      <c r="Z1004" s="51"/>
      <c r="AA1004" s="73"/>
      <c r="AB1004" s="73"/>
      <c r="AC1004" s="74"/>
      <c r="AD1004" s="80" t="s">
        <v>7566</v>
      </c>
      <c r="AE1004" s="85" t="s">
        <v>8708</v>
      </c>
      <c r="AF1004" s="80">
        <v>672</v>
      </c>
      <c r="AG1004" s="80">
        <v>17</v>
      </c>
      <c r="AH1004" s="80">
        <v>6191</v>
      </c>
      <c r="AI1004" s="80">
        <v>223</v>
      </c>
      <c r="AJ1004" s="80"/>
      <c r="AK1004" s="80" t="s">
        <v>9847</v>
      </c>
      <c r="AL1004" s="80"/>
      <c r="AM1004" s="87" t="str">
        <f>HYPERLINK("https://t.co/tfpkGQ7yad")</f>
        <v>https://t.co/tfpkGQ7yad</v>
      </c>
      <c r="AN1004" s="80"/>
      <c r="AO1004" s="82">
        <v>43958.507060185184</v>
      </c>
      <c r="AP1004" s="87" t="str">
        <f>HYPERLINK("https://pbs.twimg.com/profile_banners/1258368464026132480/1588853925")</f>
        <v>https://pbs.twimg.com/profile_banners/1258368464026132480/1588853925</v>
      </c>
      <c r="AQ1004" s="80" t="b">
        <v>1</v>
      </c>
      <c r="AR1004" s="80" t="b">
        <v>0</v>
      </c>
      <c r="AS1004" s="80" t="b">
        <v>0</v>
      </c>
      <c r="AT1004" s="80"/>
      <c r="AU1004" s="80">
        <v>0</v>
      </c>
      <c r="AV1004" s="80"/>
      <c r="AW1004" s="80" t="b">
        <v>0</v>
      </c>
      <c r="AX1004" s="80" t="s">
        <v>10746</v>
      </c>
      <c r="AY1004" s="87" t="str">
        <f>HYPERLINK("https://twitter.com/along_pura")</f>
        <v>https://twitter.com/along_pura</v>
      </c>
      <c r="AZ1004" s="80" t="s">
        <v>66</v>
      </c>
      <c r="BA1004" s="2"/>
      <c r="BB1004" s="3"/>
      <c r="BC1004" s="3"/>
      <c r="BD1004" s="3"/>
      <c r="BE1004" s="3"/>
    </row>
    <row r="1005" spans="1:57" x14ac:dyDescent="0.35">
      <c r="A1005" s="66" t="s">
        <v>1469</v>
      </c>
      <c r="B1005" s="67"/>
      <c r="C1005" s="67"/>
      <c r="D1005" s="68"/>
      <c r="E1005" s="70"/>
      <c r="F1005" s="109" t="str">
        <f>HYPERLINK("https://pbs.twimg.com/profile_images/1429375081252147206/8sdognPv_normal.jpg")</f>
        <v>https://pbs.twimg.com/profile_images/1429375081252147206/8sdognPv_normal.jpg</v>
      </c>
      <c r="G1005" s="67"/>
      <c r="H1005" s="71"/>
      <c r="I1005" s="72"/>
      <c r="J1005" s="72"/>
      <c r="K1005" s="71" t="s">
        <v>11748</v>
      </c>
      <c r="L1005" s="75"/>
      <c r="M1005" s="76"/>
      <c r="N1005" s="76"/>
      <c r="O1005" s="77"/>
      <c r="P1005" s="78"/>
      <c r="Q1005" s="78"/>
      <c r="R1005" s="92"/>
      <c r="S1005" s="92"/>
      <c r="T1005" s="92"/>
      <c r="U1005" s="92"/>
      <c r="V1005" s="52"/>
      <c r="W1005" s="52"/>
      <c r="X1005" s="52"/>
      <c r="Y1005" s="52"/>
      <c r="Z1005" s="51"/>
      <c r="AA1005" s="73"/>
      <c r="AB1005" s="73"/>
      <c r="AC1005" s="74"/>
      <c r="AD1005" s="80" t="s">
        <v>7567</v>
      </c>
      <c r="AE1005" s="85" t="s">
        <v>8709</v>
      </c>
      <c r="AF1005" s="80">
        <v>1570</v>
      </c>
      <c r="AG1005" s="80">
        <v>2574</v>
      </c>
      <c r="AH1005" s="80">
        <v>30155</v>
      </c>
      <c r="AI1005" s="80">
        <v>46113</v>
      </c>
      <c r="AJ1005" s="80"/>
      <c r="AK1005" s="80" t="s">
        <v>9848</v>
      </c>
      <c r="AL1005" s="80" t="s">
        <v>10607</v>
      </c>
      <c r="AM1005" s="87" t="str">
        <f>HYPERLINK("https://t.co/C8281TsDFv")</f>
        <v>https://t.co/C8281TsDFv</v>
      </c>
      <c r="AN1005" s="80"/>
      <c r="AO1005" s="82">
        <v>43620.43310185185</v>
      </c>
      <c r="AP1005" s="87" t="str">
        <f>HYPERLINK("https://pbs.twimg.com/profile_banners/1135854626136137733/1624024351")</f>
        <v>https://pbs.twimg.com/profile_banners/1135854626136137733/1624024351</v>
      </c>
      <c r="AQ1005" s="80" t="b">
        <v>1</v>
      </c>
      <c r="AR1005" s="80" t="b">
        <v>0</v>
      </c>
      <c r="AS1005" s="80" t="b">
        <v>0</v>
      </c>
      <c r="AT1005" s="80"/>
      <c r="AU1005" s="80">
        <v>6</v>
      </c>
      <c r="AV1005" s="80"/>
      <c r="AW1005" s="80" t="b">
        <v>0</v>
      </c>
      <c r="AX1005" s="80" t="s">
        <v>10746</v>
      </c>
      <c r="AY1005" s="87" t="str">
        <f>HYPERLINK("https://twitter.com/relyourbae2")</f>
        <v>https://twitter.com/relyourbae2</v>
      </c>
      <c r="AZ1005" s="80" t="s">
        <v>65</v>
      </c>
      <c r="BA1005" s="2"/>
      <c r="BB1005" s="3"/>
      <c r="BC1005" s="3"/>
      <c r="BD1005" s="3"/>
      <c r="BE1005" s="3"/>
    </row>
    <row r="1006" spans="1:57" x14ac:dyDescent="0.35">
      <c r="A1006" s="66" t="s">
        <v>1470</v>
      </c>
      <c r="B1006" s="67"/>
      <c r="C1006" s="67"/>
      <c r="D1006" s="68"/>
      <c r="E1006" s="70"/>
      <c r="F1006" s="109" t="str">
        <f>HYPERLINK("https://pbs.twimg.com/profile_images/1442391814212710402/fI-cgYmh_normal.jpg")</f>
        <v>https://pbs.twimg.com/profile_images/1442391814212710402/fI-cgYmh_normal.jpg</v>
      </c>
      <c r="G1006" s="67"/>
      <c r="H1006" s="71"/>
      <c r="I1006" s="72"/>
      <c r="J1006" s="72"/>
      <c r="K1006" s="71" t="s">
        <v>11749</v>
      </c>
      <c r="L1006" s="75"/>
      <c r="M1006" s="76"/>
      <c r="N1006" s="76"/>
      <c r="O1006" s="77"/>
      <c r="P1006" s="78"/>
      <c r="Q1006" s="78"/>
      <c r="R1006" s="92"/>
      <c r="S1006" s="92"/>
      <c r="T1006" s="92"/>
      <c r="U1006" s="92"/>
      <c r="V1006" s="52"/>
      <c r="W1006" s="52"/>
      <c r="X1006" s="52"/>
      <c r="Y1006" s="52"/>
      <c r="Z1006" s="51"/>
      <c r="AA1006" s="73"/>
      <c r="AB1006" s="73"/>
      <c r="AC1006" s="74"/>
      <c r="AD1006" s="80" t="s">
        <v>7568</v>
      </c>
      <c r="AE1006" s="85" t="s">
        <v>6406</v>
      </c>
      <c r="AF1006" s="80">
        <v>2482</v>
      </c>
      <c r="AG1006" s="80">
        <v>7916</v>
      </c>
      <c r="AH1006" s="80">
        <v>39766</v>
      </c>
      <c r="AI1006" s="80">
        <v>37053</v>
      </c>
      <c r="AJ1006" s="80"/>
      <c r="AK1006" s="80" t="s">
        <v>9849</v>
      </c>
      <c r="AL1006" s="80" t="s">
        <v>10336</v>
      </c>
      <c r="AM1006" s="80"/>
      <c r="AN1006" s="80"/>
      <c r="AO1006" s="82">
        <v>43971.240451388891</v>
      </c>
      <c r="AP1006" s="87" t="str">
        <f>HYPERLINK("https://pbs.twimg.com/profile_banners/1262982872207470593/1632709447")</f>
        <v>https://pbs.twimg.com/profile_banners/1262982872207470593/1632709447</v>
      </c>
      <c r="AQ1006" s="80" t="b">
        <v>1</v>
      </c>
      <c r="AR1006" s="80" t="b">
        <v>0</v>
      </c>
      <c r="AS1006" s="80" t="b">
        <v>1</v>
      </c>
      <c r="AT1006" s="80"/>
      <c r="AU1006" s="80">
        <v>0</v>
      </c>
      <c r="AV1006" s="80"/>
      <c r="AW1006" s="80" t="b">
        <v>0</v>
      </c>
      <c r="AX1006" s="80" t="s">
        <v>10746</v>
      </c>
      <c r="AY1006" s="87" t="str">
        <f>HYPERLINK("https://twitter.com/geboyy__")</f>
        <v>https://twitter.com/geboyy__</v>
      </c>
      <c r="AZ1006" s="80" t="s">
        <v>65</v>
      </c>
      <c r="BA1006" s="2"/>
      <c r="BB1006" s="3"/>
      <c r="BC1006" s="3"/>
      <c r="BD1006" s="3"/>
      <c r="BE1006" s="3"/>
    </row>
    <row r="1007" spans="1:57" x14ac:dyDescent="0.35">
      <c r="A1007" s="66" t="s">
        <v>1471</v>
      </c>
      <c r="B1007" s="67"/>
      <c r="C1007" s="67"/>
      <c r="D1007" s="68"/>
      <c r="E1007" s="70"/>
      <c r="F1007" s="109" t="str">
        <f>HYPERLINK("https://pbs.twimg.com/profile_images/1441779187740594185/v__1nvc7_normal.jpg")</f>
        <v>https://pbs.twimg.com/profile_images/1441779187740594185/v__1nvc7_normal.jpg</v>
      </c>
      <c r="G1007" s="67"/>
      <c r="H1007" s="71"/>
      <c r="I1007" s="72"/>
      <c r="J1007" s="72"/>
      <c r="K1007" s="71" t="s">
        <v>11750</v>
      </c>
      <c r="L1007" s="75"/>
      <c r="M1007" s="76"/>
      <c r="N1007" s="76"/>
      <c r="O1007" s="77"/>
      <c r="P1007" s="78"/>
      <c r="Q1007" s="78"/>
      <c r="R1007" s="92"/>
      <c r="S1007" s="92"/>
      <c r="T1007" s="92"/>
      <c r="U1007" s="92"/>
      <c r="V1007" s="52"/>
      <c r="W1007" s="52"/>
      <c r="X1007" s="52"/>
      <c r="Y1007" s="52"/>
      <c r="Z1007" s="51"/>
      <c r="AA1007" s="73"/>
      <c r="AB1007" s="73"/>
      <c r="AC1007" s="74"/>
      <c r="AD1007" s="80" t="s">
        <v>7569</v>
      </c>
      <c r="AE1007" s="85" t="s">
        <v>6407</v>
      </c>
      <c r="AF1007" s="80">
        <v>644</v>
      </c>
      <c r="AG1007" s="80">
        <v>2064</v>
      </c>
      <c r="AH1007" s="80">
        <v>8296</v>
      </c>
      <c r="AI1007" s="80">
        <v>7190</v>
      </c>
      <c r="AJ1007" s="80"/>
      <c r="AK1007" s="80" t="s">
        <v>9850</v>
      </c>
      <c r="AL1007" s="80" t="s">
        <v>10608</v>
      </c>
      <c r="AM1007" s="87" t="str">
        <f>HYPERLINK("https://t.co/OY6zF2oIch")</f>
        <v>https://t.co/OY6zF2oIch</v>
      </c>
      <c r="AN1007" s="80"/>
      <c r="AO1007" s="82">
        <v>44142.562673611108</v>
      </c>
      <c r="AP1007" s="87" t="str">
        <f>HYPERLINK("https://pbs.twimg.com/profile_banners/1325068002979504133/1632582582")</f>
        <v>https://pbs.twimg.com/profile_banners/1325068002979504133/1632582582</v>
      </c>
      <c r="AQ1007" s="80" t="b">
        <v>1</v>
      </c>
      <c r="AR1007" s="80" t="b">
        <v>0</v>
      </c>
      <c r="AS1007" s="80" t="b">
        <v>1</v>
      </c>
      <c r="AT1007" s="80"/>
      <c r="AU1007" s="80">
        <v>2</v>
      </c>
      <c r="AV1007" s="80"/>
      <c r="AW1007" s="80" t="b">
        <v>0</v>
      </c>
      <c r="AX1007" s="80" t="s">
        <v>10746</v>
      </c>
      <c r="AY1007" s="87" t="str">
        <f>HYPERLINK("https://twitter.com/masgah_")</f>
        <v>https://twitter.com/masgah_</v>
      </c>
      <c r="AZ1007" s="80" t="s">
        <v>65</v>
      </c>
      <c r="BA1007" s="2"/>
      <c r="BB1007" s="3"/>
      <c r="BC1007" s="3"/>
      <c r="BD1007" s="3"/>
      <c r="BE1007" s="3"/>
    </row>
    <row r="1008" spans="1:57" x14ac:dyDescent="0.35">
      <c r="A1008" s="66" t="s">
        <v>1472</v>
      </c>
      <c r="B1008" s="67"/>
      <c r="C1008" s="67"/>
      <c r="D1008" s="68"/>
      <c r="E1008" s="70"/>
      <c r="F1008" s="109" t="str">
        <f>HYPERLINK("https://pbs.twimg.com/profile_images/1424330656163667968/OmurZGzK_normal.jpg")</f>
        <v>https://pbs.twimg.com/profile_images/1424330656163667968/OmurZGzK_normal.jpg</v>
      </c>
      <c r="G1008" s="67"/>
      <c r="H1008" s="71"/>
      <c r="I1008" s="72"/>
      <c r="J1008" s="72"/>
      <c r="K1008" s="71" t="s">
        <v>11751</v>
      </c>
      <c r="L1008" s="75"/>
      <c r="M1008" s="76"/>
      <c r="N1008" s="76"/>
      <c r="O1008" s="77"/>
      <c r="P1008" s="78"/>
      <c r="Q1008" s="78"/>
      <c r="R1008" s="92"/>
      <c r="S1008" s="92"/>
      <c r="T1008" s="92"/>
      <c r="U1008" s="92"/>
      <c r="V1008" s="52"/>
      <c r="W1008" s="52"/>
      <c r="X1008" s="52"/>
      <c r="Y1008" s="52"/>
      <c r="Z1008" s="51"/>
      <c r="AA1008" s="73"/>
      <c r="AB1008" s="73"/>
      <c r="AC1008" s="74"/>
      <c r="AD1008" s="80" t="s">
        <v>7570</v>
      </c>
      <c r="AE1008" s="85" t="s">
        <v>6408</v>
      </c>
      <c r="AF1008" s="80">
        <v>700</v>
      </c>
      <c r="AG1008" s="80">
        <v>17688</v>
      </c>
      <c r="AH1008" s="80">
        <v>21382</v>
      </c>
      <c r="AI1008" s="80">
        <v>24651</v>
      </c>
      <c r="AJ1008" s="80"/>
      <c r="AK1008" s="80" t="s">
        <v>9851</v>
      </c>
      <c r="AL1008" s="80" t="s">
        <v>6543</v>
      </c>
      <c r="AM1008" s="87" t="str">
        <f>HYPERLINK("https://t.co/PMGTLTfbSc")</f>
        <v>https://t.co/PMGTLTfbSc</v>
      </c>
      <c r="AN1008" s="80"/>
      <c r="AO1008" s="82">
        <v>43812.306087962963</v>
      </c>
      <c r="AP1008" s="87" t="str">
        <f>HYPERLINK("https://pbs.twimg.com/profile_banners/1205386987621863425/1629159004")</f>
        <v>https://pbs.twimg.com/profile_banners/1205386987621863425/1629159004</v>
      </c>
      <c r="AQ1008" s="80" t="b">
        <v>1</v>
      </c>
      <c r="AR1008" s="80" t="b">
        <v>0</v>
      </c>
      <c r="AS1008" s="80" t="b">
        <v>0</v>
      </c>
      <c r="AT1008" s="80"/>
      <c r="AU1008" s="80">
        <v>0</v>
      </c>
      <c r="AV1008" s="80"/>
      <c r="AW1008" s="80" t="b">
        <v>0</v>
      </c>
      <c r="AX1008" s="80" t="s">
        <v>10746</v>
      </c>
      <c r="AY1008" s="87" t="str">
        <f>HYPERLINK("https://twitter.com/ayydafryanti")</f>
        <v>https://twitter.com/ayydafryanti</v>
      </c>
      <c r="AZ1008" s="80" t="s">
        <v>65</v>
      </c>
      <c r="BA1008" s="2"/>
      <c r="BB1008" s="3"/>
      <c r="BC1008" s="3"/>
      <c r="BD1008" s="3"/>
      <c r="BE1008" s="3"/>
    </row>
    <row r="1009" spans="1:57" x14ac:dyDescent="0.35">
      <c r="A1009" s="66" t="s">
        <v>1473</v>
      </c>
      <c r="B1009" s="67"/>
      <c r="C1009" s="67"/>
      <c r="D1009" s="68"/>
      <c r="E1009" s="70"/>
      <c r="F1009" s="109" t="str">
        <f>HYPERLINK("https://pbs.twimg.com/profile_images/1440935977933959174/B8UP6lCk_normal.jpg")</f>
        <v>https://pbs.twimg.com/profile_images/1440935977933959174/B8UP6lCk_normal.jpg</v>
      </c>
      <c r="G1009" s="67"/>
      <c r="H1009" s="71"/>
      <c r="I1009" s="72"/>
      <c r="J1009" s="72"/>
      <c r="K1009" s="71" t="s">
        <v>11752</v>
      </c>
      <c r="L1009" s="75"/>
      <c r="M1009" s="76"/>
      <c r="N1009" s="76"/>
      <c r="O1009" s="77"/>
      <c r="P1009" s="78"/>
      <c r="Q1009" s="78"/>
      <c r="R1009" s="92"/>
      <c r="S1009" s="92"/>
      <c r="T1009" s="92"/>
      <c r="U1009" s="92"/>
      <c r="V1009" s="52"/>
      <c r="W1009" s="52"/>
      <c r="X1009" s="52"/>
      <c r="Y1009" s="52"/>
      <c r="Z1009" s="51"/>
      <c r="AA1009" s="73"/>
      <c r="AB1009" s="73"/>
      <c r="AC1009" s="74"/>
      <c r="AD1009" s="80" t="s">
        <v>7571</v>
      </c>
      <c r="AE1009" s="85" t="s">
        <v>6409</v>
      </c>
      <c r="AF1009" s="80">
        <v>6811</v>
      </c>
      <c r="AG1009" s="80">
        <v>13575</v>
      </c>
      <c r="AH1009" s="80">
        <v>94854</v>
      </c>
      <c r="AI1009" s="80">
        <v>5448</v>
      </c>
      <c r="AJ1009" s="80"/>
      <c r="AK1009" s="80" t="s">
        <v>9852</v>
      </c>
      <c r="AL1009" s="80" t="s">
        <v>10609</v>
      </c>
      <c r="AM1009" s="87" t="str">
        <f>HYPERLINK("https://t.co/9bQTRY7hXJ")</f>
        <v>https://t.co/9bQTRY7hXJ</v>
      </c>
      <c r="AN1009" s="80"/>
      <c r="AO1009" s="82">
        <v>43935.446481481478</v>
      </c>
      <c r="AP1009" s="87" t="str">
        <f>HYPERLINK("https://pbs.twimg.com/profile_banners/1250011483821359105/1631425388")</f>
        <v>https://pbs.twimg.com/profile_banners/1250011483821359105/1631425388</v>
      </c>
      <c r="AQ1009" s="80" t="b">
        <v>1</v>
      </c>
      <c r="AR1009" s="80" t="b">
        <v>0</v>
      </c>
      <c r="AS1009" s="80" t="b">
        <v>0</v>
      </c>
      <c r="AT1009" s="80"/>
      <c r="AU1009" s="80">
        <v>17</v>
      </c>
      <c r="AV1009" s="80"/>
      <c r="AW1009" s="80" t="b">
        <v>0</v>
      </c>
      <c r="AX1009" s="80" t="s">
        <v>10746</v>
      </c>
      <c r="AY1009" s="87" t="str">
        <f>HYPERLINK("https://twitter.com/lindrayyy")</f>
        <v>https://twitter.com/lindrayyy</v>
      </c>
      <c r="AZ1009" s="80" t="s">
        <v>65</v>
      </c>
      <c r="BA1009" s="2"/>
      <c r="BB1009" s="3"/>
      <c r="BC1009" s="3"/>
      <c r="BD1009" s="3"/>
      <c r="BE1009" s="3"/>
    </row>
    <row r="1010" spans="1:57" x14ac:dyDescent="0.35">
      <c r="A1010" s="66" t="s">
        <v>1474</v>
      </c>
      <c r="B1010" s="67"/>
      <c r="C1010" s="67"/>
      <c r="D1010" s="68"/>
      <c r="E1010" s="70"/>
      <c r="F1010" s="109" t="str">
        <f>HYPERLINK("https://pbs.twimg.com/profile_images/1441743552896135172/0oUQ5wgK_normal.jpg")</f>
        <v>https://pbs.twimg.com/profile_images/1441743552896135172/0oUQ5wgK_normal.jpg</v>
      </c>
      <c r="G1010" s="67"/>
      <c r="H1010" s="71"/>
      <c r="I1010" s="72"/>
      <c r="J1010" s="72"/>
      <c r="K1010" s="71" t="s">
        <v>11753</v>
      </c>
      <c r="L1010" s="75"/>
      <c r="M1010" s="76"/>
      <c r="N1010" s="76"/>
      <c r="O1010" s="77"/>
      <c r="P1010" s="78"/>
      <c r="Q1010" s="78"/>
      <c r="R1010" s="92"/>
      <c r="S1010" s="92"/>
      <c r="T1010" s="92"/>
      <c r="U1010" s="92"/>
      <c r="V1010" s="52"/>
      <c r="W1010" s="52"/>
      <c r="X1010" s="52"/>
      <c r="Y1010" s="52"/>
      <c r="Z1010" s="51"/>
      <c r="AA1010" s="73"/>
      <c r="AB1010" s="73"/>
      <c r="AC1010" s="74"/>
      <c r="AD1010" s="80" t="s">
        <v>7572</v>
      </c>
      <c r="AE1010" s="85" t="s">
        <v>6410</v>
      </c>
      <c r="AF1010" s="80">
        <v>370</v>
      </c>
      <c r="AG1010" s="80">
        <v>13423</v>
      </c>
      <c r="AH1010" s="80">
        <v>5860</v>
      </c>
      <c r="AI1010" s="80">
        <v>10300</v>
      </c>
      <c r="AJ1010" s="80"/>
      <c r="AK1010" s="80" t="s">
        <v>9853</v>
      </c>
      <c r="AL1010" s="80" t="s">
        <v>10610</v>
      </c>
      <c r="AM1010" s="80"/>
      <c r="AN1010" s="80"/>
      <c r="AO1010" s="82">
        <v>44024.253020833334</v>
      </c>
      <c r="AP1010" s="87" t="str">
        <f>HYPERLINK("https://pbs.twimg.com/profile_banners/1282194002725400576/1608919119")</f>
        <v>https://pbs.twimg.com/profile_banners/1282194002725400576/1608919119</v>
      </c>
      <c r="AQ1010" s="80" t="b">
        <v>1</v>
      </c>
      <c r="AR1010" s="80" t="b">
        <v>0</v>
      </c>
      <c r="AS1010" s="80" t="b">
        <v>0</v>
      </c>
      <c r="AT1010" s="80"/>
      <c r="AU1010" s="80">
        <v>6</v>
      </c>
      <c r="AV1010" s="80"/>
      <c r="AW1010" s="80" t="b">
        <v>0</v>
      </c>
      <c r="AX1010" s="80" t="s">
        <v>10746</v>
      </c>
      <c r="AY1010" s="87" t="str">
        <f>HYPERLINK("https://twitter.com/diaryfirda")</f>
        <v>https://twitter.com/diaryfirda</v>
      </c>
      <c r="AZ1010" s="80" t="s">
        <v>65</v>
      </c>
      <c r="BA1010" s="2"/>
      <c r="BB1010" s="3"/>
      <c r="BC1010" s="3"/>
      <c r="BD1010" s="3"/>
      <c r="BE1010" s="3"/>
    </row>
    <row r="1011" spans="1:57" x14ac:dyDescent="0.35">
      <c r="A1011" s="66" t="s">
        <v>1475</v>
      </c>
      <c r="B1011" s="67"/>
      <c r="C1011" s="67"/>
      <c r="D1011" s="68"/>
      <c r="E1011" s="70"/>
      <c r="F1011" s="109" t="str">
        <f>HYPERLINK("https://pbs.twimg.com/profile_images/1440244619422306305/USlpg7R7_normal.jpg")</f>
        <v>https://pbs.twimg.com/profile_images/1440244619422306305/USlpg7R7_normal.jpg</v>
      </c>
      <c r="G1011" s="67"/>
      <c r="H1011" s="71"/>
      <c r="I1011" s="72"/>
      <c r="J1011" s="72"/>
      <c r="K1011" s="71" t="s">
        <v>11754</v>
      </c>
      <c r="L1011" s="75"/>
      <c r="M1011" s="76"/>
      <c r="N1011" s="76"/>
      <c r="O1011" s="77"/>
      <c r="P1011" s="78"/>
      <c r="Q1011" s="78"/>
      <c r="R1011" s="92"/>
      <c r="S1011" s="92"/>
      <c r="T1011" s="92"/>
      <c r="U1011" s="92"/>
      <c r="V1011" s="52"/>
      <c r="W1011" s="52"/>
      <c r="X1011" s="52"/>
      <c r="Y1011" s="52"/>
      <c r="Z1011" s="51"/>
      <c r="AA1011" s="73"/>
      <c r="AB1011" s="73"/>
      <c r="AC1011" s="74"/>
      <c r="AD1011" s="80" t="s">
        <v>7573</v>
      </c>
      <c r="AE1011" s="85" t="s">
        <v>6411</v>
      </c>
      <c r="AF1011" s="80">
        <v>927</v>
      </c>
      <c r="AG1011" s="80">
        <v>544494</v>
      </c>
      <c r="AH1011" s="80">
        <v>48703</v>
      </c>
      <c r="AI1011" s="80">
        <v>13038</v>
      </c>
      <c r="AJ1011" s="80"/>
      <c r="AK1011" s="80" t="s">
        <v>9854</v>
      </c>
      <c r="AL1011" s="80"/>
      <c r="AM1011" s="87" t="str">
        <f>HYPERLINK("https://t.co/Ak0X7aIuQV")</f>
        <v>https://t.co/Ak0X7aIuQV</v>
      </c>
      <c r="AN1011" s="80"/>
      <c r="AO1011" s="82">
        <v>43414.116122685184</v>
      </c>
      <c r="AP1011" s="87" t="str">
        <f>HYPERLINK("https://pbs.twimg.com/profile_banners/1061087853399105538/1573012580")</f>
        <v>https://pbs.twimg.com/profile_banners/1061087853399105538/1573012580</v>
      </c>
      <c r="AQ1011" s="80" t="b">
        <v>1</v>
      </c>
      <c r="AR1011" s="80" t="b">
        <v>0</v>
      </c>
      <c r="AS1011" s="80" t="b">
        <v>1</v>
      </c>
      <c r="AT1011" s="80"/>
      <c r="AU1011" s="80">
        <v>67</v>
      </c>
      <c r="AV1011" s="80"/>
      <c r="AW1011" s="80" t="b">
        <v>0</v>
      </c>
      <c r="AX1011" s="80" t="s">
        <v>10746</v>
      </c>
      <c r="AY1011" s="87" t="str">
        <f>HYPERLINK("https://twitter.com/ayubsr")</f>
        <v>https://twitter.com/ayubsr</v>
      </c>
      <c r="AZ1011" s="80" t="s">
        <v>65</v>
      </c>
      <c r="BA1011" s="2"/>
      <c r="BB1011" s="3"/>
      <c r="BC1011" s="3"/>
      <c r="BD1011" s="3"/>
      <c r="BE1011" s="3"/>
    </row>
    <row r="1012" spans="1:57" x14ac:dyDescent="0.35">
      <c r="A1012" s="66" t="s">
        <v>1476</v>
      </c>
      <c r="B1012" s="67"/>
      <c r="C1012" s="67"/>
      <c r="D1012" s="68"/>
      <c r="E1012" s="70"/>
      <c r="F1012" s="109" t="str">
        <f>HYPERLINK("https://pbs.twimg.com/profile_images/1407635760409313280/Wz_HtFUA_normal.jpg")</f>
        <v>https://pbs.twimg.com/profile_images/1407635760409313280/Wz_HtFUA_normal.jpg</v>
      </c>
      <c r="G1012" s="67"/>
      <c r="H1012" s="71"/>
      <c r="I1012" s="72"/>
      <c r="J1012" s="72"/>
      <c r="K1012" s="71" t="s">
        <v>11755</v>
      </c>
      <c r="L1012" s="75"/>
      <c r="M1012" s="76"/>
      <c r="N1012" s="76"/>
      <c r="O1012" s="77"/>
      <c r="P1012" s="78"/>
      <c r="Q1012" s="78"/>
      <c r="R1012" s="92"/>
      <c r="S1012" s="92"/>
      <c r="T1012" s="92"/>
      <c r="U1012" s="92"/>
      <c r="V1012" s="52"/>
      <c r="W1012" s="52"/>
      <c r="X1012" s="52"/>
      <c r="Y1012" s="52"/>
      <c r="Z1012" s="51"/>
      <c r="AA1012" s="73"/>
      <c r="AB1012" s="73"/>
      <c r="AC1012" s="74"/>
      <c r="AD1012" s="80" t="s">
        <v>7574</v>
      </c>
      <c r="AE1012" s="85" t="s">
        <v>6412</v>
      </c>
      <c r="AF1012" s="80">
        <v>4472</v>
      </c>
      <c r="AG1012" s="80">
        <v>6218</v>
      </c>
      <c r="AH1012" s="80">
        <v>24643</v>
      </c>
      <c r="AI1012" s="80">
        <v>5165</v>
      </c>
      <c r="AJ1012" s="80"/>
      <c r="AK1012" s="80" t="s">
        <v>9855</v>
      </c>
      <c r="AL1012" s="80"/>
      <c r="AM1012" s="80"/>
      <c r="AN1012" s="80"/>
      <c r="AO1012" s="82">
        <v>44046.285451388889</v>
      </c>
      <c r="AP1012" s="87" t="str">
        <f>HYPERLINK("https://pbs.twimg.com/profile_banners/1290178278393700357/1621478215")</f>
        <v>https://pbs.twimg.com/profile_banners/1290178278393700357/1621478215</v>
      </c>
      <c r="AQ1012" s="80" t="b">
        <v>1</v>
      </c>
      <c r="AR1012" s="80" t="b">
        <v>0</v>
      </c>
      <c r="AS1012" s="80" t="b">
        <v>0</v>
      </c>
      <c r="AT1012" s="80"/>
      <c r="AU1012" s="80">
        <v>4</v>
      </c>
      <c r="AV1012" s="80"/>
      <c r="AW1012" s="80" t="b">
        <v>0</v>
      </c>
      <c r="AX1012" s="80" t="s">
        <v>10746</v>
      </c>
      <c r="AY1012" s="87" t="str">
        <f>HYPERLINK("https://twitter.com/morethanurbby")</f>
        <v>https://twitter.com/morethanurbby</v>
      </c>
      <c r="AZ1012" s="80" t="s">
        <v>65</v>
      </c>
      <c r="BA1012" s="2"/>
      <c r="BB1012" s="3"/>
      <c r="BC1012" s="3"/>
      <c r="BD1012" s="3"/>
      <c r="BE1012" s="3"/>
    </row>
    <row r="1013" spans="1:57" x14ac:dyDescent="0.35">
      <c r="A1013" s="66" t="s">
        <v>1477</v>
      </c>
      <c r="B1013" s="67"/>
      <c r="C1013" s="67"/>
      <c r="D1013" s="68"/>
      <c r="E1013" s="70"/>
      <c r="F1013" s="109" t="str">
        <f>HYPERLINK("https://pbs.twimg.com/profile_images/1441412849922822157/cW549JzC_normal.jpg")</f>
        <v>https://pbs.twimg.com/profile_images/1441412849922822157/cW549JzC_normal.jpg</v>
      </c>
      <c r="G1013" s="67"/>
      <c r="H1013" s="71"/>
      <c r="I1013" s="72"/>
      <c r="J1013" s="72"/>
      <c r="K1013" s="71" t="s">
        <v>11756</v>
      </c>
      <c r="L1013" s="75"/>
      <c r="M1013" s="76"/>
      <c r="N1013" s="76"/>
      <c r="O1013" s="77"/>
      <c r="P1013" s="78"/>
      <c r="Q1013" s="78"/>
      <c r="R1013" s="92"/>
      <c r="S1013" s="92"/>
      <c r="T1013" s="92"/>
      <c r="U1013" s="92"/>
      <c r="V1013" s="52"/>
      <c r="W1013" s="52"/>
      <c r="X1013" s="52"/>
      <c r="Y1013" s="52"/>
      <c r="Z1013" s="51"/>
      <c r="AA1013" s="73"/>
      <c r="AB1013" s="73"/>
      <c r="AC1013" s="74"/>
      <c r="AD1013" s="80" t="s">
        <v>7575</v>
      </c>
      <c r="AE1013" s="85" t="s">
        <v>8710</v>
      </c>
      <c r="AF1013" s="80">
        <v>967</v>
      </c>
      <c r="AG1013" s="80">
        <v>8737</v>
      </c>
      <c r="AH1013" s="80">
        <v>20141</v>
      </c>
      <c r="AI1013" s="80">
        <v>32978</v>
      </c>
      <c r="AJ1013" s="80"/>
      <c r="AK1013" s="80" t="s">
        <v>9856</v>
      </c>
      <c r="AL1013" s="80" t="s">
        <v>10611</v>
      </c>
      <c r="AM1013" s="80"/>
      <c r="AN1013" s="80"/>
      <c r="AO1013" s="82">
        <v>43571.358275462961</v>
      </c>
      <c r="AP1013" s="87" t="str">
        <f>HYPERLINK("https://pbs.twimg.com/profile_banners/1118070502042390529/1611032531")</f>
        <v>https://pbs.twimg.com/profile_banners/1118070502042390529/1611032531</v>
      </c>
      <c r="AQ1013" s="80" t="b">
        <v>1</v>
      </c>
      <c r="AR1013" s="80" t="b">
        <v>0</v>
      </c>
      <c r="AS1013" s="80" t="b">
        <v>1</v>
      </c>
      <c r="AT1013" s="80"/>
      <c r="AU1013" s="80">
        <v>1</v>
      </c>
      <c r="AV1013" s="80"/>
      <c r="AW1013" s="80" t="b">
        <v>0</v>
      </c>
      <c r="AX1013" s="80" t="s">
        <v>10746</v>
      </c>
      <c r="AY1013" s="87" t="str">
        <f>HYPERLINK("https://twitter.com/deviinaja")</f>
        <v>https://twitter.com/deviinaja</v>
      </c>
      <c r="AZ1013" s="80" t="s">
        <v>65</v>
      </c>
      <c r="BA1013" s="2"/>
      <c r="BB1013" s="3"/>
      <c r="BC1013" s="3"/>
      <c r="BD1013" s="3"/>
      <c r="BE1013" s="3"/>
    </row>
    <row r="1014" spans="1:57" x14ac:dyDescent="0.35">
      <c r="A1014" s="66" t="s">
        <v>1478</v>
      </c>
      <c r="B1014" s="67"/>
      <c r="C1014" s="67"/>
      <c r="D1014" s="68"/>
      <c r="E1014" s="70"/>
      <c r="F1014" s="109" t="str">
        <f>HYPERLINK("https://pbs.twimg.com/profile_images/1348755708423110656/Pb93Jjan_normal.jpg")</f>
        <v>https://pbs.twimg.com/profile_images/1348755708423110656/Pb93Jjan_normal.jpg</v>
      </c>
      <c r="G1014" s="67"/>
      <c r="H1014" s="71"/>
      <c r="I1014" s="72"/>
      <c r="J1014" s="72"/>
      <c r="K1014" s="71" t="s">
        <v>11757</v>
      </c>
      <c r="L1014" s="75"/>
      <c r="M1014" s="76"/>
      <c r="N1014" s="76"/>
      <c r="O1014" s="77"/>
      <c r="P1014" s="78"/>
      <c r="Q1014" s="78"/>
      <c r="R1014" s="92"/>
      <c r="S1014" s="92"/>
      <c r="T1014" s="92"/>
      <c r="U1014" s="92"/>
      <c r="V1014" s="52"/>
      <c r="W1014" s="52"/>
      <c r="X1014" s="52"/>
      <c r="Y1014" s="52"/>
      <c r="Z1014" s="51"/>
      <c r="AA1014" s="73"/>
      <c r="AB1014" s="73"/>
      <c r="AC1014" s="74"/>
      <c r="AD1014" s="80" t="s">
        <v>7576</v>
      </c>
      <c r="AE1014" s="85" t="s">
        <v>6413</v>
      </c>
      <c r="AF1014" s="80">
        <v>1037</v>
      </c>
      <c r="AG1014" s="80">
        <v>37793</v>
      </c>
      <c r="AH1014" s="80">
        <v>70163</v>
      </c>
      <c r="AI1014" s="80">
        <v>26266</v>
      </c>
      <c r="AJ1014" s="80"/>
      <c r="AK1014" s="80" t="s">
        <v>9857</v>
      </c>
      <c r="AL1014" s="80" t="s">
        <v>10612</v>
      </c>
      <c r="AM1014" s="80"/>
      <c r="AN1014" s="80"/>
      <c r="AO1014" s="82">
        <v>43966.892754629633</v>
      </c>
      <c r="AP1014" s="87" t="str">
        <f>HYPERLINK("https://pbs.twimg.com/profile_banners/1261407231964258304/1600856719")</f>
        <v>https://pbs.twimg.com/profile_banners/1261407231964258304/1600856719</v>
      </c>
      <c r="AQ1014" s="80" t="b">
        <v>1</v>
      </c>
      <c r="AR1014" s="80" t="b">
        <v>0</v>
      </c>
      <c r="AS1014" s="80" t="b">
        <v>0</v>
      </c>
      <c r="AT1014" s="80"/>
      <c r="AU1014" s="80">
        <v>314</v>
      </c>
      <c r="AV1014" s="80"/>
      <c r="AW1014" s="80" t="b">
        <v>0</v>
      </c>
      <c r="AX1014" s="80" t="s">
        <v>10746</v>
      </c>
      <c r="AY1014" s="87" t="str">
        <f>HYPERLINK("https://twitter.com/mutuallandfess")</f>
        <v>https://twitter.com/mutuallandfess</v>
      </c>
      <c r="AZ1014" s="80" t="s">
        <v>65</v>
      </c>
      <c r="BA1014" s="2"/>
      <c r="BB1014" s="3"/>
      <c r="BC1014" s="3"/>
      <c r="BD1014" s="3"/>
      <c r="BE1014" s="3"/>
    </row>
    <row r="1015" spans="1:57" x14ac:dyDescent="0.35">
      <c r="A1015" s="66" t="s">
        <v>1479</v>
      </c>
      <c r="B1015" s="67"/>
      <c r="C1015" s="67"/>
      <c r="D1015" s="68"/>
      <c r="E1015" s="70"/>
      <c r="F1015" s="109" t="str">
        <f>HYPERLINK("https://pbs.twimg.com/profile_images/1437215048376614914/-jxhNrXE_normal.jpg")</f>
        <v>https://pbs.twimg.com/profile_images/1437215048376614914/-jxhNrXE_normal.jpg</v>
      </c>
      <c r="G1015" s="67"/>
      <c r="H1015" s="71"/>
      <c r="I1015" s="72"/>
      <c r="J1015" s="72"/>
      <c r="K1015" s="71" t="s">
        <v>11758</v>
      </c>
      <c r="L1015" s="75"/>
      <c r="M1015" s="76"/>
      <c r="N1015" s="76"/>
      <c r="O1015" s="77"/>
      <c r="P1015" s="78"/>
      <c r="Q1015" s="78"/>
      <c r="R1015" s="92"/>
      <c r="S1015" s="92"/>
      <c r="T1015" s="92"/>
      <c r="U1015" s="92"/>
      <c r="V1015" s="52"/>
      <c r="W1015" s="52"/>
      <c r="X1015" s="52"/>
      <c r="Y1015" s="52"/>
      <c r="Z1015" s="51"/>
      <c r="AA1015" s="73"/>
      <c r="AB1015" s="73"/>
      <c r="AC1015" s="74"/>
      <c r="AD1015" s="80" t="s">
        <v>7577</v>
      </c>
      <c r="AE1015" s="85" t="s">
        <v>6414</v>
      </c>
      <c r="AF1015" s="80">
        <v>49</v>
      </c>
      <c r="AG1015" s="80">
        <v>10151</v>
      </c>
      <c r="AH1015" s="80">
        <v>5702</v>
      </c>
      <c r="AI1015" s="80">
        <v>12267</v>
      </c>
      <c r="AJ1015" s="80"/>
      <c r="AK1015" s="80"/>
      <c r="AL1015" s="80" t="s">
        <v>6543</v>
      </c>
      <c r="AM1015" s="80"/>
      <c r="AN1015" s="80"/>
      <c r="AO1015" s="82">
        <v>44069.601168981484</v>
      </c>
      <c r="AP1015" s="87" t="str">
        <f>HYPERLINK("https://pbs.twimg.com/profile_banners/1298627580996640769/1622983839")</f>
        <v>https://pbs.twimg.com/profile_banners/1298627580996640769/1622983839</v>
      </c>
      <c r="AQ1015" s="80" t="b">
        <v>1</v>
      </c>
      <c r="AR1015" s="80" t="b">
        <v>0</v>
      </c>
      <c r="AS1015" s="80" t="b">
        <v>1</v>
      </c>
      <c r="AT1015" s="80"/>
      <c r="AU1015" s="80">
        <v>8</v>
      </c>
      <c r="AV1015" s="80"/>
      <c r="AW1015" s="80" t="b">
        <v>0</v>
      </c>
      <c r="AX1015" s="80" t="s">
        <v>10746</v>
      </c>
      <c r="AY1015" s="87" t="str">
        <f>HYPERLINK("https://twitter.com/billaameliaa")</f>
        <v>https://twitter.com/billaameliaa</v>
      </c>
      <c r="AZ1015" s="80" t="s">
        <v>65</v>
      </c>
      <c r="BA1015" s="2"/>
      <c r="BB1015" s="3"/>
      <c r="BC1015" s="3"/>
      <c r="BD1015" s="3"/>
      <c r="BE1015" s="3"/>
    </row>
    <row r="1016" spans="1:57" x14ac:dyDescent="0.35">
      <c r="A1016" s="66" t="s">
        <v>1480</v>
      </c>
      <c r="B1016" s="67"/>
      <c r="C1016" s="67"/>
      <c r="D1016" s="68"/>
      <c r="E1016" s="70"/>
      <c r="F1016" s="109" t="str">
        <f>HYPERLINK("https://pbs.twimg.com/profile_images/1438199041452478465/k_fxRPEU_normal.jpg")</f>
        <v>https://pbs.twimg.com/profile_images/1438199041452478465/k_fxRPEU_normal.jpg</v>
      </c>
      <c r="G1016" s="67"/>
      <c r="H1016" s="71"/>
      <c r="I1016" s="72"/>
      <c r="J1016" s="72"/>
      <c r="K1016" s="71" t="s">
        <v>11759</v>
      </c>
      <c r="L1016" s="75"/>
      <c r="M1016" s="76"/>
      <c r="N1016" s="76"/>
      <c r="O1016" s="77"/>
      <c r="P1016" s="78"/>
      <c r="Q1016" s="78"/>
      <c r="R1016" s="92"/>
      <c r="S1016" s="92"/>
      <c r="T1016" s="92"/>
      <c r="U1016" s="92"/>
      <c r="V1016" s="52"/>
      <c r="W1016" s="52"/>
      <c r="X1016" s="52"/>
      <c r="Y1016" s="52"/>
      <c r="Z1016" s="51"/>
      <c r="AA1016" s="73"/>
      <c r="AB1016" s="73"/>
      <c r="AC1016" s="74"/>
      <c r="AD1016" s="80" t="s">
        <v>7578</v>
      </c>
      <c r="AE1016" s="85" t="s">
        <v>8711</v>
      </c>
      <c r="AF1016" s="80">
        <v>91</v>
      </c>
      <c r="AG1016" s="80">
        <v>677002</v>
      </c>
      <c r="AH1016" s="80">
        <v>7015</v>
      </c>
      <c r="AI1016" s="80">
        <v>11416</v>
      </c>
      <c r="AJ1016" s="80"/>
      <c r="AK1016" s="80" t="s">
        <v>9858</v>
      </c>
      <c r="AL1016" s="80"/>
      <c r="AM1016" s="87" t="str">
        <f>HYPERLINK("https://t.co/DjKLSthn9r")</f>
        <v>https://t.co/DjKLSthn9r</v>
      </c>
      <c r="AN1016" s="80"/>
      <c r="AO1016" s="82">
        <v>42374.818680555552</v>
      </c>
      <c r="AP1016" s="87" t="str">
        <f>HYPERLINK("https://pbs.twimg.com/profile_banners/4717740148/1631689648")</f>
        <v>https://pbs.twimg.com/profile_banners/4717740148/1631689648</v>
      </c>
      <c r="AQ1016" s="80" t="b">
        <v>0</v>
      </c>
      <c r="AR1016" s="80" t="b">
        <v>0</v>
      </c>
      <c r="AS1016" s="80" t="b">
        <v>0</v>
      </c>
      <c r="AT1016" s="80"/>
      <c r="AU1016" s="80">
        <v>173</v>
      </c>
      <c r="AV1016" s="87" t="str">
        <f>HYPERLINK("https://abs.twimg.com/images/themes/theme1/bg.png")</f>
        <v>https://abs.twimg.com/images/themes/theme1/bg.png</v>
      </c>
      <c r="AW1016" s="80" t="b">
        <v>0</v>
      </c>
      <c r="AX1016" s="80" t="s">
        <v>10746</v>
      </c>
      <c r="AY1016" s="87" t="str">
        <f>HYPERLINK("https://twitter.com/kingnftpromoter")</f>
        <v>https://twitter.com/kingnftpromoter</v>
      </c>
      <c r="AZ1016" s="80" t="s">
        <v>65</v>
      </c>
      <c r="BA1016" s="2"/>
      <c r="BB1016" s="3"/>
      <c r="BC1016" s="3"/>
      <c r="BD1016" s="3"/>
      <c r="BE1016" s="3"/>
    </row>
    <row r="1017" spans="1:57" x14ac:dyDescent="0.35">
      <c r="A1017" s="66" t="s">
        <v>1481</v>
      </c>
      <c r="B1017" s="67"/>
      <c r="C1017" s="67"/>
      <c r="D1017" s="68"/>
      <c r="E1017" s="70"/>
      <c r="F1017" s="109" t="str">
        <f>HYPERLINK("https://pbs.twimg.com/profile_images/1424258054187479046/LpyHKw5F_normal.jpg")</f>
        <v>https://pbs.twimg.com/profile_images/1424258054187479046/LpyHKw5F_normal.jpg</v>
      </c>
      <c r="G1017" s="67"/>
      <c r="H1017" s="71"/>
      <c r="I1017" s="72"/>
      <c r="J1017" s="72"/>
      <c r="K1017" s="71" t="s">
        <v>11760</v>
      </c>
      <c r="L1017" s="75"/>
      <c r="M1017" s="76"/>
      <c r="N1017" s="76"/>
      <c r="O1017" s="77"/>
      <c r="P1017" s="78"/>
      <c r="Q1017" s="78"/>
      <c r="R1017" s="92"/>
      <c r="S1017" s="92"/>
      <c r="T1017" s="92"/>
      <c r="U1017" s="92"/>
      <c r="V1017" s="52"/>
      <c r="W1017" s="52"/>
      <c r="X1017" s="52"/>
      <c r="Y1017" s="52"/>
      <c r="Z1017" s="51"/>
      <c r="AA1017" s="73"/>
      <c r="AB1017" s="73"/>
      <c r="AC1017" s="74"/>
      <c r="AD1017" s="80" t="s">
        <v>7579</v>
      </c>
      <c r="AE1017" s="85" t="s">
        <v>8712</v>
      </c>
      <c r="AF1017" s="80">
        <v>1471</v>
      </c>
      <c r="AG1017" s="80">
        <v>847</v>
      </c>
      <c r="AH1017" s="80">
        <v>46794</v>
      </c>
      <c r="AI1017" s="80">
        <v>4141</v>
      </c>
      <c r="AJ1017" s="80"/>
      <c r="AK1017" s="80" t="s">
        <v>9859</v>
      </c>
      <c r="AL1017" s="80"/>
      <c r="AM1017" s="87" t="str">
        <f>HYPERLINK("https://t.co/OeNUkmFE5E")</f>
        <v>https://t.co/OeNUkmFE5E</v>
      </c>
      <c r="AN1017" s="80"/>
      <c r="AO1017" s="82">
        <v>41313.476342592592</v>
      </c>
      <c r="AP1017" s="87" t="str">
        <f>HYPERLINK("https://pbs.twimg.com/profile_banners/1159893816/1632806308")</f>
        <v>https://pbs.twimg.com/profile_banners/1159893816/1632806308</v>
      </c>
      <c r="AQ1017" s="80" t="b">
        <v>1</v>
      </c>
      <c r="AR1017" s="80" t="b">
        <v>0</v>
      </c>
      <c r="AS1017" s="80" t="b">
        <v>0</v>
      </c>
      <c r="AT1017" s="80"/>
      <c r="AU1017" s="80">
        <v>1</v>
      </c>
      <c r="AV1017" s="87" t="str">
        <f>HYPERLINK("https://abs.twimg.com/images/themes/theme1/bg.png")</f>
        <v>https://abs.twimg.com/images/themes/theme1/bg.png</v>
      </c>
      <c r="AW1017" s="80" t="b">
        <v>0</v>
      </c>
      <c r="AX1017" s="80" t="s">
        <v>10746</v>
      </c>
      <c r="AY1017" s="87" t="str">
        <f>HYPERLINK("https://twitter.com/noviadmyy")</f>
        <v>https://twitter.com/noviadmyy</v>
      </c>
      <c r="AZ1017" s="80" t="s">
        <v>65</v>
      </c>
      <c r="BA1017" s="2"/>
      <c r="BB1017" s="3"/>
      <c r="BC1017" s="3"/>
      <c r="BD1017" s="3"/>
      <c r="BE1017" s="3"/>
    </row>
    <row r="1018" spans="1:57" x14ac:dyDescent="0.35">
      <c r="A1018" s="66" t="s">
        <v>1482</v>
      </c>
      <c r="B1018" s="67"/>
      <c r="C1018" s="67"/>
      <c r="D1018" s="68"/>
      <c r="E1018" s="70"/>
      <c r="F1018" s="109" t="str">
        <f>HYPERLINK("https://pbs.twimg.com/profile_images/1426843091785248770/5546H6M2_normal.jpg")</f>
        <v>https://pbs.twimg.com/profile_images/1426843091785248770/5546H6M2_normal.jpg</v>
      </c>
      <c r="G1018" s="67"/>
      <c r="H1018" s="71"/>
      <c r="I1018" s="72"/>
      <c r="J1018" s="72"/>
      <c r="K1018" s="71" t="s">
        <v>11761</v>
      </c>
      <c r="L1018" s="75"/>
      <c r="M1018" s="76"/>
      <c r="N1018" s="76"/>
      <c r="O1018" s="77"/>
      <c r="P1018" s="78"/>
      <c r="Q1018" s="78"/>
      <c r="R1018" s="92"/>
      <c r="S1018" s="92"/>
      <c r="T1018" s="92"/>
      <c r="U1018" s="92"/>
      <c r="V1018" s="52"/>
      <c r="W1018" s="52"/>
      <c r="X1018" s="52"/>
      <c r="Y1018" s="52"/>
      <c r="Z1018" s="51"/>
      <c r="AA1018" s="73"/>
      <c r="AB1018" s="73"/>
      <c r="AC1018" s="74"/>
      <c r="AD1018" s="80" t="s">
        <v>7580</v>
      </c>
      <c r="AE1018" s="85" t="s">
        <v>6415</v>
      </c>
      <c r="AF1018" s="80">
        <v>869</v>
      </c>
      <c r="AG1018" s="80">
        <v>220973</v>
      </c>
      <c r="AH1018" s="80">
        <v>17908</v>
      </c>
      <c r="AI1018" s="80">
        <v>15991</v>
      </c>
      <c r="AJ1018" s="80"/>
      <c r="AK1018" s="80" t="s">
        <v>9860</v>
      </c>
      <c r="AL1018" s="80"/>
      <c r="AM1018" s="87" t="str">
        <f>HYPERLINK("https://t.co/93eccdgkxf")</f>
        <v>https://t.co/93eccdgkxf</v>
      </c>
      <c r="AN1018" s="80"/>
      <c r="AO1018" s="82">
        <v>44169.796909722223</v>
      </c>
      <c r="AP1018" s="87" t="str">
        <f>HYPERLINK("https://pbs.twimg.com/profile_banners/1334937336690327552/1629080666")</f>
        <v>https://pbs.twimg.com/profile_banners/1334937336690327552/1629080666</v>
      </c>
      <c r="AQ1018" s="80" t="b">
        <v>1</v>
      </c>
      <c r="AR1018" s="80" t="b">
        <v>0</v>
      </c>
      <c r="AS1018" s="80" t="b">
        <v>0</v>
      </c>
      <c r="AT1018" s="80"/>
      <c r="AU1018" s="80">
        <v>1331</v>
      </c>
      <c r="AV1018" s="80"/>
      <c r="AW1018" s="80" t="b">
        <v>0</v>
      </c>
      <c r="AX1018" s="80" t="s">
        <v>10746</v>
      </c>
      <c r="AY1018" s="87" t="str">
        <f>HYPERLINK("https://twitter.com/chitaglorya")</f>
        <v>https://twitter.com/chitaglorya</v>
      </c>
      <c r="AZ1018" s="80" t="s">
        <v>65</v>
      </c>
      <c r="BA1018" s="2"/>
      <c r="BB1018" s="3"/>
      <c r="BC1018" s="3"/>
      <c r="BD1018" s="3"/>
      <c r="BE1018" s="3"/>
    </row>
    <row r="1019" spans="1:57" x14ac:dyDescent="0.35">
      <c r="A1019" s="66" t="s">
        <v>1483</v>
      </c>
      <c r="B1019" s="67"/>
      <c r="C1019" s="67"/>
      <c r="D1019" s="68"/>
      <c r="E1019" s="70"/>
      <c r="F1019" s="109" t="str">
        <f>HYPERLINK("https://pbs.twimg.com/profile_images/1442502865788887050/rHO2IWl6_normal.jpg")</f>
        <v>https://pbs.twimg.com/profile_images/1442502865788887050/rHO2IWl6_normal.jpg</v>
      </c>
      <c r="G1019" s="67"/>
      <c r="H1019" s="71"/>
      <c r="I1019" s="72"/>
      <c r="J1019" s="72"/>
      <c r="K1019" s="71" t="s">
        <v>11762</v>
      </c>
      <c r="L1019" s="75"/>
      <c r="M1019" s="76"/>
      <c r="N1019" s="76"/>
      <c r="O1019" s="77"/>
      <c r="P1019" s="78"/>
      <c r="Q1019" s="78"/>
      <c r="R1019" s="92"/>
      <c r="S1019" s="92"/>
      <c r="T1019" s="92"/>
      <c r="U1019" s="92"/>
      <c r="V1019" s="52"/>
      <c r="W1019" s="52"/>
      <c r="X1019" s="52"/>
      <c r="Y1019" s="52"/>
      <c r="Z1019" s="51"/>
      <c r="AA1019" s="73"/>
      <c r="AB1019" s="73"/>
      <c r="AC1019" s="74"/>
      <c r="AD1019" s="80" t="s">
        <v>7581</v>
      </c>
      <c r="AE1019" s="85" t="s">
        <v>6416</v>
      </c>
      <c r="AF1019" s="80">
        <v>1491</v>
      </c>
      <c r="AG1019" s="80">
        <v>8977</v>
      </c>
      <c r="AH1019" s="80">
        <v>18886</v>
      </c>
      <c r="AI1019" s="80">
        <v>15166</v>
      </c>
      <c r="AJ1019" s="80"/>
      <c r="AK1019" s="80" t="s">
        <v>9861</v>
      </c>
      <c r="AL1019" s="80" t="s">
        <v>10613</v>
      </c>
      <c r="AM1019" s="80"/>
      <c r="AN1019" s="80"/>
      <c r="AO1019" s="82">
        <v>41687.513692129629</v>
      </c>
      <c r="AP1019" s="87" t="str">
        <f>HYPERLINK("https://pbs.twimg.com/profile_banners/2348394144/1631444609")</f>
        <v>https://pbs.twimg.com/profile_banners/2348394144/1631444609</v>
      </c>
      <c r="AQ1019" s="80" t="b">
        <v>1</v>
      </c>
      <c r="AR1019" s="80" t="b">
        <v>0</v>
      </c>
      <c r="AS1019" s="80" t="b">
        <v>1</v>
      </c>
      <c r="AT1019" s="80"/>
      <c r="AU1019" s="80">
        <v>8</v>
      </c>
      <c r="AV1019" s="87" t="str">
        <f>HYPERLINK("https://abs.twimg.com/images/themes/theme1/bg.png")</f>
        <v>https://abs.twimg.com/images/themes/theme1/bg.png</v>
      </c>
      <c r="AW1019" s="80" t="b">
        <v>0</v>
      </c>
      <c r="AX1019" s="80" t="s">
        <v>10746</v>
      </c>
      <c r="AY1019" s="87" t="str">
        <f>HYPERLINK("https://twitter.com/jbartspace_nft")</f>
        <v>https://twitter.com/jbartspace_nft</v>
      </c>
      <c r="AZ1019" s="80" t="s">
        <v>65</v>
      </c>
      <c r="BA1019" s="2"/>
      <c r="BB1019" s="3"/>
      <c r="BC1019" s="3"/>
      <c r="BD1019" s="3"/>
      <c r="BE1019" s="3"/>
    </row>
    <row r="1020" spans="1:57" x14ac:dyDescent="0.35">
      <c r="A1020" s="66" t="s">
        <v>1484</v>
      </c>
      <c r="B1020" s="67"/>
      <c r="C1020" s="67"/>
      <c r="D1020" s="68"/>
      <c r="E1020" s="70"/>
      <c r="F1020" s="109" t="str">
        <f>HYPERLINK("https://pbs.twimg.com/profile_images/1435070927151140868/tkyQK-sw_normal.jpg")</f>
        <v>https://pbs.twimg.com/profile_images/1435070927151140868/tkyQK-sw_normal.jpg</v>
      </c>
      <c r="G1020" s="67"/>
      <c r="H1020" s="71"/>
      <c r="I1020" s="72"/>
      <c r="J1020" s="72"/>
      <c r="K1020" s="71" t="s">
        <v>11763</v>
      </c>
      <c r="L1020" s="75"/>
      <c r="M1020" s="76"/>
      <c r="N1020" s="76"/>
      <c r="O1020" s="77"/>
      <c r="P1020" s="78"/>
      <c r="Q1020" s="78"/>
      <c r="R1020" s="92"/>
      <c r="S1020" s="92"/>
      <c r="T1020" s="92"/>
      <c r="U1020" s="92"/>
      <c r="V1020" s="52"/>
      <c r="W1020" s="52"/>
      <c r="X1020" s="52"/>
      <c r="Y1020" s="52"/>
      <c r="Z1020" s="51"/>
      <c r="AA1020" s="73"/>
      <c r="AB1020" s="73"/>
      <c r="AC1020" s="74"/>
      <c r="AD1020" s="80" t="s">
        <v>7582</v>
      </c>
      <c r="AE1020" s="85" t="s">
        <v>6417</v>
      </c>
      <c r="AF1020" s="80">
        <v>1510</v>
      </c>
      <c r="AG1020" s="80">
        <v>51474</v>
      </c>
      <c r="AH1020" s="80">
        <v>53572</v>
      </c>
      <c r="AI1020" s="80">
        <v>30698</v>
      </c>
      <c r="AJ1020" s="80"/>
      <c r="AK1020" s="80" t="s">
        <v>9862</v>
      </c>
      <c r="AL1020" s="80" t="s">
        <v>10614</v>
      </c>
      <c r="AM1020" s="87" t="str">
        <f>HYPERLINK("https://t.co/TdILU4hQlk")</f>
        <v>https://t.co/TdILU4hQlk</v>
      </c>
      <c r="AN1020" s="80"/>
      <c r="AO1020" s="82">
        <v>41270.251539351855</v>
      </c>
      <c r="AP1020" s="87" t="str">
        <f>HYPERLINK("https://pbs.twimg.com/profile_banners/1038942409/1592837546")</f>
        <v>https://pbs.twimg.com/profile_banners/1038942409/1592837546</v>
      </c>
      <c r="AQ1020" s="80" t="b">
        <v>0</v>
      </c>
      <c r="AR1020" s="80" t="b">
        <v>0</v>
      </c>
      <c r="AS1020" s="80" t="b">
        <v>1</v>
      </c>
      <c r="AT1020" s="80"/>
      <c r="AU1020" s="80">
        <v>3</v>
      </c>
      <c r="AV1020" s="87" t="str">
        <f>HYPERLINK("https://abs.twimg.com/images/themes/theme11/bg.gif")</f>
        <v>https://abs.twimg.com/images/themes/theme11/bg.gif</v>
      </c>
      <c r="AW1020" s="80" t="b">
        <v>0</v>
      </c>
      <c r="AX1020" s="80" t="s">
        <v>10746</v>
      </c>
      <c r="AY1020" s="87" t="str">
        <f>HYPERLINK("https://twitter.com/rindubeneran")</f>
        <v>https://twitter.com/rindubeneran</v>
      </c>
      <c r="AZ1020" s="80" t="s">
        <v>65</v>
      </c>
      <c r="BA1020" s="2"/>
      <c r="BB1020" s="3"/>
      <c r="BC1020" s="3"/>
      <c r="BD1020" s="3"/>
      <c r="BE1020" s="3"/>
    </row>
    <row r="1021" spans="1:57" x14ac:dyDescent="0.35">
      <c r="A1021" s="66" t="s">
        <v>1012</v>
      </c>
      <c r="B1021" s="67"/>
      <c r="C1021" s="67"/>
      <c r="D1021" s="68"/>
      <c r="E1021" s="70"/>
      <c r="F1021" s="109" t="str">
        <f>HYPERLINK("https://pbs.twimg.com/profile_images/632460999182823424/ed63XrmL_normal.jpg")</f>
        <v>https://pbs.twimg.com/profile_images/632460999182823424/ed63XrmL_normal.jpg</v>
      </c>
      <c r="G1021" s="67"/>
      <c r="H1021" s="71"/>
      <c r="I1021" s="72"/>
      <c r="J1021" s="72"/>
      <c r="K1021" s="71" t="s">
        <v>11764</v>
      </c>
      <c r="L1021" s="75"/>
      <c r="M1021" s="76"/>
      <c r="N1021" s="76"/>
      <c r="O1021" s="77"/>
      <c r="P1021" s="78"/>
      <c r="Q1021" s="78"/>
      <c r="R1021" s="92"/>
      <c r="S1021" s="92"/>
      <c r="T1021" s="92"/>
      <c r="U1021" s="92"/>
      <c r="V1021" s="52"/>
      <c r="W1021" s="52"/>
      <c r="X1021" s="52"/>
      <c r="Y1021" s="52"/>
      <c r="Z1021" s="51"/>
      <c r="AA1021" s="73"/>
      <c r="AB1021" s="73"/>
      <c r="AC1021" s="74"/>
      <c r="AD1021" s="80" t="s">
        <v>7583</v>
      </c>
      <c r="AE1021" s="85" t="s">
        <v>8713</v>
      </c>
      <c r="AF1021" s="80">
        <v>3325</v>
      </c>
      <c r="AG1021" s="80">
        <v>592</v>
      </c>
      <c r="AH1021" s="80">
        <v>13777</v>
      </c>
      <c r="AI1021" s="80">
        <v>23559</v>
      </c>
      <c r="AJ1021" s="80"/>
      <c r="AK1021" s="80" t="s">
        <v>9863</v>
      </c>
      <c r="AL1021" s="80" t="s">
        <v>10615</v>
      </c>
      <c r="AM1021" s="80"/>
      <c r="AN1021" s="80"/>
      <c r="AO1021" s="82">
        <v>40523.173506944448</v>
      </c>
      <c r="AP1021" s="87" t="str">
        <f>HYPERLINK("https://pbs.twimg.com/profile_banners/225263785/1534467377")</f>
        <v>https://pbs.twimg.com/profile_banners/225263785/1534467377</v>
      </c>
      <c r="AQ1021" s="80" t="b">
        <v>0</v>
      </c>
      <c r="AR1021" s="80" t="b">
        <v>0</v>
      </c>
      <c r="AS1021" s="80" t="b">
        <v>1</v>
      </c>
      <c r="AT1021" s="80"/>
      <c r="AU1021" s="80">
        <v>15</v>
      </c>
      <c r="AV1021" s="87" t="str">
        <f>HYPERLINK("https://abs.twimg.com/images/themes/theme5/bg.gif")</f>
        <v>https://abs.twimg.com/images/themes/theme5/bg.gif</v>
      </c>
      <c r="AW1021" s="80" t="b">
        <v>0</v>
      </c>
      <c r="AX1021" s="80" t="s">
        <v>10746</v>
      </c>
      <c r="AY1021" s="87" t="str">
        <f>HYPERLINK("https://twitter.com/sur_dchuvalier")</f>
        <v>https://twitter.com/sur_dchuvalier</v>
      </c>
      <c r="AZ1021" s="80" t="s">
        <v>66</v>
      </c>
      <c r="BA1021" s="2"/>
      <c r="BB1021" s="3"/>
      <c r="BC1021" s="3"/>
      <c r="BD1021" s="3"/>
      <c r="BE1021" s="3"/>
    </row>
    <row r="1022" spans="1:57" x14ac:dyDescent="0.35">
      <c r="A1022" s="66" t="s">
        <v>1013</v>
      </c>
      <c r="B1022" s="67"/>
      <c r="C1022" s="67"/>
      <c r="D1022" s="68"/>
      <c r="E1022" s="70"/>
      <c r="F1022" s="109" t="str">
        <f>HYPERLINK("https://pbs.twimg.com/profile_images/1441962393265852421/9XOmzvVO_normal.jpg")</f>
        <v>https://pbs.twimg.com/profile_images/1441962393265852421/9XOmzvVO_normal.jpg</v>
      </c>
      <c r="G1022" s="67"/>
      <c r="H1022" s="71"/>
      <c r="I1022" s="72"/>
      <c r="J1022" s="72"/>
      <c r="K1022" s="71" t="s">
        <v>11765</v>
      </c>
      <c r="L1022" s="75"/>
      <c r="M1022" s="76"/>
      <c r="N1022" s="76"/>
      <c r="O1022" s="77"/>
      <c r="P1022" s="78"/>
      <c r="Q1022" s="78"/>
      <c r="R1022" s="92"/>
      <c r="S1022" s="92"/>
      <c r="T1022" s="92"/>
      <c r="U1022" s="92"/>
      <c r="V1022" s="52"/>
      <c r="W1022" s="52"/>
      <c r="X1022" s="52"/>
      <c r="Y1022" s="52"/>
      <c r="Z1022" s="51"/>
      <c r="AA1022" s="73"/>
      <c r="AB1022" s="73"/>
      <c r="AC1022" s="74"/>
      <c r="AD1022" s="80" t="s">
        <v>7584</v>
      </c>
      <c r="AE1022" s="85" t="s">
        <v>8714</v>
      </c>
      <c r="AF1022" s="80">
        <v>92</v>
      </c>
      <c r="AG1022" s="80">
        <v>2259</v>
      </c>
      <c r="AH1022" s="80">
        <v>2395</v>
      </c>
      <c r="AI1022" s="80">
        <v>257</v>
      </c>
      <c r="AJ1022" s="80"/>
      <c r="AK1022" s="80" t="s">
        <v>9864</v>
      </c>
      <c r="AL1022" s="80" t="s">
        <v>10616</v>
      </c>
      <c r="AM1022" s="87" t="str">
        <f>HYPERLINK("https://t.co/DyKdecxlMi")</f>
        <v>https://t.co/DyKdecxlMi</v>
      </c>
      <c r="AN1022" s="80"/>
      <c r="AO1022" s="82">
        <v>43000.516840277778</v>
      </c>
      <c r="AP1022" s="87" t="str">
        <f>HYPERLINK("https://pbs.twimg.com/profile_banners/911204493961736194/1585533736")</f>
        <v>https://pbs.twimg.com/profile_banners/911204493961736194/1585533736</v>
      </c>
      <c r="AQ1022" s="80" t="b">
        <v>0</v>
      </c>
      <c r="AR1022" s="80" t="b">
        <v>0</v>
      </c>
      <c r="AS1022" s="80" t="b">
        <v>1</v>
      </c>
      <c r="AT1022" s="80"/>
      <c r="AU1022" s="80">
        <v>2</v>
      </c>
      <c r="AV1022" s="87" t="str">
        <f>HYPERLINK("https://abs.twimg.com/images/themes/theme1/bg.png")</f>
        <v>https://abs.twimg.com/images/themes/theme1/bg.png</v>
      </c>
      <c r="AW1022" s="80" t="b">
        <v>1</v>
      </c>
      <c r="AX1022" s="80" t="s">
        <v>10746</v>
      </c>
      <c r="AY1022" s="87" t="str">
        <f>HYPERLINK("https://twitter.com/kominfosumbar")</f>
        <v>https://twitter.com/kominfosumbar</v>
      </c>
      <c r="AZ1022" s="80" t="s">
        <v>66</v>
      </c>
      <c r="BA1022" s="2"/>
      <c r="BB1022" s="3"/>
      <c r="BC1022" s="3"/>
      <c r="BD1022" s="3"/>
      <c r="BE1022" s="3"/>
    </row>
    <row r="1023" spans="1:57" x14ac:dyDescent="0.35">
      <c r="A1023" s="66" t="s">
        <v>1014</v>
      </c>
      <c r="B1023" s="67"/>
      <c r="C1023" s="67"/>
      <c r="D1023" s="68"/>
      <c r="E1023" s="70"/>
      <c r="F1023" s="109" t="str">
        <f>HYPERLINK("https://pbs.twimg.com/profile_images/1367266149524631553/ImCMaUMu_normal.jpg")</f>
        <v>https://pbs.twimg.com/profile_images/1367266149524631553/ImCMaUMu_normal.jpg</v>
      </c>
      <c r="G1023" s="67"/>
      <c r="H1023" s="71"/>
      <c r="I1023" s="72"/>
      <c r="J1023" s="72"/>
      <c r="K1023" s="71" t="s">
        <v>11766</v>
      </c>
      <c r="L1023" s="75"/>
      <c r="M1023" s="76"/>
      <c r="N1023" s="76"/>
      <c r="O1023" s="77"/>
      <c r="P1023" s="78"/>
      <c r="Q1023" s="78"/>
      <c r="R1023" s="92"/>
      <c r="S1023" s="92"/>
      <c r="T1023" s="92"/>
      <c r="U1023" s="92"/>
      <c r="V1023" s="52"/>
      <c r="W1023" s="52"/>
      <c r="X1023" s="52"/>
      <c r="Y1023" s="52"/>
      <c r="Z1023" s="51"/>
      <c r="AA1023" s="73"/>
      <c r="AB1023" s="73"/>
      <c r="AC1023" s="74"/>
      <c r="AD1023" s="80" t="s">
        <v>7585</v>
      </c>
      <c r="AE1023" s="85" t="s">
        <v>6418</v>
      </c>
      <c r="AF1023" s="80">
        <v>10</v>
      </c>
      <c r="AG1023" s="80">
        <v>62</v>
      </c>
      <c r="AH1023" s="80">
        <v>373</v>
      </c>
      <c r="AI1023" s="80">
        <v>25</v>
      </c>
      <c r="AJ1023" s="80"/>
      <c r="AK1023" s="80" t="s">
        <v>9865</v>
      </c>
      <c r="AL1023" s="80" t="s">
        <v>10617</v>
      </c>
      <c r="AM1023" s="87" t="str">
        <f>HYPERLINK("https://t.co/cYwFoCRAdR")</f>
        <v>https://t.co/cYwFoCRAdR</v>
      </c>
      <c r="AN1023" s="80"/>
      <c r="AO1023" s="82">
        <v>44243.867696759262</v>
      </c>
      <c r="AP1023" s="87" t="str">
        <f>HYPERLINK("https://pbs.twimg.com/profile_banners/1361779650179964932/1614839772")</f>
        <v>https://pbs.twimg.com/profile_banners/1361779650179964932/1614839772</v>
      </c>
      <c r="AQ1023" s="80" t="b">
        <v>1</v>
      </c>
      <c r="AR1023" s="80" t="b">
        <v>0</v>
      </c>
      <c r="AS1023" s="80" t="b">
        <v>0</v>
      </c>
      <c r="AT1023" s="80"/>
      <c r="AU1023" s="80">
        <v>0</v>
      </c>
      <c r="AV1023" s="80"/>
      <c r="AW1023" s="80" t="b">
        <v>0</v>
      </c>
      <c r="AX1023" s="80" t="s">
        <v>10746</v>
      </c>
      <c r="AY1023" s="87" t="str">
        <f>HYPERLINK("https://twitter.com/rumahkipkunsil")</f>
        <v>https://twitter.com/rumahkipkunsil</v>
      </c>
      <c r="AZ1023" s="80" t="s">
        <v>66</v>
      </c>
      <c r="BA1023" s="2"/>
      <c r="BB1023" s="3"/>
      <c r="BC1023" s="3"/>
      <c r="BD1023" s="3"/>
      <c r="BE1023" s="3"/>
    </row>
    <row r="1024" spans="1:57" x14ac:dyDescent="0.35">
      <c r="A1024" s="66" t="s">
        <v>1015</v>
      </c>
      <c r="B1024" s="67"/>
      <c r="C1024" s="67"/>
      <c r="D1024" s="68"/>
      <c r="E1024" s="70"/>
      <c r="F1024" s="109" t="str">
        <f>HYPERLINK("https://pbs.twimg.com/profile_images/1403596950310690819/APV6OKNE_normal.jpg")</f>
        <v>https://pbs.twimg.com/profile_images/1403596950310690819/APV6OKNE_normal.jpg</v>
      </c>
      <c r="G1024" s="67"/>
      <c r="H1024" s="71"/>
      <c r="I1024" s="72"/>
      <c r="J1024" s="72"/>
      <c r="K1024" s="71" t="s">
        <v>11767</v>
      </c>
      <c r="L1024" s="75"/>
      <c r="M1024" s="76"/>
      <c r="N1024" s="76"/>
      <c r="O1024" s="77"/>
      <c r="P1024" s="78"/>
      <c r="Q1024" s="78"/>
      <c r="R1024" s="92"/>
      <c r="S1024" s="92"/>
      <c r="T1024" s="92"/>
      <c r="U1024" s="92"/>
      <c r="V1024" s="52"/>
      <c r="W1024" s="52"/>
      <c r="X1024" s="52"/>
      <c r="Y1024" s="52"/>
      <c r="Z1024" s="51"/>
      <c r="AA1024" s="73"/>
      <c r="AB1024" s="73"/>
      <c r="AC1024" s="74"/>
      <c r="AD1024" s="80" t="s">
        <v>7586</v>
      </c>
      <c r="AE1024" s="85" t="s">
        <v>8715</v>
      </c>
      <c r="AF1024" s="80">
        <v>39</v>
      </c>
      <c r="AG1024" s="80">
        <v>0</v>
      </c>
      <c r="AH1024" s="80">
        <v>73</v>
      </c>
      <c r="AI1024" s="80">
        <v>54</v>
      </c>
      <c r="AJ1024" s="80"/>
      <c r="AK1024" s="80" t="s">
        <v>9866</v>
      </c>
      <c r="AL1024" s="80"/>
      <c r="AM1024" s="87" t="str">
        <f>HYPERLINK("https://t.co/sf9aGNxv5y")</f>
        <v>https://t.co/sf9aGNxv5y</v>
      </c>
      <c r="AN1024" s="80"/>
      <c r="AO1024" s="82">
        <v>44359.251967592594</v>
      </c>
      <c r="AP1024" s="87" t="str">
        <f>HYPERLINK("https://pbs.twimg.com/profile_banners/1403593491385487362/1623478271")</f>
        <v>https://pbs.twimg.com/profile_banners/1403593491385487362/1623478271</v>
      </c>
      <c r="AQ1024" s="80" t="b">
        <v>1</v>
      </c>
      <c r="AR1024" s="80" t="b">
        <v>0</v>
      </c>
      <c r="AS1024" s="80" t="b">
        <v>0</v>
      </c>
      <c r="AT1024" s="80"/>
      <c r="AU1024" s="80">
        <v>0</v>
      </c>
      <c r="AV1024" s="80"/>
      <c r="AW1024" s="80" t="b">
        <v>0</v>
      </c>
      <c r="AX1024" s="80" t="s">
        <v>10746</v>
      </c>
      <c r="AY1024" s="87" t="str">
        <f>HYPERLINK("https://twitter.com/lib1_alfawy")</f>
        <v>https://twitter.com/lib1_alfawy</v>
      </c>
      <c r="AZ1024" s="80" t="s">
        <v>66</v>
      </c>
      <c r="BA1024" s="2"/>
      <c r="BB1024" s="3"/>
      <c r="BC1024" s="3"/>
      <c r="BD1024" s="3"/>
      <c r="BE1024" s="3"/>
    </row>
    <row r="1025" spans="1:57" x14ac:dyDescent="0.35">
      <c r="A1025" s="66" t="s">
        <v>1016</v>
      </c>
      <c r="B1025" s="67"/>
      <c r="C1025" s="67"/>
      <c r="D1025" s="68"/>
      <c r="E1025" s="70"/>
      <c r="F1025" s="109" t="str">
        <f>HYPERLINK("https://pbs.twimg.com/profile_images/1399209896063553539/kyTMl7Ye_normal.jpg")</f>
        <v>https://pbs.twimg.com/profile_images/1399209896063553539/kyTMl7Ye_normal.jpg</v>
      </c>
      <c r="G1025" s="67"/>
      <c r="H1025" s="71"/>
      <c r="I1025" s="72"/>
      <c r="J1025" s="72"/>
      <c r="K1025" s="71" t="s">
        <v>11768</v>
      </c>
      <c r="L1025" s="75"/>
      <c r="M1025" s="76"/>
      <c r="N1025" s="76"/>
      <c r="O1025" s="77"/>
      <c r="P1025" s="78"/>
      <c r="Q1025" s="78"/>
      <c r="R1025" s="92"/>
      <c r="S1025" s="92"/>
      <c r="T1025" s="92"/>
      <c r="U1025" s="92"/>
      <c r="V1025" s="52"/>
      <c r="W1025" s="52"/>
      <c r="X1025" s="52"/>
      <c r="Y1025" s="52"/>
      <c r="Z1025" s="51"/>
      <c r="AA1025" s="73"/>
      <c r="AB1025" s="73"/>
      <c r="AC1025" s="74"/>
      <c r="AD1025" s="80" t="s">
        <v>7587</v>
      </c>
      <c r="AE1025" s="85" t="s">
        <v>6419</v>
      </c>
      <c r="AF1025" s="80">
        <v>211</v>
      </c>
      <c r="AG1025" s="80">
        <v>27492</v>
      </c>
      <c r="AH1025" s="80">
        <v>15275</v>
      </c>
      <c r="AI1025" s="80">
        <v>2658</v>
      </c>
      <c r="AJ1025" s="80"/>
      <c r="AK1025" s="80" t="s">
        <v>9867</v>
      </c>
      <c r="AL1025" s="80" t="s">
        <v>6547</v>
      </c>
      <c r="AM1025" s="87" t="str">
        <f>HYPERLINK("https://t.co/LgnpkIB38p")</f>
        <v>https://t.co/LgnpkIB38p</v>
      </c>
      <c r="AN1025" s="80"/>
      <c r="AO1025" s="82">
        <v>42571.332361111112</v>
      </c>
      <c r="AP1025" s="87" t="str">
        <f>HYPERLINK("https://pbs.twimg.com/profile_banners/755673247660650497/1622434943")</f>
        <v>https://pbs.twimg.com/profile_banners/755673247660650497/1622434943</v>
      </c>
      <c r="AQ1025" s="80" t="b">
        <v>1</v>
      </c>
      <c r="AR1025" s="80" t="b">
        <v>0</v>
      </c>
      <c r="AS1025" s="80" t="b">
        <v>1</v>
      </c>
      <c r="AT1025" s="80"/>
      <c r="AU1025" s="80">
        <v>37</v>
      </c>
      <c r="AV1025" s="80"/>
      <c r="AW1025" s="80" t="b">
        <v>1</v>
      </c>
      <c r="AX1025" s="80" t="s">
        <v>10746</v>
      </c>
      <c r="AY1025" s="87" t="str">
        <f>HYPERLINK("https://twitter.com/kominfodiy")</f>
        <v>https://twitter.com/kominfodiy</v>
      </c>
      <c r="AZ1025" s="80" t="s">
        <v>66</v>
      </c>
      <c r="BA1025" s="2"/>
      <c r="BB1025" s="3"/>
      <c r="BC1025" s="3"/>
      <c r="BD1025" s="3"/>
      <c r="BE1025" s="3"/>
    </row>
    <row r="1026" spans="1:57" x14ac:dyDescent="0.35">
      <c r="A1026" s="66" t="s">
        <v>1017</v>
      </c>
      <c r="B1026" s="67"/>
      <c r="C1026" s="67"/>
      <c r="D1026" s="68"/>
      <c r="E1026" s="70"/>
      <c r="F1026" s="109" t="str">
        <f>HYPERLINK("https://pbs.twimg.com/profile_images/1321791301872803840/j7W_f3i3_normal.jpg")</f>
        <v>https://pbs.twimg.com/profile_images/1321791301872803840/j7W_f3i3_normal.jpg</v>
      </c>
      <c r="G1026" s="67"/>
      <c r="H1026" s="71"/>
      <c r="I1026" s="72"/>
      <c r="J1026" s="72"/>
      <c r="K1026" s="71" t="s">
        <v>11769</v>
      </c>
      <c r="L1026" s="75"/>
      <c r="M1026" s="76"/>
      <c r="N1026" s="76"/>
      <c r="O1026" s="77"/>
      <c r="P1026" s="78"/>
      <c r="Q1026" s="78"/>
      <c r="R1026" s="92"/>
      <c r="S1026" s="92"/>
      <c r="T1026" s="92"/>
      <c r="U1026" s="92"/>
      <c r="V1026" s="52"/>
      <c r="W1026" s="52"/>
      <c r="X1026" s="52"/>
      <c r="Y1026" s="52"/>
      <c r="Z1026" s="51"/>
      <c r="AA1026" s="73"/>
      <c r="AB1026" s="73"/>
      <c r="AC1026" s="74"/>
      <c r="AD1026" s="80" t="s">
        <v>7588</v>
      </c>
      <c r="AE1026" s="85" t="s">
        <v>6420</v>
      </c>
      <c r="AF1026" s="80">
        <v>76</v>
      </c>
      <c r="AG1026" s="80">
        <v>546</v>
      </c>
      <c r="AH1026" s="80">
        <v>9070</v>
      </c>
      <c r="AI1026" s="80">
        <v>80</v>
      </c>
      <c r="AJ1026" s="80"/>
      <c r="AK1026" s="80" t="s">
        <v>9868</v>
      </c>
      <c r="AL1026" s="80" t="s">
        <v>10618</v>
      </c>
      <c r="AM1026" s="87" t="str">
        <f>HYPERLINK("https://t.co/8sEdshczt9")</f>
        <v>https://t.co/8sEdshczt9</v>
      </c>
      <c r="AN1026" s="80"/>
      <c r="AO1026" s="82">
        <v>41339.870289351849</v>
      </c>
      <c r="AP1026" s="87" t="str">
        <f>HYPERLINK("https://pbs.twimg.com/profile_banners/1247110849/1623139968")</f>
        <v>https://pbs.twimg.com/profile_banners/1247110849/1623139968</v>
      </c>
      <c r="AQ1026" s="80" t="b">
        <v>0</v>
      </c>
      <c r="AR1026" s="80" t="b">
        <v>0</v>
      </c>
      <c r="AS1026" s="80" t="b">
        <v>1</v>
      </c>
      <c r="AT1026" s="80"/>
      <c r="AU1026" s="80">
        <v>1</v>
      </c>
      <c r="AV1026" s="87" t="str">
        <f>HYPERLINK("https://abs.twimg.com/images/themes/theme9/bg.gif")</f>
        <v>https://abs.twimg.com/images/themes/theme9/bg.gif</v>
      </c>
      <c r="AW1026" s="80" t="b">
        <v>0</v>
      </c>
      <c r="AX1026" s="80" t="s">
        <v>10746</v>
      </c>
      <c r="AY1026" s="87" t="str">
        <f>HYPERLINK("https://twitter.com/himafifmipaunri")</f>
        <v>https://twitter.com/himafifmipaunri</v>
      </c>
      <c r="AZ1026" s="80" t="s">
        <v>66</v>
      </c>
      <c r="BA1026" s="2"/>
      <c r="BB1026" s="3"/>
      <c r="BC1026" s="3"/>
      <c r="BD1026" s="3"/>
      <c r="BE1026" s="3"/>
    </row>
    <row r="1027" spans="1:57" x14ac:dyDescent="0.35">
      <c r="A1027" s="66" t="s">
        <v>1018</v>
      </c>
      <c r="B1027" s="67"/>
      <c r="C1027" s="67"/>
      <c r="D1027" s="68"/>
      <c r="E1027" s="70"/>
      <c r="F1027" s="109" t="str">
        <f>HYPERLINK("https://pbs.twimg.com/profile_images/378800000037915423/c5d65c59dcf4dfc30b676785c299b5a5_normal.jpeg")</f>
        <v>https://pbs.twimg.com/profile_images/378800000037915423/c5d65c59dcf4dfc30b676785c299b5a5_normal.jpeg</v>
      </c>
      <c r="G1027" s="67"/>
      <c r="H1027" s="71"/>
      <c r="I1027" s="72"/>
      <c r="J1027" s="72"/>
      <c r="K1027" s="71" t="s">
        <v>11770</v>
      </c>
      <c r="L1027" s="75"/>
      <c r="M1027" s="76"/>
      <c r="N1027" s="76"/>
      <c r="O1027" s="77"/>
      <c r="P1027" s="78"/>
      <c r="Q1027" s="78"/>
      <c r="R1027" s="92"/>
      <c r="S1027" s="92"/>
      <c r="T1027" s="92"/>
      <c r="U1027" s="92"/>
      <c r="V1027" s="52"/>
      <c r="W1027" s="52"/>
      <c r="X1027" s="52"/>
      <c r="Y1027" s="52"/>
      <c r="Z1027" s="51"/>
      <c r="AA1027" s="73"/>
      <c r="AB1027" s="73"/>
      <c r="AC1027" s="74"/>
      <c r="AD1027" s="80" t="s">
        <v>7589</v>
      </c>
      <c r="AE1027" s="85" t="s">
        <v>8716</v>
      </c>
      <c r="AF1027" s="80">
        <v>394</v>
      </c>
      <c r="AG1027" s="80">
        <v>8228</v>
      </c>
      <c r="AH1027" s="80">
        <v>11143</v>
      </c>
      <c r="AI1027" s="80">
        <v>307</v>
      </c>
      <c r="AJ1027" s="80"/>
      <c r="AK1027" s="80" t="s">
        <v>9869</v>
      </c>
      <c r="AL1027" s="80" t="s">
        <v>6543</v>
      </c>
      <c r="AM1027" s="87" t="str">
        <f>HYPERLINK("https://t.co/FQxYXfsyBK")</f>
        <v>https://t.co/FQxYXfsyBK</v>
      </c>
      <c r="AN1027" s="80"/>
      <c r="AO1027" s="82">
        <v>40934.242407407408</v>
      </c>
      <c r="AP1027" s="87" t="str">
        <f>HYPERLINK("https://pbs.twimg.com/profile_banners/474632944/1367920383")</f>
        <v>https://pbs.twimg.com/profile_banners/474632944/1367920383</v>
      </c>
      <c r="AQ1027" s="80" t="b">
        <v>0</v>
      </c>
      <c r="AR1027" s="80" t="b">
        <v>0</v>
      </c>
      <c r="AS1027" s="80" t="b">
        <v>1</v>
      </c>
      <c r="AT1027" s="80"/>
      <c r="AU1027" s="80">
        <v>4</v>
      </c>
      <c r="AV1027" s="87" t="str">
        <f>HYPERLINK("https://abs.twimg.com/images/themes/theme1/bg.png")</f>
        <v>https://abs.twimg.com/images/themes/theme1/bg.png</v>
      </c>
      <c r="AW1027" s="80" t="b">
        <v>0</v>
      </c>
      <c r="AX1027" s="80" t="s">
        <v>10746</v>
      </c>
      <c r="AY1027" s="87" t="str">
        <f>HYPERLINK("https://twitter.com/coklatkita")</f>
        <v>https://twitter.com/coklatkita</v>
      </c>
      <c r="AZ1027" s="80" t="s">
        <v>66</v>
      </c>
      <c r="BA1027" s="2"/>
      <c r="BB1027" s="3"/>
      <c r="BC1027" s="3"/>
      <c r="BD1027" s="3"/>
      <c r="BE1027" s="3"/>
    </row>
    <row r="1028" spans="1:57" x14ac:dyDescent="0.35">
      <c r="A1028" s="66" t="s">
        <v>1019</v>
      </c>
      <c r="B1028" s="67"/>
      <c r="C1028" s="67"/>
      <c r="D1028" s="68"/>
      <c r="E1028" s="70"/>
      <c r="F1028" s="109" t="str">
        <f>HYPERLINK("https://pbs.twimg.com/profile_images/1399869317907292186/HZoGTX0__normal.jpg")</f>
        <v>https://pbs.twimg.com/profile_images/1399869317907292186/HZoGTX0__normal.jpg</v>
      </c>
      <c r="G1028" s="67"/>
      <c r="H1028" s="71"/>
      <c r="I1028" s="72"/>
      <c r="J1028" s="72"/>
      <c r="K1028" s="71" t="s">
        <v>11771</v>
      </c>
      <c r="L1028" s="75"/>
      <c r="M1028" s="76"/>
      <c r="N1028" s="76"/>
      <c r="O1028" s="77"/>
      <c r="P1028" s="78"/>
      <c r="Q1028" s="78"/>
      <c r="R1028" s="92"/>
      <c r="S1028" s="92"/>
      <c r="T1028" s="92"/>
      <c r="U1028" s="92"/>
      <c r="V1028" s="52"/>
      <c r="W1028" s="52"/>
      <c r="X1028" s="52"/>
      <c r="Y1028" s="52"/>
      <c r="Z1028" s="51"/>
      <c r="AA1028" s="73"/>
      <c r="AB1028" s="73"/>
      <c r="AC1028" s="74"/>
      <c r="AD1028" s="80" t="s">
        <v>7590</v>
      </c>
      <c r="AE1028" s="85" t="s">
        <v>8717</v>
      </c>
      <c r="AF1028" s="80">
        <v>1001</v>
      </c>
      <c r="AG1028" s="80">
        <v>1001</v>
      </c>
      <c r="AH1028" s="80">
        <v>229</v>
      </c>
      <c r="AI1028" s="80">
        <v>217</v>
      </c>
      <c r="AJ1028" s="80"/>
      <c r="AK1028" s="80" t="s">
        <v>9870</v>
      </c>
      <c r="AL1028" s="80"/>
      <c r="AM1028" s="80"/>
      <c r="AN1028" s="80"/>
      <c r="AO1028" s="82">
        <v>44348.974432870367</v>
      </c>
      <c r="AP1028" s="80"/>
      <c r="AQ1028" s="80" t="b">
        <v>1</v>
      </c>
      <c r="AR1028" s="80" t="b">
        <v>0</v>
      </c>
      <c r="AS1028" s="80" t="b">
        <v>0</v>
      </c>
      <c r="AT1028" s="80"/>
      <c r="AU1028" s="80">
        <v>0</v>
      </c>
      <c r="AV1028" s="80"/>
      <c r="AW1028" s="80" t="b">
        <v>0</v>
      </c>
      <c r="AX1028" s="80" t="s">
        <v>10746</v>
      </c>
      <c r="AY1028" s="87" t="str">
        <f>HYPERLINK("https://twitter.com/d4mbpoltekpos")</f>
        <v>https://twitter.com/d4mbpoltekpos</v>
      </c>
      <c r="AZ1028" s="80" t="s">
        <v>66</v>
      </c>
      <c r="BA1028" s="2"/>
      <c r="BB1028" s="3"/>
      <c r="BC1028" s="3"/>
      <c r="BD1028" s="3"/>
      <c r="BE1028" s="3"/>
    </row>
    <row r="1029" spans="1:57" x14ac:dyDescent="0.35">
      <c r="A1029" s="66" t="s">
        <v>1020</v>
      </c>
      <c r="B1029" s="67"/>
      <c r="C1029" s="67"/>
      <c r="D1029" s="68"/>
      <c r="E1029" s="70"/>
      <c r="F1029" s="109" t="str">
        <f>HYPERLINK("https://pbs.twimg.com/profile_images/2418591123/images_normal.jpg")</f>
        <v>https://pbs.twimg.com/profile_images/2418591123/images_normal.jpg</v>
      </c>
      <c r="G1029" s="67"/>
      <c r="H1029" s="71"/>
      <c r="I1029" s="72"/>
      <c r="J1029" s="72"/>
      <c r="K1029" s="71" t="s">
        <v>11772</v>
      </c>
      <c r="L1029" s="75"/>
      <c r="M1029" s="76"/>
      <c r="N1029" s="76"/>
      <c r="O1029" s="77"/>
      <c r="P1029" s="78"/>
      <c r="Q1029" s="78"/>
      <c r="R1029" s="92"/>
      <c r="S1029" s="92"/>
      <c r="T1029" s="92"/>
      <c r="U1029" s="92"/>
      <c r="V1029" s="52"/>
      <c r="W1029" s="52"/>
      <c r="X1029" s="52"/>
      <c r="Y1029" s="52"/>
      <c r="Z1029" s="51"/>
      <c r="AA1029" s="73"/>
      <c r="AB1029" s="73"/>
      <c r="AC1029" s="74"/>
      <c r="AD1029" s="80" t="s">
        <v>7591</v>
      </c>
      <c r="AE1029" s="85" t="s">
        <v>8718</v>
      </c>
      <c r="AF1029" s="80">
        <v>32</v>
      </c>
      <c r="AG1029" s="80">
        <v>4320</v>
      </c>
      <c r="AH1029" s="80">
        <v>7884</v>
      </c>
      <c r="AI1029" s="80">
        <v>1</v>
      </c>
      <c r="AJ1029" s="80"/>
      <c r="AK1029" s="80"/>
      <c r="AL1029" s="80" t="s">
        <v>10619</v>
      </c>
      <c r="AM1029" s="87" t="str">
        <f>HYPERLINK("https://t.co/yQnz15p2yH")</f>
        <v>https://t.co/yQnz15p2yH</v>
      </c>
      <c r="AN1029" s="80"/>
      <c r="AO1029" s="82">
        <v>41111.577326388891</v>
      </c>
      <c r="AP1029" s="80"/>
      <c r="AQ1029" s="80" t="b">
        <v>0</v>
      </c>
      <c r="AR1029" s="80" t="b">
        <v>0</v>
      </c>
      <c r="AS1029" s="80" t="b">
        <v>1</v>
      </c>
      <c r="AT1029" s="80"/>
      <c r="AU1029" s="80">
        <v>7</v>
      </c>
      <c r="AV1029" s="87" t="str">
        <f>HYPERLINK("https://abs.twimg.com/images/themes/theme1/bg.png")</f>
        <v>https://abs.twimg.com/images/themes/theme1/bg.png</v>
      </c>
      <c r="AW1029" s="80" t="b">
        <v>0</v>
      </c>
      <c r="AX1029" s="80" t="s">
        <v>10746</v>
      </c>
      <c r="AY1029" s="87" t="str">
        <f>HYPERLINK("https://twitter.com/lowongankerjalu")</f>
        <v>https://twitter.com/lowongankerjalu</v>
      </c>
      <c r="AZ1029" s="80" t="s">
        <v>66</v>
      </c>
      <c r="BA1029" s="2"/>
      <c r="BB1029" s="3"/>
      <c r="BC1029" s="3"/>
      <c r="BD1029" s="3"/>
      <c r="BE1029" s="3"/>
    </row>
    <row r="1030" spans="1:57" x14ac:dyDescent="0.35">
      <c r="A1030" s="66" t="s">
        <v>1021</v>
      </c>
      <c r="B1030" s="67"/>
      <c r="C1030" s="67"/>
      <c r="D1030" s="68"/>
      <c r="E1030" s="70"/>
      <c r="F1030" s="109" t="str">
        <f>HYPERLINK("https://pbs.twimg.com/profile_images/1419854871272988678/HoPuqwsW_normal.jpg")</f>
        <v>https://pbs.twimg.com/profile_images/1419854871272988678/HoPuqwsW_normal.jpg</v>
      </c>
      <c r="G1030" s="67"/>
      <c r="H1030" s="71"/>
      <c r="I1030" s="72"/>
      <c r="J1030" s="72"/>
      <c r="K1030" s="71" t="s">
        <v>11773</v>
      </c>
      <c r="L1030" s="75"/>
      <c r="M1030" s="76"/>
      <c r="N1030" s="76"/>
      <c r="O1030" s="77"/>
      <c r="P1030" s="78"/>
      <c r="Q1030" s="78"/>
      <c r="R1030" s="92"/>
      <c r="S1030" s="92"/>
      <c r="T1030" s="92"/>
      <c r="U1030" s="92"/>
      <c r="V1030" s="52"/>
      <c r="W1030" s="52"/>
      <c r="X1030" s="52"/>
      <c r="Y1030" s="52"/>
      <c r="Z1030" s="51"/>
      <c r="AA1030" s="73"/>
      <c r="AB1030" s="73"/>
      <c r="AC1030" s="74"/>
      <c r="AD1030" s="80" t="s">
        <v>7592</v>
      </c>
      <c r="AE1030" s="85" t="s">
        <v>6421</v>
      </c>
      <c r="AF1030" s="80">
        <v>45</v>
      </c>
      <c r="AG1030" s="80">
        <v>25</v>
      </c>
      <c r="AH1030" s="80">
        <v>389</v>
      </c>
      <c r="AI1030" s="80">
        <v>448</v>
      </c>
      <c r="AJ1030" s="80"/>
      <c r="AK1030" s="80" t="s">
        <v>9871</v>
      </c>
      <c r="AL1030" s="80" t="s">
        <v>10620</v>
      </c>
      <c r="AM1030" s="87" t="str">
        <f>HYPERLINK("https://t.co/HDMARdq1U1")</f>
        <v>https://t.co/HDMARdq1U1</v>
      </c>
      <c r="AN1030" s="80"/>
      <c r="AO1030" s="82">
        <v>44404.120972222219</v>
      </c>
      <c r="AP1030" s="87" t="str">
        <f>HYPERLINK("https://pbs.twimg.com/profile_banners/1419853523328507909/1627354757")</f>
        <v>https://pbs.twimg.com/profile_banners/1419853523328507909/1627354757</v>
      </c>
      <c r="AQ1030" s="80" t="b">
        <v>1</v>
      </c>
      <c r="AR1030" s="80" t="b">
        <v>0</v>
      </c>
      <c r="AS1030" s="80" t="b">
        <v>0</v>
      </c>
      <c r="AT1030" s="80"/>
      <c r="AU1030" s="80">
        <v>0</v>
      </c>
      <c r="AV1030" s="80"/>
      <c r="AW1030" s="80" t="b">
        <v>0</v>
      </c>
      <c r="AX1030" s="80" t="s">
        <v>10746</v>
      </c>
      <c r="AY1030" s="87" t="str">
        <f>HYPERLINK("https://twitter.com/bolmongkpu")</f>
        <v>https://twitter.com/bolmongkpu</v>
      </c>
      <c r="AZ1030" s="80" t="s">
        <v>66</v>
      </c>
      <c r="BA1030" s="2"/>
      <c r="BB1030" s="3"/>
      <c r="BC1030" s="3"/>
      <c r="BD1030" s="3"/>
      <c r="BE1030" s="3"/>
    </row>
    <row r="1031" spans="1:57" x14ac:dyDescent="0.35">
      <c r="A1031" s="66" t="s">
        <v>1022</v>
      </c>
      <c r="B1031" s="67"/>
      <c r="C1031" s="67"/>
      <c r="D1031" s="68"/>
      <c r="E1031" s="70"/>
      <c r="F1031" s="109" t="str">
        <f>HYPERLINK("https://pbs.twimg.com/profile_images/1303305039285374976/V1VBb8Et_normal.jpg")</f>
        <v>https://pbs.twimg.com/profile_images/1303305039285374976/V1VBb8Et_normal.jpg</v>
      </c>
      <c r="G1031" s="67"/>
      <c r="H1031" s="71"/>
      <c r="I1031" s="72"/>
      <c r="J1031" s="72"/>
      <c r="K1031" s="71" t="s">
        <v>11774</v>
      </c>
      <c r="L1031" s="75"/>
      <c r="M1031" s="76"/>
      <c r="N1031" s="76"/>
      <c r="O1031" s="77"/>
      <c r="P1031" s="78"/>
      <c r="Q1031" s="78"/>
      <c r="R1031" s="92"/>
      <c r="S1031" s="92"/>
      <c r="T1031" s="92"/>
      <c r="U1031" s="92"/>
      <c r="V1031" s="52"/>
      <c r="W1031" s="52"/>
      <c r="X1031" s="52"/>
      <c r="Y1031" s="52"/>
      <c r="Z1031" s="51"/>
      <c r="AA1031" s="73"/>
      <c r="AB1031" s="73"/>
      <c r="AC1031" s="74"/>
      <c r="AD1031" s="80" t="s">
        <v>7593</v>
      </c>
      <c r="AE1031" s="85" t="s">
        <v>8719</v>
      </c>
      <c r="AF1031" s="80">
        <v>25</v>
      </c>
      <c r="AG1031" s="80">
        <v>105</v>
      </c>
      <c r="AH1031" s="80">
        <v>989</v>
      </c>
      <c r="AI1031" s="80">
        <v>0</v>
      </c>
      <c r="AJ1031" s="80"/>
      <c r="AK1031" s="80" t="s">
        <v>9872</v>
      </c>
      <c r="AL1031" s="80" t="s">
        <v>10621</v>
      </c>
      <c r="AM1031" s="87" t="str">
        <f>HYPERLINK("https://t.co/4AHcIl8pgG")</f>
        <v>https://t.co/4AHcIl8pgG</v>
      </c>
      <c r="AN1031" s="80"/>
      <c r="AO1031" s="82">
        <v>44082.501261574071</v>
      </c>
      <c r="AP1031" s="87" t="str">
        <f>HYPERLINK("https://pbs.twimg.com/profile_banners/1303302431799820290/1616382555")</f>
        <v>https://pbs.twimg.com/profile_banners/1303302431799820290/1616382555</v>
      </c>
      <c r="AQ1031" s="80" t="b">
        <v>1</v>
      </c>
      <c r="AR1031" s="80" t="b">
        <v>0</v>
      </c>
      <c r="AS1031" s="80" t="b">
        <v>0</v>
      </c>
      <c r="AT1031" s="80"/>
      <c r="AU1031" s="80">
        <v>0</v>
      </c>
      <c r="AV1031" s="80"/>
      <c r="AW1031" s="80" t="b">
        <v>0</v>
      </c>
      <c r="AX1031" s="80" t="s">
        <v>10746</v>
      </c>
      <c r="AY1031" s="87" t="str">
        <f>HYPERLINK("https://twitter.com/kejariindramayu")</f>
        <v>https://twitter.com/kejariindramayu</v>
      </c>
      <c r="AZ1031" s="80" t="s">
        <v>66</v>
      </c>
      <c r="BA1031" s="2"/>
      <c r="BB1031" s="3"/>
      <c r="BC1031" s="3"/>
      <c r="BD1031" s="3"/>
      <c r="BE1031" s="3"/>
    </row>
    <row r="1032" spans="1:57" x14ac:dyDescent="0.35">
      <c r="A1032" s="66" t="s">
        <v>1023</v>
      </c>
      <c r="B1032" s="67"/>
      <c r="C1032" s="67"/>
      <c r="D1032" s="68"/>
      <c r="E1032" s="70"/>
      <c r="F1032" s="109" t="str">
        <f>HYPERLINK("https://pbs.twimg.com/profile_images/1207660224418443266/yDu288Ea_normal.jpg")</f>
        <v>https://pbs.twimg.com/profile_images/1207660224418443266/yDu288Ea_normal.jpg</v>
      </c>
      <c r="G1032" s="67"/>
      <c r="H1032" s="71"/>
      <c r="I1032" s="72"/>
      <c r="J1032" s="72"/>
      <c r="K1032" s="71" t="s">
        <v>11775</v>
      </c>
      <c r="L1032" s="75"/>
      <c r="M1032" s="76"/>
      <c r="N1032" s="76"/>
      <c r="O1032" s="77"/>
      <c r="P1032" s="78"/>
      <c r="Q1032" s="78"/>
      <c r="R1032" s="92"/>
      <c r="S1032" s="92"/>
      <c r="T1032" s="92"/>
      <c r="U1032" s="92"/>
      <c r="V1032" s="52"/>
      <c r="W1032" s="52"/>
      <c r="X1032" s="52"/>
      <c r="Y1032" s="52"/>
      <c r="Z1032" s="51"/>
      <c r="AA1032" s="73"/>
      <c r="AB1032" s="73"/>
      <c r="AC1032" s="74"/>
      <c r="AD1032" s="80" t="s">
        <v>7594</v>
      </c>
      <c r="AE1032" s="85" t="s">
        <v>8720</v>
      </c>
      <c r="AF1032" s="80">
        <v>832</v>
      </c>
      <c r="AG1032" s="80">
        <v>588</v>
      </c>
      <c r="AH1032" s="80">
        <v>33519</v>
      </c>
      <c r="AI1032" s="80">
        <v>533</v>
      </c>
      <c r="AJ1032" s="80"/>
      <c r="AK1032" s="80" t="s">
        <v>9873</v>
      </c>
      <c r="AL1032" s="80" t="s">
        <v>10622</v>
      </c>
      <c r="AM1032" s="87" t="str">
        <f>HYPERLINK("https://t.co/yLySDAvNLK")</f>
        <v>https://t.co/yLySDAvNLK</v>
      </c>
      <c r="AN1032" s="80"/>
      <c r="AO1032" s="82">
        <v>40031.525648148148</v>
      </c>
      <c r="AP1032" s="87" t="str">
        <f>HYPERLINK("https://pbs.twimg.com/profile_banners/63469169/1475891843")</f>
        <v>https://pbs.twimg.com/profile_banners/63469169/1475891843</v>
      </c>
      <c r="AQ1032" s="80" t="b">
        <v>0</v>
      </c>
      <c r="AR1032" s="80" t="b">
        <v>0</v>
      </c>
      <c r="AS1032" s="80" t="b">
        <v>1</v>
      </c>
      <c r="AT1032" s="80"/>
      <c r="AU1032" s="80">
        <v>1</v>
      </c>
      <c r="AV1032" s="87" t="str">
        <f>HYPERLINK("https://abs.twimg.com/images/themes/theme1/bg.png")</f>
        <v>https://abs.twimg.com/images/themes/theme1/bg.png</v>
      </c>
      <c r="AW1032" s="80" t="b">
        <v>0</v>
      </c>
      <c r="AX1032" s="80" t="s">
        <v>10746</v>
      </c>
      <c r="AY1032" s="87" t="str">
        <f>HYPERLINK("https://twitter.com/cindysirait")</f>
        <v>https://twitter.com/cindysirait</v>
      </c>
      <c r="AZ1032" s="80" t="s">
        <v>66</v>
      </c>
      <c r="BA1032" s="2"/>
      <c r="BB1032" s="3"/>
      <c r="BC1032" s="3"/>
      <c r="BD1032" s="3"/>
      <c r="BE1032" s="3"/>
    </row>
    <row r="1033" spans="1:57" x14ac:dyDescent="0.35">
      <c r="A1033" s="66" t="s">
        <v>1024</v>
      </c>
      <c r="B1033" s="67"/>
      <c r="C1033" s="67"/>
      <c r="D1033" s="68"/>
      <c r="E1033" s="70"/>
      <c r="F1033" s="109" t="str">
        <f>HYPERLINK("https://pbs.twimg.com/profile_images/428616020115202049/8Neaawf2_normal.jpeg")</f>
        <v>https://pbs.twimg.com/profile_images/428616020115202049/8Neaawf2_normal.jpeg</v>
      </c>
      <c r="G1033" s="67"/>
      <c r="H1033" s="71"/>
      <c r="I1033" s="72"/>
      <c r="J1033" s="72"/>
      <c r="K1033" s="71" t="s">
        <v>11776</v>
      </c>
      <c r="L1033" s="75"/>
      <c r="M1033" s="76"/>
      <c r="N1033" s="76"/>
      <c r="O1033" s="77"/>
      <c r="P1033" s="78"/>
      <c r="Q1033" s="78"/>
      <c r="R1033" s="92"/>
      <c r="S1033" s="92"/>
      <c r="T1033" s="92"/>
      <c r="U1033" s="92"/>
      <c r="V1033" s="52"/>
      <c r="W1033" s="52"/>
      <c r="X1033" s="52"/>
      <c r="Y1033" s="52"/>
      <c r="Z1033" s="51"/>
      <c r="AA1033" s="73"/>
      <c r="AB1033" s="73"/>
      <c r="AC1033" s="74"/>
      <c r="AD1033" s="80" t="s">
        <v>7595</v>
      </c>
      <c r="AE1033" s="85" t="s">
        <v>6422</v>
      </c>
      <c r="AF1033" s="80">
        <v>706</v>
      </c>
      <c r="AG1033" s="80">
        <v>9846</v>
      </c>
      <c r="AH1033" s="80">
        <v>65486</v>
      </c>
      <c r="AI1033" s="80">
        <v>186</v>
      </c>
      <c r="AJ1033" s="80"/>
      <c r="AK1033" s="80" t="s">
        <v>9874</v>
      </c>
      <c r="AL1033" s="80" t="s">
        <v>10623</v>
      </c>
      <c r="AM1033" s="87" t="str">
        <f>HYPERLINK("https://t.co/IBIhTr6it0")</f>
        <v>https://t.co/IBIhTr6it0</v>
      </c>
      <c r="AN1033" s="80"/>
      <c r="AO1033" s="82">
        <v>40759.802094907405</v>
      </c>
      <c r="AP1033" s="87" t="str">
        <f>HYPERLINK("https://pbs.twimg.com/profile_banners/348638455/1391024627")</f>
        <v>https://pbs.twimg.com/profile_banners/348638455/1391024627</v>
      </c>
      <c r="AQ1033" s="80" t="b">
        <v>0</v>
      </c>
      <c r="AR1033" s="80" t="b">
        <v>0</v>
      </c>
      <c r="AS1033" s="80" t="b">
        <v>1</v>
      </c>
      <c r="AT1033" s="80"/>
      <c r="AU1033" s="80">
        <v>23</v>
      </c>
      <c r="AV1033" s="87" t="str">
        <f>HYPERLINK("https://abs.twimg.com/images/themes/theme1/bg.png")</f>
        <v>https://abs.twimg.com/images/themes/theme1/bg.png</v>
      </c>
      <c r="AW1033" s="80" t="b">
        <v>0</v>
      </c>
      <c r="AX1033" s="80" t="s">
        <v>10746</v>
      </c>
      <c r="AY1033" s="87" t="str">
        <f>HYPERLINK("https://twitter.com/ant_surf_fish")</f>
        <v>https://twitter.com/ant_surf_fish</v>
      </c>
      <c r="AZ1033" s="80" t="s">
        <v>66</v>
      </c>
      <c r="BA1033" s="2"/>
      <c r="BB1033" s="3"/>
      <c r="BC1033" s="3"/>
      <c r="BD1033" s="3"/>
      <c r="BE1033" s="3"/>
    </row>
    <row r="1034" spans="1:57" x14ac:dyDescent="0.35">
      <c r="A1034" s="66" t="s">
        <v>1025</v>
      </c>
      <c r="B1034" s="67"/>
      <c r="C1034" s="67"/>
      <c r="D1034" s="68"/>
      <c r="E1034" s="70"/>
      <c r="F1034" s="109" t="str">
        <f>HYPERLINK("https://pbs.twimg.com/profile_images/1011733581238976512/q9XkuiOG_normal.jpg")</f>
        <v>https://pbs.twimg.com/profile_images/1011733581238976512/q9XkuiOG_normal.jpg</v>
      </c>
      <c r="G1034" s="67"/>
      <c r="H1034" s="71"/>
      <c r="I1034" s="72"/>
      <c r="J1034" s="72"/>
      <c r="K1034" s="71" t="s">
        <v>11777</v>
      </c>
      <c r="L1034" s="75"/>
      <c r="M1034" s="76"/>
      <c r="N1034" s="76"/>
      <c r="O1034" s="77"/>
      <c r="P1034" s="78"/>
      <c r="Q1034" s="78"/>
      <c r="R1034" s="92"/>
      <c r="S1034" s="92"/>
      <c r="T1034" s="92"/>
      <c r="U1034" s="92"/>
      <c r="V1034" s="52"/>
      <c r="W1034" s="52"/>
      <c r="X1034" s="52"/>
      <c r="Y1034" s="52"/>
      <c r="Z1034" s="51"/>
      <c r="AA1034" s="73"/>
      <c r="AB1034" s="73"/>
      <c r="AC1034" s="74"/>
      <c r="AD1034" s="80" t="s">
        <v>7596</v>
      </c>
      <c r="AE1034" s="85" t="s">
        <v>8721</v>
      </c>
      <c r="AF1034" s="80">
        <v>0</v>
      </c>
      <c r="AG1034" s="80">
        <v>0</v>
      </c>
      <c r="AH1034" s="80">
        <v>225</v>
      </c>
      <c r="AI1034" s="80">
        <v>21</v>
      </c>
      <c r="AJ1034" s="80"/>
      <c r="AK1034" s="80" t="s">
        <v>9875</v>
      </c>
      <c r="AL1034" s="80" t="s">
        <v>6543</v>
      </c>
      <c r="AM1034" s="80"/>
      <c r="AN1034" s="80"/>
      <c r="AO1034" s="82">
        <v>43266.953657407408</v>
      </c>
      <c r="AP1034" s="80"/>
      <c r="AQ1034" s="80" t="b">
        <v>1</v>
      </c>
      <c r="AR1034" s="80" t="b">
        <v>0</v>
      </c>
      <c r="AS1034" s="80" t="b">
        <v>0</v>
      </c>
      <c r="AT1034" s="80"/>
      <c r="AU1034" s="80">
        <v>0</v>
      </c>
      <c r="AV1034" s="80"/>
      <c r="AW1034" s="80" t="b">
        <v>0</v>
      </c>
      <c r="AX1034" s="80" t="s">
        <v>10746</v>
      </c>
      <c r="AY1034" s="87" t="str">
        <f>HYPERLINK("https://twitter.com/pp234sc")</f>
        <v>https://twitter.com/pp234sc</v>
      </c>
      <c r="AZ1034" s="80" t="s">
        <v>66</v>
      </c>
      <c r="BA1034" s="2"/>
      <c r="BB1034" s="3"/>
      <c r="BC1034" s="3"/>
      <c r="BD1034" s="3"/>
      <c r="BE1034" s="3"/>
    </row>
    <row r="1035" spans="1:57" x14ac:dyDescent="0.35">
      <c r="A1035" s="66" t="s">
        <v>1026</v>
      </c>
      <c r="B1035" s="67"/>
      <c r="C1035" s="67"/>
      <c r="D1035" s="68"/>
      <c r="E1035" s="70"/>
      <c r="F1035" s="109" t="str">
        <f>HYPERLINK("https://pbs.twimg.com/profile_images/1439265703626899460/TlHVoOEC_normal.jpg")</f>
        <v>https://pbs.twimg.com/profile_images/1439265703626899460/TlHVoOEC_normal.jpg</v>
      </c>
      <c r="G1035" s="67"/>
      <c r="H1035" s="71"/>
      <c r="I1035" s="72"/>
      <c r="J1035" s="72"/>
      <c r="K1035" s="71" t="s">
        <v>11778</v>
      </c>
      <c r="L1035" s="75"/>
      <c r="M1035" s="76"/>
      <c r="N1035" s="76"/>
      <c r="O1035" s="77"/>
      <c r="P1035" s="78"/>
      <c r="Q1035" s="78"/>
      <c r="R1035" s="92"/>
      <c r="S1035" s="92"/>
      <c r="T1035" s="92"/>
      <c r="U1035" s="92"/>
      <c r="V1035" s="52"/>
      <c r="W1035" s="52"/>
      <c r="X1035" s="52"/>
      <c r="Y1035" s="52"/>
      <c r="Z1035" s="51"/>
      <c r="AA1035" s="73"/>
      <c r="AB1035" s="73"/>
      <c r="AC1035" s="74"/>
      <c r="AD1035" s="80" t="s">
        <v>7597</v>
      </c>
      <c r="AE1035" s="85" t="s">
        <v>8722</v>
      </c>
      <c r="AF1035" s="80">
        <v>60</v>
      </c>
      <c r="AG1035" s="80">
        <v>18</v>
      </c>
      <c r="AH1035" s="80">
        <v>315</v>
      </c>
      <c r="AI1035" s="80">
        <v>621</v>
      </c>
      <c r="AJ1035" s="80"/>
      <c r="AK1035" s="80" t="s">
        <v>9876</v>
      </c>
      <c r="AL1035" s="80" t="s">
        <v>10157</v>
      </c>
      <c r="AM1035" s="80"/>
      <c r="AN1035" s="80"/>
      <c r="AO1035" s="82">
        <v>44432.415462962963</v>
      </c>
      <c r="AP1035" s="87" t="str">
        <f>HYPERLINK("https://pbs.twimg.com/profile_banners/1430107145693896713/1631982687")</f>
        <v>https://pbs.twimg.com/profile_banners/1430107145693896713/1631982687</v>
      </c>
      <c r="AQ1035" s="80" t="b">
        <v>1</v>
      </c>
      <c r="AR1035" s="80" t="b">
        <v>0</v>
      </c>
      <c r="AS1035" s="80" t="b">
        <v>0</v>
      </c>
      <c r="AT1035" s="80"/>
      <c r="AU1035" s="80">
        <v>0</v>
      </c>
      <c r="AV1035" s="80"/>
      <c r="AW1035" s="80" t="b">
        <v>0</v>
      </c>
      <c r="AX1035" s="80" t="s">
        <v>10746</v>
      </c>
      <c r="AY1035" s="87" t="str">
        <f>HYPERLINK("https://twitter.com/ncit31")</f>
        <v>https://twitter.com/ncit31</v>
      </c>
      <c r="AZ1035" s="80" t="s">
        <v>66</v>
      </c>
      <c r="BA1035" s="2"/>
      <c r="BB1035" s="3"/>
      <c r="BC1035" s="3"/>
      <c r="BD1035" s="3"/>
      <c r="BE1035" s="3"/>
    </row>
    <row r="1036" spans="1:57" x14ac:dyDescent="0.35">
      <c r="A1036" s="66" t="s">
        <v>1071</v>
      </c>
      <c r="B1036" s="67"/>
      <c r="C1036" s="67"/>
      <c r="D1036" s="68"/>
      <c r="E1036" s="70"/>
      <c r="F1036" s="109" t="str">
        <f>HYPERLINK("https://pbs.twimg.com/profile_images/1434757477573091331/4MqC9Lhg_normal.jpg")</f>
        <v>https://pbs.twimg.com/profile_images/1434757477573091331/4MqC9Lhg_normal.jpg</v>
      </c>
      <c r="G1036" s="67"/>
      <c r="H1036" s="71"/>
      <c r="I1036" s="72"/>
      <c r="J1036" s="72"/>
      <c r="K1036" s="71" t="s">
        <v>11779</v>
      </c>
      <c r="L1036" s="75"/>
      <c r="M1036" s="76"/>
      <c r="N1036" s="76"/>
      <c r="O1036" s="77"/>
      <c r="P1036" s="78"/>
      <c r="Q1036" s="78"/>
      <c r="R1036" s="92"/>
      <c r="S1036" s="92"/>
      <c r="T1036" s="92"/>
      <c r="U1036" s="92"/>
      <c r="V1036" s="52"/>
      <c r="W1036" s="52"/>
      <c r="X1036" s="52"/>
      <c r="Y1036" s="52"/>
      <c r="Z1036" s="51"/>
      <c r="AA1036" s="73"/>
      <c r="AB1036" s="73"/>
      <c r="AC1036" s="74"/>
      <c r="AD1036" s="80" t="s">
        <v>7598</v>
      </c>
      <c r="AE1036" s="85" t="s">
        <v>8723</v>
      </c>
      <c r="AF1036" s="80">
        <v>467</v>
      </c>
      <c r="AG1036" s="80">
        <v>411</v>
      </c>
      <c r="AH1036" s="80">
        <v>1651</v>
      </c>
      <c r="AI1036" s="80">
        <v>3209</v>
      </c>
      <c r="AJ1036" s="80"/>
      <c r="AK1036" s="80" t="s">
        <v>9877</v>
      </c>
      <c r="AL1036" s="80"/>
      <c r="AM1036" s="80"/>
      <c r="AN1036" s="80"/>
      <c r="AO1036" s="82">
        <v>43858.399988425925</v>
      </c>
      <c r="AP1036" s="87" t="str">
        <f>HYPERLINK("https://pbs.twimg.com/profile_banners/1222090893525520385/1630907814")</f>
        <v>https://pbs.twimg.com/profile_banners/1222090893525520385/1630907814</v>
      </c>
      <c r="AQ1036" s="80" t="b">
        <v>1</v>
      </c>
      <c r="AR1036" s="80" t="b">
        <v>0</v>
      </c>
      <c r="AS1036" s="80" t="b">
        <v>0</v>
      </c>
      <c r="AT1036" s="80"/>
      <c r="AU1036" s="80">
        <v>0</v>
      </c>
      <c r="AV1036" s="80"/>
      <c r="AW1036" s="80" t="b">
        <v>0</v>
      </c>
      <c r="AX1036" s="80" t="s">
        <v>10746</v>
      </c>
      <c r="AY1036" s="87" t="str">
        <f>HYPERLINK("https://twitter.com/ikimlyth")</f>
        <v>https://twitter.com/ikimlyth</v>
      </c>
      <c r="AZ1036" s="80" t="s">
        <v>66</v>
      </c>
      <c r="BA1036" s="2"/>
      <c r="BB1036" s="3"/>
      <c r="BC1036" s="3"/>
      <c r="BD1036" s="3"/>
      <c r="BE1036" s="3"/>
    </row>
    <row r="1037" spans="1:57" x14ac:dyDescent="0.35">
      <c r="A1037" s="66" t="s">
        <v>1027</v>
      </c>
      <c r="B1037" s="67"/>
      <c r="C1037" s="67"/>
      <c r="D1037" s="68"/>
      <c r="E1037" s="70"/>
      <c r="F1037" s="109" t="str">
        <f>HYPERLINK("https://pbs.twimg.com/profile_images/1360891565317578757/rDH9DhR7_normal.jpg")</f>
        <v>https://pbs.twimg.com/profile_images/1360891565317578757/rDH9DhR7_normal.jpg</v>
      </c>
      <c r="G1037" s="67"/>
      <c r="H1037" s="71"/>
      <c r="I1037" s="72"/>
      <c r="J1037" s="72"/>
      <c r="K1037" s="71" t="s">
        <v>11780</v>
      </c>
      <c r="L1037" s="75"/>
      <c r="M1037" s="76"/>
      <c r="N1037" s="76"/>
      <c r="O1037" s="77"/>
      <c r="P1037" s="78"/>
      <c r="Q1037" s="78"/>
      <c r="R1037" s="92"/>
      <c r="S1037" s="92"/>
      <c r="T1037" s="92"/>
      <c r="U1037" s="92"/>
      <c r="V1037" s="52"/>
      <c r="W1037" s="52"/>
      <c r="X1037" s="52"/>
      <c r="Y1037" s="52"/>
      <c r="Z1037" s="51"/>
      <c r="AA1037" s="73"/>
      <c r="AB1037" s="73"/>
      <c r="AC1037" s="74"/>
      <c r="AD1037" s="80" t="s">
        <v>7599</v>
      </c>
      <c r="AE1037" s="85" t="s">
        <v>8724</v>
      </c>
      <c r="AF1037" s="80">
        <v>641</v>
      </c>
      <c r="AG1037" s="80">
        <v>918</v>
      </c>
      <c r="AH1037" s="80">
        <v>7298</v>
      </c>
      <c r="AI1037" s="80">
        <v>11468</v>
      </c>
      <c r="AJ1037" s="80"/>
      <c r="AK1037" s="80" t="s">
        <v>9878</v>
      </c>
      <c r="AL1037" s="80" t="s">
        <v>10624</v>
      </c>
      <c r="AM1037" s="80"/>
      <c r="AN1037" s="80"/>
      <c r="AO1037" s="82">
        <v>43051.735266203701</v>
      </c>
      <c r="AP1037" s="87" t="str">
        <f>HYPERLINK("https://pbs.twimg.com/profile_banners/929765430897422337/1629572005")</f>
        <v>https://pbs.twimg.com/profile_banners/929765430897422337/1629572005</v>
      </c>
      <c r="AQ1037" s="80" t="b">
        <v>0</v>
      </c>
      <c r="AR1037" s="80" t="b">
        <v>0</v>
      </c>
      <c r="AS1037" s="80" t="b">
        <v>1</v>
      </c>
      <c r="AT1037" s="80"/>
      <c r="AU1037" s="80">
        <v>1</v>
      </c>
      <c r="AV1037" s="87" t="str">
        <f>HYPERLINK("https://abs.twimg.com/images/themes/theme1/bg.png")</f>
        <v>https://abs.twimg.com/images/themes/theme1/bg.png</v>
      </c>
      <c r="AW1037" s="80" t="b">
        <v>0</v>
      </c>
      <c r="AX1037" s="80" t="s">
        <v>10746</v>
      </c>
      <c r="AY1037" s="87" t="str">
        <f>HYPERLINK("https://twitter.com/loeyyeojaa")</f>
        <v>https://twitter.com/loeyyeojaa</v>
      </c>
      <c r="AZ1037" s="80" t="s">
        <v>66</v>
      </c>
      <c r="BA1037" s="2"/>
      <c r="BB1037" s="3"/>
      <c r="BC1037" s="3"/>
      <c r="BD1037" s="3"/>
      <c r="BE1037" s="3"/>
    </row>
    <row r="1038" spans="1:57" x14ac:dyDescent="0.35">
      <c r="A1038" s="66" t="s">
        <v>1029</v>
      </c>
      <c r="B1038" s="67"/>
      <c r="C1038" s="67"/>
      <c r="D1038" s="68"/>
      <c r="E1038" s="70"/>
      <c r="F1038" s="109" t="str">
        <f>HYPERLINK("https://pbs.twimg.com/profile_images/1436221301866205195/VoqX6apL_normal.jpg")</f>
        <v>https://pbs.twimg.com/profile_images/1436221301866205195/VoqX6apL_normal.jpg</v>
      </c>
      <c r="G1038" s="67"/>
      <c r="H1038" s="71"/>
      <c r="I1038" s="72"/>
      <c r="J1038" s="72"/>
      <c r="K1038" s="71" t="s">
        <v>11781</v>
      </c>
      <c r="L1038" s="75"/>
      <c r="M1038" s="76"/>
      <c r="N1038" s="76"/>
      <c r="O1038" s="77"/>
      <c r="P1038" s="78"/>
      <c r="Q1038" s="78"/>
      <c r="R1038" s="92"/>
      <c r="S1038" s="92"/>
      <c r="T1038" s="92"/>
      <c r="U1038" s="92"/>
      <c r="V1038" s="52"/>
      <c r="W1038" s="52"/>
      <c r="X1038" s="52"/>
      <c r="Y1038" s="52"/>
      <c r="Z1038" s="51"/>
      <c r="AA1038" s="73"/>
      <c r="AB1038" s="73"/>
      <c r="AC1038" s="74"/>
      <c r="AD1038" s="80" t="s">
        <v>7600</v>
      </c>
      <c r="AE1038" s="85" t="s">
        <v>8725</v>
      </c>
      <c r="AF1038" s="80">
        <v>834</v>
      </c>
      <c r="AG1038" s="80">
        <v>1051</v>
      </c>
      <c r="AH1038" s="80">
        <v>23939</v>
      </c>
      <c r="AI1038" s="80">
        <v>50299</v>
      </c>
      <c r="AJ1038" s="80"/>
      <c r="AK1038" s="80" t="s">
        <v>9879</v>
      </c>
      <c r="AL1038" s="80" t="s">
        <v>10569</v>
      </c>
      <c r="AM1038" s="80"/>
      <c r="AN1038" s="80"/>
      <c r="AO1038" s="82">
        <v>41188.26289351852</v>
      </c>
      <c r="AP1038" s="87" t="str">
        <f>HYPERLINK("https://pbs.twimg.com/profile_banners/864220260/1619073243")</f>
        <v>https://pbs.twimg.com/profile_banners/864220260/1619073243</v>
      </c>
      <c r="AQ1038" s="80" t="b">
        <v>0</v>
      </c>
      <c r="AR1038" s="80" t="b">
        <v>0</v>
      </c>
      <c r="AS1038" s="80" t="b">
        <v>1</v>
      </c>
      <c r="AT1038" s="80"/>
      <c r="AU1038" s="80">
        <v>0</v>
      </c>
      <c r="AV1038" s="87" t="str">
        <f>HYPERLINK("https://abs.twimg.com/images/themes/theme14/bg.gif")</f>
        <v>https://abs.twimg.com/images/themes/theme14/bg.gif</v>
      </c>
      <c r="AW1038" s="80" t="b">
        <v>0</v>
      </c>
      <c r="AX1038" s="80" t="s">
        <v>10746</v>
      </c>
      <c r="AY1038" s="87" t="str">
        <f>HYPERLINK("https://twitter.com/oshh____")</f>
        <v>https://twitter.com/oshh____</v>
      </c>
      <c r="AZ1038" s="80" t="s">
        <v>66</v>
      </c>
      <c r="BA1038" s="2"/>
      <c r="BB1038" s="3"/>
      <c r="BC1038" s="3"/>
      <c r="BD1038" s="3"/>
      <c r="BE1038" s="3"/>
    </row>
    <row r="1039" spans="1:57" x14ac:dyDescent="0.35">
      <c r="A1039" s="66" t="s">
        <v>1030</v>
      </c>
      <c r="B1039" s="67"/>
      <c r="C1039" s="67"/>
      <c r="D1039" s="68"/>
      <c r="E1039" s="70"/>
      <c r="F1039" s="109" t="str">
        <f>HYPERLINK("https://pbs.twimg.com/profile_images/955774783387402242/u69GamZ3_normal.jpg")</f>
        <v>https://pbs.twimg.com/profile_images/955774783387402242/u69GamZ3_normal.jpg</v>
      </c>
      <c r="G1039" s="67"/>
      <c r="H1039" s="71"/>
      <c r="I1039" s="72"/>
      <c r="J1039" s="72"/>
      <c r="K1039" s="71" t="s">
        <v>11782</v>
      </c>
      <c r="L1039" s="75"/>
      <c r="M1039" s="76"/>
      <c r="N1039" s="76"/>
      <c r="O1039" s="77"/>
      <c r="P1039" s="78"/>
      <c r="Q1039" s="78"/>
      <c r="R1039" s="92"/>
      <c r="S1039" s="92"/>
      <c r="T1039" s="92"/>
      <c r="U1039" s="92"/>
      <c r="V1039" s="52"/>
      <c r="W1039" s="52"/>
      <c r="X1039" s="52"/>
      <c r="Y1039" s="52"/>
      <c r="Z1039" s="51"/>
      <c r="AA1039" s="73"/>
      <c r="AB1039" s="73"/>
      <c r="AC1039" s="74"/>
      <c r="AD1039" s="80" t="s">
        <v>7601</v>
      </c>
      <c r="AE1039" s="85" t="s">
        <v>8726</v>
      </c>
      <c r="AF1039" s="80">
        <v>45</v>
      </c>
      <c r="AG1039" s="80">
        <v>247</v>
      </c>
      <c r="AH1039" s="80">
        <v>3820</v>
      </c>
      <c r="AI1039" s="80">
        <v>233</v>
      </c>
      <c r="AJ1039" s="80"/>
      <c r="AK1039" s="80" t="s">
        <v>9880</v>
      </c>
      <c r="AL1039" s="80"/>
      <c r="AM1039" s="80"/>
      <c r="AN1039" s="80"/>
      <c r="AO1039" s="82">
        <v>42563.054722222223</v>
      </c>
      <c r="AP1039" s="87" t="str">
        <f>HYPERLINK("https://pbs.twimg.com/profile_banners/752673532316790784/1468289639")</f>
        <v>https://pbs.twimg.com/profile_banners/752673532316790784/1468289639</v>
      </c>
      <c r="AQ1039" s="80" t="b">
        <v>0</v>
      </c>
      <c r="AR1039" s="80" t="b">
        <v>0</v>
      </c>
      <c r="AS1039" s="80" t="b">
        <v>1</v>
      </c>
      <c r="AT1039" s="80"/>
      <c r="AU1039" s="80">
        <v>0</v>
      </c>
      <c r="AV1039" s="87" t="str">
        <f>HYPERLINK("https://abs.twimg.com/images/themes/theme1/bg.png")</f>
        <v>https://abs.twimg.com/images/themes/theme1/bg.png</v>
      </c>
      <c r="AW1039" s="80" t="b">
        <v>0</v>
      </c>
      <c r="AX1039" s="80" t="s">
        <v>10746</v>
      </c>
      <c r="AY1039" s="87" t="str">
        <f>HYPERLINK("https://twitter.com/ikpkominfosbs")</f>
        <v>https://twitter.com/ikpkominfosbs</v>
      </c>
      <c r="AZ1039" s="80" t="s">
        <v>66</v>
      </c>
      <c r="BA1039" s="2"/>
      <c r="BB1039" s="3"/>
      <c r="BC1039" s="3"/>
      <c r="BD1039" s="3"/>
      <c r="BE1039" s="3"/>
    </row>
    <row r="1040" spans="1:57" x14ac:dyDescent="0.35">
      <c r="A1040" s="66" t="s">
        <v>1031</v>
      </c>
      <c r="B1040" s="67"/>
      <c r="C1040" s="67"/>
      <c r="D1040" s="68"/>
      <c r="E1040" s="70"/>
      <c r="F1040" s="109" t="str">
        <f>HYPERLINK("https://pbs.twimg.com/profile_images/1424218206269448192/Pg7Wa9ne_normal.jpg")</f>
        <v>https://pbs.twimg.com/profile_images/1424218206269448192/Pg7Wa9ne_normal.jpg</v>
      </c>
      <c r="G1040" s="67"/>
      <c r="H1040" s="71"/>
      <c r="I1040" s="72"/>
      <c r="J1040" s="72"/>
      <c r="K1040" s="71" t="s">
        <v>11783</v>
      </c>
      <c r="L1040" s="75"/>
      <c r="M1040" s="76"/>
      <c r="N1040" s="76"/>
      <c r="O1040" s="77"/>
      <c r="P1040" s="78"/>
      <c r="Q1040" s="78"/>
      <c r="R1040" s="92"/>
      <c r="S1040" s="92"/>
      <c r="T1040" s="92"/>
      <c r="U1040" s="92"/>
      <c r="V1040" s="52"/>
      <c r="W1040" s="52"/>
      <c r="X1040" s="52"/>
      <c r="Y1040" s="52"/>
      <c r="Z1040" s="51"/>
      <c r="AA1040" s="73"/>
      <c r="AB1040" s="73"/>
      <c r="AC1040" s="74"/>
      <c r="AD1040" s="80" t="s">
        <v>7602</v>
      </c>
      <c r="AE1040" s="85" t="s">
        <v>8727</v>
      </c>
      <c r="AF1040" s="80">
        <v>0</v>
      </c>
      <c r="AG1040" s="80">
        <v>8435</v>
      </c>
      <c r="AH1040" s="80">
        <v>102065</v>
      </c>
      <c r="AI1040" s="80">
        <v>14</v>
      </c>
      <c r="AJ1040" s="80"/>
      <c r="AK1040" s="80" t="s">
        <v>9881</v>
      </c>
      <c r="AL1040" s="80" t="s">
        <v>10625</v>
      </c>
      <c r="AM1040" s="87" t="str">
        <f>HYPERLINK("https://t.co/uYBaXwuhae")</f>
        <v>https://t.co/uYBaXwuhae</v>
      </c>
      <c r="AN1040" s="80"/>
      <c r="AO1040" s="82">
        <v>40176.18241898148</v>
      </c>
      <c r="AP1040" s="87" t="str">
        <f>HYPERLINK("https://pbs.twimg.com/profile_banners/100132119/1547529700")</f>
        <v>https://pbs.twimg.com/profile_banners/100132119/1547529700</v>
      </c>
      <c r="AQ1040" s="80" t="b">
        <v>0</v>
      </c>
      <c r="AR1040" s="80" t="b">
        <v>0</v>
      </c>
      <c r="AS1040" s="80" t="b">
        <v>1</v>
      </c>
      <c r="AT1040" s="80"/>
      <c r="AU1040" s="80">
        <v>58</v>
      </c>
      <c r="AV1040" s="87" t="str">
        <f>HYPERLINK("https://abs.twimg.com/images/themes/theme1/bg.png")</f>
        <v>https://abs.twimg.com/images/themes/theme1/bg.png</v>
      </c>
      <c r="AW1040" s="80" t="b">
        <v>0</v>
      </c>
      <c r="AX1040" s="80" t="s">
        <v>10746</v>
      </c>
      <c r="AY1040" s="87" t="str">
        <f>HYPERLINK("https://twitter.com/radiopatria")</f>
        <v>https://twitter.com/radiopatria</v>
      </c>
      <c r="AZ1040" s="80" t="s">
        <v>66</v>
      </c>
      <c r="BA1040" s="2"/>
      <c r="BB1040" s="3"/>
      <c r="BC1040" s="3"/>
      <c r="BD1040" s="3"/>
      <c r="BE1040" s="3"/>
    </row>
    <row r="1041" spans="1:57" x14ac:dyDescent="0.35">
      <c r="A1041" s="66" t="s">
        <v>1032</v>
      </c>
      <c r="B1041" s="67"/>
      <c r="C1041" s="67"/>
      <c r="D1041" s="68"/>
      <c r="E1041" s="70"/>
      <c r="F1041" s="109" t="str">
        <f>HYPERLINK("https://pbs.twimg.com/profile_images/1248052142251708416/b4Crqq0h_normal.jpg")</f>
        <v>https://pbs.twimg.com/profile_images/1248052142251708416/b4Crqq0h_normal.jpg</v>
      </c>
      <c r="G1041" s="67"/>
      <c r="H1041" s="71"/>
      <c r="I1041" s="72"/>
      <c r="J1041" s="72"/>
      <c r="K1041" s="71" t="s">
        <v>11784</v>
      </c>
      <c r="L1041" s="75"/>
      <c r="M1041" s="76"/>
      <c r="N1041" s="76"/>
      <c r="O1041" s="77"/>
      <c r="P1041" s="78"/>
      <c r="Q1041" s="78"/>
      <c r="R1041" s="92"/>
      <c r="S1041" s="92"/>
      <c r="T1041" s="92"/>
      <c r="U1041" s="92"/>
      <c r="V1041" s="52"/>
      <c r="W1041" s="52"/>
      <c r="X1041" s="52"/>
      <c r="Y1041" s="52"/>
      <c r="Z1041" s="51"/>
      <c r="AA1041" s="73"/>
      <c r="AB1041" s="73"/>
      <c r="AC1041" s="74"/>
      <c r="AD1041" s="80" t="s">
        <v>7603</v>
      </c>
      <c r="AE1041" s="85" t="s">
        <v>8728</v>
      </c>
      <c r="AF1041" s="80">
        <v>23</v>
      </c>
      <c r="AG1041" s="80">
        <v>137</v>
      </c>
      <c r="AH1041" s="80">
        <v>1458</v>
      </c>
      <c r="AI1041" s="80">
        <v>61</v>
      </c>
      <c r="AJ1041" s="80"/>
      <c r="AK1041" s="80" t="s">
        <v>9882</v>
      </c>
      <c r="AL1041" s="80" t="s">
        <v>10626</v>
      </c>
      <c r="AM1041" s="87" t="str">
        <f>HYPERLINK("https://t.co/0CrS7NjFnP")</f>
        <v>https://t.co/0CrS7NjFnP</v>
      </c>
      <c r="AN1041" s="80"/>
      <c r="AO1041" s="82">
        <v>43930.038738425923</v>
      </c>
      <c r="AP1041" s="87" t="str">
        <f>HYPERLINK("https://pbs.twimg.com/profile_banners/1248051909560111104/1588247885")</f>
        <v>https://pbs.twimg.com/profile_banners/1248051909560111104/1588247885</v>
      </c>
      <c r="AQ1041" s="80" t="b">
        <v>1</v>
      </c>
      <c r="AR1041" s="80" t="b">
        <v>0</v>
      </c>
      <c r="AS1041" s="80" t="b">
        <v>0</v>
      </c>
      <c r="AT1041" s="80"/>
      <c r="AU1041" s="80">
        <v>0</v>
      </c>
      <c r="AV1041" s="80"/>
      <c r="AW1041" s="80" t="b">
        <v>0</v>
      </c>
      <c r="AX1041" s="80" t="s">
        <v>10746</v>
      </c>
      <c r="AY1041" s="87" t="str">
        <f>HYPERLINK("https://twitter.com/tvrisumbar")</f>
        <v>https://twitter.com/tvrisumbar</v>
      </c>
      <c r="AZ1041" s="80" t="s">
        <v>66</v>
      </c>
      <c r="BA1041" s="2"/>
      <c r="BB1041" s="3"/>
      <c r="BC1041" s="3"/>
      <c r="BD1041" s="3"/>
      <c r="BE1041" s="3"/>
    </row>
    <row r="1042" spans="1:57" x14ac:dyDescent="0.35">
      <c r="A1042" s="66" t="s">
        <v>1033</v>
      </c>
      <c r="B1042" s="67"/>
      <c r="C1042" s="67"/>
      <c r="D1042" s="68"/>
      <c r="E1042" s="70"/>
      <c r="F1042" s="109" t="str">
        <f>HYPERLINK("https://pbs.twimg.com/profile_images/1407911782140702721/EOZIklB7_normal.jpg")</f>
        <v>https://pbs.twimg.com/profile_images/1407911782140702721/EOZIklB7_normal.jpg</v>
      </c>
      <c r="G1042" s="67"/>
      <c r="H1042" s="71"/>
      <c r="I1042" s="72"/>
      <c r="J1042" s="72"/>
      <c r="K1042" s="71" t="s">
        <v>11785</v>
      </c>
      <c r="L1042" s="75"/>
      <c r="M1042" s="76"/>
      <c r="N1042" s="76"/>
      <c r="O1042" s="77"/>
      <c r="P1042" s="78"/>
      <c r="Q1042" s="78"/>
      <c r="R1042" s="92"/>
      <c r="S1042" s="92"/>
      <c r="T1042" s="92"/>
      <c r="U1042" s="92"/>
      <c r="V1042" s="52"/>
      <c r="W1042" s="52"/>
      <c r="X1042" s="52"/>
      <c r="Y1042" s="52"/>
      <c r="Z1042" s="51"/>
      <c r="AA1042" s="73"/>
      <c r="AB1042" s="73"/>
      <c r="AC1042" s="74"/>
      <c r="AD1042" s="80" t="s">
        <v>7604</v>
      </c>
      <c r="AE1042" s="85" t="s">
        <v>8729</v>
      </c>
      <c r="AF1042" s="80">
        <v>1790</v>
      </c>
      <c r="AG1042" s="80">
        <v>1650</v>
      </c>
      <c r="AH1042" s="80">
        <v>7411</v>
      </c>
      <c r="AI1042" s="80">
        <v>80</v>
      </c>
      <c r="AJ1042" s="80"/>
      <c r="AK1042" s="80" t="s">
        <v>9883</v>
      </c>
      <c r="AL1042" s="80" t="s">
        <v>10134</v>
      </c>
      <c r="AM1042" s="87" t="str">
        <f>HYPERLINK("https://t.co/wS5pJqvBuT")</f>
        <v>https://t.co/wS5pJqvBuT</v>
      </c>
      <c r="AN1042" s="80"/>
      <c r="AO1042" s="82">
        <v>43714.275289351855</v>
      </c>
      <c r="AP1042" s="87" t="str">
        <f>HYPERLINK("https://pbs.twimg.com/profile_banners/1169861863426818048/1624348855")</f>
        <v>https://pbs.twimg.com/profile_banners/1169861863426818048/1624348855</v>
      </c>
      <c r="AQ1042" s="80" t="b">
        <v>1</v>
      </c>
      <c r="AR1042" s="80" t="b">
        <v>0</v>
      </c>
      <c r="AS1042" s="80" t="b">
        <v>0</v>
      </c>
      <c r="AT1042" s="80"/>
      <c r="AU1042" s="80">
        <v>1</v>
      </c>
      <c r="AV1042" s="80"/>
      <c r="AW1042" s="80" t="b">
        <v>0</v>
      </c>
      <c r="AX1042" s="80" t="s">
        <v>10746</v>
      </c>
      <c r="AY1042" s="87" t="str">
        <f>HYPERLINK("https://twitter.com/theiconomic")</f>
        <v>https://twitter.com/theiconomic</v>
      </c>
      <c r="AZ1042" s="80" t="s">
        <v>66</v>
      </c>
      <c r="BA1042" s="2"/>
      <c r="BB1042" s="3"/>
      <c r="BC1042" s="3"/>
      <c r="BD1042" s="3"/>
      <c r="BE1042" s="3"/>
    </row>
    <row r="1043" spans="1:57" x14ac:dyDescent="0.35">
      <c r="A1043" s="66" t="s">
        <v>1034</v>
      </c>
      <c r="B1043" s="67"/>
      <c r="C1043" s="67"/>
      <c r="D1043" s="68"/>
      <c r="E1043" s="70"/>
      <c r="F1043" s="109" t="str">
        <f>HYPERLINK("https://pbs.twimg.com/profile_images/1267031154193952770/dsv7qv8Y_normal.jpg")</f>
        <v>https://pbs.twimg.com/profile_images/1267031154193952770/dsv7qv8Y_normal.jpg</v>
      </c>
      <c r="G1043" s="67"/>
      <c r="H1043" s="71"/>
      <c r="I1043" s="72"/>
      <c r="J1043" s="72"/>
      <c r="K1043" s="71" t="s">
        <v>11786</v>
      </c>
      <c r="L1043" s="75"/>
      <c r="M1043" s="76"/>
      <c r="N1043" s="76"/>
      <c r="O1043" s="77"/>
      <c r="P1043" s="78"/>
      <c r="Q1043" s="78"/>
      <c r="R1043" s="92"/>
      <c r="S1043" s="92"/>
      <c r="T1043" s="92"/>
      <c r="U1043" s="92"/>
      <c r="V1043" s="52"/>
      <c r="W1043" s="52"/>
      <c r="X1043" s="52"/>
      <c r="Y1043" s="52"/>
      <c r="Z1043" s="51"/>
      <c r="AA1043" s="73"/>
      <c r="AB1043" s="73"/>
      <c r="AC1043" s="74"/>
      <c r="AD1043" s="80" t="s">
        <v>7605</v>
      </c>
      <c r="AE1043" s="85" t="s">
        <v>6423</v>
      </c>
      <c r="AF1043" s="80">
        <v>5</v>
      </c>
      <c r="AG1043" s="80">
        <v>14</v>
      </c>
      <c r="AH1043" s="80">
        <v>402</v>
      </c>
      <c r="AI1043" s="80">
        <v>5</v>
      </c>
      <c r="AJ1043" s="80"/>
      <c r="AK1043" s="80" t="s">
        <v>9884</v>
      </c>
      <c r="AL1043" s="80" t="s">
        <v>10627</v>
      </c>
      <c r="AM1043" s="87" t="str">
        <f>HYPERLINK("https://t.co/UxJuri8MTW")</f>
        <v>https://t.co/UxJuri8MTW</v>
      </c>
      <c r="AN1043" s="80"/>
      <c r="AO1043" s="82">
        <v>43982.348124999997</v>
      </c>
      <c r="AP1043" s="87" t="str">
        <f>HYPERLINK("https://pbs.twimg.com/profile_banners/1267008173832994816/1619018738")</f>
        <v>https://pbs.twimg.com/profile_banners/1267008173832994816/1619018738</v>
      </c>
      <c r="AQ1043" s="80" t="b">
        <v>1</v>
      </c>
      <c r="AR1043" s="80" t="b">
        <v>0</v>
      </c>
      <c r="AS1043" s="80" t="b">
        <v>0</v>
      </c>
      <c r="AT1043" s="80"/>
      <c r="AU1043" s="80">
        <v>0</v>
      </c>
      <c r="AV1043" s="80"/>
      <c r="AW1043" s="80" t="b">
        <v>0</v>
      </c>
      <c r="AX1043" s="80" t="s">
        <v>10746</v>
      </c>
      <c r="AY1043" s="87" t="str">
        <f>HYPERLINK("https://twitter.com/himasejarahfkip")</f>
        <v>https://twitter.com/himasejarahfkip</v>
      </c>
      <c r="AZ1043" s="80" t="s">
        <v>66</v>
      </c>
      <c r="BA1043" s="2"/>
      <c r="BB1043" s="3"/>
      <c r="BC1043" s="3"/>
      <c r="BD1043" s="3"/>
      <c r="BE1043" s="3"/>
    </row>
    <row r="1044" spans="1:57" x14ac:dyDescent="0.35">
      <c r="A1044" s="66" t="s">
        <v>1035</v>
      </c>
      <c r="B1044" s="67"/>
      <c r="C1044" s="67"/>
      <c r="D1044" s="68"/>
      <c r="E1044" s="70"/>
      <c r="F1044" s="109" t="str">
        <f>HYPERLINK("https://pbs.twimg.com/profile_images/1361918227907969026/KhpDde5m_normal.jpg")</f>
        <v>https://pbs.twimg.com/profile_images/1361918227907969026/KhpDde5m_normal.jpg</v>
      </c>
      <c r="G1044" s="67"/>
      <c r="H1044" s="71"/>
      <c r="I1044" s="72"/>
      <c r="J1044" s="72"/>
      <c r="K1044" s="71" t="s">
        <v>11787</v>
      </c>
      <c r="L1044" s="75"/>
      <c r="M1044" s="76"/>
      <c r="N1044" s="76"/>
      <c r="O1044" s="77"/>
      <c r="P1044" s="78"/>
      <c r="Q1044" s="78"/>
      <c r="R1044" s="92"/>
      <c r="S1044" s="92"/>
      <c r="T1044" s="92"/>
      <c r="U1044" s="92"/>
      <c r="V1044" s="52"/>
      <c r="W1044" s="52"/>
      <c r="X1044" s="52"/>
      <c r="Y1044" s="52"/>
      <c r="Z1044" s="51"/>
      <c r="AA1044" s="73"/>
      <c r="AB1044" s="73"/>
      <c r="AC1044" s="74"/>
      <c r="AD1044" s="80" t="s">
        <v>7606</v>
      </c>
      <c r="AE1044" s="85" t="s">
        <v>8730</v>
      </c>
      <c r="AF1044" s="80">
        <v>96</v>
      </c>
      <c r="AG1044" s="80">
        <v>155</v>
      </c>
      <c r="AH1044" s="80">
        <v>946</v>
      </c>
      <c r="AI1044" s="80">
        <v>0</v>
      </c>
      <c r="AJ1044" s="80"/>
      <c r="AK1044" s="80" t="s">
        <v>9885</v>
      </c>
      <c r="AL1044" s="80" t="s">
        <v>10628</v>
      </c>
      <c r="AM1044" s="80"/>
      <c r="AN1044" s="80"/>
      <c r="AO1044" s="82">
        <v>44244.221574074072</v>
      </c>
      <c r="AP1044" s="80"/>
      <c r="AQ1044" s="80" t="b">
        <v>1</v>
      </c>
      <c r="AR1044" s="80" t="b">
        <v>0</v>
      </c>
      <c r="AS1044" s="80" t="b">
        <v>0</v>
      </c>
      <c r="AT1044" s="80"/>
      <c r="AU1044" s="80">
        <v>0</v>
      </c>
      <c r="AV1044" s="80"/>
      <c r="AW1044" s="80" t="b">
        <v>0</v>
      </c>
      <c r="AX1044" s="80" t="s">
        <v>10746</v>
      </c>
      <c r="AY1044" s="87" t="str">
        <f>HYPERLINK("https://twitter.com/kpuberau")</f>
        <v>https://twitter.com/kpuberau</v>
      </c>
      <c r="AZ1044" s="80" t="s">
        <v>66</v>
      </c>
      <c r="BA1044" s="2"/>
      <c r="BB1044" s="3"/>
      <c r="BC1044" s="3"/>
      <c r="BD1044" s="3"/>
      <c r="BE1044" s="3"/>
    </row>
    <row r="1045" spans="1:57" x14ac:dyDescent="0.35">
      <c r="A1045" s="66" t="s">
        <v>1036</v>
      </c>
      <c r="B1045" s="67"/>
      <c r="C1045" s="67"/>
      <c r="D1045" s="68"/>
      <c r="E1045" s="70"/>
      <c r="F1045" s="109" t="str">
        <f>HYPERLINK("https://pbs.twimg.com/profile_images/1055052014810329088/RR5KUogN_normal.jpg")</f>
        <v>https://pbs.twimg.com/profile_images/1055052014810329088/RR5KUogN_normal.jpg</v>
      </c>
      <c r="G1045" s="67"/>
      <c r="H1045" s="71"/>
      <c r="I1045" s="72"/>
      <c r="J1045" s="72"/>
      <c r="K1045" s="71" t="s">
        <v>11788</v>
      </c>
      <c r="L1045" s="75"/>
      <c r="M1045" s="76"/>
      <c r="N1045" s="76"/>
      <c r="O1045" s="77"/>
      <c r="P1045" s="78"/>
      <c r="Q1045" s="78"/>
      <c r="R1045" s="92"/>
      <c r="S1045" s="92"/>
      <c r="T1045" s="92"/>
      <c r="U1045" s="92"/>
      <c r="V1045" s="52"/>
      <c r="W1045" s="52"/>
      <c r="X1045" s="52"/>
      <c r="Y1045" s="52"/>
      <c r="Z1045" s="51"/>
      <c r="AA1045" s="73"/>
      <c r="AB1045" s="73"/>
      <c r="AC1045" s="74"/>
      <c r="AD1045" s="80" t="s">
        <v>7607</v>
      </c>
      <c r="AE1045" s="85" t="s">
        <v>6424</v>
      </c>
      <c r="AF1045" s="80">
        <v>129</v>
      </c>
      <c r="AG1045" s="80">
        <v>19204</v>
      </c>
      <c r="AH1045" s="80">
        <v>15593</v>
      </c>
      <c r="AI1045" s="80">
        <v>201</v>
      </c>
      <c r="AJ1045" s="80"/>
      <c r="AK1045" s="80" t="s">
        <v>9886</v>
      </c>
      <c r="AL1045" s="80" t="s">
        <v>6543</v>
      </c>
      <c r="AM1045" s="87" t="str">
        <f>HYPERLINK("https://t.co/d0eF8Bq5M4")</f>
        <v>https://t.co/d0eF8Bq5M4</v>
      </c>
      <c r="AN1045" s="80"/>
      <c r="AO1045" s="82">
        <v>40771.372337962966</v>
      </c>
      <c r="AP1045" s="87" t="str">
        <f>HYPERLINK("https://pbs.twimg.com/profile_banners/356066252/1569217111")</f>
        <v>https://pbs.twimg.com/profile_banners/356066252/1569217111</v>
      </c>
      <c r="AQ1045" s="80" t="b">
        <v>0</v>
      </c>
      <c r="AR1045" s="80" t="b">
        <v>0</v>
      </c>
      <c r="AS1045" s="80" t="b">
        <v>0</v>
      </c>
      <c r="AT1045" s="80"/>
      <c r="AU1045" s="80">
        <v>98</v>
      </c>
      <c r="AV1045" s="87" t="str">
        <f>HYPERLINK("https://abs.twimg.com/images/themes/theme1/bg.png")</f>
        <v>https://abs.twimg.com/images/themes/theme1/bg.png</v>
      </c>
      <c r="AW1045" s="80" t="b">
        <v>1</v>
      </c>
      <c r="AX1045" s="80" t="s">
        <v>10746</v>
      </c>
      <c r="AY1045" s="87" t="str">
        <f>HYPERLINK("https://twitter.com/antara_lkbn")</f>
        <v>https://twitter.com/antara_lkbn</v>
      </c>
      <c r="AZ1045" s="80" t="s">
        <v>66</v>
      </c>
      <c r="BA1045" s="2"/>
      <c r="BB1045" s="3"/>
      <c r="BC1045" s="3"/>
      <c r="BD1045" s="3"/>
      <c r="BE1045" s="3"/>
    </row>
    <row r="1046" spans="1:57" x14ac:dyDescent="0.35">
      <c r="A1046" s="66" t="s">
        <v>1037</v>
      </c>
      <c r="B1046" s="67"/>
      <c r="C1046" s="67"/>
      <c r="D1046" s="68"/>
      <c r="E1046" s="70"/>
      <c r="F1046" s="109" t="str">
        <f>HYPERLINK("https://pbs.twimg.com/profile_images/1441763143919620096/AQPjAN5W_normal.jpg")</f>
        <v>https://pbs.twimg.com/profile_images/1441763143919620096/AQPjAN5W_normal.jpg</v>
      </c>
      <c r="G1046" s="67"/>
      <c r="H1046" s="71"/>
      <c r="I1046" s="72"/>
      <c r="J1046" s="72"/>
      <c r="K1046" s="71" t="s">
        <v>11789</v>
      </c>
      <c r="L1046" s="75"/>
      <c r="M1046" s="76"/>
      <c r="N1046" s="76"/>
      <c r="O1046" s="77"/>
      <c r="P1046" s="78"/>
      <c r="Q1046" s="78"/>
      <c r="R1046" s="92"/>
      <c r="S1046" s="92"/>
      <c r="T1046" s="92"/>
      <c r="U1046" s="92"/>
      <c r="V1046" s="52"/>
      <c r="W1046" s="52"/>
      <c r="X1046" s="52"/>
      <c r="Y1046" s="52"/>
      <c r="Z1046" s="51"/>
      <c r="AA1046" s="73"/>
      <c r="AB1046" s="73"/>
      <c r="AC1046" s="74"/>
      <c r="AD1046" s="80" t="s">
        <v>7608</v>
      </c>
      <c r="AE1046" s="85" t="s">
        <v>8731</v>
      </c>
      <c r="AF1046" s="80">
        <v>1616</v>
      </c>
      <c r="AG1046" s="80">
        <v>212</v>
      </c>
      <c r="AH1046" s="80">
        <v>41699</v>
      </c>
      <c r="AI1046" s="80">
        <v>23882</v>
      </c>
      <c r="AJ1046" s="80"/>
      <c r="AK1046" s="80" t="s">
        <v>9887</v>
      </c>
      <c r="AL1046" s="80" t="s">
        <v>10629</v>
      </c>
      <c r="AM1046" s="80"/>
      <c r="AN1046" s="80"/>
      <c r="AO1046" s="82">
        <v>44145.442118055558</v>
      </c>
      <c r="AP1046" s="87" t="str">
        <f>HYPERLINK("https://pbs.twimg.com/profile_banners/1326111462310379521/1628428228")</f>
        <v>https://pbs.twimg.com/profile_banners/1326111462310379521/1628428228</v>
      </c>
      <c r="AQ1046" s="80" t="b">
        <v>1</v>
      </c>
      <c r="AR1046" s="80" t="b">
        <v>0</v>
      </c>
      <c r="AS1046" s="80" t="b">
        <v>1</v>
      </c>
      <c r="AT1046" s="80"/>
      <c r="AU1046" s="80">
        <v>1</v>
      </c>
      <c r="AV1046" s="80"/>
      <c r="AW1046" s="80" t="b">
        <v>0</v>
      </c>
      <c r="AX1046" s="80" t="s">
        <v>10746</v>
      </c>
      <c r="AY1046" s="87" t="str">
        <f>HYPERLINK("https://twitter.com/tabda_tabdi")</f>
        <v>https://twitter.com/tabda_tabdi</v>
      </c>
      <c r="AZ1046" s="80" t="s">
        <v>66</v>
      </c>
      <c r="BA1046" s="2"/>
      <c r="BB1046" s="3"/>
      <c r="BC1046" s="3"/>
      <c r="BD1046" s="3"/>
      <c r="BE1046" s="3"/>
    </row>
    <row r="1047" spans="1:57" x14ac:dyDescent="0.35">
      <c r="A1047" s="66" t="s">
        <v>1485</v>
      </c>
      <c r="B1047" s="67"/>
      <c r="C1047" s="67"/>
      <c r="D1047" s="68"/>
      <c r="E1047" s="70"/>
      <c r="F1047" s="109" t="str">
        <f>HYPERLINK("https://pbs.twimg.com/profile_images/1418625207187644418/PPuRWf3L_normal.jpg")</f>
        <v>https://pbs.twimg.com/profile_images/1418625207187644418/PPuRWf3L_normal.jpg</v>
      </c>
      <c r="G1047" s="67"/>
      <c r="H1047" s="71"/>
      <c r="I1047" s="72"/>
      <c r="J1047" s="72"/>
      <c r="K1047" s="71" t="s">
        <v>11790</v>
      </c>
      <c r="L1047" s="75"/>
      <c r="M1047" s="76"/>
      <c r="N1047" s="76"/>
      <c r="O1047" s="77"/>
      <c r="P1047" s="78"/>
      <c r="Q1047" s="78"/>
      <c r="R1047" s="92"/>
      <c r="S1047" s="92"/>
      <c r="T1047" s="92"/>
      <c r="U1047" s="92"/>
      <c r="V1047" s="52"/>
      <c r="W1047" s="52"/>
      <c r="X1047" s="52"/>
      <c r="Y1047" s="52"/>
      <c r="Z1047" s="51"/>
      <c r="AA1047" s="73"/>
      <c r="AB1047" s="73"/>
      <c r="AC1047" s="74"/>
      <c r="AD1047" s="80" t="s">
        <v>7609</v>
      </c>
      <c r="AE1047" s="85" t="s">
        <v>6425</v>
      </c>
      <c r="AF1047" s="80">
        <v>526</v>
      </c>
      <c r="AG1047" s="80">
        <v>7982</v>
      </c>
      <c r="AH1047" s="80">
        <v>29387</v>
      </c>
      <c r="AI1047" s="80">
        <v>38632</v>
      </c>
      <c r="AJ1047" s="80"/>
      <c r="AK1047" s="80" t="s">
        <v>9888</v>
      </c>
      <c r="AL1047" s="80" t="s">
        <v>6543</v>
      </c>
      <c r="AM1047" s="87" t="str">
        <f>HYPERLINK("https://t.co/ZSwfEc1fC4")</f>
        <v>https://t.co/ZSwfEc1fC4</v>
      </c>
      <c r="AN1047" s="80"/>
      <c r="AO1047" s="82">
        <v>43678.141180555554</v>
      </c>
      <c r="AP1047" s="87" t="str">
        <f>HYPERLINK("https://pbs.twimg.com/profile_banners/1156767330925330432/1628140167")</f>
        <v>https://pbs.twimg.com/profile_banners/1156767330925330432/1628140167</v>
      </c>
      <c r="AQ1047" s="80" t="b">
        <v>1</v>
      </c>
      <c r="AR1047" s="80" t="b">
        <v>0</v>
      </c>
      <c r="AS1047" s="80" t="b">
        <v>0</v>
      </c>
      <c r="AT1047" s="80"/>
      <c r="AU1047" s="80">
        <v>46</v>
      </c>
      <c r="AV1047" s="80"/>
      <c r="AW1047" s="80" t="b">
        <v>0</v>
      </c>
      <c r="AX1047" s="80" t="s">
        <v>10746</v>
      </c>
      <c r="AY1047" s="87" t="str">
        <f>HYPERLINK("https://twitter.com/sorceressmyr")</f>
        <v>https://twitter.com/sorceressmyr</v>
      </c>
      <c r="AZ1047" s="80" t="s">
        <v>65</v>
      </c>
      <c r="BA1047" s="2"/>
      <c r="BB1047" s="3"/>
      <c r="BC1047" s="3"/>
      <c r="BD1047" s="3"/>
      <c r="BE1047" s="3"/>
    </row>
    <row r="1048" spans="1:57" x14ac:dyDescent="0.35">
      <c r="A1048" s="66" t="s">
        <v>1038</v>
      </c>
      <c r="B1048" s="67"/>
      <c r="C1048" s="67"/>
      <c r="D1048" s="68"/>
      <c r="E1048" s="70"/>
      <c r="F1048" s="109" t="str">
        <f>HYPERLINK("https://pbs.twimg.com/profile_images/1371843027765956617/4lzuCvSV_normal.jpg")</f>
        <v>https://pbs.twimg.com/profile_images/1371843027765956617/4lzuCvSV_normal.jpg</v>
      </c>
      <c r="G1048" s="67"/>
      <c r="H1048" s="71"/>
      <c r="I1048" s="72"/>
      <c r="J1048" s="72"/>
      <c r="K1048" s="71" t="s">
        <v>11791</v>
      </c>
      <c r="L1048" s="75"/>
      <c r="M1048" s="76"/>
      <c r="N1048" s="76"/>
      <c r="O1048" s="77"/>
      <c r="P1048" s="78"/>
      <c r="Q1048" s="78"/>
      <c r="R1048" s="92"/>
      <c r="S1048" s="92"/>
      <c r="T1048" s="92"/>
      <c r="U1048" s="92"/>
      <c r="V1048" s="52"/>
      <c r="W1048" s="52"/>
      <c r="X1048" s="52"/>
      <c r="Y1048" s="52"/>
      <c r="Z1048" s="51"/>
      <c r="AA1048" s="73"/>
      <c r="AB1048" s="73"/>
      <c r="AC1048" s="74"/>
      <c r="AD1048" s="80" t="s">
        <v>1038</v>
      </c>
      <c r="AE1048" s="85" t="s">
        <v>8732</v>
      </c>
      <c r="AF1048" s="80">
        <v>17</v>
      </c>
      <c r="AG1048" s="80">
        <v>0</v>
      </c>
      <c r="AH1048" s="80">
        <v>138</v>
      </c>
      <c r="AI1048" s="80">
        <v>2</v>
      </c>
      <c r="AJ1048" s="80"/>
      <c r="AK1048" s="80" t="s">
        <v>9889</v>
      </c>
      <c r="AL1048" s="80"/>
      <c r="AM1048" s="80"/>
      <c r="AN1048" s="80"/>
      <c r="AO1048" s="82">
        <v>44271.636655092596</v>
      </c>
      <c r="AP1048" s="80"/>
      <c r="AQ1048" s="80" t="b">
        <v>1</v>
      </c>
      <c r="AR1048" s="80" t="b">
        <v>0</v>
      </c>
      <c r="AS1048" s="80" t="b">
        <v>0</v>
      </c>
      <c r="AT1048" s="80"/>
      <c r="AU1048" s="80">
        <v>0</v>
      </c>
      <c r="AV1048" s="80"/>
      <c r="AW1048" s="80" t="b">
        <v>0</v>
      </c>
      <c r="AX1048" s="80" t="s">
        <v>10746</v>
      </c>
      <c r="AY1048" s="87" t="str">
        <f>HYPERLINK("https://twitter.com/zibellebeaute")</f>
        <v>https://twitter.com/zibellebeaute</v>
      </c>
      <c r="AZ1048" s="80" t="s">
        <v>66</v>
      </c>
      <c r="BA1048" s="2"/>
      <c r="BB1048" s="3"/>
      <c r="BC1048" s="3"/>
      <c r="BD1048" s="3"/>
      <c r="BE1048" s="3"/>
    </row>
    <row r="1049" spans="1:57" x14ac:dyDescent="0.35">
      <c r="A1049" s="66" t="s">
        <v>1039</v>
      </c>
      <c r="B1049" s="67"/>
      <c r="C1049" s="67"/>
      <c r="D1049" s="68"/>
      <c r="E1049" s="70"/>
      <c r="F1049" s="109" t="str">
        <f>HYPERLINK("https://pbs.twimg.com/profile_images/1436127757465894914/PgcEOSep_normal.jpg")</f>
        <v>https://pbs.twimg.com/profile_images/1436127757465894914/PgcEOSep_normal.jpg</v>
      </c>
      <c r="G1049" s="67"/>
      <c r="H1049" s="71"/>
      <c r="I1049" s="72"/>
      <c r="J1049" s="72"/>
      <c r="K1049" s="71" t="s">
        <v>11792</v>
      </c>
      <c r="L1049" s="75"/>
      <c r="M1049" s="76"/>
      <c r="N1049" s="76"/>
      <c r="O1049" s="77"/>
      <c r="P1049" s="78"/>
      <c r="Q1049" s="78"/>
      <c r="R1049" s="92"/>
      <c r="S1049" s="92"/>
      <c r="T1049" s="92"/>
      <c r="U1049" s="92"/>
      <c r="V1049" s="52"/>
      <c r="W1049" s="52"/>
      <c r="X1049" s="52"/>
      <c r="Y1049" s="52"/>
      <c r="Z1049" s="51"/>
      <c r="AA1049" s="73"/>
      <c r="AB1049" s="73"/>
      <c r="AC1049" s="74"/>
      <c r="AD1049" s="80" t="s">
        <v>7610</v>
      </c>
      <c r="AE1049" s="85" t="s">
        <v>8733</v>
      </c>
      <c r="AF1049" s="80">
        <v>118</v>
      </c>
      <c r="AG1049" s="80">
        <v>334</v>
      </c>
      <c r="AH1049" s="80">
        <v>11918</v>
      </c>
      <c r="AI1049" s="80">
        <v>2198</v>
      </c>
      <c r="AJ1049" s="80"/>
      <c r="AK1049" s="80" t="s">
        <v>9890</v>
      </c>
      <c r="AL1049" s="80" t="s">
        <v>12</v>
      </c>
      <c r="AM1049" s="80"/>
      <c r="AN1049" s="80"/>
      <c r="AO1049" s="82">
        <v>40257.212141203701</v>
      </c>
      <c r="AP1049" s="87" t="str">
        <f>HYPERLINK("https://pbs.twimg.com/profile_banners/124670496/1631107581")</f>
        <v>https://pbs.twimg.com/profile_banners/124670496/1631107581</v>
      </c>
      <c r="AQ1049" s="80" t="b">
        <v>0</v>
      </c>
      <c r="AR1049" s="80" t="b">
        <v>0</v>
      </c>
      <c r="AS1049" s="80" t="b">
        <v>0</v>
      </c>
      <c r="AT1049" s="80"/>
      <c r="AU1049" s="80">
        <v>0</v>
      </c>
      <c r="AV1049" s="87" t="str">
        <f>HYPERLINK("https://abs.twimg.com/images/themes/theme13/bg.gif")</f>
        <v>https://abs.twimg.com/images/themes/theme13/bg.gif</v>
      </c>
      <c r="AW1049" s="80" t="b">
        <v>0</v>
      </c>
      <c r="AX1049" s="80" t="s">
        <v>10746</v>
      </c>
      <c r="AY1049" s="87" t="str">
        <f>HYPERLINK("https://twitter.com/auwich")</f>
        <v>https://twitter.com/auwich</v>
      </c>
      <c r="AZ1049" s="80" t="s">
        <v>66</v>
      </c>
      <c r="BA1049" s="2"/>
      <c r="BB1049" s="3"/>
      <c r="BC1049" s="3"/>
      <c r="BD1049" s="3"/>
      <c r="BE1049" s="3"/>
    </row>
    <row r="1050" spans="1:57" x14ac:dyDescent="0.35">
      <c r="A1050" s="66" t="s">
        <v>1486</v>
      </c>
      <c r="B1050" s="67"/>
      <c r="C1050" s="67"/>
      <c r="D1050" s="68"/>
      <c r="E1050" s="70"/>
      <c r="F1050" s="109" t="str">
        <f>HYPERLINK("https://pbs.twimg.com/profile_images/1427292844612595720/RC1YSvuT_normal.jpg")</f>
        <v>https://pbs.twimg.com/profile_images/1427292844612595720/RC1YSvuT_normal.jpg</v>
      </c>
      <c r="G1050" s="67"/>
      <c r="H1050" s="71"/>
      <c r="I1050" s="72"/>
      <c r="J1050" s="72"/>
      <c r="K1050" s="71" t="s">
        <v>11793</v>
      </c>
      <c r="L1050" s="75"/>
      <c r="M1050" s="76"/>
      <c r="N1050" s="76"/>
      <c r="O1050" s="77"/>
      <c r="P1050" s="78"/>
      <c r="Q1050" s="78"/>
      <c r="R1050" s="92"/>
      <c r="S1050" s="92"/>
      <c r="T1050" s="92"/>
      <c r="U1050" s="92"/>
      <c r="V1050" s="52"/>
      <c r="W1050" s="52"/>
      <c r="X1050" s="52"/>
      <c r="Y1050" s="52"/>
      <c r="Z1050" s="51"/>
      <c r="AA1050" s="73"/>
      <c r="AB1050" s="73"/>
      <c r="AC1050" s="74"/>
      <c r="AD1050" s="80" t="s">
        <v>7611</v>
      </c>
      <c r="AE1050" s="85" t="s">
        <v>8734</v>
      </c>
      <c r="AF1050" s="80">
        <v>1201</v>
      </c>
      <c r="AG1050" s="80">
        <v>73297864</v>
      </c>
      <c r="AH1050" s="80">
        <v>36640</v>
      </c>
      <c r="AI1050" s="80">
        <v>5710</v>
      </c>
      <c r="AJ1050" s="80"/>
      <c r="AK1050" s="80" t="s">
        <v>9891</v>
      </c>
      <c r="AL1050" s="80" t="s">
        <v>10630</v>
      </c>
      <c r="AM1050" s="87" t="str">
        <f>HYPERLINK("https://t.co/kjUK7E8YAQ")</f>
        <v>https://t.co/kjUK7E8YAQ</v>
      </c>
      <c r="AN1050" s="80"/>
      <c r="AO1050" s="82">
        <v>39399.905393518522</v>
      </c>
      <c r="AP1050" s="87" t="str">
        <f>HYPERLINK("https://pbs.twimg.com/profile_banners/10228272/1631634387")</f>
        <v>https://pbs.twimg.com/profile_banners/10228272/1631634387</v>
      </c>
      <c r="AQ1050" s="80" t="b">
        <v>0</v>
      </c>
      <c r="AR1050" s="80" t="b">
        <v>0</v>
      </c>
      <c r="AS1050" s="80" t="b">
        <v>0</v>
      </c>
      <c r="AT1050" s="80"/>
      <c r="AU1050" s="80">
        <v>79469</v>
      </c>
      <c r="AV1050" s="87" t="str">
        <f>HYPERLINK("https://abs.twimg.com/images/themes/theme14/bg.gif")</f>
        <v>https://abs.twimg.com/images/themes/theme14/bg.gif</v>
      </c>
      <c r="AW1050" s="80" t="b">
        <v>1</v>
      </c>
      <c r="AX1050" s="80" t="s">
        <v>10746</v>
      </c>
      <c r="AY1050" s="87" t="str">
        <f>HYPERLINK("https://twitter.com/youtube")</f>
        <v>https://twitter.com/youtube</v>
      </c>
      <c r="AZ1050" s="80" t="s">
        <v>65</v>
      </c>
      <c r="BA1050" s="2"/>
      <c r="BB1050" s="3"/>
      <c r="BC1050" s="3"/>
      <c r="BD1050" s="3"/>
      <c r="BE1050" s="3"/>
    </row>
    <row r="1051" spans="1:57" x14ac:dyDescent="0.35">
      <c r="A1051" s="66" t="s">
        <v>1040</v>
      </c>
      <c r="B1051" s="67"/>
      <c r="C1051" s="67"/>
      <c r="D1051" s="68"/>
      <c r="E1051" s="70"/>
      <c r="F1051" s="109" t="str">
        <f>HYPERLINK("https://pbs.twimg.com/profile_images/1257419201146269697/JZUuqTue_normal.jpg")</f>
        <v>https://pbs.twimg.com/profile_images/1257419201146269697/JZUuqTue_normal.jpg</v>
      </c>
      <c r="G1051" s="67"/>
      <c r="H1051" s="71"/>
      <c r="I1051" s="72"/>
      <c r="J1051" s="72"/>
      <c r="K1051" s="71" t="s">
        <v>11794</v>
      </c>
      <c r="L1051" s="75"/>
      <c r="M1051" s="76"/>
      <c r="N1051" s="76"/>
      <c r="O1051" s="77"/>
      <c r="P1051" s="78"/>
      <c r="Q1051" s="78"/>
      <c r="R1051" s="92"/>
      <c r="S1051" s="92"/>
      <c r="T1051" s="92"/>
      <c r="U1051" s="92"/>
      <c r="V1051" s="52"/>
      <c r="W1051" s="52"/>
      <c r="X1051" s="52"/>
      <c r="Y1051" s="52"/>
      <c r="Z1051" s="51"/>
      <c r="AA1051" s="73"/>
      <c r="AB1051" s="73"/>
      <c r="AC1051" s="74"/>
      <c r="AD1051" s="80" t="s">
        <v>7612</v>
      </c>
      <c r="AE1051" s="85" t="s">
        <v>8735</v>
      </c>
      <c r="AF1051" s="80">
        <v>12</v>
      </c>
      <c r="AG1051" s="80">
        <v>26</v>
      </c>
      <c r="AH1051" s="80">
        <v>222</v>
      </c>
      <c r="AI1051" s="80">
        <v>94</v>
      </c>
      <c r="AJ1051" s="80"/>
      <c r="AK1051" s="80" t="s">
        <v>9892</v>
      </c>
      <c r="AL1051" s="80" t="s">
        <v>10631</v>
      </c>
      <c r="AM1051" s="87" t="str">
        <f>HYPERLINK("https://t.co/AHEujmxzUK")</f>
        <v>https://t.co/AHEujmxzUK</v>
      </c>
      <c r="AN1051" s="80"/>
      <c r="AO1051" s="82">
        <v>43955.872766203705</v>
      </c>
      <c r="AP1051" s="80"/>
      <c r="AQ1051" s="80" t="b">
        <v>1</v>
      </c>
      <c r="AR1051" s="80" t="b">
        <v>0</v>
      </c>
      <c r="AS1051" s="80" t="b">
        <v>0</v>
      </c>
      <c r="AT1051" s="80"/>
      <c r="AU1051" s="80">
        <v>1</v>
      </c>
      <c r="AV1051" s="80"/>
      <c r="AW1051" s="80" t="b">
        <v>0</v>
      </c>
      <c r="AX1051" s="80" t="s">
        <v>10746</v>
      </c>
      <c r="AY1051" s="87" t="str">
        <f>HYPERLINK("https://twitter.com/bpskabmuba")</f>
        <v>https://twitter.com/bpskabmuba</v>
      </c>
      <c r="AZ1051" s="80" t="s">
        <v>66</v>
      </c>
      <c r="BA1051" s="2"/>
      <c r="BB1051" s="3"/>
      <c r="BC1051" s="3"/>
      <c r="BD1051" s="3"/>
      <c r="BE1051" s="3"/>
    </row>
    <row r="1052" spans="1:57" x14ac:dyDescent="0.35">
      <c r="A1052" s="66" t="s">
        <v>1041</v>
      </c>
      <c r="B1052" s="67"/>
      <c r="C1052" s="67"/>
      <c r="D1052" s="68"/>
      <c r="E1052" s="70"/>
      <c r="F1052" s="109" t="str">
        <f>HYPERLINK("https://pbs.twimg.com/profile_images/1428613349764304901/zked7Mzr_normal.jpg")</f>
        <v>https://pbs.twimg.com/profile_images/1428613349764304901/zked7Mzr_normal.jpg</v>
      </c>
      <c r="G1052" s="67"/>
      <c r="H1052" s="71"/>
      <c r="I1052" s="72"/>
      <c r="J1052" s="72"/>
      <c r="K1052" s="71" t="s">
        <v>11795</v>
      </c>
      <c r="L1052" s="75"/>
      <c r="M1052" s="76"/>
      <c r="N1052" s="76"/>
      <c r="O1052" s="77"/>
      <c r="P1052" s="78"/>
      <c r="Q1052" s="78"/>
      <c r="R1052" s="92"/>
      <c r="S1052" s="92"/>
      <c r="T1052" s="92"/>
      <c r="U1052" s="92"/>
      <c r="V1052" s="52"/>
      <c r="W1052" s="52"/>
      <c r="X1052" s="52"/>
      <c r="Y1052" s="52"/>
      <c r="Z1052" s="51"/>
      <c r="AA1052" s="73"/>
      <c r="AB1052" s="73"/>
      <c r="AC1052" s="74"/>
      <c r="AD1052" s="80" t="s">
        <v>7613</v>
      </c>
      <c r="AE1052" s="85" t="s">
        <v>8736</v>
      </c>
      <c r="AF1052" s="80">
        <v>130</v>
      </c>
      <c r="AG1052" s="80">
        <v>60</v>
      </c>
      <c r="AH1052" s="80">
        <v>978</v>
      </c>
      <c r="AI1052" s="80">
        <v>888</v>
      </c>
      <c r="AJ1052" s="80"/>
      <c r="AK1052" s="80" t="s">
        <v>9893</v>
      </c>
      <c r="AL1052" s="80" t="s">
        <v>6543</v>
      </c>
      <c r="AM1052" s="87" t="str">
        <f>HYPERLINK("https://t.co/2BgSOT12hV")</f>
        <v>https://t.co/2BgSOT12hV</v>
      </c>
      <c r="AN1052" s="80"/>
      <c r="AO1052" s="82">
        <v>43995.269826388889</v>
      </c>
      <c r="AP1052" s="87" t="str">
        <f>HYPERLINK("https://pbs.twimg.com/profile_banners/1271690820651855875/1629442964")</f>
        <v>https://pbs.twimg.com/profile_banners/1271690820651855875/1629442964</v>
      </c>
      <c r="AQ1052" s="80" t="b">
        <v>1</v>
      </c>
      <c r="AR1052" s="80" t="b">
        <v>0</v>
      </c>
      <c r="AS1052" s="80" t="b">
        <v>0</v>
      </c>
      <c r="AT1052" s="80"/>
      <c r="AU1052" s="80">
        <v>0</v>
      </c>
      <c r="AV1052" s="80"/>
      <c r="AW1052" s="80" t="b">
        <v>0</v>
      </c>
      <c r="AX1052" s="80" t="s">
        <v>10746</v>
      </c>
      <c r="AY1052" s="87" t="str">
        <f>HYPERLINK("https://twitter.com/jaemistvy")</f>
        <v>https://twitter.com/jaemistvy</v>
      </c>
      <c r="AZ1052" s="80" t="s">
        <v>66</v>
      </c>
      <c r="BA1052" s="2"/>
      <c r="BB1052" s="3"/>
      <c r="BC1052" s="3"/>
      <c r="BD1052" s="3"/>
      <c r="BE1052" s="3"/>
    </row>
    <row r="1053" spans="1:57" x14ac:dyDescent="0.35">
      <c r="A1053" s="66" t="s">
        <v>1042</v>
      </c>
      <c r="B1053" s="67"/>
      <c r="C1053" s="67"/>
      <c r="D1053" s="68"/>
      <c r="E1053" s="70"/>
      <c r="F1053" s="109" t="str">
        <f>HYPERLINK("https://pbs.twimg.com/profile_images/900913057873895424/Z504LSW1_normal.jpg")</f>
        <v>https://pbs.twimg.com/profile_images/900913057873895424/Z504LSW1_normal.jpg</v>
      </c>
      <c r="G1053" s="67"/>
      <c r="H1053" s="71"/>
      <c r="I1053" s="72"/>
      <c r="J1053" s="72"/>
      <c r="K1053" s="71" t="s">
        <v>11796</v>
      </c>
      <c r="L1053" s="75"/>
      <c r="M1053" s="76"/>
      <c r="N1053" s="76"/>
      <c r="O1053" s="77"/>
      <c r="P1053" s="78"/>
      <c r="Q1053" s="78"/>
      <c r="R1053" s="92"/>
      <c r="S1053" s="92"/>
      <c r="T1053" s="92"/>
      <c r="U1053" s="92"/>
      <c r="V1053" s="52"/>
      <c r="W1053" s="52"/>
      <c r="X1053" s="52"/>
      <c r="Y1053" s="52"/>
      <c r="Z1053" s="51"/>
      <c r="AA1053" s="73"/>
      <c r="AB1053" s="73"/>
      <c r="AC1053" s="74"/>
      <c r="AD1053" s="80" t="s">
        <v>7614</v>
      </c>
      <c r="AE1053" s="85" t="s">
        <v>8737</v>
      </c>
      <c r="AF1053" s="80">
        <v>1230</v>
      </c>
      <c r="AG1053" s="80">
        <v>87</v>
      </c>
      <c r="AH1053" s="80">
        <v>8153</v>
      </c>
      <c r="AI1053" s="80">
        <v>678</v>
      </c>
      <c r="AJ1053" s="80"/>
      <c r="AK1053" s="80" t="s">
        <v>9894</v>
      </c>
      <c r="AL1053" s="80" t="s">
        <v>10632</v>
      </c>
      <c r="AM1053" s="87" t="str">
        <f>HYPERLINK("https://t.co/6LmmDu9osp")</f>
        <v>https://t.co/6LmmDu9osp</v>
      </c>
      <c r="AN1053" s="80"/>
      <c r="AO1053" s="82">
        <v>42970.572210648148</v>
      </c>
      <c r="AP1053" s="87" t="str">
        <f>HYPERLINK("https://pbs.twimg.com/profile_banners/900352924307513345/1596984281")</f>
        <v>https://pbs.twimg.com/profile_banners/900352924307513345/1596984281</v>
      </c>
      <c r="AQ1053" s="80" t="b">
        <v>0</v>
      </c>
      <c r="AR1053" s="80" t="b">
        <v>0</v>
      </c>
      <c r="AS1053" s="80" t="b">
        <v>1</v>
      </c>
      <c r="AT1053" s="80"/>
      <c r="AU1053" s="80">
        <v>0</v>
      </c>
      <c r="AV1053" s="87" t="str">
        <f>HYPERLINK("https://abs.twimg.com/images/themes/theme1/bg.png")</f>
        <v>https://abs.twimg.com/images/themes/theme1/bg.png</v>
      </c>
      <c r="AW1053" s="80" t="b">
        <v>0</v>
      </c>
      <c r="AX1053" s="80" t="s">
        <v>10746</v>
      </c>
      <c r="AY1053" s="87" t="str">
        <f>HYPERLINK("https://twitter.com/smks_jannah")</f>
        <v>https://twitter.com/smks_jannah</v>
      </c>
      <c r="AZ1053" s="80" t="s">
        <v>66</v>
      </c>
      <c r="BA1053" s="2"/>
      <c r="BB1053" s="3"/>
      <c r="BC1053" s="3"/>
      <c r="BD1053" s="3"/>
      <c r="BE1053" s="3"/>
    </row>
    <row r="1054" spans="1:57" x14ac:dyDescent="0.35">
      <c r="A1054" s="66" t="s">
        <v>1117</v>
      </c>
      <c r="B1054" s="67"/>
      <c r="C1054" s="67"/>
      <c r="D1054" s="68"/>
      <c r="E1054" s="70"/>
      <c r="F1054" s="109" t="str">
        <f>HYPERLINK("https://pbs.twimg.com/profile_images/1411167381469102083/YFbfVw3I_normal.jpg")</f>
        <v>https://pbs.twimg.com/profile_images/1411167381469102083/YFbfVw3I_normal.jpg</v>
      </c>
      <c r="G1054" s="67"/>
      <c r="H1054" s="71"/>
      <c r="I1054" s="72"/>
      <c r="J1054" s="72"/>
      <c r="K1054" s="71" t="s">
        <v>11797</v>
      </c>
      <c r="L1054" s="75"/>
      <c r="M1054" s="76"/>
      <c r="N1054" s="76"/>
      <c r="O1054" s="77"/>
      <c r="P1054" s="78"/>
      <c r="Q1054" s="78"/>
      <c r="R1054" s="92"/>
      <c r="S1054" s="92"/>
      <c r="T1054" s="92"/>
      <c r="U1054" s="92"/>
      <c r="V1054" s="52"/>
      <c r="W1054" s="52"/>
      <c r="X1054" s="52"/>
      <c r="Y1054" s="52"/>
      <c r="Z1054" s="51"/>
      <c r="AA1054" s="73"/>
      <c r="AB1054" s="73"/>
      <c r="AC1054" s="74"/>
      <c r="AD1054" s="80" t="s">
        <v>7615</v>
      </c>
      <c r="AE1054" s="85" t="s">
        <v>8738</v>
      </c>
      <c r="AF1054" s="80">
        <v>118</v>
      </c>
      <c r="AG1054" s="80">
        <v>30552</v>
      </c>
      <c r="AH1054" s="80">
        <v>2890</v>
      </c>
      <c r="AI1054" s="80">
        <v>620</v>
      </c>
      <c r="AJ1054" s="80"/>
      <c r="AK1054" s="80" t="s">
        <v>9895</v>
      </c>
      <c r="AL1054" s="80" t="s">
        <v>10633</v>
      </c>
      <c r="AM1054" s="87" t="str">
        <f>HYPERLINK("https://t.co/hsu7e6BSUh")</f>
        <v>https://t.co/hsu7e6BSUh</v>
      </c>
      <c r="AN1054" s="80"/>
      <c r="AO1054" s="82">
        <v>42300.785740740743</v>
      </c>
      <c r="AP1054" s="87" t="str">
        <f>HYPERLINK("https://pbs.twimg.com/profile_banners/3994137919/1532490900")</f>
        <v>https://pbs.twimg.com/profile_banners/3994137919/1532490900</v>
      </c>
      <c r="AQ1054" s="80" t="b">
        <v>0</v>
      </c>
      <c r="AR1054" s="80" t="b">
        <v>0</v>
      </c>
      <c r="AS1054" s="80" t="b">
        <v>1</v>
      </c>
      <c r="AT1054" s="80"/>
      <c r="AU1054" s="80">
        <v>8</v>
      </c>
      <c r="AV1054" s="87" t="str">
        <f>HYPERLINK("https://abs.twimg.com/images/themes/theme1/bg.png")</f>
        <v>https://abs.twimg.com/images/themes/theme1/bg.png</v>
      </c>
      <c r="AW1054" s="80" t="b">
        <v>0</v>
      </c>
      <c r="AX1054" s="80" t="s">
        <v>10746</v>
      </c>
      <c r="AY1054" s="87" t="str">
        <f>HYPERLINK("https://twitter.com/bkdjatim")</f>
        <v>https://twitter.com/bkdjatim</v>
      </c>
      <c r="AZ1054" s="80" t="s">
        <v>66</v>
      </c>
      <c r="BA1054" s="2"/>
      <c r="BB1054" s="3"/>
      <c r="BC1054" s="3"/>
      <c r="BD1054" s="3"/>
      <c r="BE1054" s="3"/>
    </row>
    <row r="1055" spans="1:57" x14ac:dyDescent="0.35">
      <c r="A1055" s="66" t="s">
        <v>1043</v>
      </c>
      <c r="B1055" s="67"/>
      <c r="C1055" s="67"/>
      <c r="D1055" s="68"/>
      <c r="E1055" s="70"/>
      <c r="F1055" s="109" t="str">
        <f>HYPERLINK("https://pbs.twimg.com/profile_images/1057589816848601088/a0PMQ_Ey_normal.jpg")</f>
        <v>https://pbs.twimg.com/profile_images/1057589816848601088/a0PMQ_Ey_normal.jpg</v>
      </c>
      <c r="G1055" s="67"/>
      <c r="H1055" s="71"/>
      <c r="I1055" s="72"/>
      <c r="J1055" s="72"/>
      <c r="K1055" s="71" t="s">
        <v>11798</v>
      </c>
      <c r="L1055" s="75"/>
      <c r="M1055" s="76"/>
      <c r="N1055" s="76"/>
      <c r="O1055" s="77"/>
      <c r="P1055" s="78"/>
      <c r="Q1055" s="78"/>
      <c r="R1055" s="92"/>
      <c r="S1055" s="92"/>
      <c r="T1055" s="92"/>
      <c r="U1055" s="92"/>
      <c r="V1055" s="52"/>
      <c r="W1055" s="52"/>
      <c r="X1055" s="52"/>
      <c r="Y1055" s="52"/>
      <c r="Z1055" s="51"/>
      <c r="AA1055" s="73"/>
      <c r="AB1055" s="73"/>
      <c r="AC1055" s="74"/>
      <c r="AD1055" s="80" t="s">
        <v>7616</v>
      </c>
      <c r="AE1055" s="85" t="s">
        <v>8739</v>
      </c>
      <c r="AF1055" s="80">
        <v>414</v>
      </c>
      <c r="AG1055" s="80">
        <v>6475</v>
      </c>
      <c r="AH1055" s="80">
        <v>15756</v>
      </c>
      <c r="AI1055" s="80">
        <v>2964</v>
      </c>
      <c r="AJ1055" s="80"/>
      <c r="AK1055" s="80" t="s">
        <v>9896</v>
      </c>
      <c r="AL1055" s="80" t="s">
        <v>10134</v>
      </c>
      <c r="AM1055" s="87" t="str">
        <f>HYPERLINK("https://t.co/CT4i37JIjV")</f>
        <v>https://t.co/CT4i37JIjV</v>
      </c>
      <c r="AN1055" s="80"/>
      <c r="AO1055" s="82">
        <v>41669.159317129626</v>
      </c>
      <c r="AP1055" s="87" t="str">
        <f>HYPERLINK("https://pbs.twimg.com/profile_banners/2318225622/1540980383")</f>
        <v>https://pbs.twimg.com/profile_banners/2318225622/1540980383</v>
      </c>
      <c r="AQ1055" s="80" t="b">
        <v>0</v>
      </c>
      <c r="AR1055" s="80" t="b">
        <v>0</v>
      </c>
      <c r="AS1055" s="80" t="b">
        <v>1</v>
      </c>
      <c r="AT1055" s="80"/>
      <c r="AU1055" s="80">
        <v>8</v>
      </c>
      <c r="AV1055" s="87" t="str">
        <f>HYPERLINK("https://abs.twimg.com/images/themes/theme1/bg.png")</f>
        <v>https://abs.twimg.com/images/themes/theme1/bg.png</v>
      </c>
      <c r="AW1055" s="80" t="b">
        <v>0</v>
      </c>
      <c r="AX1055" s="80" t="s">
        <v>10746</v>
      </c>
      <c r="AY1055" s="87" t="str">
        <f>HYPERLINK("https://twitter.com/pranatahumas")</f>
        <v>https://twitter.com/pranatahumas</v>
      </c>
      <c r="AZ1055" s="80" t="s">
        <v>66</v>
      </c>
      <c r="BA1055" s="2"/>
      <c r="BB1055" s="3"/>
      <c r="BC1055" s="3"/>
      <c r="BD1055" s="3"/>
      <c r="BE1055" s="3"/>
    </row>
    <row r="1056" spans="1:57" x14ac:dyDescent="0.35">
      <c r="A1056" s="66" t="s">
        <v>1044</v>
      </c>
      <c r="B1056" s="67"/>
      <c r="C1056" s="67"/>
      <c r="D1056" s="68"/>
      <c r="E1056" s="70"/>
      <c r="F1056" s="109" t="str">
        <f>HYPERLINK("https://pbs.twimg.com/profile_images/1003943807136616448/EqhgCQHB_normal.jpg")</f>
        <v>https://pbs.twimg.com/profile_images/1003943807136616448/EqhgCQHB_normal.jpg</v>
      </c>
      <c r="G1056" s="67"/>
      <c r="H1056" s="71"/>
      <c r="I1056" s="72"/>
      <c r="J1056" s="72"/>
      <c r="K1056" s="71" t="s">
        <v>11799</v>
      </c>
      <c r="L1056" s="75"/>
      <c r="M1056" s="76"/>
      <c r="N1056" s="76"/>
      <c r="O1056" s="77"/>
      <c r="P1056" s="78"/>
      <c r="Q1056" s="78"/>
      <c r="R1056" s="92"/>
      <c r="S1056" s="92"/>
      <c r="T1056" s="92"/>
      <c r="U1056" s="92"/>
      <c r="V1056" s="52"/>
      <c r="W1056" s="52"/>
      <c r="X1056" s="52"/>
      <c r="Y1056" s="52"/>
      <c r="Z1056" s="51"/>
      <c r="AA1056" s="73"/>
      <c r="AB1056" s="73"/>
      <c r="AC1056" s="74"/>
      <c r="AD1056" s="80" t="s">
        <v>1044</v>
      </c>
      <c r="AE1056" s="85" t="s">
        <v>8740</v>
      </c>
      <c r="AF1056" s="80">
        <v>4</v>
      </c>
      <c r="AG1056" s="80">
        <v>988</v>
      </c>
      <c r="AH1056" s="80">
        <v>3039</v>
      </c>
      <c r="AI1056" s="80">
        <v>19</v>
      </c>
      <c r="AJ1056" s="80"/>
      <c r="AK1056" s="80" t="s">
        <v>9897</v>
      </c>
      <c r="AL1056" s="80" t="s">
        <v>10634</v>
      </c>
      <c r="AM1056" s="87" t="str">
        <f>HYPERLINK("https://t.co/RXcjgAPGhb")</f>
        <v>https://t.co/RXcjgAPGhb</v>
      </c>
      <c r="AN1056" s="80"/>
      <c r="AO1056" s="82">
        <v>43256.427673611113</v>
      </c>
      <c r="AP1056" s="87" t="str">
        <f>HYPERLINK("https://pbs.twimg.com/profile_banners/1003943475501400064/1528193886")</f>
        <v>https://pbs.twimg.com/profile_banners/1003943475501400064/1528193886</v>
      </c>
      <c r="AQ1056" s="80" t="b">
        <v>1</v>
      </c>
      <c r="AR1056" s="80" t="b">
        <v>0</v>
      </c>
      <c r="AS1056" s="80" t="b">
        <v>0</v>
      </c>
      <c r="AT1056" s="80"/>
      <c r="AU1056" s="80">
        <v>0</v>
      </c>
      <c r="AV1056" s="80"/>
      <c r="AW1056" s="80" t="b">
        <v>0</v>
      </c>
      <c r="AX1056" s="80" t="s">
        <v>10746</v>
      </c>
      <c r="AY1056" s="87" t="str">
        <f>HYPERLINK("https://twitter.com/carilokermedan")</f>
        <v>https://twitter.com/carilokermedan</v>
      </c>
      <c r="AZ1056" s="80" t="s">
        <v>66</v>
      </c>
      <c r="BA1056" s="2"/>
      <c r="BB1056" s="3"/>
      <c r="BC1056" s="3"/>
      <c r="BD1056" s="3"/>
      <c r="BE1056" s="3"/>
    </row>
    <row r="1057" spans="1:57" x14ac:dyDescent="0.35">
      <c r="A1057" s="66" t="s">
        <v>1045</v>
      </c>
      <c r="B1057" s="67"/>
      <c r="C1057" s="67"/>
      <c r="D1057" s="68"/>
      <c r="E1057" s="70"/>
      <c r="F1057" s="109" t="str">
        <f>HYPERLINK("https://pbs.twimg.com/profile_images/826380363186384897/j_uEntVT_normal.jpg")</f>
        <v>https://pbs.twimg.com/profile_images/826380363186384897/j_uEntVT_normal.jpg</v>
      </c>
      <c r="G1057" s="67"/>
      <c r="H1057" s="71"/>
      <c r="I1057" s="72"/>
      <c r="J1057" s="72"/>
      <c r="K1057" s="71" t="s">
        <v>11800</v>
      </c>
      <c r="L1057" s="75"/>
      <c r="M1057" s="76"/>
      <c r="N1057" s="76"/>
      <c r="O1057" s="77"/>
      <c r="P1057" s="78"/>
      <c r="Q1057" s="78"/>
      <c r="R1057" s="92"/>
      <c r="S1057" s="92"/>
      <c r="T1057" s="92"/>
      <c r="U1057" s="92"/>
      <c r="V1057" s="52"/>
      <c r="W1057" s="52"/>
      <c r="X1057" s="52"/>
      <c r="Y1057" s="52"/>
      <c r="Z1057" s="51"/>
      <c r="AA1057" s="73"/>
      <c r="AB1057" s="73"/>
      <c r="AC1057" s="74"/>
      <c r="AD1057" s="80" t="s">
        <v>7617</v>
      </c>
      <c r="AE1057" s="85" t="s">
        <v>8741</v>
      </c>
      <c r="AF1057" s="80">
        <v>261</v>
      </c>
      <c r="AG1057" s="80">
        <v>91</v>
      </c>
      <c r="AH1057" s="80">
        <v>8111</v>
      </c>
      <c r="AI1057" s="80">
        <v>6871</v>
      </c>
      <c r="AJ1057" s="80"/>
      <c r="AK1057" s="80" t="s">
        <v>9898</v>
      </c>
      <c r="AL1057" s="80" t="s">
        <v>10212</v>
      </c>
      <c r="AM1057" s="87" t="str">
        <f>HYPERLINK("https://t.co/JLQcg4XbHo")</f>
        <v>https://t.co/JLQcg4XbHo</v>
      </c>
      <c r="AN1057" s="80"/>
      <c r="AO1057" s="82">
        <v>40129.475162037037</v>
      </c>
      <c r="AP1057" s="80"/>
      <c r="AQ1057" s="80" t="b">
        <v>0</v>
      </c>
      <c r="AR1057" s="80" t="b">
        <v>0</v>
      </c>
      <c r="AS1057" s="80" t="b">
        <v>1</v>
      </c>
      <c r="AT1057" s="80"/>
      <c r="AU1057" s="80">
        <v>0</v>
      </c>
      <c r="AV1057" s="87" t="str">
        <f>HYPERLINK("https://abs.twimg.com/images/themes/theme5/bg.gif")</f>
        <v>https://abs.twimg.com/images/themes/theme5/bg.gif</v>
      </c>
      <c r="AW1057" s="80" t="b">
        <v>0</v>
      </c>
      <c r="AX1057" s="80" t="s">
        <v>10746</v>
      </c>
      <c r="AY1057" s="87" t="str">
        <f>HYPERLINK("https://twitter.com/yuan_info")</f>
        <v>https://twitter.com/yuan_info</v>
      </c>
      <c r="AZ1057" s="80" t="s">
        <v>66</v>
      </c>
      <c r="BA1057" s="2"/>
      <c r="BB1057" s="3"/>
      <c r="BC1057" s="3"/>
      <c r="BD1057" s="3"/>
      <c r="BE1057" s="3"/>
    </row>
    <row r="1058" spans="1:57" x14ac:dyDescent="0.35">
      <c r="A1058" s="66" t="s">
        <v>1046</v>
      </c>
      <c r="B1058" s="67"/>
      <c r="C1058" s="67"/>
      <c r="D1058" s="68"/>
      <c r="E1058" s="70"/>
      <c r="F1058" s="109" t="str">
        <f>HYPERLINK("https://pbs.twimg.com/profile_images/1188459457665064960/msYczaxR_normal.jpg")</f>
        <v>https://pbs.twimg.com/profile_images/1188459457665064960/msYczaxR_normal.jpg</v>
      </c>
      <c r="G1058" s="67"/>
      <c r="H1058" s="71"/>
      <c r="I1058" s="72"/>
      <c r="J1058" s="72"/>
      <c r="K1058" s="71" t="s">
        <v>11801</v>
      </c>
      <c r="L1058" s="75"/>
      <c r="M1058" s="76"/>
      <c r="N1058" s="76"/>
      <c r="O1058" s="77"/>
      <c r="P1058" s="78"/>
      <c r="Q1058" s="78"/>
      <c r="R1058" s="92"/>
      <c r="S1058" s="92"/>
      <c r="T1058" s="92"/>
      <c r="U1058" s="92"/>
      <c r="V1058" s="52"/>
      <c r="W1058" s="52"/>
      <c r="X1058" s="52"/>
      <c r="Y1058" s="52"/>
      <c r="Z1058" s="51"/>
      <c r="AA1058" s="73"/>
      <c r="AB1058" s="73"/>
      <c r="AC1058" s="74"/>
      <c r="AD1058" s="80" t="s">
        <v>7618</v>
      </c>
      <c r="AE1058" s="85" t="s">
        <v>8742</v>
      </c>
      <c r="AF1058" s="80">
        <v>85</v>
      </c>
      <c r="AG1058" s="80">
        <v>4</v>
      </c>
      <c r="AH1058" s="80">
        <v>296</v>
      </c>
      <c r="AI1058" s="80">
        <v>185</v>
      </c>
      <c r="AJ1058" s="80"/>
      <c r="AK1058" s="80"/>
      <c r="AL1058" s="80"/>
      <c r="AM1058" s="80"/>
      <c r="AN1058" s="80"/>
      <c r="AO1058" s="82">
        <v>43765.590243055558</v>
      </c>
      <c r="AP1058" s="87" t="str">
        <f>HYPERLINK("https://pbs.twimg.com/profile_banners/1188457739539714048/1572185847")</f>
        <v>https://pbs.twimg.com/profile_banners/1188457739539714048/1572185847</v>
      </c>
      <c r="AQ1058" s="80" t="b">
        <v>1</v>
      </c>
      <c r="AR1058" s="80" t="b">
        <v>0</v>
      </c>
      <c r="AS1058" s="80" t="b">
        <v>0</v>
      </c>
      <c r="AT1058" s="80"/>
      <c r="AU1058" s="80">
        <v>0</v>
      </c>
      <c r="AV1058" s="80"/>
      <c r="AW1058" s="80" t="b">
        <v>0</v>
      </c>
      <c r="AX1058" s="80" t="s">
        <v>10746</v>
      </c>
      <c r="AY1058" s="87" t="str">
        <f>HYPERLINK("https://twitter.com/shun_chan_chan")</f>
        <v>https://twitter.com/shun_chan_chan</v>
      </c>
      <c r="AZ1058" s="80" t="s">
        <v>66</v>
      </c>
      <c r="BA1058" s="2"/>
      <c r="BB1058" s="3"/>
      <c r="BC1058" s="3"/>
      <c r="BD1058" s="3"/>
      <c r="BE1058" s="3"/>
    </row>
    <row r="1059" spans="1:57" x14ac:dyDescent="0.35">
      <c r="A1059" s="66" t="s">
        <v>1487</v>
      </c>
      <c r="B1059" s="67"/>
      <c r="C1059" s="67"/>
      <c r="D1059" s="68"/>
      <c r="E1059" s="70"/>
      <c r="F1059" s="109" t="str">
        <f>HYPERLINK("https://pbs.twimg.com/profile_images/1430123993491677188/F9dSS_t8_normal.jpg")</f>
        <v>https://pbs.twimg.com/profile_images/1430123993491677188/F9dSS_t8_normal.jpg</v>
      </c>
      <c r="G1059" s="67"/>
      <c r="H1059" s="71"/>
      <c r="I1059" s="72"/>
      <c r="J1059" s="72"/>
      <c r="K1059" s="71" t="s">
        <v>11802</v>
      </c>
      <c r="L1059" s="75"/>
      <c r="M1059" s="76"/>
      <c r="N1059" s="76"/>
      <c r="O1059" s="77"/>
      <c r="P1059" s="78"/>
      <c r="Q1059" s="78"/>
      <c r="R1059" s="92"/>
      <c r="S1059" s="92"/>
      <c r="T1059" s="92"/>
      <c r="U1059" s="92"/>
      <c r="V1059" s="52"/>
      <c r="W1059" s="52"/>
      <c r="X1059" s="52"/>
      <c r="Y1059" s="52"/>
      <c r="Z1059" s="51"/>
      <c r="AA1059" s="73"/>
      <c r="AB1059" s="73"/>
      <c r="AC1059" s="74"/>
      <c r="AD1059" s="80" t="s">
        <v>7619</v>
      </c>
      <c r="AE1059" s="85" t="s">
        <v>6426</v>
      </c>
      <c r="AF1059" s="80">
        <v>135</v>
      </c>
      <c r="AG1059" s="80">
        <v>18879</v>
      </c>
      <c r="AH1059" s="80">
        <v>23760</v>
      </c>
      <c r="AI1059" s="80">
        <v>119</v>
      </c>
      <c r="AJ1059" s="80"/>
      <c r="AK1059" s="80" t="s">
        <v>9899</v>
      </c>
      <c r="AL1059" s="80" t="s">
        <v>10635</v>
      </c>
      <c r="AM1059" s="87" t="str">
        <f>HYPERLINK("https://t.co/yatiW9G0Ee")</f>
        <v>https://t.co/yatiW9G0Ee</v>
      </c>
      <c r="AN1059" s="80"/>
      <c r="AO1059" s="82">
        <v>42627.122835648152</v>
      </c>
      <c r="AP1059" s="87" t="str">
        <f>HYPERLINK("https://pbs.twimg.com/profile_banners/775891037650718722/1631507267")</f>
        <v>https://pbs.twimg.com/profile_banners/775891037650718722/1631507267</v>
      </c>
      <c r="AQ1059" s="80" t="b">
        <v>0</v>
      </c>
      <c r="AR1059" s="80" t="b">
        <v>0</v>
      </c>
      <c r="AS1059" s="80" t="b">
        <v>0</v>
      </c>
      <c r="AT1059" s="80"/>
      <c r="AU1059" s="80">
        <v>9</v>
      </c>
      <c r="AV1059" s="87" t="str">
        <f>HYPERLINK("https://abs.twimg.com/images/themes/theme1/bg.png")</f>
        <v>https://abs.twimg.com/images/themes/theme1/bg.png</v>
      </c>
      <c r="AW1059" s="80" t="b">
        <v>0</v>
      </c>
      <c r="AX1059" s="80" t="s">
        <v>10746</v>
      </c>
      <c r="AY1059" s="87" t="str">
        <f>HYPERLINK("https://twitter.com/idtiki")</f>
        <v>https://twitter.com/idtiki</v>
      </c>
      <c r="AZ1059" s="80" t="s">
        <v>65</v>
      </c>
      <c r="BA1059" s="2"/>
      <c r="BB1059" s="3"/>
      <c r="BC1059" s="3"/>
      <c r="BD1059" s="3"/>
      <c r="BE1059" s="3"/>
    </row>
    <row r="1060" spans="1:57" x14ac:dyDescent="0.35">
      <c r="A1060" s="66" t="s">
        <v>1047</v>
      </c>
      <c r="B1060" s="67"/>
      <c r="C1060" s="67"/>
      <c r="D1060" s="68"/>
      <c r="E1060" s="70"/>
      <c r="F1060" s="109" t="str">
        <f>HYPERLINK("https://pbs.twimg.com/profile_images/2782990993/1abe32e69d1f3fc95ec1a4521787e400_normal.jpeg")</f>
        <v>https://pbs.twimg.com/profile_images/2782990993/1abe32e69d1f3fc95ec1a4521787e400_normal.jpeg</v>
      </c>
      <c r="G1060" s="67"/>
      <c r="H1060" s="71"/>
      <c r="I1060" s="72"/>
      <c r="J1060" s="72"/>
      <c r="K1060" s="71" t="s">
        <v>11803</v>
      </c>
      <c r="L1060" s="75"/>
      <c r="M1060" s="76"/>
      <c r="N1060" s="76"/>
      <c r="O1060" s="77"/>
      <c r="P1060" s="78"/>
      <c r="Q1060" s="78"/>
      <c r="R1060" s="92"/>
      <c r="S1060" s="92"/>
      <c r="T1060" s="92"/>
      <c r="U1060" s="92"/>
      <c r="V1060" s="52"/>
      <c r="W1060" s="52"/>
      <c r="X1060" s="52"/>
      <c r="Y1060" s="52"/>
      <c r="Z1060" s="51"/>
      <c r="AA1060" s="73"/>
      <c r="AB1060" s="73"/>
      <c r="AC1060" s="74"/>
      <c r="AD1060" s="80" t="s">
        <v>7620</v>
      </c>
      <c r="AE1060" s="85" t="s">
        <v>8743</v>
      </c>
      <c r="AF1060" s="80">
        <v>56</v>
      </c>
      <c r="AG1060" s="80">
        <v>140</v>
      </c>
      <c r="AH1060" s="80">
        <v>2457</v>
      </c>
      <c r="AI1060" s="80">
        <v>21</v>
      </c>
      <c r="AJ1060" s="80"/>
      <c r="AK1060" s="80" t="s">
        <v>9900</v>
      </c>
      <c r="AL1060" s="80" t="s">
        <v>6632</v>
      </c>
      <c r="AM1060" s="87" t="str">
        <f>HYPERLINK("https://t.co/FEtj83DgCf")</f>
        <v>https://t.co/FEtj83DgCf</v>
      </c>
      <c r="AN1060" s="80"/>
      <c r="AO1060" s="82">
        <v>40654.344074074077</v>
      </c>
      <c r="AP1060" s="87" t="str">
        <f>HYPERLINK("https://pbs.twimg.com/profile_banners/285502760/1352537025")</f>
        <v>https://pbs.twimg.com/profile_banners/285502760/1352537025</v>
      </c>
      <c r="AQ1060" s="80" t="b">
        <v>0</v>
      </c>
      <c r="AR1060" s="80" t="b">
        <v>0</v>
      </c>
      <c r="AS1060" s="80" t="b">
        <v>1</v>
      </c>
      <c r="AT1060" s="80"/>
      <c r="AU1060" s="80">
        <v>0</v>
      </c>
      <c r="AV1060" s="87" t="str">
        <f>HYPERLINK("https://abs.twimg.com/images/themes/theme10/bg.gif")</f>
        <v>https://abs.twimg.com/images/themes/theme10/bg.gif</v>
      </c>
      <c r="AW1060" s="80" t="b">
        <v>0</v>
      </c>
      <c r="AX1060" s="80" t="s">
        <v>10746</v>
      </c>
      <c r="AY1060" s="87" t="str">
        <f>HYPERLINK("https://twitter.com/tarbantinbooks")</f>
        <v>https://twitter.com/tarbantinbooks</v>
      </c>
      <c r="AZ1060" s="80" t="s">
        <v>66</v>
      </c>
      <c r="BA1060" s="2"/>
      <c r="BB1060" s="3"/>
      <c r="BC1060" s="3"/>
      <c r="BD1060" s="3"/>
      <c r="BE1060" s="3"/>
    </row>
    <row r="1061" spans="1:57" x14ac:dyDescent="0.35">
      <c r="A1061" s="66" t="s">
        <v>1048</v>
      </c>
      <c r="B1061" s="67"/>
      <c r="C1061" s="67"/>
      <c r="D1061" s="68"/>
      <c r="E1061" s="70"/>
      <c r="F1061" s="109" t="str">
        <f>HYPERLINK("https://pbs.twimg.com/profile_images/1418915575816929284/72lSLUnH_normal.png")</f>
        <v>https://pbs.twimg.com/profile_images/1418915575816929284/72lSLUnH_normal.png</v>
      </c>
      <c r="G1061" s="67"/>
      <c r="H1061" s="71"/>
      <c r="I1061" s="72"/>
      <c r="J1061" s="72"/>
      <c r="K1061" s="71" t="s">
        <v>11804</v>
      </c>
      <c r="L1061" s="75"/>
      <c r="M1061" s="76"/>
      <c r="N1061" s="76"/>
      <c r="O1061" s="77"/>
      <c r="P1061" s="78"/>
      <c r="Q1061" s="78"/>
      <c r="R1061" s="92"/>
      <c r="S1061" s="92"/>
      <c r="T1061" s="92"/>
      <c r="U1061" s="92"/>
      <c r="V1061" s="52"/>
      <c r="W1061" s="52"/>
      <c r="X1061" s="52"/>
      <c r="Y1061" s="52"/>
      <c r="Z1061" s="51"/>
      <c r="AA1061" s="73"/>
      <c r="AB1061" s="73"/>
      <c r="AC1061" s="74"/>
      <c r="AD1061" s="80" t="s">
        <v>7621</v>
      </c>
      <c r="AE1061" s="85" t="s">
        <v>8744</v>
      </c>
      <c r="AF1061" s="80">
        <v>108</v>
      </c>
      <c r="AG1061" s="80">
        <v>133</v>
      </c>
      <c r="AH1061" s="80">
        <v>3722</v>
      </c>
      <c r="AI1061" s="80">
        <v>683</v>
      </c>
      <c r="AJ1061" s="80"/>
      <c r="AK1061" s="80" t="s">
        <v>9901</v>
      </c>
      <c r="AL1061" s="80" t="s">
        <v>10636</v>
      </c>
      <c r="AM1061" s="87" t="str">
        <f>HYPERLINK("https://t.co/2PNsAe0rdD")</f>
        <v>https://t.co/2PNsAe0rdD</v>
      </c>
      <c r="AN1061" s="80"/>
      <c r="AO1061" s="82">
        <v>44169.010659722226</v>
      </c>
      <c r="AP1061" s="87" t="str">
        <f>HYPERLINK("https://pbs.twimg.com/profile_banners/1334652448909086721/1631328645")</f>
        <v>https://pbs.twimg.com/profile_banners/1334652448909086721/1631328645</v>
      </c>
      <c r="AQ1061" s="80" t="b">
        <v>1</v>
      </c>
      <c r="AR1061" s="80" t="b">
        <v>0</v>
      </c>
      <c r="AS1061" s="80" t="b">
        <v>0</v>
      </c>
      <c r="AT1061" s="80"/>
      <c r="AU1061" s="80">
        <v>0</v>
      </c>
      <c r="AV1061" s="80"/>
      <c r="AW1061" s="80" t="b">
        <v>0</v>
      </c>
      <c r="AX1061" s="80" t="s">
        <v>10746</v>
      </c>
      <c r="AY1061" s="87" t="str">
        <f>HYPERLINK("https://twitter.com/tictactoe_app")</f>
        <v>https://twitter.com/tictactoe_app</v>
      </c>
      <c r="AZ1061" s="80" t="s">
        <v>66</v>
      </c>
      <c r="BA1061" s="2"/>
      <c r="BB1061" s="3"/>
      <c r="BC1061" s="3"/>
      <c r="BD1061" s="3"/>
      <c r="BE1061" s="3"/>
    </row>
    <row r="1062" spans="1:57" x14ac:dyDescent="0.35">
      <c r="A1062" s="66" t="s">
        <v>1488</v>
      </c>
      <c r="B1062" s="67"/>
      <c r="C1062" s="67"/>
      <c r="D1062" s="68"/>
      <c r="E1062" s="70"/>
      <c r="F1062" s="109" t="str">
        <f>HYPERLINK("https://pbs.twimg.com/profile_images/1372878420569288711/7hOSUDn9_normal.jpg")</f>
        <v>https://pbs.twimg.com/profile_images/1372878420569288711/7hOSUDn9_normal.jpg</v>
      </c>
      <c r="G1062" s="67"/>
      <c r="H1062" s="71"/>
      <c r="I1062" s="72"/>
      <c r="J1062" s="72"/>
      <c r="K1062" s="71" t="s">
        <v>11805</v>
      </c>
      <c r="L1062" s="75"/>
      <c r="M1062" s="76"/>
      <c r="N1062" s="76"/>
      <c r="O1062" s="77"/>
      <c r="P1062" s="78"/>
      <c r="Q1062" s="78"/>
      <c r="R1062" s="92"/>
      <c r="S1062" s="92"/>
      <c r="T1062" s="92"/>
      <c r="U1062" s="92"/>
      <c r="V1062" s="52"/>
      <c r="W1062" s="52"/>
      <c r="X1062" s="52"/>
      <c r="Y1062" s="52"/>
      <c r="Z1062" s="51"/>
      <c r="AA1062" s="73"/>
      <c r="AB1062" s="73"/>
      <c r="AC1062" s="74"/>
      <c r="AD1062" s="80" t="s">
        <v>7622</v>
      </c>
      <c r="AE1062" s="85" t="s">
        <v>6427</v>
      </c>
      <c r="AF1062" s="80">
        <v>2196</v>
      </c>
      <c r="AG1062" s="80">
        <v>28165</v>
      </c>
      <c r="AH1062" s="80">
        <v>140288</v>
      </c>
      <c r="AI1062" s="80">
        <v>10</v>
      </c>
      <c r="AJ1062" s="80"/>
      <c r="AK1062" s="80" t="s">
        <v>9902</v>
      </c>
      <c r="AL1062" s="80" t="s">
        <v>10637</v>
      </c>
      <c r="AM1062" s="87" t="str">
        <f>HYPERLINK("https://t.co/UY3hVVAlPF")</f>
        <v>https://t.co/UY3hVVAlPF</v>
      </c>
      <c r="AN1062" s="80"/>
      <c r="AO1062" s="82">
        <v>44170.468449074076</v>
      </c>
      <c r="AP1062" s="87" t="str">
        <f>HYPERLINK("https://pbs.twimg.com/profile_banners/1335180684759994370/1616154699")</f>
        <v>https://pbs.twimg.com/profile_banners/1335180684759994370/1616154699</v>
      </c>
      <c r="AQ1062" s="80" t="b">
        <v>1</v>
      </c>
      <c r="AR1062" s="80" t="b">
        <v>0</v>
      </c>
      <c r="AS1062" s="80" t="b">
        <v>0</v>
      </c>
      <c r="AT1062" s="80"/>
      <c r="AU1062" s="80">
        <v>1611</v>
      </c>
      <c r="AV1062" s="80"/>
      <c r="AW1062" s="80" t="b">
        <v>0</v>
      </c>
      <c r="AX1062" s="80" t="s">
        <v>10746</v>
      </c>
      <c r="AY1062" s="87" t="str">
        <f>HYPERLINK("https://twitter.com/busifess")</f>
        <v>https://twitter.com/busifess</v>
      </c>
      <c r="AZ1062" s="80" t="s">
        <v>65</v>
      </c>
      <c r="BA1062" s="2"/>
      <c r="BB1062" s="3"/>
      <c r="BC1062" s="3"/>
      <c r="BD1062" s="3"/>
      <c r="BE1062" s="3"/>
    </row>
    <row r="1063" spans="1:57" x14ac:dyDescent="0.35">
      <c r="A1063" s="66" t="s">
        <v>1049</v>
      </c>
      <c r="B1063" s="67"/>
      <c r="C1063" s="67"/>
      <c r="D1063" s="68"/>
      <c r="E1063" s="70"/>
      <c r="F1063" s="109" t="str">
        <f>HYPERLINK("https://pbs.twimg.com/profile_images/1392076551706009601/UABYUu9D_normal.jpg")</f>
        <v>https://pbs.twimg.com/profile_images/1392076551706009601/UABYUu9D_normal.jpg</v>
      </c>
      <c r="G1063" s="67"/>
      <c r="H1063" s="71"/>
      <c r="I1063" s="72"/>
      <c r="J1063" s="72"/>
      <c r="K1063" s="71" t="s">
        <v>11806</v>
      </c>
      <c r="L1063" s="75"/>
      <c r="M1063" s="76"/>
      <c r="N1063" s="76"/>
      <c r="O1063" s="77"/>
      <c r="P1063" s="78"/>
      <c r="Q1063" s="78"/>
      <c r="R1063" s="92"/>
      <c r="S1063" s="92"/>
      <c r="T1063" s="92"/>
      <c r="U1063" s="92"/>
      <c r="V1063" s="52"/>
      <c r="W1063" s="52"/>
      <c r="X1063" s="52"/>
      <c r="Y1063" s="52"/>
      <c r="Z1063" s="51"/>
      <c r="AA1063" s="73"/>
      <c r="AB1063" s="73"/>
      <c r="AC1063" s="74"/>
      <c r="AD1063" s="80" t="s">
        <v>7623</v>
      </c>
      <c r="AE1063" s="85" t="s">
        <v>8745</v>
      </c>
      <c r="AF1063" s="80">
        <v>37</v>
      </c>
      <c r="AG1063" s="80">
        <v>52</v>
      </c>
      <c r="AH1063" s="80">
        <v>106</v>
      </c>
      <c r="AI1063" s="80">
        <v>35</v>
      </c>
      <c r="AJ1063" s="80"/>
      <c r="AK1063" s="80"/>
      <c r="AL1063" s="80" t="s">
        <v>10638</v>
      </c>
      <c r="AM1063" s="80"/>
      <c r="AN1063" s="80"/>
      <c r="AO1063" s="82">
        <v>44327.461574074077</v>
      </c>
      <c r="AP1063" s="80"/>
      <c r="AQ1063" s="80" t="b">
        <v>1</v>
      </c>
      <c r="AR1063" s="80" t="b">
        <v>0</v>
      </c>
      <c r="AS1063" s="80" t="b">
        <v>0</v>
      </c>
      <c r="AT1063" s="80"/>
      <c r="AU1063" s="80">
        <v>0</v>
      </c>
      <c r="AV1063" s="80"/>
      <c r="AW1063" s="80" t="b">
        <v>0</v>
      </c>
      <c r="AX1063" s="80" t="s">
        <v>10746</v>
      </c>
      <c r="AY1063" s="87" t="str">
        <f>HYPERLINK("https://twitter.com/kpudonggala")</f>
        <v>https://twitter.com/kpudonggala</v>
      </c>
      <c r="AZ1063" s="80" t="s">
        <v>66</v>
      </c>
      <c r="BA1063" s="2"/>
      <c r="BB1063" s="3"/>
      <c r="BC1063" s="3"/>
      <c r="BD1063" s="3"/>
      <c r="BE1063" s="3"/>
    </row>
    <row r="1064" spans="1:57" x14ac:dyDescent="0.35">
      <c r="A1064" s="66" t="s">
        <v>1050</v>
      </c>
      <c r="B1064" s="67"/>
      <c r="C1064" s="67"/>
      <c r="D1064" s="68"/>
      <c r="E1064" s="70"/>
      <c r="F1064" s="109" t="str">
        <f>HYPERLINK("https://pbs.twimg.com/profile_images/1427943234492239884/sVqoaR_p_normal.jpg")</f>
        <v>https://pbs.twimg.com/profile_images/1427943234492239884/sVqoaR_p_normal.jpg</v>
      </c>
      <c r="G1064" s="67"/>
      <c r="H1064" s="71"/>
      <c r="I1064" s="72"/>
      <c r="J1064" s="72"/>
      <c r="K1064" s="71" t="s">
        <v>11807</v>
      </c>
      <c r="L1064" s="75"/>
      <c r="M1064" s="76"/>
      <c r="N1064" s="76"/>
      <c r="O1064" s="77"/>
      <c r="P1064" s="78"/>
      <c r="Q1064" s="78"/>
      <c r="R1064" s="92"/>
      <c r="S1064" s="92"/>
      <c r="T1064" s="92"/>
      <c r="U1064" s="92"/>
      <c r="V1064" s="52"/>
      <c r="W1064" s="52"/>
      <c r="X1064" s="52"/>
      <c r="Y1064" s="52"/>
      <c r="Z1064" s="51"/>
      <c r="AA1064" s="73"/>
      <c r="AB1064" s="73"/>
      <c r="AC1064" s="74"/>
      <c r="AD1064" s="80" t="s">
        <v>7624</v>
      </c>
      <c r="AE1064" s="85" t="s">
        <v>8746</v>
      </c>
      <c r="AF1064" s="80">
        <v>98</v>
      </c>
      <c r="AG1064" s="80">
        <v>669</v>
      </c>
      <c r="AH1064" s="80">
        <v>1281</v>
      </c>
      <c r="AI1064" s="80">
        <v>5507</v>
      </c>
      <c r="AJ1064" s="80"/>
      <c r="AK1064" s="80" t="s">
        <v>9903</v>
      </c>
      <c r="AL1064" s="80" t="s">
        <v>10639</v>
      </c>
      <c r="AM1064" s="87" t="str">
        <f>HYPERLINK("https://t.co/XAeNDSznEW")</f>
        <v>https://t.co/XAeNDSznEW</v>
      </c>
      <c r="AN1064" s="80"/>
      <c r="AO1064" s="82">
        <v>41798.71638888889</v>
      </c>
      <c r="AP1064" s="87" t="str">
        <f>HYPERLINK("https://pbs.twimg.com/profile_banners/2555154228/1629291665")</f>
        <v>https://pbs.twimg.com/profile_banners/2555154228/1629291665</v>
      </c>
      <c r="AQ1064" s="80" t="b">
        <v>0</v>
      </c>
      <c r="AR1064" s="80" t="b">
        <v>0</v>
      </c>
      <c r="AS1064" s="80" t="b">
        <v>0</v>
      </c>
      <c r="AT1064" s="80"/>
      <c r="AU1064" s="80">
        <v>0</v>
      </c>
      <c r="AV1064" s="87" t="str">
        <f>HYPERLINK("https://abs.twimg.com/images/themes/theme1/bg.png")</f>
        <v>https://abs.twimg.com/images/themes/theme1/bg.png</v>
      </c>
      <c r="AW1064" s="80" t="b">
        <v>0</v>
      </c>
      <c r="AX1064" s="80" t="s">
        <v>10746</v>
      </c>
      <c r="AY1064" s="87" t="str">
        <f>HYPERLINK("https://twitter.com/kpujakartatimur")</f>
        <v>https://twitter.com/kpujakartatimur</v>
      </c>
      <c r="AZ1064" s="80" t="s">
        <v>66</v>
      </c>
      <c r="BA1064" s="2"/>
      <c r="BB1064" s="3"/>
      <c r="BC1064" s="3"/>
      <c r="BD1064" s="3"/>
      <c r="BE1064" s="3"/>
    </row>
    <row r="1065" spans="1:57" x14ac:dyDescent="0.35">
      <c r="A1065" s="66" t="s">
        <v>1051</v>
      </c>
      <c r="B1065" s="67"/>
      <c r="C1065" s="67"/>
      <c r="D1065" s="68"/>
      <c r="E1065" s="70"/>
      <c r="F1065" s="109" t="str">
        <f>HYPERLINK("https://pbs.twimg.com/profile_images/1429461572762570755/9AgIY16R_normal.jpg")</f>
        <v>https://pbs.twimg.com/profile_images/1429461572762570755/9AgIY16R_normal.jpg</v>
      </c>
      <c r="G1065" s="67"/>
      <c r="H1065" s="71"/>
      <c r="I1065" s="72"/>
      <c r="J1065" s="72"/>
      <c r="K1065" s="71" t="s">
        <v>11808</v>
      </c>
      <c r="L1065" s="75"/>
      <c r="M1065" s="76"/>
      <c r="N1065" s="76"/>
      <c r="O1065" s="77"/>
      <c r="P1065" s="78"/>
      <c r="Q1065" s="78"/>
      <c r="R1065" s="92"/>
      <c r="S1065" s="92"/>
      <c r="T1065" s="92"/>
      <c r="U1065" s="92"/>
      <c r="V1065" s="52"/>
      <c r="W1065" s="52"/>
      <c r="X1065" s="52"/>
      <c r="Y1065" s="52"/>
      <c r="Z1065" s="51"/>
      <c r="AA1065" s="73"/>
      <c r="AB1065" s="73"/>
      <c r="AC1065" s="74"/>
      <c r="AD1065" s="80" t="s">
        <v>7625</v>
      </c>
      <c r="AE1065" s="85" t="s">
        <v>6428</v>
      </c>
      <c r="AF1065" s="80">
        <v>281</v>
      </c>
      <c r="AG1065" s="80">
        <v>466</v>
      </c>
      <c r="AH1065" s="80">
        <v>8847</v>
      </c>
      <c r="AI1065" s="80">
        <v>3562</v>
      </c>
      <c r="AJ1065" s="80"/>
      <c r="AK1065" s="80" t="s">
        <v>9904</v>
      </c>
      <c r="AL1065" s="80" t="s">
        <v>10640</v>
      </c>
      <c r="AM1065" s="80"/>
      <c r="AN1065" s="80"/>
      <c r="AO1065" s="82">
        <v>43607.485543981478</v>
      </c>
      <c r="AP1065" s="87" t="str">
        <f>HYPERLINK("https://pbs.twimg.com/profile_banners/1131162587595280390/1591246491")</f>
        <v>https://pbs.twimg.com/profile_banners/1131162587595280390/1591246491</v>
      </c>
      <c r="AQ1065" s="80" t="b">
        <v>1</v>
      </c>
      <c r="AR1065" s="80" t="b">
        <v>0</v>
      </c>
      <c r="AS1065" s="80" t="b">
        <v>1</v>
      </c>
      <c r="AT1065" s="80"/>
      <c r="AU1065" s="80">
        <v>0</v>
      </c>
      <c r="AV1065" s="80"/>
      <c r="AW1065" s="80" t="b">
        <v>0</v>
      </c>
      <c r="AX1065" s="80" t="s">
        <v>10746</v>
      </c>
      <c r="AY1065" s="87" t="str">
        <f>HYPERLINK("https://twitter.com/yainiakuu")</f>
        <v>https://twitter.com/yainiakuu</v>
      </c>
      <c r="AZ1065" s="80" t="s">
        <v>66</v>
      </c>
      <c r="BA1065" s="2"/>
      <c r="BB1065" s="3"/>
      <c r="BC1065" s="3"/>
      <c r="BD1065" s="3"/>
      <c r="BE1065" s="3"/>
    </row>
    <row r="1066" spans="1:57" x14ac:dyDescent="0.35">
      <c r="A1066" s="66" t="s">
        <v>1052</v>
      </c>
      <c r="B1066" s="67"/>
      <c r="C1066" s="67"/>
      <c r="D1066" s="68"/>
      <c r="E1066" s="70"/>
      <c r="F1066" s="109" t="str">
        <f>HYPERLINK("https://pbs.twimg.com/profile_images/1439954480020135940/DhB-sGUa_normal.jpg")</f>
        <v>https://pbs.twimg.com/profile_images/1439954480020135940/DhB-sGUa_normal.jpg</v>
      </c>
      <c r="G1066" s="67"/>
      <c r="H1066" s="71"/>
      <c r="I1066" s="72"/>
      <c r="J1066" s="72"/>
      <c r="K1066" s="71" t="s">
        <v>11809</v>
      </c>
      <c r="L1066" s="75"/>
      <c r="M1066" s="76"/>
      <c r="N1066" s="76"/>
      <c r="O1066" s="77"/>
      <c r="P1066" s="78"/>
      <c r="Q1066" s="78"/>
      <c r="R1066" s="92"/>
      <c r="S1066" s="92"/>
      <c r="T1066" s="92"/>
      <c r="U1066" s="92"/>
      <c r="V1066" s="52"/>
      <c r="W1066" s="52"/>
      <c r="X1066" s="52"/>
      <c r="Y1066" s="52"/>
      <c r="Z1066" s="51"/>
      <c r="AA1066" s="73"/>
      <c r="AB1066" s="73"/>
      <c r="AC1066" s="74"/>
      <c r="AD1066" s="80" t="s">
        <v>7626</v>
      </c>
      <c r="AE1066" s="85" t="s">
        <v>8747</v>
      </c>
      <c r="AF1066" s="80">
        <v>1348</v>
      </c>
      <c r="AG1066" s="80">
        <v>1267</v>
      </c>
      <c r="AH1066" s="80">
        <v>4885</v>
      </c>
      <c r="AI1066" s="80">
        <v>2350</v>
      </c>
      <c r="AJ1066" s="80"/>
      <c r="AK1066" s="80" t="s">
        <v>9905</v>
      </c>
      <c r="AL1066" s="80"/>
      <c r="AM1066" s="87" t="str">
        <f>HYPERLINK("https://t.co/yqlu2j2kP9")</f>
        <v>https://t.co/yqlu2j2kP9</v>
      </c>
      <c r="AN1066" s="80"/>
      <c r="AO1066" s="82">
        <v>44189.064097222225</v>
      </c>
      <c r="AP1066" s="87" t="str">
        <f>HYPERLINK("https://pbs.twimg.com/profile_banners/1341919558555209730/1632146876")</f>
        <v>https://pbs.twimg.com/profile_banners/1341919558555209730/1632146876</v>
      </c>
      <c r="AQ1066" s="80" t="b">
        <v>1</v>
      </c>
      <c r="AR1066" s="80" t="b">
        <v>0</v>
      </c>
      <c r="AS1066" s="80" t="b">
        <v>0</v>
      </c>
      <c r="AT1066" s="80"/>
      <c r="AU1066" s="80">
        <v>7</v>
      </c>
      <c r="AV1066" s="80"/>
      <c r="AW1066" s="80" t="b">
        <v>0</v>
      </c>
      <c r="AX1066" s="80" t="s">
        <v>10746</v>
      </c>
      <c r="AY1066" s="87" t="str">
        <f>HYPERLINK("https://twitter.com/xxllyamr")</f>
        <v>https://twitter.com/xxllyamr</v>
      </c>
      <c r="AZ1066" s="80" t="s">
        <v>66</v>
      </c>
      <c r="BA1066" s="2"/>
      <c r="BB1066" s="3"/>
      <c r="BC1066" s="3"/>
      <c r="BD1066" s="3"/>
      <c r="BE1066" s="3"/>
    </row>
    <row r="1067" spans="1:57" x14ac:dyDescent="0.35">
      <c r="A1067" s="66" t="s">
        <v>1489</v>
      </c>
      <c r="B1067" s="67"/>
      <c r="C1067" s="67"/>
      <c r="D1067" s="68"/>
      <c r="E1067" s="70"/>
      <c r="F1067" s="109" t="str">
        <f>HYPERLINK("https://pbs.twimg.com/profile_images/1433061275961999367/ap2gjluB_normal.jpg")</f>
        <v>https://pbs.twimg.com/profile_images/1433061275961999367/ap2gjluB_normal.jpg</v>
      </c>
      <c r="G1067" s="67"/>
      <c r="H1067" s="71"/>
      <c r="I1067" s="72"/>
      <c r="J1067" s="72"/>
      <c r="K1067" s="71" t="s">
        <v>11810</v>
      </c>
      <c r="L1067" s="75"/>
      <c r="M1067" s="76"/>
      <c r="N1067" s="76"/>
      <c r="O1067" s="77"/>
      <c r="P1067" s="78"/>
      <c r="Q1067" s="78"/>
      <c r="R1067" s="92"/>
      <c r="S1067" s="92"/>
      <c r="T1067" s="92"/>
      <c r="U1067" s="92"/>
      <c r="V1067" s="52"/>
      <c r="W1067" s="52"/>
      <c r="X1067" s="52"/>
      <c r="Y1067" s="52"/>
      <c r="Z1067" s="51"/>
      <c r="AA1067" s="73"/>
      <c r="AB1067" s="73"/>
      <c r="AC1067" s="74"/>
      <c r="AD1067" s="80" t="s">
        <v>7627</v>
      </c>
      <c r="AE1067" s="85" t="s">
        <v>6429</v>
      </c>
      <c r="AF1067" s="80">
        <v>424</v>
      </c>
      <c r="AG1067" s="80">
        <v>355</v>
      </c>
      <c r="AH1067" s="80">
        <v>1314</v>
      </c>
      <c r="AI1067" s="80">
        <v>2679</v>
      </c>
      <c r="AJ1067" s="80"/>
      <c r="AK1067" s="80" t="s">
        <v>9906</v>
      </c>
      <c r="AL1067" s="80" t="s">
        <v>10641</v>
      </c>
      <c r="AM1067" s="87" t="str">
        <f>HYPERLINK("https://t.co/WMzToFy7Ls")</f>
        <v>https://t.co/WMzToFy7Ls</v>
      </c>
      <c r="AN1067" s="80"/>
      <c r="AO1067" s="82">
        <v>44372.632430555554</v>
      </c>
      <c r="AP1067" s="87" t="str">
        <f>HYPERLINK("https://pbs.twimg.com/profile_banners/1408442491955671043/1630503453")</f>
        <v>https://pbs.twimg.com/profile_banners/1408442491955671043/1630503453</v>
      </c>
      <c r="AQ1067" s="80" t="b">
        <v>1</v>
      </c>
      <c r="AR1067" s="80" t="b">
        <v>0</v>
      </c>
      <c r="AS1067" s="80" t="b">
        <v>0</v>
      </c>
      <c r="AT1067" s="80"/>
      <c r="AU1067" s="80">
        <v>3</v>
      </c>
      <c r="AV1067" s="80"/>
      <c r="AW1067" s="80" t="b">
        <v>0</v>
      </c>
      <c r="AX1067" s="80" t="s">
        <v>10746</v>
      </c>
      <c r="AY1067" s="87" t="str">
        <f>HYPERLINK("https://twitter.com/rmdhntyamanda19")</f>
        <v>https://twitter.com/rmdhntyamanda19</v>
      </c>
      <c r="AZ1067" s="80" t="s">
        <v>65</v>
      </c>
      <c r="BA1067" s="2"/>
      <c r="BB1067" s="3"/>
      <c r="BC1067" s="3"/>
      <c r="BD1067" s="3"/>
      <c r="BE1067" s="3"/>
    </row>
    <row r="1068" spans="1:57" x14ac:dyDescent="0.35">
      <c r="A1068" s="66" t="s">
        <v>1053</v>
      </c>
      <c r="B1068" s="67"/>
      <c r="C1068" s="67"/>
      <c r="D1068" s="68"/>
      <c r="E1068" s="70"/>
      <c r="F1068" s="109" t="str">
        <f>HYPERLINK("https://pbs.twimg.com/profile_images/414418350/pianomanfb_normal.jpg")</f>
        <v>https://pbs.twimg.com/profile_images/414418350/pianomanfb_normal.jpg</v>
      </c>
      <c r="G1068" s="67"/>
      <c r="H1068" s="71"/>
      <c r="I1068" s="72"/>
      <c r="J1068" s="72"/>
      <c r="K1068" s="71" t="s">
        <v>11811</v>
      </c>
      <c r="L1068" s="75"/>
      <c r="M1068" s="76"/>
      <c r="N1068" s="76"/>
      <c r="O1068" s="77"/>
      <c r="P1068" s="78"/>
      <c r="Q1068" s="78"/>
      <c r="R1068" s="92"/>
      <c r="S1068" s="92"/>
      <c r="T1068" s="92"/>
      <c r="U1068" s="92"/>
      <c r="V1068" s="52"/>
      <c r="W1068" s="52"/>
      <c r="X1068" s="52"/>
      <c r="Y1068" s="52"/>
      <c r="Z1068" s="51"/>
      <c r="AA1068" s="73"/>
      <c r="AB1068" s="73"/>
      <c r="AC1068" s="74"/>
      <c r="AD1068" s="80" t="s">
        <v>7628</v>
      </c>
      <c r="AE1068" s="85" t="s">
        <v>8748</v>
      </c>
      <c r="AF1068" s="80">
        <v>324</v>
      </c>
      <c r="AG1068" s="80">
        <v>257</v>
      </c>
      <c r="AH1068" s="80">
        <v>14609</v>
      </c>
      <c r="AI1068" s="80">
        <v>21</v>
      </c>
      <c r="AJ1068" s="80"/>
      <c r="AK1068" s="80" t="s">
        <v>9907</v>
      </c>
      <c r="AL1068" s="80" t="s">
        <v>10642</v>
      </c>
      <c r="AM1068" s="87" t="str">
        <f>HYPERLINK("https://t.co/Pnx08oXFBJ")</f>
        <v>https://t.co/Pnx08oXFBJ</v>
      </c>
      <c r="AN1068" s="80"/>
      <c r="AO1068" s="82">
        <v>40070.496319444443</v>
      </c>
      <c r="AP1068" s="87" t="str">
        <f>HYPERLINK("https://pbs.twimg.com/profile_banners/74138178/1632758039")</f>
        <v>https://pbs.twimg.com/profile_banners/74138178/1632758039</v>
      </c>
      <c r="AQ1068" s="80" t="b">
        <v>0</v>
      </c>
      <c r="AR1068" s="80" t="b">
        <v>0</v>
      </c>
      <c r="AS1068" s="80" t="b">
        <v>0</v>
      </c>
      <c r="AT1068" s="80"/>
      <c r="AU1068" s="80">
        <v>5</v>
      </c>
      <c r="AV1068" s="87" t="str">
        <f>HYPERLINK("https://abs.twimg.com/images/themes/theme8/bg.gif")</f>
        <v>https://abs.twimg.com/images/themes/theme8/bg.gif</v>
      </c>
      <c r="AW1068" s="80" t="b">
        <v>0</v>
      </c>
      <c r="AX1068" s="80" t="s">
        <v>10746</v>
      </c>
      <c r="AY1068" s="87" t="str">
        <f>HYPERLINK("https://twitter.com/harrynuriman")</f>
        <v>https://twitter.com/harrynuriman</v>
      </c>
      <c r="AZ1068" s="80" t="s">
        <v>66</v>
      </c>
      <c r="BA1068" s="2"/>
      <c r="BB1068" s="3"/>
      <c r="BC1068" s="3"/>
      <c r="BD1068" s="3"/>
      <c r="BE1068" s="3"/>
    </row>
    <row r="1069" spans="1:57" x14ac:dyDescent="0.35">
      <c r="A1069" s="66" t="s">
        <v>1054</v>
      </c>
      <c r="B1069" s="67"/>
      <c r="C1069" s="67"/>
      <c r="D1069" s="68"/>
      <c r="E1069" s="70"/>
      <c r="F1069" s="109" t="str">
        <f>HYPERLINK("https://pbs.twimg.com/profile_images/1050608418191331328/f_aM8ogA_normal.jpg")</f>
        <v>https://pbs.twimg.com/profile_images/1050608418191331328/f_aM8ogA_normal.jpg</v>
      </c>
      <c r="G1069" s="67"/>
      <c r="H1069" s="71"/>
      <c r="I1069" s="72"/>
      <c r="J1069" s="72"/>
      <c r="K1069" s="71" t="s">
        <v>11812</v>
      </c>
      <c r="L1069" s="75"/>
      <c r="M1069" s="76"/>
      <c r="N1069" s="76"/>
      <c r="O1069" s="77"/>
      <c r="P1069" s="78"/>
      <c r="Q1069" s="78"/>
      <c r="R1069" s="92"/>
      <c r="S1069" s="92"/>
      <c r="T1069" s="92"/>
      <c r="U1069" s="92"/>
      <c r="V1069" s="52"/>
      <c r="W1069" s="52"/>
      <c r="X1069" s="52"/>
      <c r="Y1069" s="52"/>
      <c r="Z1069" s="51"/>
      <c r="AA1069" s="73"/>
      <c r="AB1069" s="73"/>
      <c r="AC1069" s="74"/>
      <c r="AD1069" s="80" t="s">
        <v>7629</v>
      </c>
      <c r="AE1069" s="85" t="s">
        <v>8749</v>
      </c>
      <c r="AF1069" s="80">
        <v>114</v>
      </c>
      <c r="AG1069" s="80">
        <v>9261</v>
      </c>
      <c r="AH1069" s="80">
        <v>79644</v>
      </c>
      <c r="AI1069" s="80">
        <v>435</v>
      </c>
      <c r="AJ1069" s="80"/>
      <c r="AK1069" s="80" t="s">
        <v>9908</v>
      </c>
      <c r="AL1069" s="80" t="s">
        <v>10172</v>
      </c>
      <c r="AM1069" s="87" t="str">
        <f>HYPERLINK("https://t.co/95zO5Kdk4c")</f>
        <v>https://t.co/95zO5Kdk4c</v>
      </c>
      <c r="AN1069" s="80"/>
      <c r="AO1069" s="82">
        <v>41303.142951388887</v>
      </c>
      <c r="AP1069" s="87" t="str">
        <f>HYPERLINK("https://pbs.twimg.com/profile_banners/1129936609/1539319842")</f>
        <v>https://pbs.twimg.com/profile_banners/1129936609/1539319842</v>
      </c>
      <c r="AQ1069" s="80" t="b">
        <v>0</v>
      </c>
      <c r="AR1069" s="80" t="b">
        <v>0</v>
      </c>
      <c r="AS1069" s="80" t="b">
        <v>1</v>
      </c>
      <c r="AT1069" s="80"/>
      <c r="AU1069" s="80">
        <v>31</v>
      </c>
      <c r="AV1069" s="87" t="str">
        <f>HYPERLINK("https://abs.twimg.com/images/themes/theme1/bg.png")</f>
        <v>https://abs.twimg.com/images/themes/theme1/bg.png</v>
      </c>
      <c r="AW1069" s="80" t="b">
        <v>1</v>
      </c>
      <c r="AX1069" s="80" t="s">
        <v>10746</v>
      </c>
      <c r="AY1069" s="87" t="str">
        <f>HYPERLINK("https://twitter.com/rriprograma3")</f>
        <v>https://twitter.com/rriprograma3</v>
      </c>
      <c r="AZ1069" s="80" t="s">
        <v>66</v>
      </c>
      <c r="BA1069" s="2"/>
      <c r="BB1069" s="3"/>
      <c r="BC1069" s="3"/>
      <c r="BD1069" s="3"/>
      <c r="BE1069" s="3"/>
    </row>
    <row r="1070" spans="1:57" x14ac:dyDescent="0.35">
      <c r="A1070" s="66" t="s">
        <v>1055</v>
      </c>
      <c r="B1070" s="67"/>
      <c r="C1070" s="67"/>
      <c r="D1070" s="68"/>
      <c r="E1070" s="70"/>
      <c r="F1070" s="109" t="str">
        <f>HYPERLINK("https://pbs.twimg.com/profile_images/1414854270306848771/0jt9r8LK_normal.jpg")</f>
        <v>https://pbs.twimg.com/profile_images/1414854270306848771/0jt9r8LK_normal.jpg</v>
      </c>
      <c r="G1070" s="67"/>
      <c r="H1070" s="71"/>
      <c r="I1070" s="72"/>
      <c r="J1070" s="72"/>
      <c r="K1070" s="71" t="s">
        <v>11813</v>
      </c>
      <c r="L1070" s="75"/>
      <c r="M1070" s="76"/>
      <c r="N1070" s="76"/>
      <c r="O1070" s="77"/>
      <c r="P1070" s="78"/>
      <c r="Q1070" s="78"/>
      <c r="R1070" s="92"/>
      <c r="S1070" s="92"/>
      <c r="T1070" s="92"/>
      <c r="U1070" s="92"/>
      <c r="V1070" s="52"/>
      <c r="W1070" s="52"/>
      <c r="X1070" s="52"/>
      <c r="Y1070" s="52"/>
      <c r="Z1070" s="51"/>
      <c r="AA1070" s="73"/>
      <c r="AB1070" s="73"/>
      <c r="AC1070" s="74"/>
      <c r="AD1070" s="80" t="s">
        <v>7630</v>
      </c>
      <c r="AE1070" s="85" t="s">
        <v>8750</v>
      </c>
      <c r="AF1070" s="80">
        <v>589</v>
      </c>
      <c r="AG1070" s="80">
        <v>640</v>
      </c>
      <c r="AH1070" s="80">
        <v>12090</v>
      </c>
      <c r="AI1070" s="80">
        <v>6</v>
      </c>
      <c r="AJ1070" s="80"/>
      <c r="AK1070" s="80"/>
      <c r="AL1070" s="80"/>
      <c r="AM1070" s="80"/>
      <c r="AN1070" s="80"/>
      <c r="AO1070" s="82">
        <v>40673.186724537038</v>
      </c>
      <c r="AP1070" s="87" t="str">
        <f>HYPERLINK("https://pbs.twimg.com/profile_banners/296069848/1615456523")</f>
        <v>https://pbs.twimg.com/profile_banners/296069848/1615456523</v>
      </c>
      <c r="AQ1070" s="80" t="b">
        <v>0</v>
      </c>
      <c r="AR1070" s="80" t="b">
        <v>0</v>
      </c>
      <c r="AS1070" s="80" t="b">
        <v>1</v>
      </c>
      <c r="AT1070" s="80"/>
      <c r="AU1070" s="80">
        <v>0</v>
      </c>
      <c r="AV1070" s="87" t="str">
        <f>HYPERLINK("https://abs.twimg.com/images/themes/theme18/bg.gif")</f>
        <v>https://abs.twimg.com/images/themes/theme18/bg.gif</v>
      </c>
      <c r="AW1070" s="80" t="b">
        <v>0</v>
      </c>
      <c r="AX1070" s="80" t="s">
        <v>10746</v>
      </c>
      <c r="AY1070" s="87" t="str">
        <f>HYPERLINK("https://twitter.com/thanksindomie")</f>
        <v>https://twitter.com/thanksindomie</v>
      </c>
      <c r="AZ1070" s="80" t="s">
        <v>66</v>
      </c>
      <c r="BA1070" s="2"/>
      <c r="BB1070" s="3"/>
      <c r="BC1070" s="3"/>
      <c r="BD1070" s="3"/>
      <c r="BE1070" s="3"/>
    </row>
    <row r="1071" spans="1:57" x14ac:dyDescent="0.35">
      <c r="A1071" s="66" t="s">
        <v>1056</v>
      </c>
      <c r="B1071" s="67"/>
      <c r="C1071" s="67"/>
      <c r="D1071" s="68"/>
      <c r="E1071" s="70"/>
      <c r="F1071" s="109" t="str">
        <f>HYPERLINK("https://pbs.twimg.com/profile_images/764999946449788930/DJGwvVPd_normal.jpg")</f>
        <v>https://pbs.twimg.com/profile_images/764999946449788930/DJGwvVPd_normal.jpg</v>
      </c>
      <c r="G1071" s="67"/>
      <c r="H1071" s="71"/>
      <c r="I1071" s="72"/>
      <c r="J1071" s="72"/>
      <c r="K1071" s="71" t="s">
        <v>11814</v>
      </c>
      <c r="L1071" s="75"/>
      <c r="M1071" s="76"/>
      <c r="N1071" s="76"/>
      <c r="O1071" s="77"/>
      <c r="P1071" s="78"/>
      <c r="Q1071" s="78"/>
      <c r="R1071" s="92"/>
      <c r="S1071" s="92"/>
      <c r="T1071" s="92"/>
      <c r="U1071" s="92"/>
      <c r="V1071" s="52"/>
      <c r="W1071" s="52"/>
      <c r="X1071" s="52"/>
      <c r="Y1071" s="52"/>
      <c r="Z1071" s="51"/>
      <c r="AA1071" s="73"/>
      <c r="AB1071" s="73"/>
      <c r="AC1071" s="74"/>
      <c r="AD1071" s="80" t="s">
        <v>7631</v>
      </c>
      <c r="AE1071" s="85" t="s">
        <v>6430</v>
      </c>
      <c r="AF1071" s="80">
        <v>385</v>
      </c>
      <c r="AG1071" s="80">
        <v>732</v>
      </c>
      <c r="AH1071" s="80">
        <v>4859</v>
      </c>
      <c r="AI1071" s="80">
        <v>56</v>
      </c>
      <c r="AJ1071" s="80"/>
      <c r="AK1071" s="80" t="s">
        <v>9909</v>
      </c>
      <c r="AL1071" s="80" t="s">
        <v>10643</v>
      </c>
      <c r="AM1071" s="87" t="str">
        <f>HYPERLINK("https://t.co/Q9PAKiREEs")</f>
        <v>https://t.co/Q9PAKiREEs</v>
      </c>
      <c r="AN1071" s="80"/>
      <c r="AO1071" s="82">
        <v>41038.518437500003</v>
      </c>
      <c r="AP1071" s="87" t="str">
        <f>HYPERLINK("https://pbs.twimg.com/profile_banners/575312554/1495614154")</f>
        <v>https://pbs.twimg.com/profile_banners/575312554/1495614154</v>
      </c>
      <c r="AQ1071" s="80" t="b">
        <v>0</v>
      </c>
      <c r="AR1071" s="80" t="b">
        <v>0</v>
      </c>
      <c r="AS1071" s="80" t="b">
        <v>1</v>
      </c>
      <c r="AT1071" s="80"/>
      <c r="AU1071" s="80">
        <v>0</v>
      </c>
      <c r="AV1071" s="87" t="str">
        <f>HYPERLINK("https://abs.twimg.com/images/themes/theme1/bg.png")</f>
        <v>https://abs.twimg.com/images/themes/theme1/bg.png</v>
      </c>
      <c r="AW1071" s="80" t="b">
        <v>0</v>
      </c>
      <c r="AX1071" s="80" t="s">
        <v>10746</v>
      </c>
      <c r="AY1071" s="87" t="str">
        <f>HYPERLINK("https://twitter.com/himapentikaunri")</f>
        <v>https://twitter.com/himapentikaunri</v>
      </c>
      <c r="AZ1071" s="80" t="s">
        <v>66</v>
      </c>
      <c r="BA1071" s="2"/>
      <c r="BB1071" s="3"/>
      <c r="BC1071" s="3"/>
      <c r="BD1071" s="3"/>
      <c r="BE1071" s="3"/>
    </row>
    <row r="1072" spans="1:57" x14ac:dyDescent="0.35">
      <c r="A1072" s="66" t="s">
        <v>1057</v>
      </c>
      <c r="B1072" s="67"/>
      <c r="C1072" s="67"/>
      <c r="D1072" s="68"/>
      <c r="E1072" s="70"/>
      <c r="F1072" s="109" t="str">
        <f>HYPERLINK("https://pbs.twimg.com/profile_images/1430746801724825607/jJZgx240_normal.jpg")</f>
        <v>https://pbs.twimg.com/profile_images/1430746801724825607/jJZgx240_normal.jpg</v>
      </c>
      <c r="G1072" s="67"/>
      <c r="H1072" s="71"/>
      <c r="I1072" s="72"/>
      <c r="J1072" s="72"/>
      <c r="K1072" s="71" t="s">
        <v>11815</v>
      </c>
      <c r="L1072" s="75"/>
      <c r="M1072" s="76"/>
      <c r="N1072" s="76"/>
      <c r="O1072" s="77"/>
      <c r="P1072" s="78"/>
      <c r="Q1072" s="78"/>
      <c r="R1072" s="92"/>
      <c r="S1072" s="92"/>
      <c r="T1072" s="92"/>
      <c r="U1072" s="92"/>
      <c r="V1072" s="52"/>
      <c r="W1072" s="52"/>
      <c r="X1072" s="52"/>
      <c r="Y1072" s="52"/>
      <c r="Z1072" s="51"/>
      <c r="AA1072" s="73"/>
      <c r="AB1072" s="73"/>
      <c r="AC1072" s="74"/>
      <c r="AD1072" s="80" t="s">
        <v>7632</v>
      </c>
      <c r="AE1072" s="85" t="s">
        <v>8751</v>
      </c>
      <c r="AF1072" s="80">
        <v>354</v>
      </c>
      <c r="AG1072" s="80">
        <v>217</v>
      </c>
      <c r="AH1072" s="80">
        <v>20165</v>
      </c>
      <c r="AI1072" s="80">
        <v>14994</v>
      </c>
      <c r="AJ1072" s="80"/>
      <c r="AK1072" s="80" t="s">
        <v>9910</v>
      </c>
      <c r="AL1072" s="80" t="s">
        <v>10644</v>
      </c>
      <c r="AM1072" s="80"/>
      <c r="AN1072" s="80"/>
      <c r="AO1072" s="82">
        <v>43983.437222222223</v>
      </c>
      <c r="AP1072" s="87" t="str">
        <f>HYPERLINK("https://pbs.twimg.com/profile_banners/1267402842861535232/1632626774")</f>
        <v>https://pbs.twimg.com/profile_banners/1267402842861535232/1632626774</v>
      </c>
      <c r="AQ1072" s="80" t="b">
        <v>1</v>
      </c>
      <c r="AR1072" s="80" t="b">
        <v>0</v>
      </c>
      <c r="AS1072" s="80" t="b">
        <v>0</v>
      </c>
      <c r="AT1072" s="80"/>
      <c r="AU1072" s="80">
        <v>0</v>
      </c>
      <c r="AV1072" s="80"/>
      <c r="AW1072" s="80" t="b">
        <v>0</v>
      </c>
      <c r="AX1072" s="80" t="s">
        <v>10746</v>
      </c>
      <c r="AY1072" s="87" t="str">
        <f>HYPERLINK("https://twitter.com/taqimovic_")</f>
        <v>https://twitter.com/taqimovic_</v>
      </c>
      <c r="AZ1072" s="80" t="s">
        <v>66</v>
      </c>
      <c r="BA1072" s="2"/>
      <c r="BB1072" s="3"/>
      <c r="BC1072" s="3"/>
      <c r="BD1072" s="3"/>
      <c r="BE1072" s="3"/>
    </row>
    <row r="1073" spans="1:57" x14ac:dyDescent="0.35">
      <c r="A1073" s="66" t="s">
        <v>1058</v>
      </c>
      <c r="B1073" s="67"/>
      <c r="C1073" s="67"/>
      <c r="D1073" s="68"/>
      <c r="E1073" s="70"/>
      <c r="F1073" s="109" t="str">
        <f>HYPERLINK("https://pbs.twimg.com/profile_images/1420242643280228353/lLyOzeIC_normal.jpg")</f>
        <v>https://pbs.twimg.com/profile_images/1420242643280228353/lLyOzeIC_normal.jpg</v>
      </c>
      <c r="G1073" s="67"/>
      <c r="H1073" s="71"/>
      <c r="I1073" s="72"/>
      <c r="J1073" s="72"/>
      <c r="K1073" s="71" t="s">
        <v>11816</v>
      </c>
      <c r="L1073" s="75"/>
      <c r="M1073" s="76"/>
      <c r="N1073" s="76"/>
      <c r="O1073" s="77"/>
      <c r="P1073" s="78"/>
      <c r="Q1073" s="78"/>
      <c r="R1073" s="92"/>
      <c r="S1073" s="92"/>
      <c r="T1073" s="92"/>
      <c r="U1073" s="92"/>
      <c r="V1073" s="52"/>
      <c r="W1073" s="52"/>
      <c r="X1073" s="52"/>
      <c r="Y1073" s="52"/>
      <c r="Z1073" s="51"/>
      <c r="AA1073" s="73"/>
      <c r="AB1073" s="73"/>
      <c r="AC1073" s="74"/>
      <c r="AD1073" s="80" t="s">
        <v>7633</v>
      </c>
      <c r="AE1073" s="85" t="s">
        <v>8752</v>
      </c>
      <c r="AF1073" s="80">
        <v>18</v>
      </c>
      <c r="AG1073" s="80">
        <v>6</v>
      </c>
      <c r="AH1073" s="80">
        <v>432</v>
      </c>
      <c r="AI1073" s="80">
        <v>99</v>
      </c>
      <c r="AJ1073" s="80"/>
      <c r="AK1073" s="80" t="s">
        <v>9911</v>
      </c>
      <c r="AL1073" s="80"/>
      <c r="AM1073" s="80"/>
      <c r="AN1073" s="80"/>
      <c r="AO1073" s="82">
        <v>44340.203634259262</v>
      </c>
      <c r="AP1073" s="87" t="str">
        <f>HYPERLINK("https://pbs.twimg.com/profile_banners/1396690685164625920/1627447206")</f>
        <v>https://pbs.twimg.com/profile_banners/1396690685164625920/1627447206</v>
      </c>
      <c r="AQ1073" s="80" t="b">
        <v>1</v>
      </c>
      <c r="AR1073" s="80" t="b">
        <v>0</v>
      </c>
      <c r="AS1073" s="80" t="b">
        <v>0</v>
      </c>
      <c r="AT1073" s="80"/>
      <c r="AU1073" s="80">
        <v>0</v>
      </c>
      <c r="AV1073" s="80"/>
      <c r="AW1073" s="80" t="b">
        <v>0</v>
      </c>
      <c r="AX1073" s="80" t="s">
        <v>10746</v>
      </c>
      <c r="AY1073" s="87" t="str">
        <f>HYPERLINK("https://twitter.com/h0swee")</f>
        <v>https://twitter.com/h0swee</v>
      </c>
      <c r="AZ1073" s="80" t="s">
        <v>66</v>
      </c>
      <c r="BA1073" s="2"/>
      <c r="BB1073" s="3"/>
      <c r="BC1073" s="3"/>
      <c r="BD1073" s="3"/>
      <c r="BE1073" s="3"/>
    </row>
    <row r="1074" spans="1:57" x14ac:dyDescent="0.35">
      <c r="A1074" s="66" t="s">
        <v>1059</v>
      </c>
      <c r="B1074" s="67"/>
      <c r="C1074" s="67"/>
      <c r="D1074" s="68"/>
      <c r="E1074" s="70"/>
      <c r="F1074" s="109" t="str">
        <f>HYPERLINK("https://pbs.twimg.com/profile_images/1432999102179020801/05ecDYhy_normal.jpg")</f>
        <v>https://pbs.twimg.com/profile_images/1432999102179020801/05ecDYhy_normal.jpg</v>
      </c>
      <c r="G1074" s="67"/>
      <c r="H1074" s="71"/>
      <c r="I1074" s="72"/>
      <c r="J1074" s="72"/>
      <c r="K1074" s="71" t="s">
        <v>11817</v>
      </c>
      <c r="L1074" s="75"/>
      <c r="M1074" s="76"/>
      <c r="N1074" s="76"/>
      <c r="O1074" s="77"/>
      <c r="P1074" s="78"/>
      <c r="Q1074" s="78"/>
      <c r="R1074" s="92"/>
      <c r="S1074" s="92"/>
      <c r="T1074" s="92"/>
      <c r="U1074" s="92"/>
      <c r="V1074" s="52"/>
      <c r="W1074" s="52"/>
      <c r="X1074" s="52"/>
      <c r="Y1074" s="52"/>
      <c r="Z1074" s="51"/>
      <c r="AA1074" s="73"/>
      <c r="AB1074" s="73"/>
      <c r="AC1074" s="74"/>
      <c r="AD1074" s="80" t="s">
        <v>7634</v>
      </c>
      <c r="AE1074" s="85" t="s">
        <v>8753</v>
      </c>
      <c r="AF1074" s="80">
        <v>356</v>
      </c>
      <c r="AG1074" s="80">
        <v>196</v>
      </c>
      <c r="AH1074" s="80">
        <v>271</v>
      </c>
      <c r="AI1074" s="80">
        <v>278</v>
      </c>
      <c r="AJ1074" s="80"/>
      <c r="AK1074" s="80" t="s">
        <v>9912</v>
      </c>
      <c r="AL1074" s="80" t="s">
        <v>10645</v>
      </c>
      <c r="AM1074" s="80"/>
      <c r="AN1074" s="80"/>
      <c r="AO1074" s="82">
        <v>44440.395486111112</v>
      </c>
      <c r="AP1074" s="87" t="str">
        <f>HYPERLINK("https://pbs.twimg.com/profile_banners/1432998997757612036/1631589290")</f>
        <v>https://pbs.twimg.com/profile_banners/1432998997757612036/1631589290</v>
      </c>
      <c r="AQ1074" s="80" t="b">
        <v>1</v>
      </c>
      <c r="AR1074" s="80" t="b">
        <v>0</v>
      </c>
      <c r="AS1074" s="80" t="b">
        <v>0</v>
      </c>
      <c r="AT1074" s="80"/>
      <c r="AU1074" s="80">
        <v>0</v>
      </c>
      <c r="AV1074" s="80"/>
      <c r="AW1074" s="80" t="b">
        <v>0</v>
      </c>
      <c r="AX1074" s="80" t="s">
        <v>10746</v>
      </c>
      <c r="AY1074" s="87" t="str">
        <f>HYPERLINK("https://twitter.com/putribigwin_")</f>
        <v>https://twitter.com/putribigwin_</v>
      </c>
      <c r="AZ1074" s="80" t="s">
        <v>66</v>
      </c>
      <c r="BA1074" s="2"/>
      <c r="BB1074" s="3"/>
      <c r="BC1074" s="3"/>
      <c r="BD1074" s="3"/>
      <c r="BE1074" s="3"/>
    </row>
    <row r="1075" spans="1:57" x14ac:dyDescent="0.35">
      <c r="A1075" s="66" t="s">
        <v>1060</v>
      </c>
      <c r="B1075" s="67"/>
      <c r="C1075" s="67"/>
      <c r="D1075" s="68"/>
      <c r="E1075" s="70"/>
      <c r="F1075" s="109" t="str">
        <f>HYPERLINK("https://pbs.twimg.com/profile_images/915028163700285440/_AUDht47_normal.jpg")</f>
        <v>https://pbs.twimg.com/profile_images/915028163700285440/_AUDht47_normal.jpg</v>
      </c>
      <c r="G1075" s="67"/>
      <c r="H1075" s="71"/>
      <c r="I1075" s="72"/>
      <c r="J1075" s="72"/>
      <c r="K1075" s="71" t="s">
        <v>11818</v>
      </c>
      <c r="L1075" s="75"/>
      <c r="M1075" s="76"/>
      <c r="N1075" s="76"/>
      <c r="O1075" s="77"/>
      <c r="P1075" s="78"/>
      <c r="Q1075" s="78"/>
      <c r="R1075" s="92"/>
      <c r="S1075" s="92"/>
      <c r="T1075" s="92"/>
      <c r="U1075" s="92"/>
      <c r="V1075" s="52"/>
      <c r="W1075" s="52"/>
      <c r="X1075" s="52"/>
      <c r="Y1075" s="52"/>
      <c r="Z1075" s="51"/>
      <c r="AA1075" s="73"/>
      <c r="AB1075" s="73"/>
      <c r="AC1075" s="74"/>
      <c r="AD1075" s="80" t="s">
        <v>7635</v>
      </c>
      <c r="AE1075" s="85" t="s">
        <v>6431</v>
      </c>
      <c r="AF1075" s="80">
        <v>184</v>
      </c>
      <c r="AG1075" s="80">
        <v>66917</v>
      </c>
      <c r="AH1075" s="80">
        <v>27259</v>
      </c>
      <c r="AI1075" s="80">
        <v>1430</v>
      </c>
      <c r="AJ1075" s="80"/>
      <c r="AK1075" s="80" t="s">
        <v>9913</v>
      </c>
      <c r="AL1075" s="80" t="s">
        <v>6547</v>
      </c>
      <c r="AM1075" s="87" t="str">
        <f>HYPERLINK("https://t.co/cTiPd265Sr")</f>
        <v>https://t.co/cTiPd265Sr</v>
      </c>
      <c r="AN1075" s="80"/>
      <c r="AO1075" s="82">
        <v>42705.367662037039</v>
      </c>
      <c r="AP1075" s="87" t="str">
        <f>HYPERLINK("https://pbs.twimg.com/profile_banners/804246011837190145/1546842847")</f>
        <v>https://pbs.twimg.com/profile_banners/804246011837190145/1546842847</v>
      </c>
      <c r="AQ1075" s="80" t="b">
        <v>1</v>
      </c>
      <c r="AR1075" s="80" t="b">
        <v>0</v>
      </c>
      <c r="AS1075" s="80" t="b">
        <v>1</v>
      </c>
      <c r="AT1075" s="80"/>
      <c r="AU1075" s="80">
        <v>61</v>
      </c>
      <c r="AV1075" s="80"/>
      <c r="AW1075" s="80" t="b">
        <v>1</v>
      </c>
      <c r="AX1075" s="80" t="s">
        <v>10746</v>
      </c>
      <c r="AY1075" s="87" t="str">
        <f>HYPERLINK("https://twitter.com/humas_jogja")</f>
        <v>https://twitter.com/humas_jogja</v>
      </c>
      <c r="AZ1075" s="80" t="s">
        <v>66</v>
      </c>
      <c r="BA1075" s="2"/>
      <c r="BB1075" s="3"/>
      <c r="BC1075" s="3"/>
      <c r="BD1075" s="3"/>
      <c r="BE1075" s="3"/>
    </row>
    <row r="1076" spans="1:57" x14ac:dyDescent="0.35">
      <c r="A1076" s="66" t="s">
        <v>1061</v>
      </c>
      <c r="B1076" s="67"/>
      <c r="C1076" s="67"/>
      <c r="D1076" s="68"/>
      <c r="E1076" s="70"/>
      <c r="F1076" s="109" t="str">
        <f>HYPERLINK("https://pbs.twimg.com/profile_images/1423888291426816001/-LMj-FeL_normal.jpg")</f>
        <v>https://pbs.twimg.com/profile_images/1423888291426816001/-LMj-FeL_normal.jpg</v>
      </c>
      <c r="G1076" s="67"/>
      <c r="H1076" s="71"/>
      <c r="I1076" s="72"/>
      <c r="J1076" s="72"/>
      <c r="K1076" s="71" t="s">
        <v>11819</v>
      </c>
      <c r="L1076" s="75"/>
      <c r="M1076" s="76"/>
      <c r="N1076" s="76"/>
      <c r="O1076" s="77"/>
      <c r="P1076" s="78"/>
      <c r="Q1076" s="78"/>
      <c r="R1076" s="92"/>
      <c r="S1076" s="92"/>
      <c r="T1076" s="92"/>
      <c r="U1076" s="92"/>
      <c r="V1076" s="52"/>
      <c r="W1076" s="52"/>
      <c r="X1076" s="52"/>
      <c r="Y1076" s="52"/>
      <c r="Z1076" s="51"/>
      <c r="AA1076" s="73"/>
      <c r="AB1076" s="73"/>
      <c r="AC1076" s="74"/>
      <c r="AD1076" s="80" t="s">
        <v>7636</v>
      </c>
      <c r="AE1076" s="85" t="s">
        <v>8754</v>
      </c>
      <c r="AF1076" s="80">
        <v>544</v>
      </c>
      <c r="AG1076" s="80">
        <v>90</v>
      </c>
      <c r="AH1076" s="80">
        <v>26915</v>
      </c>
      <c r="AI1076" s="80">
        <v>5017</v>
      </c>
      <c r="AJ1076" s="80"/>
      <c r="AK1076" s="80" t="s">
        <v>9914</v>
      </c>
      <c r="AL1076" s="80" t="s">
        <v>10646</v>
      </c>
      <c r="AM1076" s="80"/>
      <c r="AN1076" s="80"/>
      <c r="AO1076" s="82">
        <v>42170.49119212963</v>
      </c>
      <c r="AP1076" s="87" t="str">
        <f>HYPERLINK("https://pbs.twimg.com/profile_banners/3245952344/1597919468")</f>
        <v>https://pbs.twimg.com/profile_banners/3245952344/1597919468</v>
      </c>
      <c r="AQ1076" s="80" t="b">
        <v>1</v>
      </c>
      <c r="AR1076" s="80" t="b">
        <v>0</v>
      </c>
      <c r="AS1076" s="80" t="b">
        <v>1</v>
      </c>
      <c r="AT1076" s="80"/>
      <c r="AU1076" s="80">
        <v>0</v>
      </c>
      <c r="AV1076" s="87" t="str">
        <f>HYPERLINK("https://abs.twimg.com/images/themes/theme1/bg.png")</f>
        <v>https://abs.twimg.com/images/themes/theme1/bg.png</v>
      </c>
      <c r="AW1076" s="80" t="b">
        <v>0</v>
      </c>
      <c r="AX1076" s="80" t="s">
        <v>10746</v>
      </c>
      <c r="AY1076" s="87" t="str">
        <f>HYPERLINK("https://twitter.com/leis_94")</f>
        <v>https://twitter.com/leis_94</v>
      </c>
      <c r="AZ1076" s="80" t="s">
        <v>66</v>
      </c>
      <c r="BA1076" s="2"/>
      <c r="BB1076" s="3"/>
      <c r="BC1076" s="3"/>
      <c r="BD1076" s="3"/>
      <c r="BE1076" s="3"/>
    </row>
    <row r="1077" spans="1:57" x14ac:dyDescent="0.35">
      <c r="A1077" s="66" t="s">
        <v>1062</v>
      </c>
      <c r="B1077" s="67"/>
      <c r="C1077" s="67"/>
      <c r="D1077" s="68"/>
      <c r="E1077" s="70"/>
      <c r="F1077" s="109" t="str">
        <f>HYPERLINK("https://pbs.twimg.com/profile_images/1060699509099876352/k7I0yeFO_normal.jpg")</f>
        <v>https://pbs.twimg.com/profile_images/1060699509099876352/k7I0yeFO_normal.jpg</v>
      </c>
      <c r="G1077" s="67"/>
      <c r="H1077" s="71"/>
      <c r="I1077" s="72"/>
      <c r="J1077" s="72"/>
      <c r="K1077" s="71" t="s">
        <v>11820</v>
      </c>
      <c r="L1077" s="75"/>
      <c r="M1077" s="76"/>
      <c r="N1077" s="76"/>
      <c r="O1077" s="77"/>
      <c r="P1077" s="78"/>
      <c r="Q1077" s="78"/>
      <c r="R1077" s="92"/>
      <c r="S1077" s="92"/>
      <c r="T1077" s="92"/>
      <c r="U1077" s="92"/>
      <c r="V1077" s="52"/>
      <c r="W1077" s="52"/>
      <c r="X1077" s="52"/>
      <c r="Y1077" s="52"/>
      <c r="Z1077" s="51"/>
      <c r="AA1077" s="73"/>
      <c r="AB1077" s="73"/>
      <c r="AC1077" s="74"/>
      <c r="AD1077" s="80" t="s">
        <v>7637</v>
      </c>
      <c r="AE1077" s="85" t="s">
        <v>8755</v>
      </c>
      <c r="AF1077" s="80">
        <v>37</v>
      </c>
      <c r="AG1077" s="80">
        <v>129</v>
      </c>
      <c r="AH1077" s="80">
        <v>552</v>
      </c>
      <c r="AI1077" s="80">
        <v>1637</v>
      </c>
      <c r="AJ1077" s="80"/>
      <c r="AK1077" s="80"/>
      <c r="AL1077" s="80" t="s">
        <v>10647</v>
      </c>
      <c r="AM1077" s="80"/>
      <c r="AN1077" s="80"/>
      <c r="AO1077" s="82">
        <v>43403.054976851854</v>
      </c>
      <c r="AP1077" s="87" t="str">
        <f>HYPERLINK("https://pbs.twimg.com/profile_banners/1057079429548007425/1541725443")</f>
        <v>https://pbs.twimg.com/profile_banners/1057079429548007425/1541725443</v>
      </c>
      <c r="AQ1077" s="80" t="b">
        <v>1</v>
      </c>
      <c r="AR1077" s="80" t="b">
        <v>0</v>
      </c>
      <c r="AS1077" s="80" t="b">
        <v>0</v>
      </c>
      <c r="AT1077" s="80"/>
      <c r="AU1077" s="80">
        <v>0</v>
      </c>
      <c r="AV1077" s="80"/>
      <c r="AW1077" s="80" t="b">
        <v>0</v>
      </c>
      <c r="AX1077" s="80" t="s">
        <v>10746</v>
      </c>
      <c r="AY1077" s="87" t="str">
        <f>HYPERLINK("https://twitter.com/kpukotadenpasar")</f>
        <v>https://twitter.com/kpukotadenpasar</v>
      </c>
      <c r="AZ1077" s="80" t="s">
        <v>66</v>
      </c>
      <c r="BA1077" s="2"/>
      <c r="BB1077" s="3"/>
      <c r="BC1077" s="3"/>
      <c r="BD1077" s="3"/>
      <c r="BE1077" s="3"/>
    </row>
    <row r="1078" spans="1:57" x14ac:dyDescent="0.35">
      <c r="A1078" s="66" t="s">
        <v>1063</v>
      </c>
      <c r="B1078" s="67"/>
      <c r="C1078" s="67"/>
      <c r="D1078" s="68"/>
      <c r="E1078" s="70"/>
      <c r="F1078" s="109" t="str">
        <f>HYPERLINK("https://pbs.twimg.com/profile_images/378800000809537641/d7bacdf9a24f0d712cd558149811bcae_normal.jpeg")</f>
        <v>https://pbs.twimg.com/profile_images/378800000809537641/d7bacdf9a24f0d712cd558149811bcae_normal.jpeg</v>
      </c>
      <c r="G1078" s="67"/>
      <c r="H1078" s="71"/>
      <c r="I1078" s="72"/>
      <c r="J1078" s="72"/>
      <c r="K1078" s="71" t="s">
        <v>11821</v>
      </c>
      <c r="L1078" s="75"/>
      <c r="M1078" s="76"/>
      <c r="N1078" s="76"/>
      <c r="O1078" s="77"/>
      <c r="P1078" s="78"/>
      <c r="Q1078" s="78"/>
      <c r="R1078" s="92"/>
      <c r="S1078" s="92"/>
      <c r="T1078" s="92"/>
      <c r="U1078" s="92"/>
      <c r="V1078" s="52"/>
      <c r="W1078" s="52"/>
      <c r="X1078" s="52"/>
      <c r="Y1078" s="52"/>
      <c r="Z1078" s="51"/>
      <c r="AA1078" s="73"/>
      <c r="AB1078" s="73"/>
      <c r="AC1078" s="74"/>
      <c r="AD1078" s="80" t="s">
        <v>7638</v>
      </c>
      <c r="AE1078" s="85" t="s">
        <v>8756</v>
      </c>
      <c r="AF1078" s="80">
        <v>40</v>
      </c>
      <c r="AG1078" s="80">
        <v>14</v>
      </c>
      <c r="AH1078" s="80">
        <v>145</v>
      </c>
      <c r="AI1078" s="80">
        <v>20</v>
      </c>
      <c r="AJ1078" s="80"/>
      <c r="AK1078" s="80"/>
      <c r="AL1078" s="80"/>
      <c r="AM1078" s="80"/>
      <c r="AN1078" s="80"/>
      <c r="AO1078" s="82">
        <v>41482.270879629628</v>
      </c>
      <c r="AP1078" s="87" t="str">
        <f>HYPERLINK("https://pbs.twimg.com/profile_banners/1624744110/1385796807")</f>
        <v>https://pbs.twimg.com/profile_banners/1624744110/1385796807</v>
      </c>
      <c r="AQ1078" s="80" t="b">
        <v>1</v>
      </c>
      <c r="AR1078" s="80" t="b">
        <v>0</v>
      </c>
      <c r="AS1078" s="80" t="b">
        <v>1</v>
      </c>
      <c r="AT1078" s="80"/>
      <c r="AU1078" s="80">
        <v>0</v>
      </c>
      <c r="AV1078" s="87" t="str">
        <f>HYPERLINK("https://abs.twimg.com/images/themes/theme1/bg.png")</f>
        <v>https://abs.twimg.com/images/themes/theme1/bg.png</v>
      </c>
      <c r="AW1078" s="80" t="b">
        <v>0</v>
      </c>
      <c r="AX1078" s="80" t="s">
        <v>10746</v>
      </c>
      <c r="AY1078" s="87" t="str">
        <f>HYPERLINK("https://twitter.com/tatihar_10")</f>
        <v>https://twitter.com/tatihar_10</v>
      </c>
      <c r="AZ1078" s="80" t="s">
        <v>66</v>
      </c>
      <c r="BA1078" s="2"/>
      <c r="BB1078" s="3"/>
      <c r="BC1078" s="3"/>
      <c r="BD1078" s="3"/>
      <c r="BE1078" s="3"/>
    </row>
    <row r="1079" spans="1:57" x14ac:dyDescent="0.35">
      <c r="A1079" s="66" t="s">
        <v>1064</v>
      </c>
      <c r="B1079" s="67"/>
      <c r="C1079" s="67"/>
      <c r="D1079" s="68"/>
      <c r="E1079" s="70"/>
      <c r="F1079" s="109" t="str">
        <f>HYPERLINK("https://pbs.twimg.com/profile_images/1420973335530196996/1vf6k4It_normal.jpg")</f>
        <v>https://pbs.twimg.com/profile_images/1420973335530196996/1vf6k4It_normal.jpg</v>
      </c>
      <c r="G1079" s="67"/>
      <c r="H1079" s="71"/>
      <c r="I1079" s="72"/>
      <c r="J1079" s="72"/>
      <c r="K1079" s="71" t="s">
        <v>11822</v>
      </c>
      <c r="L1079" s="75"/>
      <c r="M1079" s="76"/>
      <c r="N1079" s="76"/>
      <c r="O1079" s="77"/>
      <c r="P1079" s="78"/>
      <c r="Q1079" s="78"/>
      <c r="R1079" s="92"/>
      <c r="S1079" s="92"/>
      <c r="T1079" s="92"/>
      <c r="U1079" s="92"/>
      <c r="V1079" s="52"/>
      <c r="W1079" s="52"/>
      <c r="X1079" s="52"/>
      <c r="Y1079" s="52"/>
      <c r="Z1079" s="51"/>
      <c r="AA1079" s="73"/>
      <c r="AB1079" s="73"/>
      <c r="AC1079" s="74"/>
      <c r="AD1079" s="80" t="s">
        <v>7639</v>
      </c>
      <c r="AE1079" s="85" t="s">
        <v>8757</v>
      </c>
      <c r="AF1079" s="80">
        <v>436</v>
      </c>
      <c r="AG1079" s="80">
        <v>142</v>
      </c>
      <c r="AH1079" s="80">
        <v>883</v>
      </c>
      <c r="AI1079" s="80">
        <v>3</v>
      </c>
      <c r="AJ1079" s="80"/>
      <c r="AK1079" s="80" t="s">
        <v>9915</v>
      </c>
      <c r="AL1079" s="80"/>
      <c r="AM1079" s="87" t="str">
        <f>HYPERLINK("https://t.co/HCiQvYm7wF")</f>
        <v>https://t.co/HCiQvYm7wF</v>
      </c>
      <c r="AN1079" s="80"/>
      <c r="AO1079" s="82">
        <v>44407.210578703707</v>
      </c>
      <c r="AP1079" s="87" t="str">
        <f>HYPERLINK("https://pbs.twimg.com/profile_banners/1420973029778092032/1627621660")</f>
        <v>https://pbs.twimg.com/profile_banners/1420973029778092032/1627621660</v>
      </c>
      <c r="AQ1079" s="80" t="b">
        <v>1</v>
      </c>
      <c r="AR1079" s="80" t="b">
        <v>0</v>
      </c>
      <c r="AS1079" s="80" t="b">
        <v>0</v>
      </c>
      <c r="AT1079" s="80"/>
      <c r="AU1079" s="80">
        <v>0</v>
      </c>
      <c r="AV1079" s="80"/>
      <c r="AW1079" s="80" t="b">
        <v>0</v>
      </c>
      <c r="AX1079" s="80" t="s">
        <v>10746</v>
      </c>
      <c r="AY1079" s="87" t="str">
        <f>HYPERLINK("https://twitter.com/deasokanews")</f>
        <v>https://twitter.com/deasokanews</v>
      </c>
      <c r="AZ1079" s="80" t="s">
        <v>66</v>
      </c>
      <c r="BA1079" s="2"/>
      <c r="BB1079" s="3"/>
      <c r="BC1079" s="3"/>
      <c r="BD1079" s="3"/>
      <c r="BE1079" s="3"/>
    </row>
    <row r="1080" spans="1:57" x14ac:dyDescent="0.35">
      <c r="A1080" s="66" t="s">
        <v>1065</v>
      </c>
      <c r="B1080" s="67"/>
      <c r="C1080" s="67"/>
      <c r="D1080" s="68"/>
      <c r="E1080" s="70"/>
      <c r="F1080" s="109" t="str">
        <f>HYPERLINK("https://pbs.twimg.com/profile_images/1441630301524926467/A1mkAW7c_normal.jpg")</f>
        <v>https://pbs.twimg.com/profile_images/1441630301524926467/A1mkAW7c_normal.jpg</v>
      </c>
      <c r="G1080" s="67"/>
      <c r="H1080" s="71"/>
      <c r="I1080" s="72"/>
      <c r="J1080" s="72"/>
      <c r="K1080" s="71" t="s">
        <v>11823</v>
      </c>
      <c r="L1080" s="75"/>
      <c r="M1080" s="76"/>
      <c r="N1080" s="76"/>
      <c r="O1080" s="77"/>
      <c r="P1080" s="78"/>
      <c r="Q1080" s="78"/>
      <c r="R1080" s="92"/>
      <c r="S1080" s="92"/>
      <c r="T1080" s="92"/>
      <c r="U1080" s="92"/>
      <c r="V1080" s="52"/>
      <c r="W1080" s="52"/>
      <c r="X1080" s="52"/>
      <c r="Y1080" s="52"/>
      <c r="Z1080" s="51"/>
      <c r="AA1080" s="73"/>
      <c r="AB1080" s="73"/>
      <c r="AC1080" s="74"/>
      <c r="AD1080" s="80" t="s">
        <v>7640</v>
      </c>
      <c r="AE1080" s="85" t="s">
        <v>8758</v>
      </c>
      <c r="AF1080" s="80">
        <v>568</v>
      </c>
      <c r="AG1080" s="80">
        <v>1472</v>
      </c>
      <c r="AH1080" s="80">
        <v>14274</v>
      </c>
      <c r="AI1080" s="80">
        <v>64272</v>
      </c>
      <c r="AJ1080" s="80"/>
      <c r="AK1080" s="80" t="s">
        <v>9916</v>
      </c>
      <c r="AL1080" s="80" t="s">
        <v>10648</v>
      </c>
      <c r="AM1080" s="80"/>
      <c r="AN1080" s="80"/>
      <c r="AO1080" s="82">
        <v>43258.335138888891</v>
      </c>
      <c r="AP1080" s="87" t="str">
        <f>HYPERLINK("https://pbs.twimg.com/profile_banners/1004634715364589569/1630221987")</f>
        <v>https://pbs.twimg.com/profile_banners/1004634715364589569/1630221987</v>
      </c>
      <c r="AQ1080" s="80" t="b">
        <v>1</v>
      </c>
      <c r="AR1080" s="80" t="b">
        <v>0</v>
      </c>
      <c r="AS1080" s="80" t="b">
        <v>0</v>
      </c>
      <c r="AT1080" s="80"/>
      <c r="AU1080" s="80">
        <v>1</v>
      </c>
      <c r="AV1080" s="80"/>
      <c r="AW1080" s="80" t="b">
        <v>0</v>
      </c>
      <c r="AX1080" s="80" t="s">
        <v>10746</v>
      </c>
      <c r="AY1080" s="87" t="str">
        <f>HYPERLINK("https://twitter.com/nisazain_")</f>
        <v>https://twitter.com/nisazain_</v>
      </c>
      <c r="AZ1080" s="80" t="s">
        <v>66</v>
      </c>
      <c r="BA1080" s="2"/>
      <c r="BB1080" s="3"/>
      <c r="BC1080" s="3"/>
      <c r="BD1080" s="3"/>
      <c r="BE1080" s="3"/>
    </row>
    <row r="1081" spans="1:57" x14ac:dyDescent="0.35">
      <c r="A1081" s="66" t="s">
        <v>1066</v>
      </c>
      <c r="B1081" s="67"/>
      <c r="C1081" s="67"/>
      <c r="D1081" s="68"/>
      <c r="E1081" s="70"/>
      <c r="F1081" s="109" t="str">
        <f>HYPERLINK("https://pbs.twimg.com/profile_images/1145856503/MediaLowongan_normal.gif")</f>
        <v>https://pbs.twimg.com/profile_images/1145856503/MediaLowongan_normal.gif</v>
      </c>
      <c r="G1081" s="67"/>
      <c r="H1081" s="71"/>
      <c r="I1081" s="72"/>
      <c r="J1081" s="72"/>
      <c r="K1081" s="71" t="s">
        <v>11824</v>
      </c>
      <c r="L1081" s="75"/>
      <c r="M1081" s="76"/>
      <c r="N1081" s="76"/>
      <c r="O1081" s="77"/>
      <c r="P1081" s="78"/>
      <c r="Q1081" s="78"/>
      <c r="R1081" s="92"/>
      <c r="S1081" s="92"/>
      <c r="T1081" s="92"/>
      <c r="U1081" s="92"/>
      <c r="V1081" s="52"/>
      <c r="W1081" s="52"/>
      <c r="X1081" s="52"/>
      <c r="Y1081" s="52"/>
      <c r="Z1081" s="51"/>
      <c r="AA1081" s="73"/>
      <c r="AB1081" s="73"/>
      <c r="AC1081" s="74"/>
      <c r="AD1081" s="80" t="s">
        <v>7641</v>
      </c>
      <c r="AE1081" s="85" t="s">
        <v>8759</v>
      </c>
      <c r="AF1081" s="80">
        <v>50</v>
      </c>
      <c r="AG1081" s="80">
        <v>1520</v>
      </c>
      <c r="AH1081" s="80">
        <v>4584</v>
      </c>
      <c r="AI1081" s="80">
        <v>0</v>
      </c>
      <c r="AJ1081" s="80"/>
      <c r="AK1081" s="80" t="s">
        <v>9917</v>
      </c>
      <c r="AL1081" s="80" t="s">
        <v>6543</v>
      </c>
      <c r="AM1081" s="87" t="str">
        <f>HYPERLINK("https://t.co/P7Kem6Rafa")</f>
        <v>https://t.co/P7Kem6Rafa</v>
      </c>
      <c r="AN1081" s="80"/>
      <c r="AO1081" s="82">
        <v>40466.652812499997</v>
      </c>
      <c r="AP1081" s="87" t="str">
        <f>HYPERLINK("https://pbs.twimg.com/profile_banners/203119665/1607934197")</f>
        <v>https://pbs.twimg.com/profile_banners/203119665/1607934197</v>
      </c>
      <c r="AQ1081" s="80" t="b">
        <v>0</v>
      </c>
      <c r="AR1081" s="80" t="b">
        <v>0</v>
      </c>
      <c r="AS1081" s="80" t="b">
        <v>0</v>
      </c>
      <c r="AT1081" s="80"/>
      <c r="AU1081" s="80">
        <v>5</v>
      </c>
      <c r="AV1081" s="87" t="str">
        <f>HYPERLINK("https://abs.twimg.com/images/themes/theme15/bg.png")</f>
        <v>https://abs.twimg.com/images/themes/theme15/bg.png</v>
      </c>
      <c r="AW1081" s="80" t="b">
        <v>0</v>
      </c>
      <c r="AX1081" s="80" t="s">
        <v>10746</v>
      </c>
      <c r="AY1081" s="87" t="str">
        <f>HYPERLINK("https://twitter.com/medilow")</f>
        <v>https://twitter.com/medilow</v>
      </c>
      <c r="AZ1081" s="80" t="s">
        <v>66</v>
      </c>
      <c r="BA1081" s="2"/>
      <c r="BB1081" s="3"/>
      <c r="BC1081" s="3"/>
      <c r="BD1081" s="3"/>
      <c r="BE1081" s="3"/>
    </row>
    <row r="1082" spans="1:57" x14ac:dyDescent="0.35">
      <c r="A1082" s="66" t="s">
        <v>1067</v>
      </c>
      <c r="B1082" s="67"/>
      <c r="C1082" s="67"/>
      <c r="D1082" s="68"/>
      <c r="E1082" s="70"/>
      <c r="F1082" s="109" t="str">
        <f>HYPERLINK("https://pbs.twimg.com/profile_images/1441823984274706439/WxVzYUcL_normal.jpg")</f>
        <v>https://pbs.twimg.com/profile_images/1441823984274706439/WxVzYUcL_normal.jpg</v>
      </c>
      <c r="G1082" s="67"/>
      <c r="H1082" s="71"/>
      <c r="I1082" s="72"/>
      <c r="J1082" s="72"/>
      <c r="K1082" s="71" t="s">
        <v>11825</v>
      </c>
      <c r="L1082" s="75"/>
      <c r="M1082" s="76"/>
      <c r="N1082" s="76"/>
      <c r="O1082" s="77"/>
      <c r="P1082" s="78"/>
      <c r="Q1082" s="78"/>
      <c r="R1082" s="92"/>
      <c r="S1082" s="92"/>
      <c r="T1082" s="92"/>
      <c r="U1082" s="92"/>
      <c r="V1082" s="52"/>
      <c r="W1082" s="52"/>
      <c r="X1082" s="52"/>
      <c r="Y1082" s="52"/>
      <c r="Z1082" s="51"/>
      <c r="AA1082" s="73"/>
      <c r="AB1082" s="73"/>
      <c r="AC1082" s="74"/>
      <c r="AD1082" s="80" t="s">
        <v>7642</v>
      </c>
      <c r="AE1082" s="85" t="s">
        <v>8760</v>
      </c>
      <c r="AF1082" s="80">
        <v>156</v>
      </c>
      <c r="AG1082" s="80">
        <v>58</v>
      </c>
      <c r="AH1082" s="80">
        <v>317</v>
      </c>
      <c r="AI1082" s="80">
        <v>409</v>
      </c>
      <c r="AJ1082" s="80"/>
      <c r="AK1082" s="80" t="s">
        <v>9918</v>
      </c>
      <c r="AL1082" s="80"/>
      <c r="AM1082" s="80"/>
      <c r="AN1082" s="80"/>
      <c r="AO1082" s="82">
        <v>43920.377337962964</v>
      </c>
      <c r="AP1082" s="87" t="str">
        <f>HYPERLINK("https://pbs.twimg.com/profile_banners/1244550715529261056/1625851572")</f>
        <v>https://pbs.twimg.com/profile_banners/1244550715529261056/1625851572</v>
      </c>
      <c r="AQ1082" s="80" t="b">
        <v>1</v>
      </c>
      <c r="AR1082" s="80" t="b">
        <v>0</v>
      </c>
      <c r="AS1082" s="80" t="b">
        <v>0</v>
      </c>
      <c r="AT1082" s="80"/>
      <c r="AU1082" s="80">
        <v>0</v>
      </c>
      <c r="AV1082" s="80"/>
      <c r="AW1082" s="80" t="b">
        <v>0</v>
      </c>
      <c r="AX1082" s="80" t="s">
        <v>10746</v>
      </c>
      <c r="AY1082" s="87" t="str">
        <f>HYPERLINK("https://twitter.com/ndasmuyee")</f>
        <v>https://twitter.com/ndasmuyee</v>
      </c>
      <c r="AZ1082" s="80" t="s">
        <v>66</v>
      </c>
      <c r="BA1082" s="2"/>
      <c r="BB1082" s="3"/>
      <c r="BC1082" s="3"/>
      <c r="BD1082" s="3"/>
      <c r="BE1082" s="3"/>
    </row>
    <row r="1083" spans="1:57" x14ac:dyDescent="0.35">
      <c r="A1083" s="66" t="s">
        <v>1490</v>
      </c>
      <c r="B1083" s="67"/>
      <c r="C1083" s="67"/>
      <c r="D1083" s="68"/>
      <c r="E1083" s="70"/>
      <c r="F1083" s="109" t="str">
        <f>HYPERLINK("https://pbs.twimg.com/profile_images/1434547734552330241/FASfFLMV_normal.jpg")</f>
        <v>https://pbs.twimg.com/profile_images/1434547734552330241/FASfFLMV_normal.jpg</v>
      </c>
      <c r="G1083" s="67"/>
      <c r="H1083" s="71"/>
      <c r="I1083" s="72"/>
      <c r="J1083" s="72"/>
      <c r="K1083" s="71" t="s">
        <v>11826</v>
      </c>
      <c r="L1083" s="75"/>
      <c r="M1083" s="76"/>
      <c r="N1083" s="76"/>
      <c r="O1083" s="77"/>
      <c r="P1083" s="78"/>
      <c r="Q1083" s="78"/>
      <c r="R1083" s="92"/>
      <c r="S1083" s="92"/>
      <c r="T1083" s="92"/>
      <c r="U1083" s="92"/>
      <c r="V1083" s="52"/>
      <c r="W1083" s="52"/>
      <c r="X1083" s="52"/>
      <c r="Y1083" s="52"/>
      <c r="Z1083" s="51"/>
      <c r="AA1083" s="73"/>
      <c r="AB1083" s="73"/>
      <c r="AC1083" s="74"/>
      <c r="AD1083" s="80" t="s">
        <v>7643</v>
      </c>
      <c r="AE1083" s="85" t="s">
        <v>6432</v>
      </c>
      <c r="AF1083" s="80">
        <v>148</v>
      </c>
      <c r="AG1083" s="80">
        <v>147</v>
      </c>
      <c r="AH1083" s="80">
        <v>3683</v>
      </c>
      <c r="AI1083" s="80">
        <v>1145</v>
      </c>
      <c r="AJ1083" s="80"/>
      <c r="AK1083" s="80" t="s">
        <v>9919</v>
      </c>
      <c r="AL1083" s="80">
        <v>17</v>
      </c>
      <c r="AM1083" s="80"/>
      <c r="AN1083" s="80"/>
      <c r="AO1083" s="82">
        <v>44090.623148148145</v>
      </c>
      <c r="AP1083" s="87" t="str">
        <f>HYPERLINK("https://pbs.twimg.com/profile_banners/1306245717418147840/1631867052")</f>
        <v>https://pbs.twimg.com/profile_banners/1306245717418147840/1631867052</v>
      </c>
      <c r="AQ1083" s="80" t="b">
        <v>1</v>
      </c>
      <c r="AR1083" s="80" t="b">
        <v>0</v>
      </c>
      <c r="AS1083" s="80" t="b">
        <v>0</v>
      </c>
      <c r="AT1083" s="80"/>
      <c r="AU1083" s="80">
        <v>1</v>
      </c>
      <c r="AV1083" s="80"/>
      <c r="AW1083" s="80" t="b">
        <v>0</v>
      </c>
      <c r="AX1083" s="80" t="s">
        <v>10746</v>
      </c>
      <c r="AY1083" s="87" t="str">
        <f>HYPERLINK("https://twitter.com/jongseongcarts")</f>
        <v>https://twitter.com/jongseongcarts</v>
      </c>
      <c r="AZ1083" s="80" t="s">
        <v>65</v>
      </c>
      <c r="BA1083" s="2"/>
      <c r="BB1083" s="3"/>
      <c r="BC1083" s="3"/>
      <c r="BD1083" s="3"/>
      <c r="BE1083" s="3"/>
    </row>
    <row r="1084" spans="1:57" x14ac:dyDescent="0.35">
      <c r="A1084" s="66" t="s">
        <v>1068</v>
      </c>
      <c r="B1084" s="67"/>
      <c r="C1084" s="67"/>
      <c r="D1084" s="68"/>
      <c r="E1084" s="70"/>
      <c r="F1084" s="109" t="str">
        <f>HYPERLINK("https://pbs.twimg.com/profile_images/920523602549714944/EINgDcos_normal.jpg")</f>
        <v>https://pbs.twimg.com/profile_images/920523602549714944/EINgDcos_normal.jpg</v>
      </c>
      <c r="G1084" s="67"/>
      <c r="H1084" s="71"/>
      <c r="I1084" s="72"/>
      <c r="J1084" s="72"/>
      <c r="K1084" s="71" t="s">
        <v>11827</v>
      </c>
      <c r="L1084" s="75"/>
      <c r="M1084" s="76"/>
      <c r="N1084" s="76"/>
      <c r="O1084" s="77"/>
      <c r="P1084" s="78"/>
      <c r="Q1084" s="78"/>
      <c r="R1084" s="92"/>
      <c r="S1084" s="92"/>
      <c r="T1084" s="92"/>
      <c r="U1084" s="92"/>
      <c r="V1084" s="52"/>
      <c r="W1084" s="52"/>
      <c r="X1084" s="52"/>
      <c r="Y1084" s="52"/>
      <c r="Z1084" s="51"/>
      <c r="AA1084" s="73"/>
      <c r="AB1084" s="73"/>
      <c r="AC1084" s="74"/>
      <c r="AD1084" s="80" t="s">
        <v>7644</v>
      </c>
      <c r="AE1084" s="85" t="s">
        <v>8761</v>
      </c>
      <c r="AF1084" s="80">
        <v>80</v>
      </c>
      <c r="AG1084" s="80">
        <v>66</v>
      </c>
      <c r="AH1084" s="80">
        <v>2059</v>
      </c>
      <c r="AI1084" s="80">
        <v>9</v>
      </c>
      <c r="AJ1084" s="80"/>
      <c r="AK1084" s="80" t="s">
        <v>9920</v>
      </c>
      <c r="AL1084" s="80" t="s">
        <v>10649</v>
      </c>
      <c r="AM1084" s="87" t="str">
        <f>HYPERLINK("https://t.co/zAkFkI7xzm")</f>
        <v>https://t.co/zAkFkI7xzm</v>
      </c>
      <c r="AN1084" s="80"/>
      <c r="AO1084" s="82">
        <v>43026.220775462964</v>
      </c>
      <c r="AP1084" s="87" t="str">
        <f>HYPERLINK("https://pbs.twimg.com/profile_banners/920519286774431744/1527150142")</f>
        <v>https://pbs.twimg.com/profile_banners/920519286774431744/1527150142</v>
      </c>
      <c r="AQ1084" s="80" t="b">
        <v>1</v>
      </c>
      <c r="AR1084" s="80" t="b">
        <v>0</v>
      </c>
      <c r="AS1084" s="80" t="b">
        <v>0</v>
      </c>
      <c r="AT1084" s="80"/>
      <c r="AU1084" s="80">
        <v>0</v>
      </c>
      <c r="AV1084" s="80"/>
      <c r="AW1084" s="80" t="b">
        <v>0</v>
      </c>
      <c r="AX1084" s="80" t="s">
        <v>10746</v>
      </c>
      <c r="AY1084" s="87" t="str">
        <f>HYPERLINK("https://twitter.com/legalcentric")</f>
        <v>https://twitter.com/legalcentric</v>
      </c>
      <c r="AZ1084" s="80" t="s">
        <v>66</v>
      </c>
      <c r="BA1084" s="2"/>
      <c r="BB1084" s="3"/>
      <c r="BC1084" s="3"/>
      <c r="BD1084" s="3"/>
      <c r="BE1084" s="3"/>
    </row>
    <row r="1085" spans="1:57" x14ac:dyDescent="0.35">
      <c r="A1085" s="66" t="s">
        <v>1069</v>
      </c>
      <c r="B1085" s="67"/>
      <c r="C1085" s="67"/>
      <c r="D1085" s="68"/>
      <c r="E1085" s="70"/>
      <c r="F1085" s="109" t="str">
        <f>HYPERLINK("https://pbs.twimg.com/profile_images/1442427982212059139/18g1YVKE_normal.jpg")</f>
        <v>https://pbs.twimg.com/profile_images/1442427982212059139/18g1YVKE_normal.jpg</v>
      </c>
      <c r="G1085" s="67"/>
      <c r="H1085" s="71"/>
      <c r="I1085" s="72"/>
      <c r="J1085" s="72"/>
      <c r="K1085" s="71" t="s">
        <v>11828</v>
      </c>
      <c r="L1085" s="75"/>
      <c r="M1085" s="76"/>
      <c r="N1085" s="76"/>
      <c r="O1085" s="77"/>
      <c r="P1085" s="78"/>
      <c r="Q1085" s="78"/>
      <c r="R1085" s="92"/>
      <c r="S1085" s="92"/>
      <c r="T1085" s="92"/>
      <c r="U1085" s="92"/>
      <c r="V1085" s="52"/>
      <c r="W1085" s="52"/>
      <c r="X1085" s="52"/>
      <c r="Y1085" s="52"/>
      <c r="Z1085" s="51"/>
      <c r="AA1085" s="73"/>
      <c r="AB1085" s="73"/>
      <c r="AC1085" s="74"/>
      <c r="AD1085" s="80" t="s">
        <v>7645</v>
      </c>
      <c r="AE1085" s="85" t="s">
        <v>8762</v>
      </c>
      <c r="AF1085" s="80">
        <v>104</v>
      </c>
      <c r="AG1085" s="80">
        <v>83</v>
      </c>
      <c r="AH1085" s="80">
        <v>5906</v>
      </c>
      <c r="AI1085" s="80">
        <v>236</v>
      </c>
      <c r="AJ1085" s="80"/>
      <c r="AK1085" s="80" t="s">
        <v>9921</v>
      </c>
      <c r="AL1085" s="80"/>
      <c r="AM1085" s="80"/>
      <c r="AN1085" s="80"/>
      <c r="AO1085" s="82">
        <v>44406.201597222222</v>
      </c>
      <c r="AP1085" s="87" t="str">
        <f>HYPERLINK("https://pbs.twimg.com/profile_banners/1420607554187497473/1632735433")</f>
        <v>https://pbs.twimg.com/profile_banners/1420607554187497473/1632735433</v>
      </c>
      <c r="AQ1085" s="80" t="b">
        <v>1</v>
      </c>
      <c r="AR1085" s="80" t="b">
        <v>0</v>
      </c>
      <c r="AS1085" s="80" t="b">
        <v>0</v>
      </c>
      <c r="AT1085" s="80"/>
      <c r="AU1085" s="80">
        <v>0</v>
      </c>
      <c r="AV1085" s="80"/>
      <c r="AW1085" s="80" t="b">
        <v>0</v>
      </c>
      <c r="AX1085" s="80" t="s">
        <v>10746</v>
      </c>
      <c r="AY1085" s="87" t="str">
        <f>HYPERLINK("https://twitter.com/perancahrindu")</f>
        <v>https://twitter.com/perancahrindu</v>
      </c>
      <c r="AZ1085" s="80" t="s">
        <v>66</v>
      </c>
      <c r="BA1085" s="2"/>
      <c r="BB1085" s="3"/>
      <c r="BC1085" s="3"/>
      <c r="BD1085" s="3"/>
      <c r="BE1085" s="3"/>
    </row>
    <row r="1086" spans="1:57" x14ac:dyDescent="0.35">
      <c r="A1086" s="66" t="s">
        <v>1070</v>
      </c>
      <c r="B1086" s="67"/>
      <c r="C1086" s="67"/>
      <c r="D1086" s="68"/>
      <c r="E1086" s="70"/>
      <c r="F1086" s="109" t="str">
        <f>HYPERLINK("https://pbs.twimg.com/profile_images/1404083521862266882/Jow-A03o_normal.jpg")</f>
        <v>https://pbs.twimg.com/profile_images/1404083521862266882/Jow-A03o_normal.jpg</v>
      </c>
      <c r="G1086" s="67"/>
      <c r="H1086" s="71"/>
      <c r="I1086" s="72"/>
      <c r="J1086" s="72"/>
      <c r="K1086" s="71" t="s">
        <v>11829</v>
      </c>
      <c r="L1086" s="75"/>
      <c r="M1086" s="76"/>
      <c r="N1086" s="76"/>
      <c r="O1086" s="77"/>
      <c r="P1086" s="78"/>
      <c r="Q1086" s="78"/>
      <c r="R1086" s="92"/>
      <c r="S1086" s="92"/>
      <c r="T1086" s="92"/>
      <c r="U1086" s="92"/>
      <c r="V1086" s="52"/>
      <c r="W1086" s="52"/>
      <c r="X1086" s="52"/>
      <c r="Y1086" s="52"/>
      <c r="Z1086" s="51"/>
      <c r="AA1086" s="73"/>
      <c r="AB1086" s="73"/>
      <c r="AC1086" s="74"/>
      <c r="AD1086" s="80" t="s">
        <v>7646</v>
      </c>
      <c r="AE1086" s="85" t="s">
        <v>8763</v>
      </c>
      <c r="AF1086" s="80">
        <v>80</v>
      </c>
      <c r="AG1086" s="80">
        <v>193</v>
      </c>
      <c r="AH1086" s="80">
        <v>2563</v>
      </c>
      <c r="AI1086" s="80">
        <v>191</v>
      </c>
      <c r="AJ1086" s="80"/>
      <c r="AK1086" s="80" t="s">
        <v>9922</v>
      </c>
      <c r="AL1086" s="80" t="s">
        <v>10380</v>
      </c>
      <c r="AM1086" s="87" t="str">
        <f>HYPERLINK("https://t.co/tjVUvYaCOK")</f>
        <v>https://t.co/tjVUvYaCOK</v>
      </c>
      <c r="AN1086" s="80"/>
      <c r="AO1086" s="82">
        <v>43948.15697916667</v>
      </c>
      <c r="AP1086" s="87" t="str">
        <f>HYPERLINK("https://pbs.twimg.com/profile_banners/1254617731522916355/1603103033")</f>
        <v>https://pbs.twimg.com/profile_banners/1254617731522916355/1603103033</v>
      </c>
      <c r="AQ1086" s="80" t="b">
        <v>1</v>
      </c>
      <c r="AR1086" s="80" t="b">
        <v>0</v>
      </c>
      <c r="AS1086" s="80" t="b">
        <v>0</v>
      </c>
      <c r="AT1086" s="80"/>
      <c r="AU1086" s="80">
        <v>0</v>
      </c>
      <c r="AV1086" s="80"/>
      <c r="AW1086" s="80" t="b">
        <v>0</v>
      </c>
      <c r="AX1086" s="80" t="s">
        <v>10746</v>
      </c>
      <c r="AY1086" s="87" t="str">
        <f>HYPERLINK("https://twitter.com/bawasludepok_")</f>
        <v>https://twitter.com/bawasludepok_</v>
      </c>
      <c r="AZ1086" s="80" t="s">
        <v>66</v>
      </c>
      <c r="BA1086" s="2"/>
      <c r="BB1086" s="3"/>
      <c r="BC1086" s="3"/>
      <c r="BD1086" s="3"/>
      <c r="BE1086" s="3"/>
    </row>
    <row r="1087" spans="1:57" x14ac:dyDescent="0.35">
      <c r="A1087" s="66" t="s">
        <v>1491</v>
      </c>
      <c r="B1087" s="67"/>
      <c r="C1087" s="67"/>
      <c r="D1087" s="68"/>
      <c r="E1087" s="70"/>
      <c r="F1087" s="109" t="str">
        <f>HYPERLINK("https://pbs.twimg.com/profile_images/1323530588591022080/E6H7M104_normal.jpg")</f>
        <v>https://pbs.twimg.com/profile_images/1323530588591022080/E6H7M104_normal.jpg</v>
      </c>
      <c r="G1087" s="67"/>
      <c r="H1087" s="71"/>
      <c r="I1087" s="72"/>
      <c r="J1087" s="72"/>
      <c r="K1087" s="71" t="s">
        <v>11830</v>
      </c>
      <c r="L1087" s="75"/>
      <c r="M1087" s="76"/>
      <c r="N1087" s="76"/>
      <c r="O1087" s="77"/>
      <c r="P1087" s="78"/>
      <c r="Q1087" s="78"/>
      <c r="R1087" s="92"/>
      <c r="S1087" s="92"/>
      <c r="T1087" s="92"/>
      <c r="U1087" s="92"/>
      <c r="V1087" s="52"/>
      <c r="W1087" s="52"/>
      <c r="X1087" s="52"/>
      <c r="Y1087" s="52"/>
      <c r="Z1087" s="51"/>
      <c r="AA1087" s="73"/>
      <c r="AB1087" s="73"/>
      <c r="AC1087" s="74"/>
      <c r="AD1087" s="80" t="s">
        <v>7647</v>
      </c>
      <c r="AE1087" s="85" t="s">
        <v>8764</v>
      </c>
      <c r="AF1087" s="80">
        <v>137</v>
      </c>
      <c r="AG1087" s="80">
        <v>2278</v>
      </c>
      <c r="AH1087" s="80">
        <v>3459</v>
      </c>
      <c r="AI1087" s="80">
        <v>1956</v>
      </c>
      <c r="AJ1087" s="80"/>
      <c r="AK1087" s="80" t="s">
        <v>9923</v>
      </c>
      <c r="AL1087" s="80" t="s">
        <v>10650</v>
      </c>
      <c r="AM1087" s="87" t="str">
        <f>HYPERLINK("https://t.co/HYrp0rWmve")</f>
        <v>https://t.co/HYrp0rWmve</v>
      </c>
      <c r="AN1087" s="80"/>
      <c r="AO1087" s="82">
        <v>42746.124016203707</v>
      </c>
      <c r="AP1087" s="87" t="str">
        <f>HYPERLINK("https://pbs.twimg.com/profile_banners/819015620243034112/1531128296")</f>
        <v>https://pbs.twimg.com/profile_banners/819015620243034112/1531128296</v>
      </c>
      <c r="AQ1087" s="80" t="b">
        <v>0</v>
      </c>
      <c r="AR1087" s="80" t="b">
        <v>0</v>
      </c>
      <c r="AS1087" s="80" t="b">
        <v>0</v>
      </c>
      <c r="AT1087" s="80"/>
      <c r="AU1087" s="80">
        <v>1</v>
      </c>
      <c r="AV1087" s="87" t="str">
        <f>HYPERLINK("https://abs.twimg.com/images/themes/theme1/bg.png")</f>
        <v>https://abs.twimg.com/images/themes/theme1/bg.png</v>
      </c>
      <c r="AW1087" s="80" t="b">
        <v>0</v>
      </c>
      <c r="AX1087" s="80" t="s">
        <v>10746</v>
      </c>
      <c r="AY1087" s="87" t="str">
        <f>HYPERLINK("https://twitter.com/bawaslu_jabar")</f>
        <v>https://twitter.com/bawaslu_jabar</v>
      </c>
      <c r="AZ1087" s="80" t="s">
        <v>65</v>
      </c>
      <c r="BA1087" s="2"/>
      <c r="BB1087" s="3"/>
      <c r="BC1087" s="3"/>
      <c r="BD1087" s="3"/>
      <c r="BE1087" s="3"/>
    </row>
    <row r="1088" spans="1:57" x14ac:dyDescent="0.35">
      <c r="A1088" s="66" t="s">
        <v>1492</v>
      </c>
      <c r="B1088" s="67"/>
      <c r="C1088" s="67"/>
      <c r="D1088" s="68"/>
      <c r="E1088" s="70"/>
      <c r="F1088" s="109" t="str">
        <f>HYPERLINK("https://pbs.twimg.com/profile_images/911588379547987968/LOTWJL19_normal.jpg")</f>
        <v>https://pbs.twimg.com/profile_images/911588379547987968/LOTWJL19_normal.jpg</v>
      </c>
      <c r="G1088" s="67"/>
      <c r="H1088" s="71"/>
      <c r="I1088" s="72"/>
      <c r="J1088" s="72"/>
      <c r="K1088" s="71" t="s">
        <v>11831</v>
      </c>
      <c r="L1088" s="75"/>
      <c r="M1088" s="76"/>
      <c r="N1088" s="76"/>
      <c r="O1088" s="77"/>
      <c r="P1088" s="78"/>
      <c r="Q1088" s="78"/>
      <c r="R1088" s="92"/>
      <c r="S1088" s="92"/>
      <c r="T1088" s="92"/>
      <c r="U1088" s="92"/>
      <c r="V1088" s="52"/>
      <c r="W1088" s="52"/>
      <c r="X1088" s="52"/>
      <c r="Y1088" s="52"/>
      <c r="Z1088" s="51"/>
      <c r="AA1088" s="73"/>
      <c r="AB1088" s="73"/>
      <c r="AC1088" s="74"/>
      <c r="AD1088" s="80" t="s">
        <v>7648</v>
      </c>
      <c r="AE1088" s="85" t="s">
        <v>8765</v>
      </c>
      <c r="AF1088" s="80">
        <v>141</v>
      </c>
      <c r="AG1088" s="80">
        <v>117263</v>
      </c>
      <c r="AH1088" s="80">
        <v>3548</v>
      </c>
      <c r="AI1088" s="80">
        <v>75</v>
      </c>
      <c r="AJ1088" s="80"/>
      <c r="AK1088" s="80" t="s">
        <v>9924</v>
      </c>
      <c r="AL1088" s="80" t="s">
        <v>10651</v>
      </c>
      <c r="AM1088" s="87" t="str">
        <f>HYPERLINK("https://t.co/BtEOo6WCMQ")</f>
        <v>https://t.co/BtEOo6WCMQ</v>
      </c>
      <c r="AN1088" s="80"/>
      <c r="AO1088" s="82">
        <v>42590.37699074074</v>
      </c>
      <c r="AP1088" s="87" t="str">
        <f>HYPERLINK("https://pbs.twimg.com/profile_banners/762574790645342208/1551429943")</f>
        <v>https://pbs.twimg.com/profile_banners/762574790645342208/1551429943</v>
      </c>
      <c r="AQ1088" s="80" t="b">
        <v>0</v>
      </c>
      <c r="AR1088" s="80" t="b">
        <v>0</v>
      </c>
      <c r="AS1088" s="80" t="b">
        <v>1</v>
      </c>
      <c r="AT1088" s="80"/>
      <c r="AU1088" s="80">
        <v>67</v>
      </c>
      <c r="AV1088" s="87" t="str">
        <f>HYPERLINK("https://abs.twimg.com/images/themes/theme1/bg.png")</f>
        <v>https://abs.twimg.com/images/themes/theme1/bg.png</v>
      </c>
      <c r="AW1088" s="80" t="b">
        <v>1</v>
      </c>
      <c r="AX1088" s="80" t="s">
        <v>10746</v>
      </c>
      <c r="AY1088" s="87" t="str">
        <f>HYPERLINK("https://twitter.com/bawaslu_ri")</f>
        <v>https://twitter.com/bawaslu_ri</v>
      </c>
      <c r="AZ1088" s="80" t="s">
        <v>65</v>
      </c>
      <c r="BA1088" s="2"/>
      <c r="BB1088" s="3"/>
      <c r="BC1088" s="3"/>
      <c r="BD1088" s="3"/>
      <c r="BE1088" s="3"/>
    </row>
    <row r="1089" spans="1:57" x14ac:dyDescent="0.35">
      <c r="A1089" s="66" t="s">
        <v>1072</v>
      </c>
      <c r="B1089" s="67"/>
      <c r="C1089" s="67"/>
      <c r="D1089" s="68"/>
      <c r="E1089" s="70"/>
      <c r="F1089" s="109" t="str">
        <f>HYPERLINK("https://pbs.twimg.com/profile_images/1426139466310197259/aBpEw-qS_normal.jpg")</f>
        <v>https://pbs.twimg.com/profile_images/1426139466310197259/aBpEw-qS_normal.jpg</v>
      </c>
      <c r="G1089" s="67"/>
      <c r="H1089" s="71"/>
      <c r="I1089" s="72"/>
      <c r="J1089" s="72"/>
      <c r="K1089" s="71" t="s">
        <v>11832</v>
      </c>
      <c r="L1089" s="75"/>
      <c r="M1089" s="76"/>
      <c r="N1089" s="76"/>
      <c r="O1089" s="77"/>
      <c r="P1089" s="78"/>
      <c r="Q1089" s="78"/>
      <c r="R1089" s="92"/>
      <c r="S1089" s="92"/>
      <c r="T1089" s="92"/>
      <c r="U1089" s="92"/>
      <c r="V1089" s="52"/>
      <c r="W1089" s="52"/>
      <c r="X1089" s="52"/>
      <c r="Y1089" s="52"/>
      <c r="Z1089" s="51"/>
      <c r="AA1089" s="73"/>
      <c r="AB1089" s="73"/>
      <c r="AC1089" s="74"/>
      <c r="AD1089" s="80" t="s">
        <v>7649</v>
      </c>
      <c r="AE1089" s="85" t="s">
        <v>8766</v>
      </c>
      <c r="AF1089" s="80">
        <v>859</v>
      </c>
      <c r="AG1089" s="80">
        <v>2049</v>
      </c>
      <c r="AH1089" s="80">
        <v>73401</v>
      </c>
      <c r="AI1089" s="80">
        <v>86450</v>
      </c>
      <c r="AJ1089" s="80"/>
      <c r="AK1089" s="80" t="s">
        <v>9925</v>
      </c>
      <c r="AL1089" s="80" t="s">
        <v>10652</v>
      </c>
      <c r="AM1089" s="87" t="str">
        <f>HYPERLINK("https://t.co/V0LyYcdoex")</f>
        <v>https://t.co/V0LyYcdoex</v>
      </c>
      <c r="AN1089" s="80"/>
      <c r="AO1089" s="82">
        <v>43742.929780092592</v>
      </c>
      <c r="AP1089" s="87" t="str">
        <f>HYPERLINK("https://pbs.twimg.com/profile_banners/1180245895142506496/1625379123")</f>
        <v>https://pbs.twimg.com/profile_banners/1180245895142506496/1625379123</v>
      </c>
      <c r="AQ1089" s="80" t="b">
        <v>1</v>
      </c>
      <c r="AR1089" s="80" t="b">
        <v>0</v>
      </c>
      <c r="AS1089" s="80" t="b">
        <v>0</v>
      </c>
      <c r="AT1089" s="80"/>
      <c r="AU1089" s="80">
        <v>3</v>
      </c>
      <c r="AV1089" s="80"/>
      <c r="AW1089" s="80" t="b">
        <v>0</v>
      </c>
      <c r="AX1089" s="80" t="s">
        <v>10746</v>
      </c>
      <c r="AY1089" s="87" t="str">
        <f>HYPERLINK("https://twitter.com/immaturekids_")</f>
        <v>https://twitter.com/immaturekids_</v>
      </c>
      <c r="AZ1089" s="80" t="s">
        <v>66</v>
      </c>
      <c r="BA1089" s="2"/>
      <c r="BB1089" s="3"/>
      <c r="BC1089" s="3"/>
      <c r="BD1089" s="3"/>
      <c r="BE1089" s="3"/>
    </row>
    <row r="1090" spans="1:57" x14ac:dyDescent="0.35">
      <c r="A1090" s="66" t="s">
        <v>1073</v>
      </c>
      <c r="B1090" s="67"/>
      <c r="C1090" s="67"/>
      <c r="D1090" s="68"/>
      <c r="E1090" s="70"/>
      <c r="F1090" s="109" t="str">
        <f>HYPERLINK("https://pbs.twimg.com/profile_images/1108334157216641024/KUQTkC51_normal.jpg")</f>
        <v>https://pbs.twimg.com/profile_images/1108334157216641024/KUQTkC51_normal.jpg</v>
      </c>
      <c r="G1090" s="67"/>
      <c r="H1090" s="71"/>
      <c r="I1090" s="72"/>
      <c r="J1090" s="72"/>
      <c r="K1090" s="71" t="s">
        <v>11833</v>
      </c>
      <c r="L1090" s="75"/>
      <c r="M1090" s="76"/>
      <c r="N1090" s="76"/>
      <c r="O1090" s="77"/>
      <c r="P1090" s="78"/>
      <c r="Q1090" s="78"/>
      <c r="R1090" s="92"/>
      <c r="S1090" s="92"/>
      <c r="T1090" s="92"/>
      <c r="U1090" s="92"/>
      <c r="V1090" s="52"/>
      <c r="W1090" s="52"/>
      <c r="X1090" s="52"/>
      <c r="Y1090" s="52"/>
      <c r="Z1090" s="51"/>
      <c r="AA1090" s="73"/>
      <c r="AB1090" s="73"/>
      <c r="AC1090" s="74"/>
      <c r="AD1090" s="80" t="s">
        <v>7650</v>
      </c>
      <c r="AE1090" s="85" t="s">
        <v>6433</v>
      </c>
      <c r="AF1090" s="80">
        <v>130</v>
      </c>
      <c r="AG1090" s="80">
        <v>675</v>
      </c>
      <c r="AH1090" s="80">
        <v>11830</v>
      </c>
      <c r="AI1090" s="80">
        <v>92</v>
      </c>
      <c r="AJ1090" s="80"/>
      <c r="AK1090" s="80" t="s">
        <v>9926</v>
      </c>
      <c r="AL1090" s="80" t="s">
        <v>10653</v>
      </c>
      <c r="AM1090" s="87" t="str">
        <f>HYPERLINK("https://t.co/182MStMGxj")</f>
        <v>https://t.co/182MStMGxj</v>
      </c>
      <c r="AN1090" s="80"/>
      <c r="AO1090" s="82">
        <v>41152.212187500001</v>
      </c>
      <c r="AP1090" s="80"/>
      <c r="AQ1090" s="80" t="b">
        <v>1</v>
      </c>
      <c r="AR1090" s="80" t="b">
        <v>0</v>
      </c>
      <c r="AS1090" s="80" t="b">
        <v>1</v>
      </c>
      <c r="AT1090" s="80"/>
      <c r="AU1090" s="80">
        <v>0</v>
      </c>
      <c r="AV1090" s="87" t="str">
        <f>HYPERLINK("https://abs.twimg.com/images/themes/theme1/bg.png")</f>
        <v>https://abs.twimg.com/images/themes/theme1/bg.png</v>
      </c>
      <c r="AW1090" s="80" t="b">
        <v>0</v>
      </c>
      <c r="AX1090" s="80" t="s">
        <v>10746</v>
      </c>
      <c r="AY1090" s="87" t="str">
        <f>HYPERLINK("https://twitter.com/himaska_unri")</f>
        <v>https://twitter.com/himaska_unri</v>
      </c>
      <c r="AZ1090" s="80" t="s">
        <v>66</v>
      </c>
      <c r="BA1090" s="2"/>
      <c r="BB1090" s="3"/>
      <c r="BC1090" s="3"/>
      <c r="BD1090" s="3"/>
      <c r="BE1090" s="3"/>
    </row>
    <row r="1091" spans="1:57" x14ac:dyDescent="0.35">
      <c r="A1091" s="66" t="s">
        <v>1074</v>
      </c>
      <c r="B1091" s="67"/>
      <c r="C1091" s="67"/>
      <c r="D1091" s="68"/>
      <c r="E1091" s="70"/>
      <c r="F1091" s="109" t="str">
        <f>HYPERLINK("https://pbs.twimg.com/profile_images/1356465610100592640/kRIYdUjV_normal.jpg")</f>
        <v>https://pbs.twimg.com/profile_images/1356465610100592640/kRIYdUjV_normal.jpg</v>
      </c>
      <c r="G1091" s="67"/>
      <c r="H1091" s="71"/>
      <c r="I1091" s="72"/>
      <c r="J1091" s="72"/>
      <c r="K1091" s="71" t="s">
        <v>11834</v>
      </c>
      <c r="L1091" s="75"/>
      <c r="M1091" s="76"/>
      <c r="N1091" s="76"/>
      <c r="O1091" s="77"/>
      <c r="P1091" s="78"/>
      <c r="Q1091" s="78"/>
      <c r="R1091" s="92"/>
      <c r="S1091" s="92"/>
      <c r="T1091" s="92"/>
      <c r="U1091" s="92"/>
      <c r="V1091" s="52"/>
      <c r="W1091" s="52"/>
      <c r="X1091" s="52"/>
      <c r="Y1091" s="52"/>
      <c r="Z1091" s="51"/>
      <c r="AA1091" s="73"/>
      <c r="AB1091" s="73"/>
      <c r="AC1091" s="74"/>
      <c r="AD1091" s="80" t="s">
        <v>7651</v>
      </c>
      <c r="AE1091" s="85" t="s">
        <v>8767</v>
      </c>
      <c r="AF1091" s="80">
        <v>5</v>
      </c>
      <c r="AG1091" s="80">
        <v>87</v>
      </c>
      <c r="AH1091" s="80">
        <v>9594</v>
      </c>
      <c r="AI1091" s="80">
        <v>0</v>
      </c>
      <c r="AJ1091" s="80"/>
      <c r="AK1091" s="80" t="s">
        <v>9927</v>
      </c>
      <c r="AL1091" s="80"/>
      <c r="AM1091" s="87" t="str">
        <f>HYPERLINK("https://t.co/f7FswseaIw")</f>
        <v>https://t.co/f7FswseaIw</v>
      </c>
      <c r="AN1091" s="80"/>
      <c r="AO1091" s="82">
        <v>44209.392245370371</v>
      </c>
      <c r="AP1091" s="87" t="str">
        <f>HYPERLINK("https://pbs.twimg.com/profile_banners/1349286188402712576/1618923604")</f>
        <v>https://pbs.twimg.com/profile_banners/1349286188402712576/1618923604</v>
      </c>
      <c r="AQ1091" s="80" t="b">
        <v>1</v>
      </c>
      <c r="AR1091" s="80" t="b">
        <v>0</v>
      </c>
      <c r="AS1091" s="80" t="b">
        <v>0</v>
      </c>
      <c r="AT1091" s="80"/>
      <c r="AU1091" s="80">
        <v>2</v>
      </c>
      <c r="AV1091" s="80"/>
      <c r="AW1091" s="80" t="b">
        <v>0</v>
      </c>
      <c r="AX1091" s="80" t="s">
        <v>10746</v>
      </c>
      <c r="AY1091" s="87" t="str">
        <f>HYPERLINK("https://twitter.com/cerita_parapuan")</f>
        <v>https://twitter.com/cerita_parapuan</v>
      </c>
      <c r="AZ1091" s="80" t="s">
        <v>66</v>
      </c>
      <c r="BA1091" s="2"/>
      <c r="BB1091" s="3"/>
      <c r="BC1091" s="3"/>
      <c r="BD1091" s="3"/>
      <c r="BE1091" s="3"/>
    </row>
    <row r="1092" spans="1:57" x14ac:dyDescent="0.35">
      <c r="A1092" s="66" t="s">
        <v>1075</v>
      </c>
      <c r="B1092" s="67"/>
      <c r="C1092" s="67"/>
      <c r="D1092" s="68"/>
      <c r="E1092" s="70"/>
      <c r="F1092" s="109" t="str">
        <f>HYPERLINK("https://pbs.twimg.com/profile_images/1422393008675115013/6BBzdqk8_normal.jpg")</f>
        <v>https://pbs.twimg.com/profile_images/1422393008675115013/6BBzdqk8_normal.jpg</v>
      </c>
      <c r="G1092" s="67"/>
      <c r="H1092" s="71"/>
      <c r="I1092" s="72"/>
      <c r="J1092" s="72"/>
      <c r="K1092" s="71" t="s">
        <v>11835</v>
      </c>
      <c r="L1092" s="75"/>
      <c r="M1092" s="76"/>
      <c r="N1092" s="76"/>
      <c r="O1092" s="77"/>
      <c r="P1092" s="78"/>
      <c r="Q1092" s="78"/>
      <c r="R1092" s="92"/>
      <c r="S1092" s="92"/>
      <c r="T1092" s="92"/>
      <c r="U1092" s="92"/>
      <c r="V1092" s="52"/>
      <c r="W1092" s="52"/>
      <c r="X1092" s="52"/>
      <c r="Y1092" s="52"/>
      <c r="Z1092" s="51"/>
      <c r="AA1092" s="73"/>
      <c r="AB1092" s="73"/>
      <c r="AC1092" s="74"/>
      <c r="AD1092" s="80" t="s">
        <v>7652</v>
      </c>
      <c r="AE1092" s="85" t="s">
        <v>8768</v>
      </c>
      <c r="AF1092" s="80">
        <v>285</v>
      </c>
      <c r="AG1092" s="80">
        <v>191</v>
      </c>
      <c r="AH1092" s="80">
        <v>28922</v>
      </c>
      <c r="AI1092" s="80">
        <v>1147</v>
      </c>
      <c r="AJ1092" s="80"/>
      <c r="AK1092" s="80" t="s">
        <v>9928</v>
      </c>
      <c r="AL1092" s="80" t="s">
        <v>10654</v>
      </c>
      <c r="AM1092" s="87" t="str">
        <f>HYPERLINK("https://t.co/PlgTipdoVv")</f>
        <v>https://t.co/PlgTipdoVv</v>
      </c>
      <c r="AN1092" s="80"/>
      <c r="AO1092" s="82">
        <v>41760.411469907405</v>
      </c>
      <c r="AP1092" s="87" t="str">
        <f>HYPERLINK("https://pbs.twimg.com/profile_banners/2472239586/1537539091")</f>
        <v>https://pbs.twimg.com/profile_banners/2472239586/1537539091</v>
      </c>
      <c r="AQ1092" s="80" t="b">
        <v>0</v>
      </c>
      <c r="AR1092" s="80" t="b">
        <v>0</v>
      </c>
      <c r="AS1092" s="80" t="b">
        <v>1</v>
      </c>
      <c r="AT1092" s="80"/>
      <c r="AU1092" s="80">
        <v>1</v>
      </c>
      <c r="AV1092" s="87" t="str">
        <f>HYPERLINK("https://abs.twimg.com/images/themes/theme1/bg.png")</f>
        <v>https://abs.twimg.com/images/themes/theme1/bg.png</v>
      </c>
      <c r="AW1092" s="80" t="b">
        <v>0</v>
      </c>
      <c r="AX1092" s="80" t="s">
        <v>10746</v>
      </c>
      <c r="AY1092" s="87" t="str">
        <f>HYPERLINK("https://twitter.com/rnarendro_w")</f>
        <v>https://twitter.com/rnarendro_w</v>
      </c>
      <c r="AZ1092" s="80" t="s">
        <v>66</v>
      </c>
      <c r="BA1092" s="2"/>
      <c r="BB1092" s="3"/>
      <c r="BC1092" s="3"/>
      <c r="BD1092" s="3"/>
      <c r="BE1092" s="3"/>
    </row>
    <row r="1093" spans="1:57" x14ac:dyDescent="0.35">
      <c r="A1093" s="66" t="s">
        <v>1076</v>
      </c>
      <c r="B1093" s="67"/>
      <c r="C1093" s="67"/>
      <c r="D1093" s="68"/>
      <c r="E1093" s="70"/>
      <c r="F1093" s="109" t="str">
        <f>HYPERLINK("https://pbs.twimg.com/profile_images/1402909467239337987/9r1lkNHt_normal.jpg")</f>
        <v>https://pbs.twimg.com/profile_images/1402909467239337987/9r1lkNHt_normal.jpg</v>
      </c>
      <c r="G1093" s="67"/>
      <c r="H1093" s="71"/>
      <c r="I1093" s="72"/>
      <c r="J1093" s="72"/>
      <c r="K1093" s="71" t="s">
        <v>11836</v>
      </c>
      <c r="L1093" s="75"/>
      <c r="M1093" s="76"/>
      <c r="N1093" s="76"/>
      <c r="O1093" s="77"/>
      <c r="P1093" s="78"/>
      <c r="Q1093" s="78"/>
      <c r="R1093" s="92"/>
      <c r="S1093" s="92"/>
      <c r="T1093" s="92"/>
      <c r="U1093" s="92"/>
      <c r="V1093" s="52"/>
      <c r="W1093" s="52"/>
      <c r="X1093" s="52"/>
      <c r="Y1093" s="52"/>
      <c r="Z1093" s="51"/>
      <c r="AA1093" s="73"/>
      <c r="AB1093" s="73"/>
      <c r="AC1093" s="74"/>
      <c r="AD1093" s="80" t="s">
        <v>7653</v>
      </c>
      <c r="AE1093" s="85" t="s">
        <v>8769</v>
      </c>
      <c r="AF1093" s="80">
        <v>75</v>
      </c>
      <c r="AG1093" s="80">
        <v>57</v>
      </c>
      <c r="AH1093" s="80">
        <v>5605</v>
      </c>
      <c r="AI1093" s="80">
        <v>4205</v>
      </c>
      <c r="AJ1093" s="80"/>
      <c r="AK1093" s="80" t="s">
        <v>9929</v>
      </c>
      <c r="AL1093" s="80"/>
      <c r="AM1093" s="80"/>
      <c r="AN1093" s="80"/>
      <c r="AO1093" s="82">
        <v>44222.129027777781</v>
      </c>
      <c r="AP1093" s="87" t="str">
        <f>HYPERLINK("https://pbs.twimg.com/profile_banners/1353901713342664704/1611631857")</f>
        <v>https://pbs.twimg.com/profile_banners/1353901713342664704/1611631857</v>
      </c>
      <c r="AQ1093" s="80" t="b">
        <v>1</v>
      </c>
      <c r="AR1093" s="80" t="b">
        <v>0</v>
      </c>
      <c r="AS1093" s="80" t="b">
        <v>0</v>
      </c>
      <c r="AT1093" s="80"/>
      <c r="AU1093" s="80">
        <v>0</v>
      </c>
      <c r="AV1093" s="80"/>
      <c r="AW1093" s="80" t="b">
        <v>0</v>
      </c>
      <c r="AX1093" s="80" t="s">
        <v>10746</v>
      </c>
      <c r="AY1093" s="87" t="str">
        <f>HYPERLINK("https://twitter.com/myaccnotyours_")</f>
        <v>https://twitter.com/myaccnotyours_</v>
      </c>
      <c r="AZ1093" s="80" t="s">
        <v>66</v>
      </c>
      <c r="BA1093" s="2"/>
      <c r="BB1093" s="3"/>
      <c r="BC1093" s="3"/>
      <c r="BD1093" s="3"/>
      <c r="BE1093" s="3"/>
    </row>
    <row r="1094" spans="1:57" x14ac:dyDescent="0.35">
      <c r="A1094" s="66" t="s">
        <v>1077</v>
      </c>
      <c r="B1094" s="67"/>
      <c r="C1094" s="67"/>
      <c r="D1094" s="68"/>
      <c r="E1094" s="70"/>
      <c r="F1094" s="109" t="str">
        <f>HYPERLINK("https://pbs.twimg.com/profile_images/1442133027753103362/YNng7RX0_normal.jpg")</f>
        <v>https://pbs.twimg.com/profile_images/1442133027753103362/YNng7RX0_normal.jpg</v>
      </c>
      <c r="G1094" s="67"/>
      <c r="H1094" s="71"/>
      <c r="I1094" s="72"/>
      <c r="J1094" s="72"/>
      <c r="K1094" s="71" t="s">
        <v>11837</v>
      </c>
      <c r="L1094" s="75"/>
      <c r="M1094" s="76"/>
      <c r="N1094" s="76"/>
      <c r="O1094" s="77"/>
      <c r="P1094" s="78"/>
      <c r="Q1094" s="78"/>
      <c r="R1094" s="92"/>
      <c r="S1094" s="92"/>
      <c r="T1094" s="92"/>
      <c r="U1094" s="92"/>
      <c r="V1094" s="52"/>
      <c r="W1094" s="52"/>
      <c r="X1094" s="52"/>
      <c r="Y1094" s="52"/>
      <c r="Z1094" s="51"/>
      <c r="AA1094" s="73"/>
      <c r="AB1094" s="73"/>
      <c r="AC1094" s="74"/>
      <c r="AD1094" s="80" t="s">
        <v>7654</v>
      </c>
      <c r="AE1094" s="85" t="s">
        <v>8770</v>
      </c>
      <c r="AF1094" s="80">
        <v>353</v>
      </c>
      <c r="AG1094" s="80">
        <v>207</v>
      </c>
      <c r="AH1094" s="80">
        <v>7322</v>
      </c>
      <c r="AI1094" s="80">
        <v>14190</v>
      </c>
      <c r="AJ1094" s="80"/>
      <c r="AK1094" s="80" t="s">
        <v>9930</v>
      </c>
      <c r="AL1094" s="80" t="s">
        <v>10655</v>
      </c>
      <c r="AM1094" s="87" t="str">
        <f>HYPERLINK("https://t.co/GrsQ6QCp3m")</f>
        <v>https://t.co/GrsQ6QCp3m</v>
      </c>
      <c r="AN1094" s="80"/>
      <c r="AO1094" s="82">
        <v>44223.507418981484</v>
      </c>
      <c r="AP1094" s="87" t="str">
        <f>HYPERLINK("https://pbs.twimg.com/profile_banners/1354401400558522377/1631189898")</f>
        <v>https://pbs.twimg.com/profile_banners/1354401400558522377/1631189898</v>
      </c>
      <c r="AQ1094" s="80" t="b">
        <v>1</v>
      </c>
      <c r="AR1094" s="80" t="b">
        <v>0</v>
      </c>
      <c r="AS1094" s="80" t="b">
        <v>0</v>
      </c>
      <c r="AT1094" s="80"/>
      <c r="AU1094" s="80">
        <v>2</v>
      </c>
      <c r="AV1094" s="80"/>
      <c r="AW1094" s="80" t="b">
        <v>0</v>
      </c>
      <c r="AX1094" s="80" t="s">
        <v>10746</v>
      </c>
      <c r="AY1094" s="87" t="str">
        <f>HYPERLINK("https://twitter.com/jiniretkkami")</f>
        <v>https://twitter.com/jiniretkkami</v>
      </c>
      <c r="AZ1094" s="80" t="s">
        <v>66</v>
      </c>
      <c r="BA1094" s="2"/>
      <c r="BB1094" s="3"/>
      <c r="BC1094" s="3"/>
      <c r="BD1094" s="3"/>
      <c r="BE1094" s="3"/>
    </row>
    <row r="1095" spans="1:57" x14ac:dyDescent="0.35">
      <c r="A1095" s="66" t="s">
        <v>1078</v>
      </c>
      <c r="B1095" s="67"/>
      <c r="C1095" s="67"/>
      <c r="D1095" s="68"/>
      <c r="E1095" s="70"/>
      <c r="F1095" s="109" t="str">
        <f>HYPERLINK("https://pbs.twimg.com/profile_images/1442120144927420423/1zIRmIFL_normal.jpg")</f>
        <v>https://pbs.twimg.com/profile_images/1442120144927420423/1zIRmIFL_normal.jpg</v>
      </c>
      <c r="G1095" s="67"/>
      <c r="H1095" s="71"/>
      <c r="I1095" s="72"/>
      <c r="J1095" s="72"/>
      <c r="K1095" s="71" t="s">
        <v>11838</v>
      </c>
      <c r="L1095" s="75"/>
      <c r="M1095" s="76"/>
      <c r="N1095" s="76"/>
      <c r="O1095" s="77"/>
      <c r="P1095" s="78"/>
      <c r="Q1095" s="78"/>
      <c r="R1095" s="92"/>
      <c r="S1095" s="92"/>
      <c r="T1095" s="92"/>
      <c r="U1095" s="92"/>
      <c r="V1095" s="52"/>
      <c r="W1095" s="52"/>
      <c r="X1095" s="52"/>
      <c r="Y1095" s="52"/>
      <c r="Z1095" s="51"/>
      <c r="AA1095" s="73"/>
      <c r="AB1095" s="73"/>
      <c r="AC1095" s="74"/>
      <c r="AD1095" s="80" t="s">
        <v>7655</v>
      </c>
      <c r="AE1095" s="85" t="s">
        <v>8771</v>
      </c>
      <c r="AF1095" s="80">
        <v>3009</v>
      </c>
      <c r="AG1095" s="80">
        <v>3012</v>
      </c>
      <c r="AH1095" s="80">
        <v>24953</v>
      </c>
      <c r="AI1095" s="80">
        <v>24699</v>
      </c>
      <c r="AJ1095" s="80"/>
      <c r="AK1095" s="80" t="s">
        <v>9931</v>
      </c>
      <c r="AL1095" s="80" t="s">
        <v>10656</v>
      </c>
      <c r="AM1095" s="87" t="str">
        <f>HYPERLINK("https://t.co/1o62bFz3P5")</f>
        <v>https://t.co/1o62bFz3P5</v>
      </c>
      <c r="AN1095" s="80"/>
      <c r="AO1095" s="82">
        <v>44294.134502314817</v>
      </c>
      <c r="AP1095" s="87" t="str">
        <f>HYPERLINK("https://pbs.twimg.com/profile_banners/1379995794892222467/1632569583")</f>
        <v>https://pbs.twimg.com/profile_banners/1379995794892222467/1632569583</v>
      </c>
      <c r="AQ1095" s="80" t="b">
        <v>1</v>
      </c>
      <c r="AR1095" s="80" t="b">
        <v>0</v>
      </c>
      <c r="AS1095" s="80" t="b">
        <v>1</v>
      </c>
      <c r="AT1095" s="80"/>
      <c r="AU1095" s="80">
        <v>16</v>
      </c>
      <c r="AV1095" s="80"/>
      <c r="AW1095" s="80" t="b">
        <v>0</v>
      </c>
      <c r="AX1095" s="80" t="s">
        <v>10746</v>
      </c>
      <c r="AY1095" s="87" t="str">
        <f>HYPERLINK("https://twitter.com/frckleslixie")</f>
        <v>https://twitter.com/frckleslixie</v>
      </c>
      <c r="AZ1095" s="80" t="s">
        <v>66</v>
      </c>
      <c r="BA1095" s="2"/>
      <c r="BB1095" s="3"/>
      <c r="BC1095" s="3"/>
      <c r="BD1095" s="3"/>
      <c r="BE1095" s="3"/>
    </row>
    <row r="1096" spans="1:57" x14ac:dyDescent="0.35">
      <c r="A1096" s="66" t="s">
        <v>1079</v>
      </c>
      <c r="B1096" s="67"/>
      <c r="C1096" s="67"/>
      <c r="D1096" s="68"/>
      <c r="E1096" s="70"/>
      <c r="F1096" s="109" t="str">
        <f>HYPERLINK("https://pbs.twimg.com/profile_images/1436630333047275520/6jcnMf2h_normal.png")</f>
        <v>https://pbs.twimg.com/profile_images/1436630333047275520/6jcnMf2h_normal.png</v>
      </c>
      <c r="G1096" s="67"/>
      <c r="H1096" s="71"/>
      <c r="I1096" s="72"/>
      <c r="J1096" s="72"/>
      <c r="K1096" s="71" t="s">
        <v>11839</v>
      </c>
      <c r="L1096" s="75"/>
      <c r="M1096" s="76"/>
      <c r="N1096" s="76"/>
      <c r="O1096" s="77"/>
      <c r="P1096" s="78"/>
      <c r="Q1096" s="78"/>
      <c r="R1096" s="92"/>
      <c r="S1096" s="92"/>
      <c r="T1096" s="92"/>
      <c r="U1096" s="92"/>
      <c r="V1096" s="52"/>
      <c r="W1096" s="52"/>
      <c r="X1096" s="52"/>
      <c r="Y1096" s="52"/>
      <c r="Z1096" s="51"/>
      <c r="AA1096" s="73"/>
      <c r="AB1096" s="73"/>
      <c r="AC1096" s="74"/>
      <c r="AD1096" s="80" t="s">
        <v>7656</v>
      </c>
      <c r="AE1096" s="85" t="s">
        <v>8772</v>
      </c>
      <c r="AF1096" s="80">
        <v>1096</v>
      </c>
      <c r="AG1096" s="80">
        <v>1104</v>
      </c>
      <c r="AH1096" s="80">
        <v>12350</v>
      </c>
      <c r="AI1096" s="80">
        <v>5229</v>
      </c>
      <c r="AJ1096" s="80"/>
      <c r="AK1096" s="80" t="s">
        <v>9932</v>
      </c>
      <c r="AL1096" s="80" t="s">
        <v>10657</v>
      </c>
      <c r="AM1096" s="87" t="str">
        <f>HYPERLINK("https://t.co/y3XDsISFnc")</f>
        <v>https://t.co/y3XDsISFnc</v>
      </c>
      <c r="AN1096" s="80"/>
      <c r="AO1096" s="82">
        <v>44178.118634259263</v>
      </c>
      <c r="AP1096" s="87" t="str">
        <f>HYPERLINK("https://pbs.twimg.com/profile_banners/1337953051294896129/1631354307")</f>
        <v>https://pbs.twimg.com/profile_banners/1337953051294896129/1631354307</v>
      </c>
      <c r="AQ1096" s="80" t="b">
        <v>1</v>
      </c>
      <c r="AR1096" s="80" t="b">
        <v>0</v>
      </c>
      <c r="AS1096" s="80" t="b">
        <v>0</v>
      </c>
      <c r="AT1096" s="80"/>
      <c r="AU1096" s="80">
        <v>8</v>
      </c>
      <c r="AV1096" s="80"/>
      <c r="AW1096" s="80" t="b">
        <v>0</v>
      </c>
      <c r="AX1096" s="80" t="s">
        <v>10746</v>
      </c>
      <c r="AY1096" s="87" t="str">
        <f>HYPERLINK("https://twitter.com/xoicedteaa")</f>
        <v>https://twitter.com/xoicedteaa</v>
      </c>
      <c r="AZ1096" s="80" t="s">
        <v>66</v>
      </c>
      <c r="BA1096" s="2"/>
      <c r="BB1096" s="3"/>
      <c r="BC1096" s="3"/>
      <c r="BD1096" s="3"/>
      <c r="BE1096" s="3"/>
    </row>
    <row r="1097" spans="1:57" x14ac:dyDescent="0.35">
      <c r="A1097" s="66" t="s">
        <v>1080</v>
      </c>
      <c r="B1097" s="67"/>
      <c r="C1097" s="67"/>
      <c r="D1097" s="68"/>
      <c r="E1097" s="70"/>
      <c r="F1097" s="109" t="str">
        <f>HYPERLINK("https://pbs.twimg.com/profile_images/1427650058795712513/T56aIf_L_normal.jpg")</f>
        <v>https://pbs.twimg.com/profile_images/1427650058795712513/T56aIf_L_normal.jpg</v>
      </c>
      <c r="G1097" s="67"/>
      <c r="H1097" s="71"/>
      <c r="I1097" s="72"/>
      <c r="J1097" s="72"/>
      <c r="K1097" s="71" t="s">
        <v>11840</v>
      </c>
      <c r="L1097" s="75"/>
      <c r="M1097" s="76"/>
      <c r="N1097" s="76"/>
      <c r="O1097" s="77"/>
      <c r="P1097" s="78"/>
      <c r="Q1097" s="78"/>
      <c r="R1097" s="92"/>
      <c r="S1097" s="92"/>
      <c r="T1097" s="92"/>
      <c r="U1097" s="92"/>
      <c r="V1097" s="52"/>
      <c r="W1097" s="52"/>
      <c r="X1097" s="52"/>
      <c r="Y1097" s="52"/>
      <c r="Z1097" s="51"/>
      <c r="AA1097" s="73"/>
      <c r="AB1097" s="73"/>
      <c r="AC1097" s="74"/>
      <c r="AD1097" s="80" t="s">
        <v>7657</v>
      </c>
      <c r="AE1097" s="85" t="s">
        <v>8773</v>
      </c>
      <c r="AF1097" s="80">
        <v>630</v>
      </c>
      <c r="AG1097" s="80">
        <v>304</v>
      </c>
      <c r="AH1097" s="80">
        <v>23735</v>
      </c>
      <c r="AI1097" s="80">
        <v>39531</v>
      </c>
      <c r="AJ1097" s="80"/>
      <c r="AK1097" s="80" t="s">
        <v>9933</v>
      </c>
      <c r="AL1097" s="80" t="s">
        <v>10658</v>
      </c>
      <c r="AM1097" s="87" t="str">
        <f>HYPERLINK("https://t.co/qAvj9L8NsY")</f>
        <v>https://t.co/qAvj9L8NsY</v>
      </c>
      <c r="AN1097" s="80"/>
      <c r="AO1097" s="82">
        <v>44179.586655092593</v>
      </c>
      <c r="AP1097" s="87" t="str">
        <f>HYPERLINK("https://pbs.twimg.com/profile_banners/1338485044529119232/1629612091")</f>
        <v>https://pbs.twimg.com/profile_banners/1338485044529119232/1629612091</v>
      </c>
      <c r="AQ1097" s="80" t="b">
        <v>1</v>
      </c>
      <c r="AR1097" s="80" t="b">
        <v>0</v>
      </c>
      <c r="AS1097" s="80" t="b">
        <v>0</v>
      </c>
      <c r="AT1097" s="80"/>
      <c r="AU1097" s="80">
        <v>4</v>
      </c>
      <c r="AV1097" s="80"/>
      <c r="AW1097" s="80" t="b">
        <v>0</v>
      </c>
      <c r="AX1097" s="80" t="s">
        <v>10746</v>
      </c>
      <c r="AY1097" s="87" t="str">
        <f>HYPERLINK("https://twitter.com/knowleebb")</f>
        <v>https://twitter.com/knowleebb</v>
      </c>
      <c r="AZ1097" s="80" t="s">
        <v>66</v>
      </c>
      <c r="BA1097" s="2"/>
      <c r="BB1097" s="3"/>
      <c r="BC1097" s="3"/>
      <c r="BD1097" s="3"/>
      <c r="BE1097" s="3"/>
    </row>
    <row r="1098" spans="1:57" x14ac:dyDescent="0.35">
      <c r="A1098" s="66" t="s">
        <v>1081</v>
      </c>
      <c r="B1098" s="67"/>
      <c r="C1098" s="67"/>
      <c r="D1098" s="68"/>
      <c r="E1098" s="70"/>
      <c r="F1098" s="109" t="str">
        <f>HYPERLINK("https://pbs.twimg.com/profile_images/1363738863596789760/KO27o-1J_normal.jpg")</f>
        <v>https://pbs.twimg.com/profile_images/1363738863596789760/KO27o-1J_normal.jpg</v>
      </c>
      <c r="G1098" s="67"/>
      <c r="H1098" s="71"/>
      <c r="I1098" s="72"/>
      <c r="J1098" s="72"/>
      <c r="K1098" s="71" t="s">
        <v>11841</v>
      </c>
      <c r="L1098" s="75"/>
      <c r="M1098" s="76"/>
      <c r="N1098" s="76"/>
      <c r="O1098" s="77"/>
      <c r="P1098" s="78"/>
      <c r="Q1098" s="78"/>
      <c r="R1098" s="92"/>
      <c r="S1098" s="92"/>
      <c r="T1098" s="92"/>
      <c r="U1098" s="92"/>
      <c r="V1098" s="52"/>
      <c r="W1098" s="52"/>
      <c r="X1098" s="52"/>
      <c r="Y1098" s="52"/>
      <c r="Z1098" s="51"/>
      <c r="AA1098" s="73"/>
      <c r="AB1098" s="73"/>
      <c r="AC1098" s="74"/>
      <c r="AD1098" s="80" t="s">
        <v>7658</v>
      </c>
      <c r="AE1098" s="85" t="s">
        <v>8774</v>
      </c>
      <c r="AF1098" s="80">
        <v>8</v>
      </c>
      <c r="AG1098" s="80">
        <v>2</v>
      </c>
      <c r="AH1098" s="80">
        <v>21</v>
      </c>
      <c r="AI1098" s="80">
        <v>0</v>
      </c>
      <c r="AJ1098" s="80"/>
      <c r="AK1098" s="80" t="s">
        <v>9934</v>
      </c>
      <c r="AL1098" s="80"/>
      <c r="AM1098" s="80"/>
      <c r="AN1098" s="80"/>
      <c r="AO1098" s="82">
        <v>44249.273518518516</v>
      </c>
      <c r="AP1098" s="87" t="str">
        <f>HYPERLINK("https://pbs.twimg.com/profile_banners/1363738689105403905/1615088944")</f>
        <v>https://pbs.twimg.com/profile_banners/1363738689105403905/1615088944</v>
      </c>
      <c r="AQ1098" s="80" t="b">
        <v>1</v>
      </c>
      <c r="AR1098" s="80" t="b">
        <v>0</v>
      </c>
      <c r="AS1098" s="80" t="b">
        <v>0</v>
      </c>
      <c r="AT1098" s="80"/>
      <c r="AU1098" s="80">
        <v>0</v>
      </c>
      <c r="AV1098" s="80"/>
      <c r="AW1098" s="80" t="b">
        <v>0</v>
      </c>
      <c r="AX1098" s="80" t="s">
        <v>10746</v>
      </c>
      <c r="AY1098" s="87" t="str">
        <f>HYPERLINK("https://twitter.com/apmoestopo")</f>
        <v>https://twitter.com/apmoestopo</v>
      </c>
      <c r="AZ1098" s="80" t="s">
        <v>66</v>
      </c>
      <c r="BA1098" s="2"/>
      <c r="BB1098" s="3"/>
      <c r="BC1098" s="3"/>
      <c r="BD1098" s="3"/>
      <c r="BE1098" s="3"/>
    </row>
    <row r="1099" spans="1:57" x14ac:dyDescent="0.35">
      <c r="A1099" s="66" t="s">
        <v>1082</v>
      </c>
      <c r="B1099" s="67"/>
      <c r="C1099" s="67"/>
      <c r="D1099" s="68"/>
      <c r="E1099" s="70"/>
      <c r="F1099" s="109" t="str">
        <f>HYPERLINK("https://pbs.twimg.com/profile_images/1407240247012851716/GDvFty1a_normal.jpg")</f>
        <v>https://pbs.twimg.com/profile_images/1407240247012851716/GDvFty1a_normal.jpg</v>
      </c>
      <c r="G1099" s="67"/>
      <c r="H1099" s="71"/>
      <c r="I1099" s="72"/>
      <c r="J1099" s="72"/>
      <c r="K1099" s="71" t="s">
        <v>11842</v>
      </c>
      <c r="L1099" s="75"/>
      <c r="M1099" s="76"/>
      <c r="N1099" s="76"/>
      <c r="O1099" s="77"/>
      <c r="P1099" s="78"/>
      <c r="Q1099" s="78"/>
      <c r="R1099" s="92"/>
      <c r="S1099" s="92"/>
      <c r="T1099" s="92"/>
      <c r="U1099" s="92"/>
      <c r="V1099" s="52"/>
      <c r="W1099" s="52"/>
      <c r="X1099" s="52"/>
      <c r="Y1099" s="52"/>
      <c r="Z1099" s="51"/>
      <c r="AA1099" s="73"/>
      <c r="AB1099" s="73"/>
      <c r="AC1099" s="74"/>
      <c r="AD1099" s="80" t="s">
        <v>7659</v>
      </c>
      <c r="AE1099" s="85" t="s">
        <v>8775</v>
      </c>
      <c r="AF1099" s="80">
        <v>8</v>
      </c>
      <c r="AG1099" s="80">
        <v>69</v>
      </c>
      <c r="AH1099" s="80">
        <v>1735</v>
      </c>
      <c r="AI1099" s="80">
        <v>452</v>
      </c>
      <c r="AJ1099" s="80"/>
      <c r="AK1099" s="80" t="s">
        <v>9935</v>
      </c>
      <c r="AL1099" s="80" t="s">
        <v>10659</v>
      </c>
      <c r="AM1099" s="87" t="str">
        <f>HYPERLINK("https://t.co/56EbsoLMNm")</f>
        <v>https://t.co/56EbsoLMNm</v>
      </c>
      <c r="AN1099" s="80"/>
      <c r="AO1099" s="82">
        <v>42888.089837962965</v>
      </c>
      <c r="AP1099" s="87" t="str">
        <f>HYPERLINK("https://pbs.twimg.com/profile_banners/870462313655967744/1564211157")</f>
        <v>https://pbs.twimg.com/profile_banners/870462313655967744/1564211157</v>
      </c>
      <c r="AQ1099" s="80" t="b">
        <v>1</v>
      </c>
      <c r="AR1099" s="80" t="b">
        <v>0</v>
      </c>
      <c r="AS1099" s="80" t="b">
        <v>0</v>
      </c>
      <c r="AT1099" s="80"/>
      <c r="AU1099" s="80">
        <v>0</v>
      </c>
      <c r="AV1099" s="80"/>
      <c r="AW1099" s="80" t="b">
        <v>0</v>
      </c>
      <c r="AX1099" s="80" t="s">
        <v>10746</v>
      </c>
      <c r="AY1099" s="87" t="str">
        <f>HYPERLINK("https://twitter.com/humasresmesuji")</f>
        <v>https://twitter.com/humasresmesuji</v>
      </c>
      <c r="AZ1099" s="80" t="s">
        <v>66</v>
      </c>
      <c r="BA1099" s="2"/>
      <c r="BB1099" s="3"/>
      <c r="BC1099" s="3"/>
      <c r="BD1099" s="3"/>
      <c r="BE1099" s="3"/>
    </row>
    <row r="1100" spans="1:57" x14ac:dyDescent="0.35">
      <c r="A1100" s="66" t="s">
        <v>1083</v>
      </c>
      <c r="B1100" s="67"/>
      <c r="C1100" s="67"/>
      <c r="D1100" s="68"/>
      <c r="E1100" s="70"/>
      <c r="F1100" s="109" t="str">
        <f>HYPERLINK("https://pbs.twimg.com/profile_images/1433013081785843716/t18c2Yk__normal.jpg")</f>
        <v>https://pbs.twimg.com/profile_images/1433013081785843716/t18c2Yk__normal.jpg</v>
      </c>
      <c r="G1100" s="67"/>
      <c r="H1100" s="71"/>
      <c r="I1100" s="72"/>
      <c r="J1100" s="72"/>
      <c r="K1100" s="71" t="s">
        <v>11843</v>
      </c>
      <c r="L1100" s="75"/>
      <c r="M1100" s="76"/>
      <c r="N1100" s="76"/>
      <c r="O1100" s="77"/>
      <c r="P1100" s="78"/>
      <c r="Q1100" s="78"/>
      <c r="R1100" s="92"/>
      <c r="S1100" s="92"/>
      <c r="T1100" s="92"/>
      <c r="U1100" s="92"/>
      <c r="V1100" s="52"/>
      <c r="W1100" s="52"/>
      <c r="X1100" s="52"/>
      <c r="Y1100" s="52"/>
      <c r="Z1100" s="51"/>
      <c r="AA1100" s="73"/>
      <c r="AB1100" s="73"/>
      <c r="AC1100" s="74"/>
      <c r="AD1100" s="80" t="s">
        <v>7660</v>
      </c>
      <c r="AE1100" s="85" t="s">
        <v>8776</v>
      </c>
      <c r="AF1100" s="80">
        <v>49</v>
      </c>
      <c r="AG1100" s="80">
        <v>709</v>
      </c>
      <c r="AH1100" s="80">
        <v>846</v>
      </c>
      <c r="AI1100" s="80">
        <v>91</v>
      </c>
      <c r="AJ1100" s="80"/>
      <c r="AK1100" s="80" t="s">
        <v>9936</v>
      </c>
      <c r="AL1100" s="80" t="s">
        <v>6543</v>
      </c>
      <c r="AM1100" s="87" t="str">
        <f>HYPERLINK("https://t.co/exjkhxSDEs")</f>
        <v>https://t.co/exjkhxSDEs</v>
      </c>
      <c r="AN1100" s="80"/>
      <c r="AO1100" s="82">
        <v>43882.408750000002</v>
      </c>
      <c r="AP1100" s="87" t="str">
        <f>HYPERLINK("https://pbs.twimg.com/profile_banners/1230791374301065216/1626255383")</f>
        <v>https://pbs.twimg.com/profile_banners/1230791374301065216/1626255383</v>
      </c>
      <c r="AQ1100" s="80" t="b">
        <v>1</v>
      </c>
      <c r="AR1100" s="80" t="b">
        <v>0</v>
      </c>
      <c r="AS1100" s="80" t="b">
        <v>0</v>
      </c>
      <c r="AT1100" s="80"/>
      <c r="AU1100" s="80">
        <v>1</v>
      </c>
      <c r="AV1100" s="80"/>
      <c r="AW1100" s="80" t="b">
        <v>0</v>
      </c>
      <c r="AX1100" s="80" t="s">
        <v>10746</v>
      </c>
      <c r="AY1100" s="87" t="str">
        <f>HYPERLINK("https://twitter.com/codex_telkom")</f>
        <v>https://twitter.com/codex_telkom</v>
      </c>
      <c r="AZ1100" s="80" t="s">
        <v>66</v>
      </c>
      <c r="BA1100" s="2"/>
      <c r="BB1100" s="3"/>
      <c r="BC1100" s="3"/>
      <c r="BD1100" s="3"/>
      <c r="BE1100" s="3"/>
    </row>
    <row r="1101" spans="1:57" x14ac:dyDescent="0.35">
      <c r="A1101" s="66" t="s">
        <v>1084</v>
      </c>
      <c r="B1101" s="67"/>
      <c r="C1101" s="67"/>
      <c r="D1101" s="68"/>
      <c r="E1101" s="70"/>
      <c r="F1101" s="109" t="str">
        <f>HYPERLINK("https://pbs.twimg.com/profile_images/1211478154067316736/0YcOfvlu_normal.jpg")</f>
        <v>https://pbs.twimg.com/profile_images/1211478154067316736/0YcOfvlu_normal.jpg</v>
      </c>
      <c r="G1101" s="67"/>
      <c r="H1101" s="71"/>
      <c r="I1101" s="72"/>
      <c r="J1101" s="72"/>
      <c r="K1101" s="71" t="s">
        <v>11844</v>
      </c>
      <c r="L1101" s="75"/>
      <c r="M1101" s="76"/>
      <c r="N1101" s="76"/>
      <c r="O1101" s="77"/>
      <c r="P1101" s="78"/>
      <c r="Q1101" s="78"/>
      <c r="R1101" s="92"/>
      <c r="S1101" s="92"/>
      <c r="T1101" s="92"/>
      <c r="U1101" s="92"/>
      <c r="V1101" s="52"/>
      <c r="W1101" s="52"/>
      <c r="X1101" s="52"/>
      <c r="Y1101" s="52"/>
      <c r="Z1101" s="51"/>
      <c r="AA1101" s="73"/>
      <c r="AB1101" s="73"/>
      <c r="AC1101" s="74"/>
      <c r="AD1101" s="80" t="s">
        <v>7661</v>
      </c>
      <c r="AE1101" s="85" t="s">
        <v>8777</v>
      </c>
      <c r="AF1101" s="80">
        <v>80</v>
      </c>
      <c r="AG1101" s="80">
        <v>289</v>
      </c>
      <c r="AH1101" s="80">
        <v>318</v>
      </c>
      <c r="AI1101" s="80">
        <v>182</v>
      </c>
      <c r="AJ1101" s="80"/>
      <c r="AK1101" s="80" t="s">
        <v>9937</v>
      </c>
      <c r="AL1101" s="80" t="s">
        <v>10520</v>
      </c>
      <c r="AM1101" s="87" t="str">
        <f>HYPERLINK("https://t.co/d7im9jzyWV")</f>
        <v>https://t.co/d7im9jzyWV</v>
      </c>
      <c r="AN1101" s="80"/>
      <c r="AO1101" s="82">
        <v>43749.141469907408</v>
      </c>
      <c r="AP1101" s="87" t="str">
        <f>HYPERLINK("https://pbs.twimg.com/profile_banners/1182496906552868864/1579352418")</f>
        <v>https://pbs.twimg.com/profile_banners/1182496906552868864/1579352418</v>
      </c>
      <c r="AQ1101" s="80" t="b">
        <v>1</v>
      </c>
      <c r="AR1101" s="80" t="b">
        <v>0</v>
      </c>
      <c r="AS1101" s="80" t="b">
        <v>1</v>
      </c>
      <c r="AT1101" s="80"/>
      <c r="AU1101" s="80">
        <v>0</v>
      </c>
      <c r="AV1101" s="80"/>
      <c r="AW1101" s="80" t="b">
        <v>0</v>
      </c>
      <c r="AX1101" s="80" t="s">
        <v>10746</v>
      </c>
      <c r="AY1101" s="87" t="str">
        <f>HYPERLINK("https://twitter.com/bpsjatim")</f>
        <v>https://twitter.com/bpsjatim</v>
      </c>
      <c r="AZ1101" s="80" t="s">
        <v>66</v>
      </c>
      <c r="BA1101" s="2"/>
      <c r="BB1101" s="3"/>
      <c r="BC1101" s="3"/>
      <c r="BD1101" s="3"/>
      <c r="BE1101" s="3"/>
    </row>
    <row r="1102" spans="1:57" x14ac:dyDescent="0.35">
      <c r="A1102" s="66" t="s">
        <v>1085</v>
      </c>
      <c r="B1102" s="67"/>
      <c r="C1102" s="67"/>
      <c r="D1102" s="68"/>
      <c r="E1102" s="70"/>
      <c r="F1102" s="109" t="str">
        <f>HYPERLINK("https://pbs.twimg.com/profile_images/1418904067582177286/pO26cIc3_normal.jpg")</f>
        <v>https://pbs.twimg.com/profile_images/1418904067582177286/pO26cIc3_normal.jpg</v>
      </c>
      <c r="G1102" s="67"/>
      <c r="H1102" s="71"/>
      <c r="I1102" s="72"/>
      <c r="J1102" s="72"/>
      <c r="K1102" s="71" t="s">
        <v>11845</v>
      </c>
      <c r="L1102" s="75"/>
      <c r="M1102" s="76"/>
      <c r="N1102" s="76"/>
      <c r="O1102" s="77"/>
      <c r="P1102" s="78"/>
      <c r="Q1102" s="78"/>
      <c r="R1102" s="92"/>
      <c r="S1102" s="92"/>
      <c r="T1102" s="92"/>
      <c r="U1102" s="92"/>
      <c r="V1102" s="52"/>
      <c r="W1102" s="52"/>
      <c r="X1102" s="52"/>
      <c r="Y1102" s="52"/>
      <c r="Z1102" s="51"/>
      <c r="AA1102" s="73"/>
      <c r="AB1102" s="73"/>
      <c r="AC1102" s="74"/>
      <c r="AD1102" s="80" t="s">
        <v>7662</v>
      </c>
      <c r="AE1102" s="85" t="s">
        <v>8778</v>
      </c>
      <c r="AF1102" s="80">
        <v>114</v>
      </c>
      <c r="AG1102" s="80">
        <v>87</v>
      </c>
      <c r="AH1102" s="80">
        <v>1160</v>
      </c>
      <c r="AI1102" s="80">
        <v>3458</v>
      </c>
      <c r="AJ1102" s="80"/>
      <c r="AK1102" s="80" t="s">
        <v>9938</v>
      </c>
      <c r="AL1102" s="80"/>
      <c r="AM1102" s="80"/>
      <c r="AN1102" s="80"/>
      <c r="AO1102" s="82">
        <v>44333.177546296298</v>
      </c>
      <c r="AP1102" s="87" t="str">
        <f>HYPERLINK("https://pbs.twimg.com/profile_banners/1394144343280128000/1627128061")</f>
        <v>https://pbs.twimg.com/profile_banners/1394144343280128000/1627128061</v>
      </c>
      <c r="AQ1102" s="80" t="b">
        <v>1</v>
      </c>
      <c r="AR1102" s="80" t="b">
        <v>0</v>
      </c>
      <c r="AS1102" s="80" t="b">
        <v>0</v>
      </c>
      <c r="AT1102" s="80"/>
      <c r="AU1102" s="80">
        <v>0</v>
      </c>
      <c r="AV1102" s="80"/>
      <c r="AW1102" s="80" t="b">
        <v>0</v>
      </c>
      <c r="AX1102" s="80" t="s">
        <v>10746</v>
      </c>
      <c r="AY1102" s="87" t="str">
        <f>HYPERLINK("https://twitter.com/anshaeyn")</f>
        <v>https://twitter.com/anshaeyn</v>
      </c>
      <c r="AZ1102" s="80" t="s">
        <v>66</v>
      </c>
      <c r="BA1102" s="2"/>
      <c r="BB1102" s="3"/>
      <c r="BC1102" s="3"/>
      <c r="BD1102" s="3"/>
      <c r="BE1102" s="3"/>
    </row>
    <row r="1103" spans="1:57" x14ac:dyDescent="0.35">
      <c r="A1103" s="66" t="s">
        <v>1086</v>
      </c>
      <c r="B1103" s="67"/>
      <c r="C1103" s="67"/>
      <c r="D1103" s="68"/>
      <c r="E1103" s="70"/>
      <c r="F1103" s="109" t="str">
        <f>HYPERLINK("https://pbs.twimg.com/profile_images/1407616852683935747/Iza4f9mP_normal.jpg")</f>
        <v>https://pbs.twimg.com/profile_images/1407616852683935747/Iza4f9mP_normal.jpg</v>
      </c>
      <c r="G1103" s="67"/>
      <c r="H1103" s="71"/>
      <c r="I1103" s="72"/>
      <c r="J1103" s="72"/>
      <c r="K1103" s="71" t="s">
        <v>11846</v>
      </c>
      <c r="L1103" s="75"/>
      <c r="M1103" s="76"/>
      <c r="N1103" s="76"/>
      <c r="O1103" s="77"/>
      <c r="P1103" s="78"/>
      <c r="Q1103" s="78"/>
      <c r="R1103" s="92"/>
      <c r="S1103" s="92"/>
      <c r="T1103" s="92"/>
      <c r="U1103" s="92"/>
      <c r="V1103" s="52"/>
      <c r="W1103" s="52"/>
      <c r="X1103" s="52"/>
      <c r="Y1103" s="52"/>
      <c r="Z1103" s="51"/>
      <c r="AA1103" s="73"/>
      <c r="AB1103" s="73"/>
      <c r="AC1103" s="74"/>
      <c r="AD1103" s="80" t="s">
        <v>7663</v>
      </c>
      <c r="AE1103" s="85" t="s">
        <v>6434</v>
      </c>
      <c r="AF1103" s="80">
        <v>590</v>
      </c>
      <c r="AG1103" s="80">
        <v>11925</v>
      </c>
      <c r="AH1103" s="80">
        <v>19280</v>
      </c>
      <c r="AI1103" s="80">
        <v>1468</v>
      </c>
      <c r="AJ1103" s="80"/>
      <c r="AK1103" s="80" t="s">
        <v>9939</v>
      </c>
      <c r="AL1103" s="80" t="s">
        <v>10642</v>
      </c>
      <c r="AM1103" s="87" t="str">
        <f>HYPERLINK("https://t.co/G8JKW3XuRA")</f>
        <v>https://t.co/G8JKW3XuRA</v>
      </c>
      <c r="AN1103" s="80"/>
      <c r="AO1103" s="82">
        <v>42564.186099537037</v>
      </c>
      <c r="AP1103" s="87" t="str">
        <f>HYPERLINK("https://pbs.twimg.com/profile_banners/753083526019514369/1624855906")</f>
        <v>https://pbs.twimg.com/profile_banners/753083526019514369/1624855906</v>
      </c>
      <c r="AQ1103" s="80" t="b">
        <v>0</v>
      </c>
      <c r="AR1103" s="80" t="b">
        <v>0</v>
      </c>
      <c r="AS1103" s="80" t="b">
        <v>1</v>
      </c>
      <c r="AT1103" s="80"/>
      <c r="AU1103" s="80">
        <v>35</v>
      </c>
      <c r="AV1103" s="87" t="str">
        <f>HYPERLINK("https://abs.twimg.com/images/themes/theme1/bg.png")</f>
        <v>https://abs.twimg.com/images/themes/theme1/bg.png</v>
      </c>
      <c r="AW1103" s="80" t="b">
        <v>0</v>
      </c>
      <c r="AX1103" s="80" t="s">
        <v>10746</v>
      </c>
      <c r="AY1103" s="87" t="str">
        <f>HYPERLINK("https://twitter.com/bandung_goid")</f>
        <v>https://twitter.com/bandung_goid</v>
      </c>
      <c r="AZ1103" s="80" t="s">
        <v>66</v>
      </c>
      <c r="BA1103" s="2"/>
      <c r="BB1103" s="3"/>
      <c r="BC1103" s="3"/>
      <c r="BD1103" s="3"/>
      <c r="BE1103" s="3"/>
    </row>
    <row r="1104" spans="1:57" x14ac:dyDescent="0.35">
      <c r="A1104" s="66" t="s">
        <v>1087</v>
      </c>
      <c r="B1104" s="67"/>
      <c r="C1104" s="67"/>
      <c r="D1104" s="68"/>
      <c r="E1104" s="70"/>
      <c r="F1104" s="109" t="str">
        <f>HYPERLINK("https://pbs.twimg.com/profile_images/1348465021190250500/poqw-sp__normal.jpg")</f>
        <v>https://pbs.twimg.com/profile_images/1348465021190250500/poqw-sp__normal.jpg</v>
      </c>
      <c r="G1104" s="67"/>
      <c r="H1104" s="71"/>
      <c r="I1104" s="72"/>
      <c r="J1104" s="72"/>
      <c r="K1104" s="71" t="s">
        <v>11847</v>
      </c>
      <c r="L1104" s="75"/>
      <c r="M1104" s="76"/>
      <c r="N1104" s="76"/>
      <c r="O1104" s="77"/>
      <c r="P1104" s="78"/>
      <c r="Q1104" s="78"/>
      <c r="R1104" s="92"/>
      <c r="S1104" s="92"/>
      <c r="T1104" s="92"/>
      <c r="U1104" s="92"/>
      <c r="V1104" s="52"/>
      <c r="W1104" s="52"/>
      <c r="X1104" s="52"/>
      <c r="Y1104" s="52"/>
      <c r="Z1104" s="51"/>
      <c r="AA1104" s="73"/>
      <c r="AB1104" s="73"/>
      <c r="AC1104" s="74"/>
      <c r="AD1104" s="80" t="s">
        <v>7664</v>
      </c>
      <c r="AE1104" s="85" t="s">
        <v>8779</v>
      </c>
      <c r="AF1104" s="80">
        <v>235</v>
      </c>
      <c r="AG1104" s="80">
        <v>149</v>
      </c>
      <c r="AH1104" s="80">
        <v>7191</v>
      </c>
      <c r="AI1104" s="80">
        <v>35</v>
      </c>
      <c r="AJ1104" s="80"/>
      <c r="AK1104" s="80" t="s">
        <v>9940</v>
      </c>
      <c r="AL1104" s="80"/>
      <c r="AM1104" s="80"/>
      <c r="AN1104" s="80"/>
      <c r="AO1104" s="82">
        <v>44207.12158564815</v>
      </c>
      <c r="AP1104" s="87" t="str">
        <f>HYPERLINK("https://pbs.twimg.com/profile_banners/1348463360296112132/1610334106")</f>
        <v>https://pbs.twimg.com/profile_banners/1348463360296112132/1610334106</v>
      </c>
      <c r="AQ1104" s="80" t="b">
        <v>1</v>
      </c>
      <c r="AR1104" s="80" t="b">
        <v>0</v>
      </c>
      <c r="AS1104" s="80" t="b">
        <v>1</v>
      </c>
      <c r="AT1104" s="80"/>
      <c r="AU1104" s="80">
        <v>0</v>
      </c>
      <c r="AV1104" s="80"/>
      <c r="AW1104" s="80" t="b">
        <v>0</v>
      </c>
      <c r="AX1104" s="80" t="s">
        <v>10746</v>
      </c>
      <c r="AY1104" s="87" t="str">
        <f>HYPERLINK("https://twitter.com/seputaran_bdg")</f>
        <v>https://twitter.com/seputaran_bdg</v>
      </c>
      <c r="AZ1104" s="80" t="s">
        <v>66</v>
      </c>
      <c r="BA1104" s="2"/>
      <c r="BB1104" s="3"/>
      <c r="BC1104" s="3"/>
      <c r="BD1104" s="3"/>
      <c r="BE1104" s="3"/>
    </row>
    <row r="1105" spans="1:57" x14ac:dyDescent="0.35">
      <c r="A1105" s="66" t="s">
        <v>1088</v>
      </c>
      <c r="B1105" s="67"/>
      <c r="C1105" s="67"/>
      <c r="D1105" s="68"/>
      <c r="E1105" s="70"/>
      <c r="F1105" s="109" t="str">
        <f>HYPERLINK("https://pbs.twimg.com/profile_images/1441759587959332870/8FmD5gU-_normal.jpg")</f>
        <v>https://pbs.twimg.com/profile_images/1441759587959332870/8FmD5gU-_normal.jpg</v>
      </c>
      <c r="G1105" s="67"/>
      <c r="H1105" s="71"/>
      <c r="I1105" s="72"/>
      <c r="J1105" s="72"/>
      <c r="K1105" s="71" t="s">
        <v>11848</v>
      </c>
      <c r="L1105" s="75"/>
      <c r="M1105" s="76"/>
      <c r="N1105" s="76"/>
      <c r="O1105" s="77"/>
      <c r="P1105" s="78"/>
      <c r="Q1105" s="78"/>
      <c r="R1105" s="92"/>
      <c r="S1105" s="92"/>
      <c r="T1105" s="92"/>
      <c r="U1105" s="92"/>
      <c r="V1105" s="52"/>
      <c r="W1105" s="52"/>
      <c r="X1105" s="52"/>
      <c r="Y1105" s="52"/>
      <c r="Z1105" s="51"/>
      <c r="AA1105" s="73"/>
      <c r="AB1105" s="73"/>
      <c r="AC1105" s="74"/>
      <c r="AD1105" s="80" t="s">
        <v>7665</v>
      </c>
      <c r="AE1105" s="85" t="s">
        <v>8780</v>
      </c>
      <c r="AF1105" s="80">
        <v>831</v>
      </c>
      <c r="AG1105" s="80">
        <v>849</v>
      </c>
      <c r="AH1105" s="80">
        <v>12890</v>
      </c>
      <c r="AI1105" s="80">
        <v>5225</v>
      </c>
      <c r="AJ1105" s="80"/>
      <c r="AK1105" s="80" t="s">
        <v>9941</v>
      </c>
      <c r="AL1105" s="80" t="s">
        <v>10660</v>
      </c>
      <c r="AM1105" s="80"/>
      <c r="AN1105" s="80"/>
      <c r="AO1105" s="82">
        <v>43978.906331018516</v>
      </c>
      <c r="AP1105" s="87" t="str">
        <f>HYPERLINK("https://pbs.twimg.com/profile_banners/1265760910997504001/1621954536")</f>
        <v>https://pbs.twimg.com/profile_banners/1265760910997504001/1621954536</v>
      </c>
      <c r="AQ1105" s="80" t="b">
        <v>1</v>
      </c>
      <c r="AR1105" s="80" t="b">
        <v>0</v>
      </c>
      <c r="AS1105" s="80" t="b">
        <v>0</v>
      </c>
      <c r="AT1105" s="80"/>
      <c r="AU1105" s="80">
        <v>0</v>
      </c>
      <c r="AV1105" s="80"/>
      <c r="AW1105" s="80" t="b">
        <v>0</v>
      </c>
      <c r="AX1105" s="80" t="s">
        <v>10746</v>
      </c>
      <c r="AY1105" s="87" t="str">
        <f>HYPERLINK("https://twitter.com/maretaprilmeiye")</f>
        <v>https://twitter.com/maretaprilmeiye</v>
      </c>
      <c r="AZ1105" s="80" t="s">
        <v>66</v>
      </c>
      <c r="BA1105" s="2"/>
      <c r="BB1105" s="3"/>
      <c r="BC1105" s="3"/>
      <c r="BD1105" s="3"/>
      <c r="BE1105" s="3"/>
    </row>
    <row r="1106" spans="1:57" x14ac:dyDescent="0.35">
      <c r="A1106" s="66" t="s">
        <v>1089</v>
      </c>
      <c r="B1106" s="67"/>
      <c r="C1106" s="67"/>
      <c r="D1106" s="68"/>
      <c r="E1106" s="70"/>
      <c r="F1106" s="109" t="str">
        <f>HYPERLINK("https://pbs.twimg.com/profile_images/824587246644781056/DSi8YqUS_normal.jpg")</f>
        <v>https://pbs.twimg.com/profile_images/824587246644781056/DSi8YqUS_normal.jpg</v>
      </c>
      <c r="G1106" s="67"/>
      <c r="H1106" s="71"/>
      <c r="I1106" s="72"/>
      <c r="J1106" s="72"/>
      <c r="K1106" s="71" t="s">
        <v>11849</v>
      </c>
      <c r="L1106" s="75"/>
      <c r="M1106" s="76"/>
      <c r="N1106" s="76"/>
      <c r="O1106" s="77"/>
      <c r="P1106" s="78"/>
      <c r="Q1106" s="78"/>
      <c r="R1106" s="92"/>
      <c r="S1106" s="92"/>
      <c r="T1106" s="92"/>
      <c r="U1106" s="92"/>
      <c r="V1106" s="52"/>
      <c r="W1106" s="52"/>
      <c r="X1106" s="52"/>
      <c r="Y1106" s="52"/>
      <c r="Z1106" s="51"/>
      <c r="AA1106" s="73"/>
      <c r="AB1106" s="73"/>
      <c r="AC1106" s="74"/>
      <c r="AD1106" s="80" t="s">
        <v>7666</v>
      </c>
      <c r="AE1106" s="85" t="s">
        <v>8781</v>
      </c>
      <c r="AF1106" s="80">
        <v>321</v>
      </c>
      <c r="AG1106" s="80">
        <v>188</v>
      </c>
      <c r="AH1106" s="80">
        <v>2303</v>
      </c>
      <c r="AI1106" s="80">
        <v>286</v>
      </c>
      <c r="AJ1106" s="80"/>
      <c r="AK1106" s="80" t="s">
        <v>9942</v>
      </c>
      <c r="AL1106" s="80" t="s">
        <v>10661</v>
      </c>
      <c r="AM1106" s="80"/>
      <c r="AN1106" s="80"/>
      <c r="AO1106" s="82">
        <v>42753.212766203702</v>
      </c>
      <c r="AP1106" s="87" t="str">
        <f>HYPERLINK("https://pbs.twimg.com/profile_banners/821584497376247808/1484716798")</f>
        <v>https://pbs.twimg.com/profile_banners/821584497376247808/1484716798</v>
      </c>
      <c r="AQ1106" s="80" t="b">
        <v>1</v>
      </c>
      <c r="AR1106" s="80" t="b">
        <v>0</v>
      </c>
      <c r="AS1106" s="80" t="b">
        <v>1</v>
      </c>
      <c r="AT1106" s="80"/>
      <c r="AU1106" s="80">
        <v>0</v>
      </c>
      <c r="AV1106" s="80"/>
      <c r="AW1106" s="80" t="b">
        <v>0</v>
      </c>
      <c r="AX1106" s="80" t="s">
        <v>10746</v>
      </c>
      <c r="AY1106" s="87" t="str">
        <f>HYPERLINK("https://twitter.com/imiblkpadang")</f>
        <v>https://twitter.com/imiblkpadang</v>
      </c>
      <c r="AZ1106" s="80" t="s">
        <v>66</v>
      </c>
      <c r="BA1106" s="2"/>
      <c r="BB1106" s="3"/>
      <c r="BC1106" s="3"/>
      <c r="BD1106" s="3"/>
      <c r="BE1106" s="3"/>
    </row>
    <row r="1107" spans="1:57" x14ac:dyDescent="0.35">
      <c r="A1107" s="66" t="s">
        <v>1090</v>
      </c>
      <c r="B1107" s="67"/>
      <c r="C1107" s="67"/>
      <c r="D1107" s="68"/>
      <c r="E1107" s="70"/>
      <c r="F1107" s="109" t="str">
        <f>HYPERLINK("https://pbs.twimg.com/profile_images/1356267149694656515/diGy_Eax_normal.jpg")</f>
        <v>https://pbs.twimg.com/profile_images/1356267149694656515/diGy_Eax_normal.jpg</v>
      </c>
      <c r="G1107" s="67"/>
      <c r="H1107" s="71"/>
      <c r="I1107" s="72"/>
      <c r="J1107" s="72"/>
      <c r="K1107" s="71" t="s">
        <v>11850</v>
      </c>
      <c r="L1107" s="75"/>
      <c r="M1107" s="76"/>
      <c r="N1107" s="76"/>
      <c r="O1107" s="77"/>
      <c r="P1107" s="78"/>
      <c r="Q1107" s="78"/>
      <c r="R1107" s="92"/>
      <c r="S1107" s="92"/>
      <c r="T1107" s="92"/>
      <c r="U1107" s="92"/>
      <c r="V1107" s="52"/>
      <c r="W1107" s="52"/>
      <c r="X1107" s="52"/>
      <c r="Y1107" s="52"/>
      <c r="Z1107" s="51"/>
      <c r="AA1107" s="73"/>
      <c r="AB1107" s="73"/>
      <c r="AC1107" s="74"/>
      <c r="AD1107" s="80" t="s">
        <v>7667</v>
      </c>
      <c r="AE1107" s="85" t="s">
        <v>8782</v>
      </c>
      <c r="AF1107" s="80">
        <v>653</v>
      </c>
      <c r="AG1107" s="80">
        <v>9353153</v>
      </c>
      <c r="AH1107" s="80">
        <v>33565</v>
      </c>
      <c r="AI1107" s="80">
        <v>756</v>
      </c>
      <c r="AJ1107" s="80"/>
      <c r="AK1107" s="80" t="s">
        <v>9943</v>
      </c>
      <c r="AL1107" s="80" t="s">
        <v>6543</v>
      </c>
      <c r="AM1107" s="87" t="str">
        <f>HYPERLINK("https://t.co/XzdFq7wlw9")</f>
        <v>https://t.co/XzdFq7wlw9</v>
      </c>
      <c r="AN1107" s="80"/>
      <c r="AO1107" s="82">
        <v>41406.500648148147</v>
      </c>
      <c r="AP1107" s="87" t="str">
        <f>HYPERLINK("https://pbs.twimg.com/profile_banners/1422951168/1585752887")</f>
        <v>https://pbs.twimg.com/profile_banners/1422951168/1585752887</v>
      </c>
      <c r="AQ1107" s="80" t="b">
        <v>0</v>
      </c>
      <c r="AR1107" s="80" t="b">
        <v>0</v>
      </c>
      <c r="AS1107" s="80" t="b">
        <v>1</v>
      </c>
      <c r="AT1107" s="80"/>
      <c r="AU1107" s="80">
        <v>1341</v>
      </c>
      <c r="AV1107" s="87" t="str">
        <f>HYPERLINK("https://abs.twimg.com/images/themes/theme14/bg.gif")</f>
        <v>https://abs.twimg.com/images/themes/theme14/bg.gif</v>
      </c>
      <c r="AW1107" s="80" t="b">
        <v>1</v>
      </c>
      <c r="AX1107" s="80" t="s">
        <v>10746</v>
      </c>
      <c r="AY1107" s="87" t="str">
        <f>HYPERLINK("https://twitter.com/fiersabesari")</f>
        <v>https://twitter.com/fiersabesari</v>
      </c>
      <c r="AZ1107" s="80" t="s">
        <v>66</v>
      </c>
      <c r="BA1107" s="2"/>
      <c r="BB1107" s="3"/>
      <c r="BC1107" s="3"/>
      <c r="BD1107" s="3"/>
      <c r="BE1107" s="3"/>
    </row>
    <row r="1108" spans="1:57" x14ac:dyDescent="0.35">
      <c r="A1108" s="66" t="s">
        <v>1091</v>
      </c>
      <c r="B1108" s="67"/>
      <c r="C1108" s="67"/>
      <c r="D1108" s="68"/>
      <c r="E1108" s="70"/>
      <c r="F1108" s="109" t="str">
        <f>HYPERLINK("https://pbs.twimg.com/profile_images/1362232870316613637/0ZhZ15at_normal.jpg")</f>
        <v>https://pbs.twimg.com/profile_images/1362232870316613637/0ZhZ15at_normal.jpg</v>
      </c>
      <c r="G1108" s="67"/>
      <c r="H1108" s="71"/>
      <c r="I1108" s="72"/>
      <c r="J1108" s="72"/>
      <c r="K1108" s="71" t="s">
        <v>11851</v>
      </c>
      <c r="L1108" s="75"/>
      <c r="M1108" s="76"/>
      <c r="N1108" s="76"/>
      <c r="O1108" s="77"/>
      <c r="P1108" s="78"/>
      <c r="Q1108" s="78"/>
      <c r="R1108" s="92"/>
      <c r="S1108" s="92"/>
      <c r="T1108" s="92"/>
      <c r="U1108" s="92"/>
      <c r="V1108" s="52"/>
      <c r="W1108" s="52"/>
      <c r="X1108" s="52"/>
      <c r="Y1108" s="52"/>
      <c r="Z1108" s="51"/>
      <c r="AA1108" s="73"/>
      <c r="AB1108" s="73"/>
      <c r="AC1108" s="74"/>
      <c r="AD1108" s="80" t="s">
        <v>7668</v>
      </c>
      <c r="AE1108" s="85" t="s">
        <v>6435</v>
      </c>
      <c r="AF1108" s="80">
        <v>140</v>
      </c>
      <c r="AG1108" s="80">
        <v>2613</v>
      </c>
      <c r="AH1108" s="80">
        <v>185</v>
      </c>
      <c r="AI1108" s="80">
        <v>186</v>
      </c>
      <c r="AJ1108" s="80"/>
      <c r="AK1108" s="80" t="s">
        <v>9944</v>
      </c>
      <c r="AL1108" s="80" t="s">
        <v>10662</v>
      </c>
      <c r="AM1108" s="87" t="str">
        <f>HYPERLINK("https://t.co/3GwHlUlt6W")</f>
        <v>https://t.co/3GwHlUlt6W</v>
      </c>
      <c r="AN1108" s="80"/>
      <c r="AO1108" s="82">
        <v>44245.075428240743</v>
      </c>
      <c r="AP1108" s="87" t="str">
        <f>HYPERLINK("https://pbs.twimg.com/profile_banners/1362217357729361923/1613616184")</f>
        <v>https://pbs.twimg.com/profile_banners/1362217357729361923/1613616184</v>
      </c>
      <c r="AQ1108" s="80" t="b">
        <v>1</v>
      </c>
      <c r="AR1108" s="80" t="b">
        <v>0</v>
      </c>
      <c r="AS1108" s="80" t="b">
        <v>1</v>
      </c>
      <c r="AT1108" s="80"/>
      <c r="AU1108" s="80">
        <v>0</v>
      </c>
      <c r="AV1108" s="80"/>
      <c r="AW1108" s="80" t="b">
        <v>0</v>
      </c>
      <c r="AX1108" s="80" t="s">
        <v>10746</v>
      </c>
      <c r="AY1108" s="87" t="str">
        <f>HYPERLINK("https://twitter.com/orangekampus")</f>
        <v>https://twitter.com/orangekampus</v>
      </c>
      <c r="AZ1108" s="80" t="s">
        <v>66</v>
      </c>
      <c r="BA1108" s="2"/>
      <c r="BB1108" s="3"/>
      <c r="BC1108" s="3"/>
      <c r="BD1108" s="3"/>
      <c r="BE1108" s="3"/>
    </row>
    <row r="1109" spans="1:57" x14ac:dyDescent="0.35">
      <c r="A1109" s="66" t="s">
        <v>1092</v>
      </c>
      <c r="B1109" s="67"/>
      <c r="C1109" s="67"/>
      <c r="D1109" s="68"/>
      <c r="E1109" s="70"/>
      <c r="F1109" s="109" t="str">
        <f>HYPERLINK("https://pbs.twimg.com/profile_images/1344874237849309186/whd1yYlX_normal.jpg")</f>
        <v>https://pbs.twimg.com/profile_images/1344874237849309186/whd1yYlX_normal.jpg</v>
      </c>
      <c r="G1109" s="67"/>
      <c r="H1109" s="71"/>
      <c r="I1109" s="72"/>
      <c r="J1109" s="72"/>
      <c r="K1109" s="71" t="s">
        <v>11852</v>
      </c>
      <c r="L1109" s="75"/>
      <c r="M1109" s="76"/>
      <c r="N1109" s="76"/>
      <c r="O1109" s="77"/>
      <c r="P1109" s="78"/>
      <c r="Q1109" s="78"/>
      <c r="R1109" s="92"/>
      <c r="S1109" s="92"/>
      <c r="T1109" s="92"/>
      <c r="U1109" s="92"/>
      <c r="V1109" s="52"/>
      <c r="W1109" s="52"/>
      <c r="X1109" s="52"/>
      <c r="Y1109" s="52"/>
      <c r="Z1109" s="51"/>
      <c r="AA1109" s="73"/>
      <c r="AB1109" s="73"/>
      <c r="AC1109" s="74"/>
      <c r="AD1109" s="80" t="s">
        <v>7669</v>
      </c>
      <c r="AE1109" s="85" t="s">
        <v>8783</v>
      </c>
      <c r="AF1109" s="80">
        <v>57</v>
      </c>
      <c r="AG1109" s="80">
        <v>151</v>
      </c>
      <c r="AH1109" s="80">
        <v>618</v>
      </c>
      <c r="AI1109" s="80">
        <v>12</v>
      </c>
      <c r="AJ1109" s="80"/>
      <c r="AK1109" s="80" t="s">
        <v>9945</v>
      </c>
      <c r="AL1109" s="80" t="s">
        <v>10663</v>
      </c>
      <c r="AM1109" s="87" t="str">
        <f>HYPERLINK("http://t.co/qheKpFE8mT")</f>
        <v>http://t.co/qheKpFE8mT</v>
      </c>
      <c r="AN1109" s="80"/>
      <c r="AO1109" s="82">
        <v>42159.292615740742</v>
      </c>
      <c r="AP1109" s="87" t="str">
        <f>HYPERLINK("https://pbs.twimg.com/profile_banners/3235730046/1622445183")</f>
        <v>https://pbs.twimg.com/profile_banners/3235730046/1622445183</v>
      </c>
      <c r="AQ1109" s="80" t="b">
        <v>0</v>
      </c>
      <c r="AR1109" s="80" t="b">
        <v>0</v>
      </c>
      <c r="AS1109" s="80" t="b">
        <v>0</v>
      </c>
      <c r="AT1109" s="80"/>
      <c r="AU1109" s="80">
        <v>2</v>
      </c>
      <c r="AV1109" s="87" t="str">
        <f>HYPERLINK("https://abs.twimg.com/images/themes/theme1/bg.png")</f>
        <v>https://abs.twimg.com/images/themes/theme1/bg.png</v>
      </c>
      <c r="AW1109" s="80" t="b">
        <v>0</v>
      </c>
      <c r="AX1109" s="80" t="s">
        <v>10746</v>
      </c>
      <c r="AY1109" s="87" t="str">
        <f>HYPERLINK("https://twitter.com/kamadjajaklog")</f>
        <v>https://twitter.com/kamadjajaklog</v>
      </c>
      <c r="AZ1109" s="80" t="s">
        <v>66</v>
      </c>
      <c r="BA1109" s="2"/>
      <c r="BB1109" s="3"/>
      <c r="BC1109" s="3"/>
      <c r="BD1109" s="3"/>
      <c r="BE1109" s="3"/>
    </row>
    <row r="1110" spans="1:57" x14ac:dyDescent="0.35">
      <c r="A1110" s="66" t="s">
        <v>1093</v>
      </c>
      <c r="B1110" s="67"/>
      <c r="C1110" s="67"/>
      <c r="D1110" s="68"/>
      <c r="E1110" s="70"/>
      <c r="F1110" s="109" t="str">
        <f>HYPERLINK("https://pbs.twimg.com/profile_images/1438887042457366531/ByfgPKJl_normal.jpg")</f>
        <v>https://pbs.twimg.com/profile_images/1438887042457366531/ByfgPKJl_normal.jpg</v>
      </c>
      <c r="G1110" s="67"/>
      <c r="H1110" s="71"/>
      <c r="I1110" s="72"/>
      <c r="J1110" s="72"/>
      <c r="K1110" s="71" t="s">
        <v>11853</v>
      </c>
      <c r="L1110" s="75"/>
      <c r="M1110" s="76"/>
      <c r="N1110" s="76"/>
      <c r="O1110" s="77"/>
      <c r="P1110" s="78"/>
      <c r="Q1110" s="78"/>
      <c r="R1110" s="92"/>
      <c r="S1110" s="92"/>
      <c r="T1110" s="92"/>
      <c r="U1110" s="92"/>
      <c r="V1110" s="52"/>
      <c r="W1110" s="52"/>
      <c r="X1110" s="52"/>
      <c r="Y1110" s="52"/>
      <c r="Z1110" s="51"/>
      <c r="AA1110" s="73"/>
      <c r="AB1110" s="73"/>
      <c r="AC1110" s="74"/>
      <c r="AD1110" s="80" t="s">
        <v>7670</v>
      </c>
      <c r="AE1110" s="85" t="s">
        <v>8784</v>
      </c>
      <c r="AF1110" s="80">
        <v>237</v>
      </c>
      <c r="AG1110" s="80">
        <v>108</v>
      </c>
      <c r="AH1110" s="80">
        <v>14172</v>
      </c>
      <c r="AI1110" s="80">
        <v>30883</v>
      </c>
      <c r="AJ1110" s="80"/>
      <c r="AK1110" s="80" t="s">
        <v>9946</v>
      </c>
      <c r="AL1110" s="80"/>
      <c r="AM1110" s="80"/>
      <c r="AN1110" s="80"/>
      <c r="AO1110" s="82">
        <v>44301.585775462961</v>
      </c>
      <c r="AP1110" s="87" t="str">
        <f>HYPERLINK("https://pbs.twimg.com/profile_banners/1382696043901562887/1618495722")</f>
        <v>https://pbs.twimg.com/profile_banners/1382696043901562887/1618495722</v>
      </c>
      <c r="AQ1110" s="80" t="b">
        <v>1</v>
      </c>
      <c r="AR1110" s="80" t="b">
        <v>0</v>
      </c>
      <c r="AS1110" s="80" t="b">
        <v>0</v>
      </c>
      <c r="AT1110" s="80"/>
      <c r="AU1110" s="80">
        <v>0</v>
      </c>
      <c r="AV1110" s="80"/>
      <c r="AW1110" s="80" t="b">
        <v>0</v>
      </c>
      <c r="AX1110" s="80" t="s">
        <v>10746</v>
      </c>
      <c r="AY1110" s="87" t="str">
        <f>HYPERLINK("https://twitter.com/linomeow_8")</f>
        <v>https://twitter.com/linomeow_8</v>
      </c>
      <c r="AZ1110" s="80" t="s">
        <v>66</v>
      </c>
      <c r="BA1110" s="2"/>
      <c r="BB1110" s="3"/>
      <c r="BC1110" s="3"/>
      <c r="BD1110" s="3"/>
      <c r="BE1110" s="3"/>
    </row>
    <row r="1111" spans="1:57" x14ac:dyDescent="0.35">
      <c r="A1111" s="66" t="s">
        <v>1094</v>
      </c>
      <c r="B1111" s="67"/>
      <c r="C1111" s="67"/>
      <c r="D1111" s="68"/>
      <c r="E1111" s="70"/>
      <c r="F1111" s="109" t="str">
        <f>HYPERLINK("https://pbs.twimg.com/profile_images/1413372885008191490/w57LDcAo_normal.jpg")</f>
        <v>https://pbs.twimg.com/profile_images/1413372885008191490/w57LDcAo_normal.jpg</v>
      </c>
      <c r="G1111" s="67"/>
      <c r="H1111" s="71"/>
      <c r="I1111" s="72"/>
      <c r="J1111" s="72"/>
      <c r="K1111" s="71" t="s">
        <v>11854</v>
      </c>
      <c r="L1111" s="75"/>
      <c r="M1111" s="76"/>
      <c r="N1111" s="76"/>
      <c r="O1111" s="77"/>
      <c r="P1111" s="78"/>
      <c r="Q1111" s="78"/>
      <c r="R1111" s="92"/>
      <c r="S1111" s="92"/>
      <c r="T1111" s="92"/>
      <c r="U1111" s="92"/>
      <c r="V1111" s="52"/>
      <c r="W1111" s="52"/>
      <c r="X1111" s="52"/>
      <c r="Y1111" s="52"/>
      <c r="Z1111" s="51"/>
      <c r="AA1111" s="73"/>
      <c r="AB1111" s="73"/>
      <c r="AC1111" s="74"/>
      <c r="AD1111" s="80" t="s">
        <v>7671</v>
      </c>
      <c r="AE1111" s="85" t="s">
        <v>8785</v>
      </c>
      <c r="AF1111" s="80">
        <v>927</v>
      </c>
      <c r="AG1111" s="80">
        <v>981</v>
      </c>
      <c r="AH1111" s="80">
        <v>45643</v>
      </c>
      <c r="AI1111" s="80">
        <v>69981</v>
      </c>
      <c r="AJ1111" s="80"/>
      <c r="AK1111" s="80" t="s">
        <v>9947</v>
      </c>
      <c r="AL1111" s="80" t="s">
        <v>10664</v>
      </c>
      <c r="AM1111" s="80"/>
      <c r="AN1111" s="80"/>
      <c r="AO1111" s="82">
        <v>42129.563171296293</v>
      </c>
      <c r="AP1111" s="87" t="str">
        <f>HYPERLINK("https://pbs.twimg.com/profile_banners/3186267121/1547298054")</f>
        <v>https://pbs.twimg.com/profile_banners/3186267121/1547298054</v>
      </c>
      <c r="AQ1111" s="80" t="b">
        <v>1</v>
      </c>
      <c r="AR1111" s="80" t="b">
        <v>0</v>
      </c>
      <c r="AS1111" s="80" t="b">
        <v>1</v>
      </c>
      <c r="AT1111" s="80"/>
      <c r="AU1111" s="80">
        <v>0</v>
      </c>
      <c r="AV1111" s="87" t="str">
        <f>HYPERLINK("https://abs.twimg.com/images/themes/theme1/bg.png")</f>
        <v>https://abs.twimg.com/images/themes/theme1/bg.png</v>
      </c>
      <c r="AW1111" s="80" t="b">
        <v>0</v>
      </c>
      <c r="AX1111" s="80" t="s">
        <v>10746</v>
      </c>
      <c r="AY1111" s="87" t="str">
        <f>HYPERLINK("https://twitter.com/ayoesfa")</f>
        <v>https://twitter.com/ayoesfa</v>
      </c>
      <c r="AZ1111" s="80" t="s">
        <v>66</v>
      </c>
      <c r="BA1111" s="2"/>
      <c r="BB1111" s="3"/>
      <c r="BC1111" s="3"/>
      <c r="BD1111" s="3"/>
      <c r="BE1111" s="3"/>
    </row>
    <row r="1112" spans="1:57" x14ac:dyDescent="0.35">
      <c r="A1112" s="66" t="s">
        <v>1095</v>
      </c>
      <c r="B1112" s="67"/>
      <c r="C1112" s="67"/>
      <c r="D1112" s="68"/>
      <c r="E1112" s="70"/>
      <c r="F1112" s="109" t="str">
        <f>HYPERLINK("https://pbs.twimg.com/profile_images/1318084356934492160/E-uVlcfM_normal.jpg")</f>
        <v>https://pbs.twimg.com/profile_images/1318084356934492160/E-uVlcfM_normal.jpg</v>
      </c>
      <c r="G1112" s="67"/>
      <c r="H1112" s="71"/>
      <c r="I1112" s="72"/>
      <c r="J1112" s="72"/>
      <c r="K1112" s="71" t="s">
        <v>11855</v>
      </c>
      <c r="L1112" s="75"/>
      <c r="M1112" s="76"/>
      <c r="N1112" s="76"/>
      <c r="O1112" s="77"/>
      <c r="P1112" s="78"/>
      <c r="Q1112" s="78"/>
      <c r="R1112" s="92"/>
      <c r="S1112" s="92"/>
      <c r="T1112" s="92"/>
      <c r="U1112" s="92"/>
      <c r="V1112" s="52"/>
      <c r="W1112" s="52"/>
      <c r="X1112" s="52"/>
      <c r="Y1112" s="52"/>
      <c r="Z1112" s="51"/>
      <c r="AA1112" s="73"/>
      <c r="AB1112" s="73"/>
      <c r="AC1112" s="74"/>
      <c r="AD1112" s="80" t="s">
        <v>7672</v>
      </c>
      <c r="AE1112" s="85" t="s">
        <v>8786</v>
      </c>
      <c r="AF1112" s="80">
        <v>66</v>
      </c>
      <c r="AG1112" s="80">
        <v>174</v>
      </c>
      <c r="AH1112" s="80">
        <v>1555</v>
      </c>
      <c r="AI1112" s="80">
        <v>6</v>
      </c>
      <c r="AJ1112" s="80"/>
      <c r="AK1112" s="80" t="s">
        <v>9948</v>
      </c>
      <c r="AL1112" s="80" t="s">
        <v>10665</v>
      </c>
      <c r="AM1112" s="87" t="str">
        <f>HYPERLINK("https://t.co/QeEuk1dAy0")</f>
        <v>https://t.co/QeEuk1dAy0</v>
      </c>
      <c r="AN1112" s="80"/>
      <c r="AO1112" s="82">
        <v>42514.067731481482</v>
      </c>
      <c r="AP1112" s="87" t="str">
        <f>HYPERLINK("https://pbs.twimg.com/profile_banners/734921238812889088/1603090775")</f>
        <v>https://pbs.twimg.com/profile_banners/734921238812889088/1603090775</v>
      </c>
      <c r="AQ1112" s="80" t="b">
        <v>0</v>
      </c>
      <c r="AR1112" s="80" t="b">
        <v>0</v>
      </c>
      <c r="AS1112" s="80" t="b">
        <v>0</v>
      </c>
      <c r="AT1112" s="80"/>
      <c r="AU1112" s="80">
        <v>0</v>
      </c>
      <c r="AV1112" s="87" t="str">
        <f>HYPERLINK("https://abs.twimg.com/images/themes/theme1/bg.png")</f>
        <v>https://abs.twimg.com/images/themes/theme1/bg.png</v>
      </c>
      <c r="AW1112" s="80" t="b">
        <v>0</v>
      </c>
      <c r="AX1112" s="80" t="s">
        <v>10746</v>
      </c>
      <c r="AY1112" s="87" t="str">
        <f>HYPERLINK("https://twitter.com/blksamarinda")</f>
        <v>https://twitter.com/blksamarinda</v>
      </c>
      <c r="AZ1112" s="80" t="s">
        <v>66</v>
      </c>
      <c r="BA1112" s="2"/>
      <c r="BB1112" s="3"/>
      <c r="BC1112" s="3"/>
      <c r="BD1112" s="3"/>
      <c r="BE1112" s="3"/>
    </row>
    <row r="1113" spans="1:57" x14ac:dyDescent="0.35">
      <c r="A1113" s="66" t="s">
        <v>1096</v>
      </c>
      <c r="B1113" s="67"/>
      <c r="C1113" s="67"/>
      <c r="D1113" s="68"/>
      <c r="E1113" s="70"/>
      <c r="F1113" s="109" t="str">
        <f>HYPERLINK("https://pbs.twimg.com/profile_images/1242383179350065152/O3fhw54O_normal.jpg")</f>
        <v>https://pbs.twimg.com/profile_images/1242383179350065152/O3fhw54O_normal.jpg</v>
      </c>
      <c r="G1113" s="67"/>
      <c r="H1113" s="71"/>
      <c r="I1113" s="72"/>
      <c r="J1113" s="72"/>
      <c r="K1113" s="71" t="s">
        <v>11856</v>
      </c>
      <c r="L1113" s="75"/>
      <c r="M1113" s="76"/>
      <c r="N1113" s="76"/>
      <c r="O1113" s="77"/>
      <c r="P1113" s="78"/>
      <c r="Q1113" s="78"/>
      <c r="R1113" s="92"/>
      <c r="S1113" s="92"/>
      <c r="T1113" s="92"/>
      <c r="U1113" s="92"/>
      <c r="V1113" s="52"/>
      <c r="W1113" s="52"/>
      <c r="X1113" s="52"/>
      <c r="Y1113" s="52"/>
      <c r="Z1113" s="51"/>
      <c r="AA1113" s="73"/>
      <c r="AB1113" s="73"/>
      <c r="AC1113" s="74"/>
      <c r="AD1113" s="80" t="s">
        <v>7673</v>
      </c>
      <c r="AE1113" s="85" t="s">
        <v>8787</v>
      </c>
      <c r="AF1113" s="80">
        <v>298</v>
      </c>
      <c r="AG1113" s="80">
        <v>412</v>
      </c>
      <c r="AH1113" s="80">
        <v>12205</v>
      </c>
      <c r="AI1113" s="80">
        <v>167</v>
      </c>
      <c r="AJ1113" s="80"/>
      <c r="AK1113" s="80" t="s">
        <v>9949</v>
      </c>
      <c r="AL1113" s="80" t="s">
        <v>10666</v>
      </c>
      <c r="AM1113" s="87" t="str">
        <f>HYPERLINK("https://t.co/GnQ0KIdpW1")</f>
        <v>https://t.co/GnQ0KIdpW1</v>
      </c>
      <c r="AN1113" s="80"/>
      <c r="AO1113" s="82">
        <v>41085.127835648149</v>
      </c>
      <c r="AP1113" s="87" t="str">
        <f>HYPERLINK("https://pbs.twimg.com/profile_banners/617711432/1596615641")</f>
        <v>https://pbs.twimg.com/profile_banners/617711432/1596615641</v>
      </c>
      <c r="AQ1113" s="80" t="b">
        <v>0</v>
      </c>
      <c r="AR1113" s="80" t="b">
        <v>0</v>
      </c>
      <c r="AS1113" s="80" t="b">
        <v>1</v>
      </c>
      <c r="AT1113" s="80"/>
      <c r="AU1113" s="80">
        <v>2</v>
      </c>
      <c r="AV1113" s="87" t="str">
        <f>HYPERLINK("https://abs.twimg.com/images/themes/theme1/bg.png")</f>
        <v>https://abs.twimg.com/images/themes/theme1/bg.png</v>
      </c>
      <c r="AW1113" s="80" t="b">
        <v>0</v>
      </c>
      <c r="AX1113" s="80" t="s">
        <v>10746</v>
      </c>
      <c r="AY1113" s="87" t="str">
        <f>HYPERLINK("https://twitter.com/officialwasa48")</f>
        <v>https://twitter.com/officialwasa48</v>
      </c>
      <c r="AZ1113" s="80" t="s">
        <v>66</v>
      </c>
      <c r="BA1113" s="2"/>
      <c r="BB1113" s="3"/>
      <c r="BC1113" s="3"/>
      <c r="BD1113" s="3"/>
      <c r="BE1113" s="3"/>
    </row>
    <row r="1114" spans="1:57" x14ac:dyDescent="0.35">
      <c r="A1114" s="66" t="s">
        <v>1097</v>
      </c>
      <c r="B1114" s="67"/>
      <c r="C1114" s="67"/>
      <c r="D1114" s="68"/>
      <c r="E1114" s="70"/>
      <c r="F1114" s="109" t="str">
        <f>HYPERLINK("https://pbs.twimg.com/profile_images/1384345978673762306/ZBRmx35b_normal.jpg")</f>
        <v>https://pbs.twimg.com/profile_images/1384345978673762306/ZBRmx35b_normal.jpg</v>
      </c>
      <c r="G1114" s="67"/>
      <c r="H1114" s="71"/>
      <c r="I1114" s="72"/>
      <c r="J1114" s="72"/>
      <c r="K1114" s="71" t="s">
        <v>11857</v>
      </c>
      <c r="L1114" s="75"/>
      <c r="M1114" s="76"/>
      <c r="N1114" s="76"/>
      <c r="O1114" s="77"/>
      <c r="P1114" s="78"/>
      <c r="Q1114" s="78"/>
      <c r="R1114" s="92"/>
      <c r="S1114" s="92"/>
      <c r="T1114" s="92"/>
      <c r="U1114" s="92"/>
      <c r="V1114" s="52"/>
      <c r="W1114" s="52"/>
      <c r="X1114" s="52"/>
      <c r="Y1114" s="52"/>
      <c r="Z1114" s="51"/>
      <c r="AA1114" s="73"/>
      <c r="AB1114" s="73"/>
      <c r="AC1114" s="74"/>
      <c r="AD1114" s="80" t="s">
        <v>6678</v>
      </c>
      <c r="AE1114" s="85" t="s">
        <v>8788</v>
      </c>
      <c r="AF1114" s="80">
        <v>0</v>
      </c>
      <c r="AG1114" s="80">
        <v>114</v>
      </c>
      <c r="AH1114" s="80">
        <v>77469</v>
      </c>
      <c r="AI1114" s="80">
        <v>10</v>
      </c>
      <c r="AJ1114" s="80"/>
      <c r="AK1114" s="80"/>
      <c r="AL1114" s="80"/>
      <c r="AM1114" s="80"/>
      <c r="AN1114" s="80"/>
      <c r="AO1114" s="82">
        <v>44229.087175925924</v>
      </c>
      <c r="AP1114" s="80"/>
      <c r="AQ1114" s="80" t="b">
        <v>1</v>
      </c>
      <c r="AR1114" s="80" t="b">
        <v>0</v>
      </c>
      <c r="AS1114" s="80" t="b">
        <v>0</v>
      </c>
      <c r="AT1114" s="80"/>
      <c r="AU1114" s="80">
        <v>0</v>
      </c>
      <c r="AV1114" s="80"/>
      <c r="AW1114" s="80" t="b">
        <v>0</v>
      </c>
      <c r="AX1114" s="80" t="s">
        <v>10746</v>
      </c>
      <c r="AY1114" s="87" t="str">
        <f>HYPERLINK("https://twitter.com/lebotquidittg")</f>
        <v>https://twitter.com/lebotquidittg</v>
      </c>
      <c r="AZ1114" s="80" t="s">
        <v>66</v>
      </c>
      <c r="BA1114" s="2"/>
      <c r="BB1114" s="3"/>
      <c r="BC1114" s="3"/>
      <c r="BD1114" s="3"/>
      <c r="BE1114" s="3"/>
    </row>
    <row r="1115" spans="1:57" x14ac:dyDescent="0.35">
      <c r="A1115" s="66" t="s">
        <v>1098</v>
      </c>
      <c r="B1115" s="67"/>
      <c r="C1115" s="67"/>
      <c r="D1115" s="68"/>
      <c r="E1115" s="70"/>
      <c r="F1115" s="109" t="str">
        <f>HYPERLINK("https://pbs.twimg.com/profile_images/1414270484380741634/DA0fINeu_normal.jpg")</f>
        <v>https://pbs.twimg.com/profile_images/1414270484380741634/DA0fINeu_normal.jpg</v>
      </c>
      <c r="G1115" s="67"/>
      <c r="H1115" s="71"/>
      <c r="I1115" s="72"/>
      <c r="J1115" s="72"/>
      <c r="K1115" s="71" t="s">
        <v>11858</v>
      </c>
      <c r="L1115" s="75"/>
      <c r="M1115" s="76"/>
      <c r="N1115" s="76"/>
      <c r="O1115" s="77"/>
      <c r="P1115" s="78"/>
      <c r="Q1115" s="78"/>
      <c r="R1115" s="92"/>
      <c r="S1115" s="92"/>
      <c r="T1115" s="92"/>
      <c r="U1115" s="92"/>
      <c r="V1115" s="52"/>
      <c r="W1115" s="52"/>
      <c r="X1115" s="52"/>
      <c r="Y1115" s="52"/>
      <c r="Z1115" s="51"/>
      <c r="AA1115" s="73"/>
      <c r="AB1115" s="73"/>
      <c r="AC1115" s="74"/>
      <c r="AD1115" s="80" t="s">
        <v>7674</v>
      </c>
      <c r="AE1115" s="85" t="s">
        <v>8789</v>
      </c>
      <c r="AF1115" s="80">
        <v>755</v>
      </c>
      <c r="AG1115" s="80">
        <v>1349</v>
      </c>
      <c r="AH1115" s="80">
        <v>17883</v>
      </c>
      <c r="AI1115" s="80">
        <v>18072</v>
      </c>
      <c r="AJ1115" s="80"/>
      <c r="AK1115" s="80" t="s">
        <v>9950</v>
      </c>
      <c r="AL1115" s="80" t="s">
        <v>10667</v>
      </c>
      <c r="AM1115" s="80"/>
      <c r="AN1115" s="80"/>
      <c r="AO1115" s="82">
        <v>44090.441365740742</v>
      </c>
      <c r="AP1115" s="87" t="str">
        <f>HYPERLINK("https://pbs.twimg.com/profile_banners/1306179689271058433/1624947172")</f>
        <v>https://pbs.twimg.com/profile_banners/1306179689271058433/1624947172</v>
      </c>
      <c r="AQ1115" s="80" t="b">
        <v>1</v>
      </c>
      <c r="AR1115" s="80" t="b">
        <v>0</v>
      </c>
      <c r="AS1115" s="80" t="b">
        <v>0</v>
      </c>
      <c r="AT1115" s="80"/>
      <c r="AU1115" s="80">
        <v>0</v>
      </c>
      <c r="AV1115" s="80"/>
      <c r="AW1115" s="80" t="b">
        <v>0</v>
      </c>
      <c r="AX1115" s="80" t="s">
        <v>10746</v>
      </c>
      <c r="AY1115" s="87" t="str">
        <f>HYPERLINK("https://twitter.com/jk_daulay")</f>
        <v>https://twitter.com/jk_daulay</v>
      </c>
      <c r="AZ1115" s="80" t="s">
        <v>66</v>
      </c>
      <c r="BA1115" s="2"/>
      <c r="BB1115" s="3"/>
      <c r="BC1115" s="3"/>
      <c r="BD1115" s="3"/>
      <c r="BE1115" s="3"/>
    </row>
    <row r="1116" spans="1:57" x14ac:dyDescent="0.35">
      <c r="A1116" s="66" t="s">
        <v>1161</v>
      </c>
      <c r="B1116" s="67"/>
      <c r="C1116" s="67"/>
      <c r="D1116" s="68"/>
      <c r="E1116" s="70"/>
      <c r="F1116" s="109" t="str">
        <f>HYPERLINK("https://pbs.twimg.com/profile_images/770443674945589252/RAQ_NcQP_normal.jpg")</f>
        <v>https://pbs.twimg.com/profile_images/770443674945589252/RAQ_NcQP_normal.jpg</v>
      </c>
      <c r="G1116" s="67"/>
      <c r="H1116" s="71"/>
      <c r="I1116" s="72"/>
      <c r="J1116" s="72"/>
      <c r="K1116" s="71" t="s">
        <v>11859</v>
      </c>
      <c r="L1116" s="75"/>
      <c r="M1116" s="76"/>
      <c r="N1116" s="76"/>
      <c r="O1116" s="77"/>
      <c r="P1116" s="78"/>
      <c r="Q1116" s="78"/>
      <c r="R1116" s="92"/>
      <c r="S1116" s="92"/>
      <c r="T1116" s="92"/>
      <c r="U1116" s="92"/>
      <c r="V1116" s="52"/>
      <c r="W1116" s="52"/>
      <c r="X1116" s="52"/>
      <c r="Y1116" s="52"/>
      <c r="Z1116" s="51"/>
      <c r="AA1116" s="73"/>
      <c r="AB1116" s="73"/>
      <c r="AC1116" s="74"/>
      <c r="AD1116" s="80" t="s">
        <v>7675</v>
      </c>
      <c r="AE1116" s="85" t="s">
        <v>8790</v>
      </c>
      <c r="AF1116" s="80">
        <v>7</v>
      </c>
      <c r="AG1116" s="80">
        <v>1672563</v>
      </c>
      <c r="AH1116" s="80">
        <v>67587</v>
      </c>
      <c r="AI1116" s="80">
        <v>3179</v>
      </c>
      <c r="AJ1116" s="80"/>
      <c r="AK1116" s="80" t="s">
        <v>9951</v>
      </c>
      <c r="AL1116" s="80"/>
      <c r="AM1116" s="87" t="str">
        <f>HYPERLINK("https://t.co/QfFpuMyAxv")</f>
        <v>https://t.co/QfFpuMyAxv</v>
      </c>
      <c r="AN1116" s="80"/>
      <c r="AO1116" s="82">
        <v>40297.169652777775</v>
      </c>
      <c r="AP1116" s="87" t="str">
        <f>HYPERLINK("https://pbs.twimg.com/profile_banners/138290629/1632567662")</f>
        <v>https://pbs.twimg.com/profile_banners/138290629/1632567662</v>
      </c>
      <c r="AQ1116" s="80" t="b">
        <v>0</v>
      </c>
      <c r="AR1116" s="80" t="b">
        <v>0</v>
      </c>
      <c r="AS1116" s="80" t="b">
        <v>1</v>
      </c>
      <c r="AT1116" s="80"/>
      <c r="AU1116" s="80">
        <v>765</v>
      </c>
      <c r="AV1116" s="87" t="str">
        <f>HYPERLINK("https://abs.twimg.com/images/themes/theme1/bg.png")</f>
        <v>https://abs.twimg.com/images/themes/theme1/bg.png</v>
      </c>
      <c r="AW1116" s="80" t="b">
        <v>1</v>
      </c>
      <c r="AX1116" s="80" t="s">
        <v>10746</v>
      </c>
      <c r="AY1116" s="87" t="str">
        <f>HYPERLINK("https://twitter.com/divhumas_polri")</f>
        <v>https://twitter.com/divhumas_polri</v>
      </c>
      <c r="AZ1116" s="80" t="s">
        <v>66</v>
      </c>
      <c r="BA1116" s="2"/>
      <c r="BB1116" s="3"/>
      <c r="BC1116" s="3"/>
      <c r="BD1116" s="3"/>
      <c r="BE1116" s="3"/>
    </row>
    <row r="1117" spans="1:57" x14ac:dyDescent="0.35">
      <c r="A1117" s="66" t="s">
        <v>1099</v>
      </c>
      <c r="B1117" s="67"/>
      <c r="C1117" s="67"/>
      <c r="D1117" s="68"/>
      <c r="E1117" s="70"/>
      <c r="F1117" s="109" t="str">
        <f>HYPERLINK("https://pbs.twimg.com/profile_images/1441617394024148992/khRUQFfb_normal.jpg")</f>
        <v>https://pbs.twimg.com/profile_images/1441617394024148992/khRUQFfb_normal.jpg</v>
      </c>
      <c r="G1117" s="67"/>
      <c r="H1117" s="71"/>
      <c r="I1117" s="72"/>
      <c r="J1117" s="72"/>
      <c r="K1117" s="71" t="s">
        <v>11860</v>
      </c>
      <c r="L1117" s="75"/>
      <c r="M1117" s="76"/>
      <c r="N1117" s="76"/>
      <c r="O1117" s="77"/>
      <c r="P1117" s="78"/>
      <c r="Q1117" s="78"/>
      <c r="R1117" s="92"/>
      <c r="S1117" s="92"/>
      <c r="T1117" s="92"/>
      <c r="U1117" s="92"/>
      <c r="V1117" s="52"/>
      <c r="W1117" s="52"/>
      <c r="X1117" s="52"/>
      <c r="Y1117" s="52"/>
      <c r="Z1117" s="51"/>
      <c r="AA1117" s="73"/>
      <c r="AB1117" s="73"/>
      <c r="AC1117" s="74"/>
      <c r="AD1117" s="80" t="s">
        <v>7676</v>
      </c>
      <c r="AE1117" s="85" t="s">
        <v>8791</v>
      </c>
      <c r="AF1117" s="80">
        <v>1413</v>
      </c>
      <c r="AG1117" s="80">
        <v>1417</v>
      </c>
      <c r="AH1117" s="80">
        <v>12447</v>
      </c>
      <c r="AI1117" s="80">
        <v>9618</v>
      </c>
      <c r="AJ1117" s="80"/>
      <c r="AK1117" s="80" t="s">
        <v>9952</v>
      </c>
      <c r="AL1117" s="80" t="s">
        <v>10325</v>
      </c>
      <c r="AM1117" s="80"/>
      <c r="AN1117" s="80"/>
      <c r="AO1117" s="82">
        <v>44381.537465277775</v>
      </c>
      <c r="AP1117" s="87" t="str">
        <f>HYPERLINK("https://pbs.twimg.com/profile_banners/1411669511988645897/1626626331")</f>
        <v>https://pbs.twimg.com/profile_banners/1411669511988645897/1626626331</v>
      </c>
      <c r="AQ1117" s="80" t="b">
        <v>1</v>
      </c>
      <c r="AR1117" s="80" t="b">
        <v>0</v>
      </c>
      <c r="AS1117" s="80" t="b">
        <v>0</v>
      </c>
      <c r="AT1117" s="80"/>
      <c r="AU1117" s="80">
        <v>0</v>
      </c>
      <c r="AV1117" s="80"/>
      <c r="AW1117" s="80" t="b">
        <v>0</v>
      </c>
      <c r="AX1117" s="80" t="s">
        <v>10746</v>
      </c>
      <c r="AY1117" s="87" t="str">
        <f>HYPERLINK("https://twitter.com/1_shieldnkri")</f>
        <v>https://twitter.com/1_shieldnkri</v>
      </c>
      <c r="AZ1117" s="80" t="s">
        <v>66</v>
      </c>
      <c r="BA1117" s="2"/>
      <c r="BB1117" s="3"/>
      <c r="BC1117" s="3"/>
      <c r="BD1117" s="3"/>
      <c r="BE1117" s="3"/>
    </row>
    <row r="1118" spans="1:57" x14ac:dyDescent="0.35">
      <c r="A1118" s="66" t="s">
        <v>1100</v>
      </c>
      <c r="B1118" s="67"/>
      <c r="C1118" s="67"/>
      <c r="D1118" s="68"/>
      <c r="E1118" s="70"/>
      <c r="F1118" s="109" t="str">
        <f>HYPERLINK("https://pbs.twimg.com/profile_images/1325284844755017728/I_MCZKhj_normal.jpg")</f>
        <v>https://pbs.twimg.com/profile_images/1325284844755017728/I_MCZKhj_normal.jpg</v>
      </c>
      <c r="G1118" s="67"/>
      <c r="H1118" s="71"/>
      <c r="I1118" s="72"/>
      <c r="J1118" s="72"/>
      <c r="K1118" s="71" t="s">
        <v>11861</v>
      </c>
      <c r="L1118" s="75"/>
      <c r="M1118" s="76"/>
      <c r="N1118" s="76"/>
      <c r="O1118" s="77"/>
      <c r="P1118" s="78"/>
      <c r="Q1118" s="78"/>
      <c r="R1118" s="92"/>
      <c r="S1118" s="92"/>
      <c r="T1118" s="92"/>
      <c r="U1118" s="92"/>
      <c r="V1118" s="52"/>
      <c r="W1118" s="52"/>
      <c r="X1118" s="52"/>
      <c r="Y1118" s="52"/>
      <c r="Z1118" s="51"/>
      <c r="AA1118" s="73"/>
      <c r="AB1118" s="73"/>
      <c r="AC1118" s="74"/>
      <c r="AD1118" s="80" t="s">
        <v>7677</v>
      </c>
      <c r="AE1118" s="85" t="s">
        <v>8792</v>
      </c>
      <c r="AF1118" s="80">
        <v>125</v>
      </c>
      <c r="AG1118" s="80">
        <v>144</v>
      </c>
      <c r="AH1118" s="80">
        <v>4803</v>
      </c>
      <c r="AI1118" s="80">
        <v>4</v>
      </c>
      <c r="AJ1118" s="80"/>
      <c r="AK1118" s="80" t="s">
        <v>9953</v>
      </c>
      <c r="AL1118" s="80" t="s">
        <v>10668</v>
      </c>
      <c r="AM1118" s="80"/>
      <c r="AN1118" s="80"/>
      <c r="AO1118" s="82">
        <v>39983.101736111108</v>
      </c>
      <c r="AP1118" s="87" t="str">
        <f>HYPERLINK("https://pbs.twimg.com/profile_banners/48580057/1361285117")</f>
        <v>https://pbs.twimg.com/profile_banners/48580057/1361285117</v>
      </c>
      <c r="AQ1118" s="80" t="b">
        <v>0</v>
      </c>
      <c r="AR1118" s="80" t="b">
        <v>0</v>
      </c>
      <c r="AS1118" s="80" t="b">
        <v>1</v>
      </c>
      <c r="AT1118" s="80"/>
      <c r="AU1118" s="80">
        <v>1</v>
      </c>
      <c r="AV1118" s="87" t="str">
        <f>HYPERLINK("https://abs.twimg.com/images/themes/theme9/bg.gif")</f>
        <v>https://abs.twimg.com/images/themes/theme9/bg.gif</v>
      </c>
      <c r="AW1118" s="80" t="b">
        <v>0</v>
      </c>
      <c r="AX1118" s="80" t="s">
        <v>10746</v>
      </c>
      <c r="AY1118" s="87" t="str">
        <f>HYPERLINK("https://twitter.com/jeeennn")</f>
        <v>https://twitter.com/jeeennn</v>
      </c>
      <c r="AZ1118" s="80" t="s">
        <v>66</v>
      </c>
      <c r="BA1118" s="2"/>
      <c r="BB1118" s="3"/>
      <c r="BC1118" s="3"/>
      <c r="BD1118" s="3"/>
      <c r="BE1118" s="3"/>
    </row>
    <row r="1119" spans="1:57" x14ac:dyDescent="0.35">
      <c r="A1119" s="66" t="s">
        <v>1101</v>
      </c>
      <c r="B1119" s="67"/>
      <c r="C1119" s="67"/>
      <c r="D1119" s="68"/>
      <c r="E1119" s="70"/>
      <c r="F1119" s="109" t="str">
        <f>HYPERLINK("https://pbs.twimg.com/profile_images/1438654617303195648/_04zcRcQ_normal.jpg")</f>
        <v>https://pbs.twimg.com/profile_images/1438654617303195648/_04zcRcQ_normal.jpg</v>
      </c>
      <c r="G1119" s="67"/>
      <c r="H1119" s="71"/>
      <c r="I1119" s="72"/>
      <c r="J1119" s="72"/>
      <c r="K1119" s="71" t="s">
        <v>11862</v>
      </c>
      <c r="L1119" s="75"/>
      <c r="M1119" s="76"/>
      <c r="N1119" s="76"/>
      <c r="O1119" s="77"/>
      <c r="P1119" s="78"/>
      <c r="Q1119" s="78"/>
      <c r="R1119" s="92"/>
      <c r="S1119" s="92"/>
      <c r="T1119" s="92"/>
      <c r="U1119" s="92"/>
      <c r="V1119" s="52"/>
      <c r="W1119" s="52"/>
      <c r="X1119" s="52"/>
      <c r="Y1119" s="52"/>
      <c r="Z1119" s="51"/>
      <c r="AA1119" s="73"/>
      <c r="AB1119" s="73"/>
      <c r="AC1119" s="74"/>
      <c r="AD1119" s="80" t="s">
        <v>7678</v>
      </c>
      <c r="AE1119" s="85" t="s">
        <v>8793</v>
      </c>
      <c r="AF1119" s="80">
        <v>16</v>
      </c>
      <c r="AG1119" s="80">
        <v>1</v>
      </c>
      <c r="AH1119" s="80">
        <v>106</v>
      </c>
      <c r="AI1119" s="80">
        <v>136</v>
      </c>
      <c r="AJ1119" s="80"/>
      <c r="AK1119" s="80" t="s">
        <v>9954</v>
      </c>
      <c r="AL1119" s="80" t="s">
        <v>10174</v>
      </c>
      <c r="AM1119" s="80"/>
      <c r="AN1119" s="80"/>
      <c r="AO1119" s="82">
        <v>44325.335914351854</v>
      </c>
      <c r="AP1119" s="80"/>
      <c r="AQ1119" s="80" t="b">
        <v>1</v>
      </c>
      <c r="AR1119" s="80" t="b">
        <v>0</v>
      </c>
      <c r="AS1119" s="80" t="b">
        <v>0</v>
      </c>
      <c r="AT1119" s="80"/>
      <c r="AU1119" s="80">
        <v>0</v>
      </c>
      <c r="AV1119" s="80"/>
      <c r="AW1119" s="80" t="b">
        <v>0</v>
      </c>
      <c r="AX1119" s="80" t="s">
        <v>10746</v>
      </c>
      <c r="AY1119" s="87" t="str">
        <f>HYPERLINK("https://twitter.com/felixsuryadi2")</f>
        <v>https://twitter.com/felixsuryadi2</v>
      </c>
      <c r="AZ1119" s="80" t="s">
        <v>66</v>
      </c>
      <c r="BA1119" s="2"/>
      <c r="BB1119" s="3"/>
      <c r="BC1119" s="3"/>
      <c r="BD1119" s="3"/>
      <c r="BE1119" s="3"/>
    </row>
    <row r="1120" spans="1:57" x14ac:dyDescent="0.35">
      <c r="A1120" s="66" t="s">
        <v>1102</v>
      </c>
      <c r="B1120" s="67"/>
      <c r="C1120" s="67"/>
      <c r="D1120" s="68"/>
      <c r="E1120" s="70"/>
      <c r="F1120" s="109" t="str">
        <f>HYPERLINK("https://pbs.twimg.com/profile_images/701035821852327936/HhgVMI6K_normal.jpg")</f>
        <v>https://pbs.twimg.com/profile_images/701035821852327936/HhgVMI6K_normal.jpg</v>
      </c>
      <c r="G1120" s="67"/>
      <c r="H1120" s="71"/>
      <c r="I1120" s="72"/>
      <c r="J1120" s="72"/>
      <c r="K1120" s="71" t="s">
        <v>11863</v>
      </c>
      <c r="L1120" s="75"/>
      <c r="M1120" s="76"/>
      <c r="N1120" s="76"/>
      <c r="O1120" s="77"/>
      <c r="P1120" s="78"/>
      <c r="Q1120" s="78"/>
      <c r="R1120" s="92"/>
      <c r="S1120" s="92"/>
      <c r="T1120" s="92"/>
      <c r="U1120" s="92"/>
      <c r="V1120" s="52"/>
      <c r="W1120" s="52"/>
      <c r="X1120" s="52"/>
      <c r="Y1120" s="52"/>
      <c r="Z1120" s="51"/>
      <c r="AA1120" s="73"/>
      <c r="AB1120" s="73"/>
      <c r="AC1120" s="74"/>
      <c r="AD1120" s="80" t="s">
        <v>7679</v>
      </c>
      <c r="AE1120" s="85" t="s">
        <v>6436</v>
      </c>
      <c r="AF1120" s="80">
        <v>438</v>
      </c>
      <c r="AG1120" s="80">
        <v>806</v>
      </c>
      <c r="AH1120" s="80">
        <v>10842</v>
      </c>
      <c r="AI1120" s="80">
        <v>636</v>
      </c>
      <c r="AJ1120" s="80"/>
      <c r="AK1120" s="80" t="s">
        <v>9955</v>
      </c>
      <c r="AL1120" s="80" t="s">
        <v>10669</v>
      </c>
      <c r="AM1120" s="87" t="str">
        <f>HYPERLINK("https://t.co/BrLE7Sdmlu")</f>
        <v>https://t.co/BrLE7Sdmlu</v>
      </c>
      <c r="AN1120" s="80"/>
      <c r="AO1120" s="82">
        <v>40959.630995370368</v>
      </c>
      <c r="AP1120" s="87" t="str">
        <f>HYPERLINK("https://pbs.twimg.com/profile_banners/497965344/1627545721")</f>
        <v>https://pbs.twimg.com/profile_banners/497965344/1627545721</v>
      </c>
      <c r="AQ1120" s="80" t="b">
        <v>0</v>
      </c>
      <c r="AR1120" s="80" t="b">
        <v>0</v>
      </c>
      <c r="AS1120" s="80" t="b">
        <v>1</v>
      </c>
      <c r="AT1120" s="80"/>
      <c r="AU1120" s="80">
        <v>0</v>
      </c>
      <c r="AV1120" s="87" t="str">
        <f>HYPERLINK("https://abs.twimg.com/images/themes/theme8/bg.gif")</f>
        <v>https://abs.twimg.com/images/themes/theme8/bg.gif</v>
      </c>
      <c r="AW1120" s="80" t="b">
        <v>0</v>
      </c>
      <c r="AX1120" s="80" t="s">
        <v>10746</v>
      </c>
      <c r="AY1120" s="87" t="str">
        <f>HYPERLINK("https://twitter.com/himapefsi")</f>
        <v>https://twitter.com/himapefsi</v>
      </c>
      <c r="AZ1120" s="80" t="s">
        <v>66</v>
      </c>
      <c r="BA1120" s="2"/>
      <c r="BB1120" s="3"/>
      <c r="BC1120" s="3"/>
      <c r="BD1120" s="3"/>
      <c r="BE1120" s="3"/>
    </row>
    <row r="1121" spans="1:57" x14ac:dyDescent="0.35">
      <c r="A1121" s="66" t="s">
        <v>1103</v>
      </c>
      <c r="B1121" s="67"/>
      <c r="C1121" s="67"/>
      <c r="D1121" s="68"/>
      <c r="E1121" s="70"/>
      <c r="F1121" s="109" t="str">
        <f>HYPERLINK("https://pbs.twimg.com/profile_images/1372668865113550857/YJqIXx3s_normal.jpg")</f>
        <v>https://pbs.twimg.com/profile_images/1372668865113550857/YJqIXx3s_normal.jpg</v>
      </c>
      <c r="G1121" s="67"/>
      <c r="H1121" s="71"/>
      <c r="I1121" s="72"/>
      <c r="J1121" s="72"/>
      <c r="K1121" s="71" t="s">
        <v>11864</v>
      </c>
      <c r="L1121" s="75"/>
      <c r="M1121" s="76"/>
      <c r="N1121" s="76"/>
      <c r="O1121" s="77"/>
      <c r="P1121" s="78"/>
      <c r="Q1121" s="78"/>
      <c r="R1121" s="92"/>
      <c r="S1121" s="92"/>
      <c r="T1121" s="92"/>
      <c r="U1121" s="92"/>
      <c r="V1121" s="52"/>
      <c r="W1121" s="52"/>
      <c r="X1121" s="52"/>
      <c r="Y1121" s="52"/>
      <c r="Z1121" s="51"/>
      <c r="AA1121" s="73"/>
      <c r="AB1121" s="73"/>
      <c r="AC1121" s="74"/>
      <c r="AD1121" s="80" t="s">
        <v>7680</v>
      </c>
      <c r="AE1121" s="85" t="s">
        <v>8794</v>
      </c>
      <c r="AF1121" s="80">
        <v>679</v>
      </c>
      <c r="AG1121" s="80">
        <v>591</v>
      </c>
      <c r="AH1121" s="80">
        <v>2144</v>
      </c>
      <c r="AI1121" s="80">
        <v>3461</v>
      </c>
      <c r="AJ1121" s="80"/>
      <c r="AK1121" s="80" t="s">
        <v>9956</v>
      </c>
      <c r="AL1121" s="80"/>
      <c r="AM1121" s="80"/>
      <c r="AN1121" s="80"/>
      <c r="AO1121" s="82">
        <v>44269.298564814817</v>
      </c>
      <c r="AP1121" s="80"/>
      <c r="AQ1121" s="80" t="b">
        <v>1</v>
      </c>
      <c r="AR1121" s="80" t="b">
        <v>0</v>
      </c>
      <c r="AS1121" s="80" t="b">
        <v>0</v>
      </c>
      <c r="AT1121" s="80"/>
      <c r="AU1121" s="80">
        <v>0</v>
      </c>
      <c r="AV1121" s="80"/>
      <c r="AW1121" s="80" t="b">
        <v>0</v>
      </c>
      <c r="AX1121" s="80" t="s">
        <v>10746</v>
      </c>
      <c r="AY1121" s="87" t="str">
        <f>HYPERLINK("https://twitter.com/tatakamu_")</f>
        <v>https://twitter.com/tatakamu_</v>
      </c>
      <c r="AZ1121" s="80" t="s">
        <v>66</v>
      </c>
      <c r="BA1121" s="2"/>
      <c r="BB1121" s="3"/>
      <c r="BC1121" s="3"/>
      <c r="BD1121" s="3"/>
      <c r="BE1121" s="3"/>
    </row>
    <row r="1122" spans="1:57" x14ac:dyDescent="0.35">
      <c r="A1122" s="66" t="s">
        <v>1104</v>
      </c>
      <c r="B1122" s="67"/>
      <c r="C1122" s="67"/>
      <c r="D1122" s="68"/>
      <c r="E1122" s="70"/>
      <c r="F1122" s="109" t="str">
        <f>HYPERLINK("https://pbs.twimg.com/profile_images/807161703083352064/x7hzYdrs_normal.jpg")</f>
        <v>https://pbs.twimg.com/profile_images/807161703083352064/x7hzYdrs_normal.jpg</v>
      </c>
      <c r="G1122" s="67"/>
      <c r="H1122" s="71"/>
      <c r="I1122" s="72"/>
      <c r="J1122" s="72"/>
      <c r="K1122" s="71" t="s">
        <v>11865</v>
      </c>
      <c r="L1122" s="75"/>
      <c r="M1122" s="76"/>
      <c r="N1122" s="76"/>
      <c r="O1122" s="77"/>
      <c r="P1122" s="78"/>
      <c r="Q1122" s="78"/>
      <c r="R1122" s="92"/>
      <c r="S1122" s="92"/>
      <c r="T1122" s="92"/>
      <c r="U1122" s="92"/>
      <c r="V1122" s="52"/>
      <c r="W1122" s="52"/>
      <c r="X1122" s="52"/>
      <c r="Y1122" s="52"/>
      <c r="Z1122" s="51"/>
      <c r="AA1122" s="73"/>
      <c r="AB1122" s="73"/>
      <c r="AC1122" s="74"/>
      <c r="AD1122" s="80" t="s">
        <v>7681</v>
      </c>
      <c r="AE1122" s="85" t="s">
        <v>8795</v>
      </c>
      <c r="AF1122" s="80">
        <v>225</v>
      </c>
      <c r="AG1122" s="80">
        <v>278</v>
      </c>
      <c r="AH1122" s="80">
        <v>3954</v>
      </c>
      <c r="AI1122" s="80">
        <v>38</v>
      </c>
      <c r="AJ1122" s="80"/>
      <c r="AK1122" s="80" t="s">
        <v>9957</v>
      </c>
      <c r="AL1122" s="80"/>
      <c r="AM1122" s="80"/>
      <c r="AN1122" s="80"/>
      <c r="AO1122" s="82">
        <v>41240.296226851853</v>
      </c>
      <c r="AP1122" s="87" t="str">
        <f>HYPERLINK("https://pbs.twimg.com/profile_banners/973407552/1417236011")</f>
        <v>https://pbs.twimg.com/profile_banners/973407552/1417236011</v>
      </c>
      <c r="AQ1122" s="80" t="b">
        <v>0</v>
      </c>
      <c r="AR1122" s="80" t="b">
        <v>0</v>
      </c>
      <c r="AS1122" s="80" t="b">
        <v>0</v>
      </c>
      <c r="AT1122" s="80"/>
      <c r="AU1122" s="80">
        <v>0</v>
      </c>
      <c r="AV1122" s="87" t="str">
        <f>HYPERLINK("https://abs.twimg.com/images/themes/theme10/bg.gif")</f>
        <v>https://abs.twimg.com/images/themes/theme10/bg.gif</v>
      </c>
      <c r="AW1122" s="80" t="b">
        <v>0</v>
      </c>
      <c r="AX1122" s="80" t="s">
        <v>10746</v>
      </c>
      <c r="AY1122" s="87" t="str">
        <f>HYPERLINK("https://twitter.com/tanthiaa")</f>
        <v>https://twitter.com/tanthiaa</v>
      </c>
      <c r="AZ1122" s="80" t="s">
        <v>66</v>
      </c>
      <c r="BA1122" s="2"/>
      <c r="BB1122" s="3"/>
      <c r="BC1122" s="3"/>
      <c r="BD1122" s="3"/>
      <c r="BE1122" s="3"/>
    </row>
    <row r="1123" spans="1:57" x14ac:dyDescent="0.35">
      <c r="A1123" s="66" t="s">
        <v>1105</v>
      </c>
      <c r="B1123" s="67"/>
      <c r="C1123" s="67"/>
      <c r="D1123" s="68"/>
      <c r="E1123" s="70"/>
      <c r="F1123" s="109" t="str">
        <f>HYPERLINK("https://pbs.twimg.com/profile_images/1429390876141182976/A7VJh4dT_normal.jpg")</f>
        <v>https://pbs.twimg.com/profile_images/1429390876141182976/A7VJh4dT_normal.jpg</v>
      </c>
      <c r="G1123" s="67"/>
      <c r="H1123" s="71"/>
      <c r="I1123" s="72"/>
      <c r="J1123" s="72"/>
      <c r="K1123" s="71" t="s">
        <v>11866</v>
      </c>
      <c r="L1123" s="75"/>
      <c r="M1123" s="76"/>
      <c r="N1123" s="76"/>
      <c r="O1123" s="77"/>
      <c r="P1123" s="78"/>
      <c r="Q1123" s="78"/>
      <c r="R1123" s="92"/>
      <c r="S1123" s="92"/>
      <c r="T1123" s="92"/>
      <c r="U1123" s="92"/>
      <c r="V1123" s="52"/>
      <c r="W1123" s="52"/>
      <c r="X1123" s="52"/>
      <c r="Y1123" s="52"/>
      <c r="Z1123" s="51"/>
      <c r="AA1123" s="73"/>
      <c r="AB1123" s="73"/>
      <c r="AC1123" s="74"/>
      <c r="AD1123" s="80" t="s">
        <v>7682</v>
      </c>
      <c r="AE1123" s="85" t="s">
        <v>6437</v>
      </c>
      <c r="AF1123" s="80">
        <v>2</v>
      </c>
      <c r="AG1123" s="80">
        <v>350</v>
      </c>
      <c r="AH1123" s="80">
        <v>935</v>
      </c>
      <c r="AI1123" s="80">
        <v>4</v>
      </c>
      <c r="AJ1123" s="80"/>
      <c r="AK1123" s="80" t="s">
        <v>9958</v>
      </c>
      <c r="AL1123" s="80" t="s">
        <v>10134</v>
      </c>
      <c r="AM1123" s="87" t="str">
        <f>HYPERLINK("https://t.co/iDrNPakVZx")</f>
        <v>https://t.co/iDrNPakVZx</v>
      </c>
      <c r="AN1123" s="80"/>
      <c r="AO1123" s="82">
        <v>44363.469675925924</v>
      </c>
      <c r="AP1123" s="87" t="str">
        <f>HYPERLINK("https://pbs.twimg.com/profile_banners/1405122014076047360/1625416111")</f>
        <v>https://pbs.twimg.com/profile_banners/1405122014076047360/1625416111</v>
      </c>
      <c r="AQ1123" s="80" t="b">
        <v>1</v>
      </c>
      <c r="AR1123" s="80" t="b">
        <v>0</v>
      </c>
      <c r="AS1123" s="80" t="b">
        <v>0</v>
      </c>
      <c r="AT1123" s="80"/>
      <c r="AU1123" s="80">
        <v>0</v>
      </c>
      <c r="AV1123" s="80"/>
      <c r="AW1123" s="80" t="b">
        <v>0</v>
      </c>
      <c r="AX1123" s="80" t="s">
        <v>10746</v>
      </c>
      <c r="AY1123" s="87" t="str">
        <f>HYPERLINK("https://twitter.com/samsatdigital")</f>
        <v>https://twitter.com/samsatdigital</v>
      </c>
      <c r="AZ1123" s="80" t="s">
        <v>66</v>
      </c>
      <c r="BA1123" s="2"/>
      <c r="BB1123" s="3"/>
      <c r="BC1123" s="3"/>
      <c r="BD1123" s="3"/>
      <c r="BE1123" s="3"/>
    </row>
    <row r="1124" spans="1:57" x14ac:dyDescent="0.35">
      <c r="A1124" s="66" t="s">
        <v>1106</v>
      </c>
      <c r="B1124" s="67"/>
      <c r="C1124" s="67"/>
      <c r="D1124" s="68"/>
      <c r="E1124" s="70"/>
      <c r="F1124" s="109" t="str">
        <f>HYPERLINK("https://pbs.twimg.com/profile_images/545339852753862657/E3Ek6fq0_normal.jpeg")</f>
        <v>https://pbs.twimg.com/profile_images/545339852753862657/E3Ek6fq0_normal.jpeg</v>
      </c>
      <c r="G1124" s="67"/>
      <c r="H1124" s="71"/>
      <c r="I1124" s="72"/>
      <c r="J1124" s="72"/>
      <c r="K1124" s="71" t="s">
        <v>11867</v>
      </c>
      <c r="L1124" s="75"/>
      <c r="M1124" s="76"/>
      <c r="N1124" s="76"/>
      <c r="O1124" s="77"/>
      <c r="P1124" s="78"/>
      <c r="Q1124" s="78"/>
      <c r="R1124" s="92"/>
      <c r="S1124" s="92"/>
      <c r="T1124" s="92"/>
      <c r="U1124" s="92"/>
      <c r="V1124" s="52"/>
      <c r="W1124" s="52"/>
      <c r="X1124" s="52"/>
      <c r="Y1124" s="52"/>
      <c r="Z1124" s="51"/>
      <c r="AA1124" s="73"/>
      <c r="AB1124" s="73"/>
      <c r="AC1124" s="74"/>
      <c r="AD1124" s="80" t="s">
        <v>7683</v>
      </c>
      <c r="AE1124" s="85" t="s">
        <v>8796</v>
      </c>
      <c r="AF1124" s="80">
        <v>170</v>
      </c>
      <c r="AG1124" s="80">
        <v>69</v>
      </c>
      <c r="AH1124" s="80">
        <v>43</v>
      </c>
      <c r="AI1124" s="80">
        <v>4</v>
      </c>
      <c r="AJ1124" s="80"/>
      <c r="AK1124" s="80"/>
      <c r="AL1124" s="80"/>
      <c r="AM1124" s="80"/>
      <c r="AN1124" s="80"/>
      <c r="AO1124" s="82">
        <v>41665.251793981479</v>
      </c>
      <c r="AP1124" s="87" t="str">
        <f>HYPERLINK("https://pbs.twimg.com/profile_banners/2311336056/1390717682")</f>
        <v>https://pbs.twimg.com/profile_banners/2311336056/1390717682</v>
      </c>
      <c r="AQ1124" s="80" t="b">
        <v>1</v>
      </c>
      <c r="AR1124" s="80" t="b">
        <v>0</v>
      </c>
      <c r="AS1124" s="80" t="b">
        <v>0</v>
      </c>
      <c r="AT1124" s="80"/>
      <c r="AU1124" s="80">
        <v>0</v>
      </c>
      <c r="AV1124" s="87" t="str">
        <f>HYPERLINK("https://abs.twimg.com/images/themes/theme1/bg.png")</f>
        <v>https://abs.twimg.com/images/themes/theme1/bg.png</v>
      </c>
      <c r="AW1124" s="80" t="b">
        <v>0</v>
      </c>
      <c r="AX1124" s="80" t="s">
        <v>10746</v>
      </c>
      <c r="AY1124" s="87" t="str">
        <f>HYPERLINK("https://twitter.com/dickowijaya")</f>
        <v>https://twitter.com/dickowijaya</v>
      </c>
      <c r="AZ1124" s="80" t="s">
        <v>66</v>
      </c>
      <c r="BA1124" s="2"/>
      <c r="BB1124" s="3"/>
      <c r="BC1124" s="3"/>
      <c r="BD1124" s="3"/>
      <c r="BE1124" s="3"/>
    </row>
    <row r="1125" spans="1:57" x14ac:dyDescent="0.35">
      <c r="A1125" s="66" t="s">
        <v>1107</v>
      </c>
      <c r="B1125" s="67"/>
      <c r="C1125" s="67"/>
      <c r="D1125" s="68"/>
      <c r="E1125" s="70"/>
      <c r="F1125" s="109" t="str">
        <f>HYPERLINK("https://pbs.twimg.com/profile_images/1440453373854060552/h_ne3y-q_normal.jpg")</f>
        <v>https://pbs.twimg.com/profile_images/1440453373854060552/h_ne3y-q_normal.jpg</v>
      </c>
      <c r="G1125" s="67"/>
      <c r="H1125" s="71"/>
      <c r="I1125" s="72"/>
      <c r="J1125" s="72"/>
      <c r="K1125" s="71" t="s">
        <v>11868</v>
      </c>
      <c r="L1125" s="75"/>
      <c r="M1125" s="76"/>
      <c r="N1125" s="76"/>
      <c r="O1125" s="77"/>
      <c r="P1125" s="78"/>
      <c r="Q1125" s="78"/>
      <c r="R1125" s="92"/>
      <c r="S1125" s="92"/>
      <c r="T1125" s="92"/>
      <c r="U1125" s="92"/>
      <c r="V1125" s="52"/>
      <c r="W1125" s="52"/>
      <c r="X1125" s="52"/>
      <c r="Y1125" s="52"/>
      <c r="Z1125" s="51"/>
      <c r="AA1125" s="73"/>
      <c r="AB1125" s="73"/>
      <c r="AC1125" s="74"/>
      <c r="AD1125" s="80" t="s">
        <v>7684</v>
      </c>
      <c r="AE1125" s="85" t="s">
        <v>8797</v>
      </c>
      <c r="AF1125" s="80">
        <v>201</v>
      </c>
      <c r="AG1125" s="80">
        <v>129</v>
      </c>
      <c r="AH1125" s="80">
        <v>99</v>
      </c>
      <c r="AI1125" s="80">
        <v>60</v>
      </c>
      <c r="AJ1125" s="80"/>
      <c r="AK1125" s="80" t="s">
        <v>9959</v>
      </c>
      <c r="AL1125" s="80"/>
      <c r="AM1125" s="80"/>
      <c r="AN1125" s="80"/>
      <c r="AO1125" s="82">
        <v>44460.959363425929</v>
      </c>
      <c r="AP1125" s="87" t="str">
        <f>HYPERLINK("https://pbs.twimg.com/profile_banners/1440451102466404352/1632265821")</f>
        <v>https://pbs.twimg.com/profile_banners/1440451102466404352/1632265821</v>
      </c>
      <c r="AQ1125" s="80" t="b">
        <v>1</v>
      </c>
      <c r="AR1125" s="80" t="b">
        <v>0</v>
      </c>
      <c r="AS1125" s="80" t="b">
        <v>0</v>
      </c>
      <c r="AT1125" s="80"/>
      <c r="AU1125" s="80">
        <v>0</v>
      </c>
      <c r="AV1125" s="80"/>
      <c r="AW1125" s="80" t="b">
        <v>0</v>
      </c>
      <c r="AX1125" s="80" t="s">
        <v>10746</v>
      </c>
      <c r="AY1125" s="87" t="str">
        <f>HYPERLINK("https://twitter.com/rizaldiyos1")</f>
        <v>https://twitter.com/rizaldiyos1</v>
      </c>
      <c r="AZ1125" s="80" t="s">
        <v>66</v>
      </c>
      <c r="BA1125" s="2"/>
      <c r="BB1125" s="3"/>
      <c r="BC1125" s="3"/>
      <c r="BD1125" s="3"/>
      <c r="BE1125" s="3"/>
    </row>
    <row r="1126" spans="1:57" x14ac:dyDescent="0.35">
      <c r="A1126" s="66" t="s">
        <v>1109</v>
      </c>
      <c r="B1126" s="67"/>
      <c r="C1126" s="67"/>
      <c r="D1126" s="68"/>
      <c r="E1126" s="70"/>
      <c r="F1126" s="109" t="str">
        <f>HYPERLINK("https://pbs.twimg.com/profile_images/1440383078766026758/3YbfG6NR_normal.jpg")</f>
        <v>https://pbs.twimg.com/profile_images/1440383078766026758/3YbfG6NR_normal.jpg</v>
      </c>
      <c r="G1126" s="67"/>
      <c r="H1126" s="71"/>
      <c r="I1126" s="72"/>
      <c r="J1126" s="72"/>
      <c r="K1126" s="71" t="s">
        <v>11869</v>
      </c>
      <c r="L1126" s="75"/>
      <c r="M1126" s="76"/>
      <c r="N1126" s="76"/>
      <c r="O1126" s="77"/>
      <c r="P1126" s="78"/>
      <c r="Q1126" s="78"/>
      <c r="R1126" s="92"/>
      <c r="S1126" s="92"/>
      <c r="T1126" s="92"/>
      <c r="U1126" s="92"/>
      <c r="V1126" s="52"/>
      <c r="W1126" s="52"/>
      <c r="X1126" s="52"/>
      <c r="Y1126" s="52"/>
      <c r="Z1126" s="51"/>
      <c r="AA1126" s="73"/>
      <c r="AB1126" s="73"/>
      <c r="AC1126" s="74"/>
      <c r="AD1126" s="80" t="s">
        <v>7685</v>
      </c>
      <c r="AE1126" s="85" t="s">
        <v>8798</v>
      </c>
      <c r="AF1126" s="80">
        <v>378</v>
      </c>
      <c r="AG1126" s="80">
        <v>359</v>
      </c>
      <c r="AH1126" s="80">
        <v>6894</v>
      </c>
      <c r="AI1126" s="80">
        <v>8227</v>
      </c>
      <c r="AJ1126" s="80"/>
      <c r="AK1126" s="80" t="s">
        <v>9960</v>
      </c>
      <c r="AL1126" s="80"/>
      <c r="AM1126" s="80"/>
      <c r="AN1126" s="80"/>
      <c r="AO1126" s="82">
        <v>44142.476215277777</v>
      </c>
      <c r="AP1126" s="87" t="str">
        <f>HYPERLINK("https://pbs.twimg.com/profile_banners/1325036539835899904/1604911009")</f>
        <v>https://pbs.twimg.com/profile_banners/1325036539835899904/1604911009</v>
      </c>
      <c r="AQ1126" s="80" t="b">
        <v>1</v>
      </c>
      <c r="AR1126" s="80" t="b">
        <v>0</v>
      </c>
      <c r="AS1126" s="80" t="b">
        <v>0</v>
      </c>
      <c r="AT1126" s="80"/>
      <c r="AU1126" s="80">
        <v>0</v>
      </c>
      <c r="AV1126" s="80"/>
      <c r="AW1126" s="80" t="b">
        <v>0</v>
      </c>
      <c r="AX1126" s="80" t="s">
        <v>10746</v>
      </c>
      <c r="AY1126" s="87" t="str">
        <f>HYPERLINK("https://twitter.com/silakmu")</f>
        <v>https://twitter.com/silakmu</v>
      </c>
      <c r="AZ1126" s="80" t="s">
        <v>66</v>
      </c>
      <c r="BA1126" s="2"/>
      <c r="BB1126" s="3"/>
      <c r="BC1126" s="3"/>
      <c r="BD1126" s="3"/>
      <c r="BE1126" s="3"/>
    </row>
    <row r="1127" spans="1:57" x14ac:dyDescent="0.35">
      <c r="A1127" s="66" t="s">
        <v>1110</v>
      </c>
      <c r="B1127" s="67"/>
      <c r="C1127" s="67"/>
      <c r="D1127" s="68"/>
      <c r="E1127" s="70"/>
      <c r="F1127" s="109" t="str">
        <f>HYPERLINK("https://pbs.twimg.com/profile_images/1441076876873650181/jpBV8Ta7_normal.jpg")</f>
        <v>https://pbs.twimg.com/profile_images/1441076876873650181/jpBV8Ta7_normal.jpg</v>
      </c>
      <c r="G1127" s="67"/>
      <c r="H1127" s="71"/>
      <c r="I1127" s="72"/>
      <c r="J1127" s="72"/>
      <c r="K1127" s="71" t="s">
        <v>11870</v>
      </c>
      <c r="L1127" s="75"/>
      <c r="M1127" s="76"/>
      <c r="N1127" s="76"/>
      <c r="O1127" s="77"/>
      <c r="P1127" s="78"/>
      <c r="Q1127" s="78"/>
      <c r="R1127" s="92"/>
      <c r="S1127" s="92"/>
      <c r="T1127" s="92"/>
      <c r="U1127" s="92"/>
      <c r="V1127" s="52"/>
      <c r="W1127" s="52"/>
      <c r="X1127" s="52"/>
      <c r="Y1127" s="52"/>
      <c r="Z1127" s="51"/>
      <c r="AA1127" s="73"/>
      <c r="AB1127" s="73"/>
      <c r="AC1127" s="74"/>
      <c r="AD1127" s="80" t="s">
        <v>7686</v>
      </c>
      <c r="AE1127" s="85" t="s">
        <v>8799</v>
      </c>
      <c r="AF1127" s="80">
        <v>465</v>
      </c>
      <c r="AG1127" s="80">
        <v>99</v>
      </c>
      <c r="AH1127" s="80">
        <v>8290</v>
      </c>
      <c r="AI1127" s="80">
        <v>4088</v>
      </c>
      <c r="AJ1127" s="80"/>
      <c r="AK1127" s="80" t="s">
        <v>9961</v>
      </c>
      <c r="AL1127" s="80"/>
      <c r="AM1127" s="87" t="str">
        <f>HYPERLINK("https://t.co/nbDOUd7MRu")</f>
        <v>https://t.co/nbDOUd7MRu</v>
      </c>
      <c r="AN1127" s="80"/>
      <c r="AO1127" s="82">
        <v>42753.660694444443</v>
      </c>
      <c r="AP1127" s="87" t="str">
        <f>HYPERLINK("https://pbs.twimg.com/profile_banners/821746821441556480/1621764702")</f>
        <v>https://pbs.twimg.com/profile_banners/821746821441556480/1621764702</v>
      </c>
      <c r="AQ1127" s="80" t="b">
        <v>0</v>
      </c>
      <c r="AR1127" s="80" t="b">
        <v>0</v>
      </c>
      <c r="AS1127" s="80" t="b">
        <v>0</v>
      </c>
      <c r="AT1127" s="80"/>
      <c r="AU1127" s="80">
        <v>0</v>
      </c>
      <c r="AV1127" s="87" t="str">
        <f>HYPERLINK("https://abs.twimg.com/images/themes/theme1/bg.png")</f>
        <v>https://abs.twimg.com/images/themes/theme1/bg.png</v>
      </c>
      <c r="AW1127" s="80" t="b">
        <v>0</v>
      </c>
      <c r="AX1127" s="80" t="s">
        <v>10746</v>
      </c>
      <c r="AY1127" s="87" t="str">
        <f>HYPERLINK("https://twitter.com/x4riph0bi4")</f>
        <v>https://twitter.com/x4riph0bi4</v>
      </c>
      <c r="AZ1127" s="80" t="s">
        <v>66</v>
      </c>
      <c r="BA1127" s="2"/>
      <c r="BB1127" s="3"/>
      <c r="BC1127" s="3"/>
      <c r="BD1127" s="3"/>
      <c r="BE1127" s="3"/>
    </row>
    <row r="1128" spans="1:57" x14ac:dyDescent="0.35">
      <c r="A1128" s="66" t="s">
        <v>1111</v>
      </c>
      <c r="B1128" s="67"/>
      <c r="C1128" s="67"/>
      <c r="D1128" s="68"/>
      <c r="E1128" s="70"/>
      <c r="F1128" s="109" t="str">
        <f>HYPERLINK("https://pbs.twimg.com/profile_images/1356232949130092553/JusP7dq9_normal.png")</f>
        <v>https://pbs.twimg.com/profile_images/1356232949130092553/JusP7dq9_normal.png</v>
      </c>
      <c r="G1128" s="67"/>
      <c r="H1128" s="71"/>
      <c r="I1128" s="72"/>
      <c r="J1128" s="72"/>
      <c r="K1128" s="71" t="s">
        <v>11871</v>
      </c>
      <c r="L1128" s="75"/>
      <c r="M1128" s="76"/>
      <c r="N1128" s="76"/>
      <c r="O1128" s="77"/>
      <c r="P1128" s="78"/>
      <c r="Q1128" s="78"/>
      <c r="R1128" s="92"/>
      <c r="S1128" s="92"/>
      <c r="T1128" s="92"/>
      <c r="U1128" s="92"/>
      <c r="V1128" s="52"/>
      <c r="W1128" s="52"/>
      <c r="X1128" s="52"/>
      <c r="Y1128" s="52"/>
      <c r="Z1128" s="51"/>
      <c r="AA1128" s="73"/>
      <c r="AB1128" s="73"/>
      <c r="AC1128" s="74"/>
      <c r="AD1128" s="80" t="s">
        <v>7687</v>
      </c>
      <c r="AE1128" s="85" t="s">
        <v>6438</v>
      </c>
      <c r="AF1128" s="80">
        <v>0</v>
      </c>
      <c r="AG1128" s="80">
        <v>8</v>
      </c>
      <c r="AH1128" s="80">
        <v>263</v>
      </c>
      <c r="AI1128" s="80">
        <v>1</v>
      </c>
      <c r="AJ1128" s="80"/>
      <c r="AK1128" s="80" t="s">
        <v>9962</v>
      </c>
      <c r="AL1128" s="80" t="s">
        <v>10670</v>
      </c>
      <c r="AM1128" s="87" t="str">
        <f>HYPERLINK("https://t.co/4vVfwidjfr")</f>
        <v>https://t.co/4vVfwidjfr</v>
      </c>
      <c r="AN1128" s="80"/>
      <c r="AO1128" s="82">
        <v>44228.553773148145</v>
      </c>
      <c r="AP1128" s="80"/>
      <c r="AQ1128" s="80" t="b">
        <v>1</v>
      </c>
      <c r="AR1128" s="80" t="b">
        <v>0</v>
      </c>
      <c r="AS1128" s="80" t="b">
        <v>1</v>
      </c>
      <c r="AT1128" s="80"/>
      <c r="AU1128" s="80">
        <v>0</v>
      </c>
      <c r="AV1128" s="80"/>
      <c r="AW1128" s="80" t="b">
        <v>0</v>
      </c>
      <c r="AX1128" s="80" t="s">
        <v>10746</v>
      </c>
      <c r="AY1128" s="87" t="str">
        <f>HYPERLINK("https://twitter.com/himapbsifkipur1")</f>
        <v>https://twitter.com/himapbsifkipur1</v>
      </c>
      <c r="AZ1128" s="80" t="s">
        <v>66</v>
      </c>
      <c r="BA1128" s="2"/>
      <c r="BB1128" s="3"/>
      <c r="BC1128" s="3"/>
      <c r="BD1128" s="3"/>
      <c r="BE1128" s="3"/>
    </row>
    <row r="1129" spans="1:57" x14ac:dyDescent="0.35">
      <c r="A1129" s="66" t="s">
        <v>1112</v>
      </c>
      <c r="B1129" s="67"/>
      <c r="C1129" s="67"/>
      <c r="D1129" s="68"/>
      <c r="E1129" s="70"/>
      <c r="F1129" s="109" t="str">
        <f>HYPERLINK("https://pbs.twimg.com/profile_images/812107715338125312/Hho_ylHR_normal.jpg")</f>
        <v>https://pbs.twimg.com/profile_images/812107715338125312/Hho_ylHR_normal.jpg</v>
      </c>
      <c r="G1129" s="67"/>
      <c r="H1129" s="71"/>
      <c r="I1129" s="72"/>
      <c r="J1129" s="72"/>
      <c r="K1129" s="71" t="s">
        <v>11872</v>
      </c>
      <c r="L1129" s="75"/>
      <c r="M1129" s="76"/>
      <c r="N1129" s="76"/>
      <c r="O1129" s="77"/>
      <c r="P1129" s="78"/>
      <c r="Q1129" s="78"/>
      <c r="R1129" s="92"/>
      <c r="S1129" s="92"/>
      <c r="T1129" s="92"/>
      <c r="U1129" s="92"/>
      <c r="V1129" s="52"/>
      <c r="W1129" s="52"/>
      <c r="X1129" s="52"/>
      <c r="Y1129" s="52"/>
      <c r="Z1129" s="51"/>
      <c r="AA1129" s="73"/>
      <c r="AB1129" s="73"/>
      <c r="AC1129" s="74"/>
      <c r="AD1129" s="80" t="s">
        <v>7688</v>
      </c>
      <c r="AE1129" s="85" t="s">
        <v>6439</v>
      </c>
      <c r="AF1129" s="80">
        <v>354</v>
      </c>
      <c r="AG1129" s="80">
        <v>932</v>
      </c>
      <c r="AH1129" s="80">
        <v>3622</v>
      </c>
      <c r="AI1129" s="80">
        <v>12</v>
      </c>
      <c r="AJ1129" s="80"/>
      <c r="AK1129" s="80" t="s">
        <v>9963</v>
      </c>
      <c r="AL1129" s="80" t="s">
        <v>10642</v>
      </c>
      <c r="AM1129" s="87" t="str">
        <f>HYPERLINK("https://t.co/mBqr2yw1vn")</f>
        <v>https://t.co/mBqr2yw1vn</v>
      </c>
      <c r="AN1129" s="80"/>
      <c r="AO1129" s="82">
        <v>40941.293009259258</v>
      </c>
      <c r="AP1129" s="87" t="str">
        <f>HYPERLINK("https://pbs.twimg.com/profile_banners/481039005/1533739585")</f>
        <v>https://pbs.twimg.com/profile_banners/481039005/1533739585</v>
      </c>
      <c r="AQ1129" s="80" t="b">
        <v>0</v>
      </c>
      <c r="AR1129" s="80" t="b">
        <v>0</v>
      </c>
      <c r="AS1129" s="80" t="b">
        <v>0</v>
      </c>
      <c r="AT1129" s="80"/>
      <c r="AU1129" s="80">
        <v>6</v>
      </c>
      <c r="AV1129" s="87" t="str">
        <f>HYPERLINK("https://abs.twimg.com/images/themes/theme1/bg.png")</f>
        <v>https://abs.twimg.com/images/themes/theme1/bg.png</v>
      </c>
      <c r="AW1129" s="80" t="b">
        <v>0</v>
      </c>
      <c r="AX1129" s="80" t="s">
        <v>10746</v>
      </c>
      <c r="AY1129" s="87" t="str">
        <f>HYPERLINK("https://twitter.com/himakompolban")</f>
        <v>https://twitter.com/himakompolban</v>
      </c>
      <c r="AZ1129" s="80" t="s">
        <v>66</v>
      </c>
      <c r="BA1129" s="2"/>
      <c r="BB1129" s="3"/>
      <c r="BC1129" s="3"/>
      <c r="BD1129" s="3"/>
      <c r="BE1129" s="3"/>
    </row>
    <row r="1130" spans="1:57" x14ac:dyDescent="0.35">
      <c r="A1130" s="66" t="s">
        <v>1113</v>
      </c>
      <c r="B1130" s="67"/>
      <c r="C1130" s="67"/>
      <c r="D1130" s="68"/>
      <c r="E1130" s="70"/>
      <c r="F1130" s="109" t="str">
        <f>HYPERLINK("https://pbs.twimg.com/profile_images/1438180623147880448/ZP40XsP2_normal.jpg")</f>
        <v>https://pbs.twimg.com/profile_images/1438180623147880448/ZP40XsP2_normal.jpg</v>
      </c>
      <c r="G1130" s="67"/>
      <c r="H1130" s="71"/>
      <c r="I1130" s="72"/>
      <c r="J1130" s="72"/>
      <c r="K1130" s="71" t="s">
        <v>11873</v>
      </c>
      <c r="L1130" s="75"/>
      <c r="M1130" s="76"/>
      <c r="N1130" s="76"/>
      <c r="O1130" s="77"/>
      <c r="P1130" s="78"/>
      <c r="Q1130" s="78"/>
      <c r="R1130" s="92"/>
      <c r="S1130" s="92"/>
      <c r="T1130" s="92"/>
      <c r="U1130" s="92"/>
      <c r="V1130" s="52"/>
      <c r="W1130" s="52"/>
      <c r="X1130" s="52"/>
      <c r="Y1130" s="52"/>
      <c r="Z1130" s="51"/>
      <c r="AA1130" s="73"/>
      <c r="AB1130" s="73"/>
      <c r="AC1130" s="74"/>
      <c r="AD1130" s="80" t="s">
        <v>7689</v>
      </c>
      <c r="AE1130" s="85" t="s">
        <v>8800</v>
      </c>
      <c r="AF1130" s="80">
        <v>2981</v>
      </c>
      <c r="AG1130" s="80">
        <v>3078</v>
      </c>
      <c r="AH1130" s="80">
        <v>23650</v>
      </c>
      <c r="AI1130" s="80">
        <v>39596</v>
      </c>
      <c r="AJ1130" s="80"/>
      <c r="AK1130" s="80" t="s">
        <v>9964</v>
      </c>
      <c r="AL1130" s="80"/>
      <c r="AM1130" s="80"/>
      <c r="AN1130" s="80"/>
      <c r="AO1130" s="82">
        <v>44228.419120370374</v>
      </c>
      <c r="AP1130" s="87" t="str">
        <f>HYPERLINK("https://pbs.twimg.com/profile_banners/1356181263510433795/1631001082")</f>
        <v>https://pbs.twimg.com/profile_banners/1356181263510433795/1631001082</v>
      </c>
      <c r="AQ1130" s="80" t="b">
        <v>1</v>
      </c>
      <c r="AR1130" s="80" t="b">
        <v>0</v>
      </c>
      <c r="AS1130" s="80" t="b">
        <v>0</v>
      </c>
      <c r="AT1130" s="80"/>
      <c r="AU1130" s="80">
        <v>1</v>
      </c>
      <c r="AV1130" s="80"/>
      <c r="AW1130" s="80" t="b">
        <v>0</v>
      </c>
      <c r="AX1130" s="80" t="s">
        <v>10746</v>
      </c>
      <c r="AY1130" s="87" t="str">
        <f>HYPERLINK("https://twitter.com/anjasmara_ferry")</f>
        <v>https://twitter.com/anjasmara_ferry</v>
      </c>
      <c r="AZ1130" s="80" t="s">
        <v>66</v>
      </c>
      <c r="BA1130" s="2"/>
      <c r="BB1130" s="3"/>
      <c r="BC1130" s="3"/>
      <c r="BD1130" s="3"/>
      <c r="BE1130" s="3"/>
    </row>
    <row r="1131" spans="1:57" x14ac:dyDescent="0.35">
      <c r="A1131" s="66" t="s">
        <v>1114</v>
      </c>
      <c r="B1131" s="67"/>
      <c r="C1131" s="67"/>
      <c r="D1131" s="68"/>
      <c r="E1131" s="70"/>
      <c r="F1131" s="109" t="str">
        <f>HYPERLINK("https://pbs.twimg.com/profile_images/1441074686402523136/drSKwo91_normal.jpg")</f>
        <v>https://pbs.twimg.com/profile_images/1441074686402523136/drSKwo91_normal.jpg</v>
      </c>
      <c r="G1131" s="67"/>
      <c r="H1131" s="71"/>
      <c r="I1131" s="72"/>
      <c r="J1131" s="72"/>
      <c r="K1131" s="71" t="s">
        <v>11874</v>
      </c>
      <c r="L1131" s="75"/>
      <c r="M1131" s="76"/>
      <c r="N1131" s="76"/>
      <c r="O1131" s="77"/>
      <c r="P1131" s="78"/>
      <c r="Q1131" s="78"/>
      <c r="R1131" s="92"/>
      <c r="S1131" s="92"/>
      <c r="T1131" s="92"/>
      <c r="U1131" s="92"/>
      <c r="V1131" s="52"/>
      <c r="W1131" s="52"/>
      <c r="X1131" s="52"/>
      <c r="Y1131" s="52"/>
      <c r="Z1131" s="51"/>
      <c r="AA1131" s="73"/>
      <c r="AB1131" s="73"/>
      <c r="AC1131" s="74"/>
      <c r="AD1131" s="80" t="s">
        <v>7690</v>
      </c>
      <c r="AE1131" s="85" t="s">
        <v>6440</v>
      </c>
      <c r="AF1131" s="80">
        <v>578</v>
      </c>
      <c r="AG1131" s="80">
        <v>553</v>
      </c>
      <c r="AH1131" s="80">
        <v>3490</v>
      </c>
      <c r="AI1131" s="80">
        <v>1407</v>
      </c>
      <c r="AJ1131" s="80"/>
      <c r="AK1131" s="80" t="s">
        <v>9965</v>
      </c>
      <c r="AL1131" s="80" t="s">
        <v>10671</v>
      </c>
      <c r="AM1131" s="80"/>
      <c r="AN1131" s="80"/>
      <c r="AO1131" s="82">
        <v>44004.579652777778</v>
      </c>
      <c r="AP1131" s="87" t="str">
        <f>HYPERLINK("https://pbs.twimg.com/profile_banners/1275064538606391296/1632413954")</f>
        <v>https://pbs.twimg.com/profile_banners/1275064538606391296/1632413954</v>
      </c>
      <c r="AQ1131" s="80" t="b">
        <v>1</v>
      </c>
      <c r="AR1131" s="80" t="b">
        <v>0</v>
      </c>
      <c r="AS1131" s="80" t="b">
        <v>0</v>
      </c>
      <c r="AT1131" s="80"/>
      <c r="AU1131" s="80">
        <v>0</v>
      </c>
      <c r="AV1131" s="80"/>
      <c r="AW1131" s="80" t="b">
        <v>0</v>
      </c>
      <c r="AX1131" s="80" t="s">
        <v>10746</v>
      </c>
      <c r="AY1131" s="87" t="str">
        <f>HYPERLINK("https://twitter.com/teiyongg")</f>
        <v>https://twitter.com/teiyongg</v>
      </c>
      <c r="AZ1131" s="80" t="s">
        <v>66</v>
      </c>
      <c r="BA1131" s="2"/>
      <c r="BB1131" s="3"/>
      <c r="BC1131" s="3"/>
      <c r="BD1131" s="3"/>
      <c r="BE1131" s="3"/>
    </row>
    <row r="1132" spans="1:57" x14ac:dyDescent="0.35">
      <c r="A1132" s="66" t="s">
        <v>1115</v>
      </c>
      <c r="B1132" s="67"/>
      <c r="C1132" s="67"/>
      <c r="D1132" s="68"/>
      <c r="E1132" s="70"/>
      <c r="F1132" s="109" t="str">
        <f>HYPERLINK("https://pbs.twimg.com/profile_images/1441288691507367942/-OG-S_DX_normal.jpg")</f>
        <v>https://pbs.twimg.com/profile_images/1441288691507367942/-OG-S_DX_normal.jpg</v>
      </c>
      <c r="G1132" s="67"/>
      <c r="H1132" s="71"/>
      <c r="I1132" s="72"/>
      <c r="J1132" s="72"/>
      <c r="K1132" s="71" t="s">
        <v>11875</v>
      </c>
      <c r="L1132" s="75"/>
      <c r="M1132" s="76"/>
      <c r="N1132" s="76"/>
      <c r="O1132" s="77"/>
      <c r="P1132" s="78"/>
      <c r="Q1132" s="78"/>
      <c r="R1132" s="92"/>
      <c r="S1132" s="92"/>
      <c r="T1132" s="92"/>
      <c r="U1132" s="92"/>
      <c r="V1132" s="52"/>
      <c r="W1132" s="52"/>
      <c r="X1132" s="52"/>
      <c r="Y1132" s="52"/>
      <c r="Z1132" s="51"/>
      <c r="AA1132" s="73"/>
      <c r="AB1132" s="73"/>
      <c r="AC1132" s="74"/>
      <c r="AD1132" s="80" t="s">
        <v>7691</v>
      </c>
      <c r="AE1132" s="85" t="s">
        <v>8801</v>
      </c>
      <c r="AF1132" s="80">
        <v>3237</v>
      </c>
      <c r="AG1132" s="80">
        <v>107</v>
      </c>
      <c r="AH1132" s="80">
        <v>15740</v>
      </c>
      <c r="AI1132" s="80">
        <v>6337</v>
      </c>
      <c r="AJ1132" s="80"/>
      <c r="AK1132" s="80" t="s">
        <v>9966</v>
      </c>
      <c r="AL1132" s="80"/>
      <c r="AM1132" s="80"/>
      <c r="AN1132" s="80"/>
      <c r="AO1132" s="82">
        <v>44426.451099537036</v>
      </c>
      <c r="AP1132" s="87" t="str">
        <f>HYPERLINK("https://pbs.twimg.com/profile_banners/1427945719382507520/1632580403")</f>
        <v>https://pbs.twimg.com/profile_banners/1427945719382507520/1632580403</v>
      </c>
      <c r="AQ1132" s="80" t="b">
        <v>1</v>
      </c>
      <c r="AR1132" s="80" t="b">
        <v>0</v>
      </c>
      <c r="AS1132" s="80" t="b">
        <v>0</v>
      </c>
      <c r="AT1132" s="80"/>
      <c r="AU1132" s="80">
        <v>0</v>
      </c>
      <c r="AV1132" s="80"/>
      <c r="AW1132" s="80" t="b">
        <v>0</v>
      </c>
      <c r="AX1132" s="80" t="s">
        <v>10746</v>
      </c>
      <c r="AY1132" s="87" t="str">
        <f>HYPERLINK("https://twitter.com/sofyarega")</f>
        <v>https://twitter.com/sofyarega</v>
      </c>
      <c r="AZ1132" s="80" t="s">
        <v>66</v>
      </c>
      <c r="BA1132" s="2"/>
      <c r="BB1132" s="3"/>
      <c r="BC1132" s="3"/>
      <c r="BD1132" s="3"/>
      <c r="BE1132" s="3"/>
    </row>
    <row r="1133" spans="1:57" x14ac:dyDescent="0.35">
      <c r="A1133" s="66" t="s">
        <v>1116</v>
      </c>
      <c r="B1133" s="67"/>
      <c r="C1133" s="67"/>
      <c r="D1133" s="68"/>
      <c r="E1133" s="70"/>
      <c r="F1133" s="109" t="str">
        <f>HYPERLINK("https://pbs.twimg.com/profile_images/1433447016797851655/cYElKfNs_normal.jpg")</f>
        <v>https://pbs.twimg.com/profile_images/1433447016797851655/cYElKfNs_normal.jpg</v>
      </c>
      <c r="G1133" s="67"/>
      <c r="H1133" s="71"/>
      <c r="I1133" s="72"/>
      <c r="J1133" s="72"/>
      <c r="K1133" s="71" t="s">
        <v>11876</v>
      </c>
      <c r="L1133" s="75"/>
      <c r="M1133" s="76"/>
      <c r="N1133" s="76"/>
      <c r="O1133" s="77"/>
      <c r="P1133" s="78"/>
      <c r="Q1133" s="78"/>
      <c r="R1133" s="92"/>
      <c r="S1133" s="92"/>
      <c r="T1133" s="92"/>
      <c r="U1133" s="92"/>
      <c r="V1133" s="52"/>
      <c r="W1133" s="52"/>
      <c r="X1133" s="52"/>
      <c r="Y1133" s="52"/>
      <c r="Z1133" s="51"/>
      <c r="AA1133" s="73"/>
      <c r="AB1133" s="73"/>
      <c r="AC1133" s="74"/>
      <c r="AD1133" s="80" t="s">
        <v>7692</v>
      </c>
      <c r="AE1133" s="85" t="s">
        <v>8802</v>
      </c>
      <c r="AF1133" s="80">
        <v>444</v>
      </c>
      <c r="AG1133" s="80">
        <v>117</v>
      </c>
      <c r="AH1133" s="80">
        <v>9237</v>
      </c>
      <c r="AI1133" s="80">
        <v>3436</v>
      </c>
      <c r="AJ1133" s="80"/>
      <c r="AK1133" s="80"/>
      <c r="AL1133" s="80" t="s">
        <v>10672</v>
      </c>
      <c r="AM1133" s="80"/>
      <c r="AN1133" s="80"/>
      <c r="AO1133" s="82">
        <v>43725.160243055558</v>
      </c>
      <c r="AP1133" s="87" t="str">
        <f>HYPERLINK("https://pbs.twimg.com/profile_banners/1173806418429804544/1621954638")</f>
        <v>https://pbs.twimg.com/profile_banners/1173806418429804544/1621954638</v>
      </c>
      <c r="AQ1133" s="80" t="b">
        <v>1</v>
      </c>
      <c r="AR1133" s="80" t="b">
        <v>0</v>
      </c>
      <c r="AS1133" s="80" t="b">
        <v>1</v>
      </c>
      <c r="AT1133" s="80"/>
      <c r="AU1133" s="80">
        <v>0</v>
      </c>
      <c r="AV1133" s="80"/>
      <c r="AW1133" s="80" t="b">
        <v>0</v>
      </c>
      <c r="AX1133" s="80" t="s">
        <v>10746</v>
      </c>
      <c r="AY1133" s="87" t="str">
        <f>HYPERLINK("https://twitter.com/mhafizzz19")</f>
        <v>https://twitter.com/mhafizzz19</v>
      </c>
      <c r="AZ1133" s="80" t="s">
        <v>66</v>
      </c>
      <c r="BA1133" s="2"/>
      <c r="BB1133" s="3"/>
      <c r="BC1133" s="3"/>
      <c r="BD1133" s="3"/>
      <c r="BE1133" s="3"/>
    </row>
    <row r="1134" spans="1:57" x14ac:dyDescent="0.35">
      <c r="A1134" s="66" t="s">
        <v>1118</v>
      </c>
      <c r="B1134" s="67"/>
      <c r="C1134" s="67"/>
      <c r="D1134" s="68"/>
      <c r="E1134" s="70"/>
      <c r="F1134" s="109" t="str">
        <f>HYPERLINK("https://pbs.twimg.com/profile_images/875200363833511940/om1LFb-f_normal.jpg")</f>
        <v>https://pbs.twimg.com/profile_images/875200363833511940/om1LFb-f_normal.jpg</v>
      </c>
      <c r="G1134" s="67"/>
      <c r="H1134" s="71"/>
      <c r="I1134" s="72"/>
      <c r="J1134" s="72"/>
      <c r="K1134" s="71" t="s">
        <v>11877</v>
      </c>
      <c r="L1134" s="75"/>
      <c r="M1134" s="76"/>
      <c r="N1134" s="76"/>
      <c r="O1134" s="77"/>
      <c r="P1134" s="78"/>
      <c r="Q1134" s="78"/>
      <c r="R1134" s="92"/>
      <c r="S1134" s="92"/>
      <c r="T1134" s="92"/>
      <c r="U1134" s="92"/>
      <c r="V1134" s="52"/>
      <c r="W1134" s="52"/>
      <c r="X1134" s="52"/>
      <c r="Y1134" s="52"/>
      <c r="Z1134" s="51"/>
      <c r="AA1134" s="73"/>
      <c r="AB1134" s="73"/>
      <c r="AC1134" s="74"/>
      <c r="AD1134" s="80" t="s">
        <v>7693</v>
      </c>
      <c r="AE1134" s="85" t="s">
        <v>8803</v>
      </c>
      <c r="AF1134" s="80">
        <v>1107</v>
      </c>
      <c r="AG1134" s="80">
        <v>1367</v>
      </c>
      <c r="AH1134" s="80">
        <v>45721</v>
      </c>
      <c r="AI1134" s="80">
        <v>460</v>
      </c>
      <c r="AJ1134" s="80"/>
      <c r="AK1134" s="80" t="s">
        <v>9967</v>
      </c>
      <c r="AL1134" s="80" t="s">
        <v>10286</v>
      </c>
      <c r="AM1134" s="80"/>
      <c r="AN1134" s="80"/>
      <c r="AO1134" s="82">
        <v>41510.629814814813</v>
      </c>
      <c r="AP1134" s="87" t="str">
        <f>HYPERLINK("https://pbs.twimg.com/profile_banners/1696713170/1513848176")</f>
        <v>https://pbs.twimg.com/profile_banners/1696713170/1513848176</v>
      </c>
      <c r="AQ1134" s="80" t="b">
        <v>0</v>
      </c>
      <c r="AR1134" s="80" t="b">
        <v>0</v>
      </c>
      <c r="AS1134" s="80" t="b">
        <v>1</v>
      </c>
      <c r="AT1134" s="80"/>
      <c r="AU1134" s="80">
        <v>7</v>
      </c>
      <c r="AV1134" s="87" t="str">
        <f>HYPERLINK("https://abs.twimg.com/images/themes/theme1/bg.png")</f>
        <v>https://abs.twimg.com/images/themes/theme1/bg.png</v>
      </c>
      <c r="AW1134" s="80" t="b">
        <v>0</v>
      </c>
      <c r="AX1134" s="80" t="s">
        <v>10746</v>
      </c>
      <c r="AY1134" s="87" t="str">
        <f>HYPERLINK("https://twitter.com/anfariz92")</f>
        <v>https://twitter.com/anfariz92</v>
      </c>
      <c r="AZ1134" s="80" t="s">
        <v>66</v>
      </c>
      <c r="BA1134" s="2"/>
      <c r="BB1134" s="3"/>
      <c r="BC1134" s="3"/>
      <c r="BD1134" s="3"/>
      <c r="BE1134" s="3"/>
    </row>
    <row r="1135" spans="1:57" x14ac:dyDescent="0.35">
      <c r="A1135" s="66" t="s">
        <v>1119</v>
      </c>
      <c r="B1135" s="67"/>
      <c r="C1135" s="67"/>
      <c r="D1135" s="68"/>
      <c r="E1135" s="70"/>
      <c r="F1135" s="109" t="str">
        <f>HYPERLINK("https://pbs.twimg.com/profile_images/1437956481719017473/d3Q6P-qu_normal.jpg")</f>
        <v>https://pbs.twimg.com/profile_images/1437956481719017473/d3Q6P-qu_normal.jpg</v>
      </c>
      <c r="G1135" s="67"/>
      <c r="H1135" s="71"/>
      <c r="I1135" s="72"/>
      <c r="J1135" s="72"/>
      <c r="K1135" s="71" t="s">
        <v>11878</v>
      </c>
      <c r="L1135" s="75"/>
      <c r="M1135" s="76"/>
      <c r="N1135" s="76"/>
      <c r="O1135" s="77"/>
      <c r="P1135" s="78"/>
      <c r="Q1135" s="78"/>
      <c r="R1135" s="92"/>
      <c r="S1135" s="92"/>
      <c r="T1135" s="92"/>
      <c r="U1135" s="92"/>
      <c r="V1135" s="52"/>
      <c r="W1135" s="52"/>
      <c r="X1135" s="52"/>
      <c r="Y1135" s="52"/>
      <c r="Z1135" s="51"/>
      <c r="AA1135" s="73"/>
      <c r="AB1135" s="73"/>
      <c r="AC1135" s="74"/>
      <c r="AD1135" s="80" t="s">
        <v>7694</v>
      </c>
      <c r="AE1135" s="85" t="s">
        <v>8804</v>
      </c>
      <c r="AF1135" s="80">
        <v>89</v>
      </c>
      <c r="AG1135" s="80">
        <v>8</v>
      </c>
      <c r="AH1135" s="80">
        <v>23</v>
      </c>
      <c r="AI1135" s="80">
        <v>0</v>
      </c>
      <c r="AJ1135" s="80"/>
      <c r="AK1135" s="80" t="s">
        <v>9968</v>
      </c>
      <c r="AL1135" s="80"/>
      <c r="AM1135" s="80"/>
      <c r="AN1135" s="80"/>
      <c r="AO1135" s="82">
        <v>43707.173402777778</v>
      </c>
      <c r="AP1135" s="87" t="str">
        <f>HYPERLINK("https://pbs.twimg.com/profile_banners/1167288157408133120/1631670549")</f>
        <v>https://pbs.twimg.com/profile_banners/1167288157408133120/1631670549</v>
      </c>
      <c r="AQ1135" s="80" t="b">
        <v>1</v>
      </c>
      <c r="AR1135" s="80" t="b">
        <v>0</v>
      </c>
      <c r="AS1135" s="80" t="b">
        <v>0</v>
      </c>
      <c r="AT1135" s="80"/>
      <c r="AU1135" s="80">
        <v>0</v>
      </c>
      <c r="AV1135" s="80"/>
      <c r="AW1135" s="80" t="b">
        <v>0</v>
      </c>
      <c r="AX1135" s="80" t="s">
        <v>10746</v>
      </c>
      <c r="AY1135" s="87" t="str">
        <f>HYPERLINK("https://twitter.com/bumnjdih")</f>
        <v>https://twitter.com/bumnjdih</v>
      </c>
      <c r="AZ1135" s="80" t="s">
        <v>66</v>
      </c>
      <c r="BA1135" s="2"/>
      <c r="BB1135" s="3"/>
      <c r="BC1135" s="3"/>
      <c r="BD1135" s="3"/>
      <c r="BE1135" s="3"/>
    </row>
    <row r="1136" spans="1:57" x14ac:dyDescent="0.35">
      <c r="A1136" s="66" t="s">
        <v>1120</v>
      </c>
      <c r="B1136" s="67"/>
      <c r="C1136" s="67"/>
      <c r="D1136" s="68"/>
      <c r="E1136" s="70"/>
      <c r="F1136" s="109" t="str">
        <f>HYPERLINK("https://pbs.twimg.com/profile_images/1366717356429348865/Xf7LKXij_normal.jpg")</f>
        <v>https://pbs.twimg.com/profile_images/1366717356429348865/Xf7LKXij_normal.jpg</v>
      </c>
      <c r="G1136" s="67"/>
      <c r="H1136" s="71"/>
      <c r="I1136" s="72"/>
      <c r="J1136" s="72"/>
      <c r="K1136" s="71" t="s">
        <v>11879</v>
      </c>
      <c r="L1136" s="75"/>
      <c r="M1136" s="76"/>
      <c r="N1136" s="76"/>
      <c r="O1136" s="77"/>
      <c r="P1136" s="78"/>
      <c r="Q1136" s="78"/>
      <c r="R1136" s="92"/>
      <c r="S1136" s="92"/>
      <c r="T1136" s="92"/>
      <c r="U1136" s="92"/>
      <c r="V1136" s="52"/>
      <c r="W1136" s="52"/>
      <c r="X1136" s="52"/>
      <c r="Y1136" s="52"/>
      <c r="Z1136" s="51"/>
      <c r="AA1136" s="73"/>
      <c r="AB1136" s="73"/>
      <c r="AC1136" s="74"/>
      <c r="AD1136" s="80" t="s">
        <v>7695</v>
      </c>
      <c r="AE1136" s="85" t="s">
        <v>8805</v>
      </c>
      <c r="AF1136" s="80">
        <v>213</v>
      </c>
      <c r="AG1136" s="80">
        <v>19938</v>
      </c>
      <c r="AH1136" s="80">
        <v>15077</v>
      </c>
      <c r="AI1136" s="80">
        <v>128</v>
      </c>
      <c r="AJ1136" s="80"/>
      <c r="AK1136" s="80" t="s">
        <v>9969</v>
      </c>
      <c r="AL1136" s="80" t="s">
        <v>10647</v>
      </c>
      <c r="AM1136" s="87" t="str">
        <f>HYPERLINK("https://t.co/jsnUYL0NiR")</f>
        <v>https://t.co/jsnUYL0NiR</v>
      </c>
      <c r="AN1136" s="80"/>
      <c r="AO1136" s="82">
        <v>40934.495706018519</v>
      </c>
      <c r="AP1136" s="87" t="str">
        <f>HYPERLINK("https://pbs.twimg.com/profile_banners/474836414/1614578818")</f>
        <v>https://pbs.twimg.com/profile_banners/474836414/1614578818</v>
      </c>
      <c r="AQ1136" s="80" t="b">
        <v>0</v>
      </c>
      <c r="AR1136" s="80" t="b">
        <v>0</v>
      </c>
      <c r="AS1136" s="80" t="b">
        <v>1</v>
      </c>
      <c r="AT1136" s="80"/>
      <c r="AU1136" s="80">
        <v>42</v>
      </c>
      <c r="AV1136" s="87" t="str">
        <f>HYPERLINK("https://abs.twimg.com/images/themes/theme14/bg.gif")</f>
        <v>https://abs.twimg.com/images/themes/theme14/bg.gif</v>
      </c>
      <c r="AW1136" s="80" t="b">
        <v>1</v>
      </c>
      <c r="AX1136" s="80" t="s">
        <v>10746</v>
      </c>
      <c r="AY1136" s="87" t="str">
        <f>HYPERLINK("https://twitter.com/denpasarkota")</f>
        <v>https://twitter.com/denpasarkota</v>
      </c>
      <c r="AZ1136" s="80" t="s">
        <v>66</v>
      </c>
      <c r="BA1136" s="2"/>
      <c r="BB1136" s="3"/>
      <c r="BC1136" s="3"/>
      <c r="BD1136" s="3"/>
      <c r="BE1136" s="3"/>
    </row>
    <row r="1137" spans="1:57" x14ac:dyDescent="0.35">
      <c r="A1137" s="66" t="s">
        <v>1121</v>
      </c>
      <c r="B1137" s="67"/>
      <c r="C1137" s="67"/>
      <c r="D1137" s="68"/>
      <c r="E1137" s="70"/>
      <c r="F1137" s="109" t="str">
        <f>HYPERLINK("https://pbs.twimg.com/profile_images/1217005449758691328/bjvT4Hsc_normal.jpg")</f>
        <v>https://pbs.twimg.com/profile_images/1217005449758691328/bjvT4Hsc_normal.jpg</v>
      </c>
      <c r="G1137" s="67"/>
      <c r="H1137" s="71"/>
      <c r="I1137" s="72"/>
      <c r="J1137" s="72"/>
      <c r="K1137" s="71" t="s">
        <v>11880</v>
      </c>
      <c r="L1137" s="75"/>
      <c r="M1137" s="76"/>
      <c r="N1137" s="76"/>
      <c r="O1137" s="77"/>
      <c r="P1137" s="78"/>
      <c r="Q1137" s="78"/>
      <c r="R1137" s="92"/>
      <c r="S1137" s="92"/>
      <c r="T1137" s="92"/>
      <c r="U1137" s="92"/>
      <c r="V1137" s="52"/>
      <c r="W1137" s="52"/>
      <c r="X1137" s="52"/>
      <c r="Y1137" s="52"/>
      <c r="Z1137" s="51"/>
      <c r="AA1137" s="73"/>
      <c r="AB1137" s="73"/>
      <c r="AC1137" s="74"/>
      <c r="AD1137" s="80" t="s">
        <v>7696</v>
      </c>
      <c r="AE1137" s="85" t="s">
        <v>8806</v>
      </c>
      <c r="AF1137" s="80">
        <v>41</v>
      </c>
      <c r="AG1137" s="80">
        <v>19</v>
      </c>
      <c r="AH1137" s="80">
        <v>177</v>
      </c>
      <c r="AI1137" s="80">
        <v>104</v>
      </c>
      <c r="AJ1137" s="80"/>
      <c r="AK1137" s="80"/>
      <c r="AL1137" s="80" t="s">
        <v>10673</v>
      </c>
      <c r="AM1137" s="80"/>
      <c r="AN1137" s="80"/>
      <c r="AO1137" s="82">
        <v>42059.047673611109</v>
      </c>
      <c r="AP1137" s="80"/>
      <c r="AQ1137" s="80" t="b">
        <v>1</v>
      </c>
      <c r="AR1137" s="80" t="b">
        <v>0</v>
      </c>
      <c r="AS1137" s="80" t="b">
        <v>1</v>
      </c>
      <c r="AT1137" s="80"/>
      <c r="AU1137" s="80">
        <v>0</v>
      </c>
      <c r="AV1137" s="87" t="str">
        <f>HYPERLINK("https://abs.twimg.com/images/themes/theme1/bg.png")</f>
        <v>https://abs.twimg.com/images/themes/theme1/bg.png</v>
      </c>
      <c r="AW1137" s="80" t="b">
        <v>0</v>
      </c>
      <c r="AX1137" s="80" t="s">
        <v>10746</v>
      </c>
      <c r="AY1137" s="87" t="str">
        <f>HYPERLINK("https://twitter.com/citraemillia")</f>
        <v>https://twitter.com/citraemillia</v>
      </c>
      <c r="AZ1137" s="80" t="s">
        <v>66</v>
      </c>
      <c r="BA1137" s="2"/>
      <c r="BB1137" s="3"/>
      <c r="BC1137" s="3"/>
      <c r="BD1137" s="3"/>
      <c r="BE1137" s="3"/>
    </row>
    <row r="1138" spans="1:57" x14ac:dyDescent="0.35">
      <c r="A1138" s="66" t="s">
        <v>1122</v>
      </c>
      <c r="B1138" s="67"/>
      <c r="C1138" s="67"/>
      <c r="D1138" s="68"/>
      <c r="E1138" s="70"/>
      <c r="F1138" s="109" t="str">
        <f>HYPERLINK("https://pbs.twimg.com/profile_images/1298191915012124679/iErAUmN1_normal.jpg")</f>
        <v>https://pbs.twimg.com/profile_images/1298191915012124679/iErAUmN1_normal.jpg</v>
      </c>
      <c r="G1138" s="67"/>
      <c r="H1138" s="71"/>
      <c r="I1138" s="72"/>
      <c r="J1138" s="72"/>
      <c r="K1138" s="71" t="s">
        <v>11881</v>
      </c>
      <c r="L1138" s="75"/>
      <c r="M1138" s="76"/>
      <c r="N1138" s="76"/>
      <c r="O1138" s="77"/>
      <c r="P1138" s="78"/>
      <c r="Q1138" s="78"/>
      <c r="R1138" s="92"/>
      <c r="S1138" s="92"/>
      <c r="T1138" s="92"/>
      <c r="U1138" s="92"/>
      <c r="V1138" s="52"/>
      <c r="W1138" s="52"/>
      <c r="X1138" s="52"/>
      <c r="Y1138" s="52"/>
      <c r="Z1138" s="51"/>
      <c r="AA1138" s="73"/>
      <c r="AB1138" s="73"/>
      <c r="AC1138" s="74"/>
      <c r="AD1138" s="80" t="s">
        <v>7697</v>
      </c>
      <c r="AE1138" s="85" t="s">
        <v>6441</v>
      </c>
      <c r="AF1138" s="80">
        <v>223</v>
      </c>
      <c r="AG1138" s="80">
        <v>15225</v>
      </c>
      <c r="AH1138" s="80">
        <v>10999</v>
      </c>
      <c r="AI1138" s="80">
        <v>2</v>
      </c>
      <c r="AJ1138" s="80"/>
      <c r="AK1138" s="80" t="s">
        <v>9970</v>
      </c>
      <c r="AL1138" s="80" t="s">
        <v>10674</v>
      </c>
      <c r="AM1138" s="87" t="str">
        <f>HYPERLINK("https://t.co/rqBrxfkP50")</f>
        <v>https://t.co/rqBrxfkP50</v>
      </c>
      <c r="AN1138" s="80"/>
      <c r="AO1138" s="82">
        <v>41517.520046296297</v>
      </c>
      <c r="AP1138" s="87" t="str">
        <f>HYPERLINK("https://pbs.twimg.com/profile_banners/1715572460/1563845455")</f>
        <v>https://pbs.twimg.com/profile_banners/1715572460/1563845455</v>
      </c>
      <c r="AQ1138" s="80" t="b">
        <v>1</v>
      </c>
      <c r="AR1138" s="80" t="b">
        <v>0</v>
      </c>
      <c r="AS1138" s="80" t="b">
        <v>1</v>
      </c>
      <c r="AT1138" s="80"/>
      <c r="AU1138" s="80">
        <v>11</v>
      </c>
      <c r="AV1138" s="87" t="str">
        <f>HYPERLINK("https://abs.twimg.com/images/themes/theme1/bg.png")</f>
        <v>https://abs.twimg.com/images/themes/theme1/bg.png</v>
      </c>
      <c r="AW1138" s="80" t="b">
        <v>0</v>
      </c>
      <c r="AX1138" s="80" t="s">
        <v>10746</v>
      </c>
      <c r="AY1138" s="87" t="str">
        <f>HYPERLINK("https://twitter.com/diskominfopwk")</f>
        <v>https://twitter.com/diskominfopwk</v>
      </c>
      <c r="AZ1138" s="80" t="s">
        <v>66</v>
      </c>
      <c r="BA1138" s="2"/>
      <c r="BB1138" s="3"/>
      <c r="BC1138" s="3"/>
      <c r="BD1138" s="3"/>
      <c r="BE1138" s="3"/>
    </row>
    <row r="1139" spans="1:57" x14ac:dyDescent="0.35">
      <c r="A1139" s="66" t="s">
        <v>1123</v>
      </c>
      <c r="B1139" s="67"/>
      <c r="C1139" s="67"/>
      <c r="D1139" s="68"/>
      <c r="E1139" s="70"/>
      <c r="F1139" s="109" t="str">
        <f>HYPERLINK("https://pbs.twimg.com/profile_images/1400296917507084293/F8p9GS0Q_normal.jpg")</f>
        <v>https://pbs.twimg.com/profile_images/1400296917507084293/F8p9GS0Q_normal.jpg</v>
      </c>
      <c r="G1139" s="67"/>
      <c r="H1139" s="71"/>
      <c r="I1139" s="72"/>
      <c r="J1139" s="72"/>
      <c r="K1139" s="71" t="s">
        <v>11882</v>
      </c>
      <c r="L1139" s="75"/>
      <c r="M1139" s="76"/>
      <c r="N1139" s="76"/>
      <c r="O1139" s="77"/>
      <c r="P1139" s="78"/>
      <c r="Q1139" s="78"/>
      <c r="R1139" s="92"/>
      <c r="S1139" s="92"/>
      <c r="T1139" s="92"/>
      <c r="U1139" s="92"/>
      <c r="V1139" s="52"/>
      <c r="W1139" s="52"/>
      <c r="X1139" s="52"/>
      <c r="Y1139" s="52"/>
      <c r="Z1139" s="51"/>
      <c r="AA1139" s="73"/>
      <c r="AB1139" s="73"/>
      <c r="AC1139" s="74"/>
      <c r="AD1139" s="80" t="s">
        <v>7698</v>
      </c>
      <c r="AE1139" s="85" t="s">
        <v>8807</v>
      </c>
      <c r="AF1139" s="80">
        <v>217228</v>
      </c>
      <c r="AG1139" s="80">
        <v>2523423</v>
      </c>
      <c r="AH1139" s="80">
        <v>329353</v>
      </c>
      <c r="AI1139" s="80">
        <v>8018</v>
      </c>
      <c r="AJ1139" s="80"/>
      <c r="AK1139" s="80" t="s">
        <v>9971</v>
      </c>
      <c r="AL1139" s="80" t="s">
        <v>10642</v>
      </c>
      <c r="AM1139" s="87" t="str">
        <f>HYPERLINK("https://t.co/ElAz8rlfkX")</f>
        <v>https://t.co/ElAz8rlfkX</v>
      </c>
      <c r="AN1139" s="80"/>
      <c r="AO1139" s="82">
        <v>40181.626006944447</v>
      </c>
      <c r="AP1139" s="87" t="str">
        <f>HYPERLINK("https://pbs.twimg.com/profile_banners/101494663/1622691503")</f>
        <v>https://pbs.twimg.com/profile_banners/101494663/1622691503</v>
      </c>
      <c r="AQ1139" s="80" t="b">
        <v>0</v>
      </c>
      <c r="AR1139" s="80" t="b">
        <v>0</v>
      </c>
      <c r="AS1139" s="80" t="b">
        <v>1</v>
      </c>
      <c r="AT1139" s="80"/>
      <c r="AU1139" s="80">
        <v>2171</v>
      </c>
      <c r="AV1139" s="87" t="str">
        <f>HYPERLINK("https://abs.twimg.com/images/themes/theme1/bg.png")</f>
        <v>https://abs.twimg.com/images/themes/theme1/bg.png</v>
      </c>
      <c r="AW1139" s="80" t="b">
        <v>0</v>
      </c>
      <c r="AX1139" s="80" t="s">
        <v>10746</v>
      </c>
      <c r="AY1139" s="87" t="str">
        <f>HYPERLINK("https://twitter.com/infobdg")</f>
        <v>https://twitter.com/infobdg</v>
      </c>
      <c r="AZ1139" s="80" t="s">
        <v>66</v>
      </c>
      <c r="BA1139" s="2"/>
      <c r="BB1139" s="3"/>
      <c r="BC1139" s="3"/>
      <c r="BD1139" s="3"/>
      <c r="BE1139" s="3"/>
    </row>
    <row r="1140" spans="1:57" x14ac:dyDescent="0.35">
      <c r="A1140" s="66" t="s">
        <v>1124</v>
      </c>
      <c r="B1140" s="67"/>
      <c r="C1140" s="67"/>
      <c r="D1140" s="68"/>
      <c r="E1140" s="70"/>
      <c r="F1140" s="109" t="str">
        <f>HYPERLINK("https://pbs.twimg.com/profile_images/1384744933823705090/iQsCp3GR_normal.jpg")</f>
        <v>https://pbs.twimg.com/profile_images/1384744933823705090/iQsCp3GR_normal.jpg</v>
      </c>
      <c r="G1140" s="67"/>
      <c r="H1140" s="71"/>
      <c r="I1140" s="72"/>
      <c r="J1140" s="72"/>
      <c r="K1140" s="71" t="s">
        <v>11883</v>
      </c>
      <c r="L1140" s="75"/>
      <c r="M1140" s="76"/>
      <c r="N1140" s="76"/>
      <c r="O1140" s="77"/>
      <c r="P1140" s="78"/>
      <c r="Q1140" s="78"/>
      <c r="R1140" s="92"/>
      <c r="S1140" s="92"/>
      <c r="T1140" s="92"/>
      <c r="U1140" s="92"/>
      <c r="V1140" s="52"/>
      <c r="W1140" s="52"/>
      <c r="X1140" s="52"/>
      <c r="Y1140" s="52"/>
      <c r="Z1140" s="51"/>
      <c r="AA1140" s="73"/>
      <c r="AB1140" s="73"/>
      <c r="AC1140" s="74"/>
      <c r="AD1140" s="80" t="s">
        <v>7699</v>
      </c>
      <c r="AE1140" s="85" t="s">
        <v>8808</v>
      </c>
      <c r="AF1140" s="80">
        <v>69</v>
      </c>
      <c r="AG1140" s="80">
        <v>25</v>
      </c>
      <c r="AH1140" s="80">
        <v>2059</v>
      </c>
      <c r="AI1140" s="80">
        <v>3286</v>
      </c>
      <c r="AJ1140" s="80"/>
      <c r="AK1140" s="80" t="s">
        <v>9972</v>
      </c>
      <c r="AL1140" s="80"/>
      <c r="AM1140" s="80"/>
      <c r="AN1140" s="80"/>
      <c r="AO1140" s="82">
        <v>44129.677499999998</v>
      </c>
      <c r="AP1140" s="80"/>
      <c r="AQ1140" s="80" t="b">
        <v>1</v>
      </c>
      <c r="AR1140" s="80" t="b">
        <v>0</v>
      </c>
      <c r="AS1140" s="80" t="b">
        <v>0</v>
      </c>
      <c r="AT1140" s="80"/>
      <c r="AU1140" s="80">
        <v>0</v>
      </c>
      <c r="AV1140" s="80"/>
      <c r="AW1140" s="80" t="b">
        <v>0</v>
      </c>
      <c r="AX1140" s="80" t="s">
        <v>10746</v>
      </c>
      <c r="AY1140" s="87" t="str">
        <f>HYPERLINK("https://twitter.com/vincentera1")</f>
        <v>https://twitter.com/vincentera1</v>
      </c>
      <c r="AZ1140" s="80" t="s">
        <v>66</v>
      </c>
      <c r="BA1140" s="2"/>
      <c r="BB1140" s="3"/>
      <c r="BC1140" s="3"/>
      <c r="BD1140" s="3"/>
      <c r="BE1140" s="3"/>
    </row>
    <row r="1141" spans="1:57" x14ac:dyDescent="0.35">
      <c r="A1141" s="66" t="s">
        <v>1125</v>
      </c>
      <c r="B1141" s="67"/>
      <c r="C1141" s="67"/>
      <c r="D1141" s="68"/>
      <c r="E1141" s="70"/>
      <c r="F1141" s="109" t="str">
        <f>HYPERLINK("https://pbs.twimg.com/profile_images/1442427112397234178/WFJgbCi-_normal.jpg")</f>
        <v>https://pbs.twimg.com/profile_images/1442427112397234178/WFJgbCi-_normal.jpg</v>
      </c>
      <c r="G1141" s="67"/>
      <c r="H1141" s="71"/>
      <c r="I1141" s="72"/>
      <c r="J1141" s="72"/>
      <c r="K1141" s="71" t="s">
        <v>11884</v>
      </c>
      <c r="L1141" s="75"/>
      <c r="M1141" s="76"/>
      <c r="N1141" s="76"/>
      <c r="O1141" s="77"/>
      <c r="P1141" s="78"/>
      <c r="Q1141" s="78"/>
      <c r="R1141" s="92"/>
      <c r="S1141" s="92"/>
      <c r="T1141" s="92"/>
      <c r="U1141" s="92"/>
      <c r="V1141" s="52"/>
      <c r="W1141" s="52"/>
      <c r="X1141" s="52"/>
      <c r="Y1141" s="52"/>
      <c r="Z1141" s="51"/>
      <c r="AA1141" s="73"/>
      <c r="AB1141" s="73"/>
      <c r="AC1141" s="74"/>
      <c r="AD1141" s="80" t="s">
        <v>7700</v>
      </c>
      <c r="AE1141" s="85" t="s">
        <v>8809</v>
      </c>
      <c r="AF1141" s="80">
        <v>56</v>
      </c>
      <c r="AG1141" s="80">
        <v>91</v>
      </c>
      <c r="AH1141" s="80">
        <v>97</v>
      </c>
      <c r="AI1141" s="80">
        <v>11</v>
      </c>
      <c r="AJ1141" s="80"/>
      <c r="AK1141" s="80" t="s">
        <v>9973</v>
      </c>
      <c r="AL1141" s="80" t="s">
        <v>10675</v>
      </c>
      <c r="AM1141" s="80"/>
      <c r="AN1141" s="80"/>
      <c r="AO1141" s="82">
        <v>41487.731932870367</v>
      </c>
      <c r="AP1141" s="80"/>
      <c r="AQ1141" s="80" t="b">
        <v>1</v>
      </c>
      <c r="AR1141" s="80" t="b">
        <v>0</v>
      </c>
      <c r="AS1141" s="80" t="b">
        <v>0</v>
      </c>
      <c r="AT1141" s="80"/>
      <c r="AU1141" s="80">
        <v>0</v>
      </c>
      <c r="AV1141" s="87" t="str">
        <f>HYPERLINK("https://abs.twimg.com/images/themes/theme1/bg.png")</f>
        <v>https://abs.twimg.com/images/themes/theme1/bg.png</v>
      </c>
      <c r="AW1141" s="80" t="b">
        <v>0</v>
      </c>
      <c r="AX1141" s="80" t="s">
        <v>10746</v>
      </c>
      <c r="AY1141" s="87" t="str">
        <f>HYPERLINK("https://twitter.com/evikaathalia")</f>
        <v>https://twitter.com/evikaathalia</v>
      </c>
      <c r="AZ1141" s="80" t="s">
        <v>66</v>
      </c>
      <c r="BA1141" s="2"/>
      <c r="BB1141" s="3"/>
      <c r="BC1141" s="3"/>
      <c r="BD1141" s="3"/>
      <c r="BE1141" s="3"/>
    </row>
    <row r="1142" spans="1:57" x14ac:dyDescent="0.35">
      <c r="A1142" s="66" t="s">
        <v>1126</v>
      </c>
      <c r="B1142" s="67"/>
      <c r="C1142" s="67"/>
      <c r="D1142" s="68"/>
      <c r="E1142" s="70"/>
      <c r="F1142" s="109" t="str">
        <f>HYPERLINK("https://pbs.twimg.com/profile_images/1305369465014505472/gv7GguXf_normal.jpg")</f>
        <v>https://pbs.twimg.com/profile_images/1305369465014505472/gv7GguXf_normal.jpg</v>
      </c>
      <c r="G1142" s="67"/>
      <c r="H1142" s="71"/>
      <c r="I1142" s="72"/>
      <c r="J1142" s="72"/>
      <c r="K1142" s="71" t="s">
        <v>11885</v>
      </c>
      <c r="L1142" s="75"/>
      <c r="M1142" s="76"/>
      <c r="N1142" s="76"/>
      <c r="O1142" s="77"/>
      <c r="P1142" s="78"/>
      <c r="Q1142" s="78"/>
      <c r="R1142" s="92"/>
      <c r="S1142" s="92"/>
      <c r="T1142" s="92"/>
      <c r="U1142" s="92"/>
      <c r="V1142" s="52"/>
      <c r="W1142" s="52"/>
      <c r="X1142" s="52"/>
      <c r="Y1142" s="52"/>
      <c r="Z1142" s="51"/>
      <c r="AA1142" s="73"/>
      <c r="AB1142" s="73"/>
      <c r="AC1142" s="74"/>
      <c r="AD1142" s="80" t="s">
        <v>7701</v>
      </c>
      <c r="AE1142" s="85" t="s">
        <v>8810</v>
      </c>
      <c r="AF1142" s="80">
        <v>24</v>
      </c>
      <c r="AG1142" s="80">
        <v>56</v>
      </c>
      <c r="AH1142" s="80">
        <v>1414</v>
      </c>
      <c r="AI1142" s="80">
        <v>85</v>
      </c>
      <c r="AJ1142" s="80"/>
      <c r="AK1142" s="80" t="s">
        <v>9974</v>
      </c>
      <c r="AL1142" s="80" t="s">
        <v>6543</v>
      </c>
      <c r="AM1142" s="87" t="str">
        <f>HYPERLINK("https://t.co/Eg6VCliOtB")</f>
        <v>https://t.co/Eg6VCliOtB</v>
      </c>
      <c r="AN1142" s="80"/>
      <c r="AO1142" s="82">
        <v>44088.202557870369</v>
      </c>
      <c r="AP1142" s="80"/>
      <c r="AQ1142" s="80" t="b">
        <v>1</v>
      </c>
      <c r="AR1142" s="80" t="b">
        <v>0</v>
      </c>
      <c r="AS1142" s="80" t="b">
        <v>1</v>
      </c>
      <c r="AT1142" s="80"/>
      <c r="AU1142" s="80">
        <v>0</v>
      </c>
      <c r="AV1142" s="80"/>
      <c r="AW1142" s="80" t="b">
        <v>0</v>
      </c>
      <c r="AX1142" s="80" t="s">
        <v>10746</v>
      </c>
      <c r="AY1142" s="87" t="str">
        <f>HYPERLINK("https://twitter.com/kita_official_")</f>
        <v>https://twitter.com/kita_official_</v>
      </c>
      <c r="AZ1142" s="80" t="s">
        <v>66</v>
      </c>
      <c r="BA1142" s="2"/>
      <c r="BB1142" s="3"/>
      <c r="BC1142" s="3"/>
      <c r="BD1142" s="3"/>
      <c r="BE1142" s="3"/>
    </row>
    <row r="1143" spans="1:57" x14ac:dyDescent="0.35">
      <c r="A1143" s="66" t="s">
        <v>1127</v>
      </c>
      <c r="B1143" s="67"/>
      <c r="C1143" s="67"/>
      <c r="D1143" s="68"/>
      <c r="E1143" s="70"/>
      <c r="F1143" s="109" t="str">
        <f>HYPERLINK("https://pbs.twimg.com/profile_images/1442487709885341701/xQruPVQr_normal.jpg")</f>
        <v>https://pbs.twimg.com/profile_images/1442487709885341701/xQruPVQr_normal.jpg</v>
      </c>
      <c r="G1143" s="67"/>
      <c r="H1143" s="71"/>
      <c r="I1143" s="72"/>
      <c r="J1143" s="72"/>
      <c r="K1143" s="71" t="s">
        <v>11886</v>
      </c>
      <c r="L1143" s="75"/>
      <c r="M1143" s="76"/>
      <c r="N1143" s="76"/>
      <c r="O1143" s="77"/>
      <c r="P1143" s="78"/>
      <c r="Q1143" s="78"/>
      <c r="R1143" s="92"/>
      <c r="S1143" s="92"/>
      <c r="T1143" s="92"/>
      <c r="U1143" s="92"/>
      <c r="V1143" s="52"/>
      <c r="W1143" s="52"/>
      <c r="X1143" s="52"/>
      <c r="Y1143" s="52"/>
      <c r="Z1143" s="51"/>
      <c r="AA1143" s="73"/>
      <c r="AB1143" s="73"/>
      <c r="AC1143" s="74"/>
      <c r="AD1143" s="80" t="s">
        <v>6899</v>
      </c>
      <c r="AE1143" s="85" t="s">
        <v>8811</v>
      </c>
      <c r="AF1143" s="80">
        <v>89</v>
      </c>
      <c r="AG1143" s="80">
        <v>224</v>
      </c>
      <c r="AH1143" s="80">
        <v>2379</v>
      </c>
      <c r="AI1143" s="80">
        <v>1743</v>
      </c>
      <c r="AJ1143" s="80"/>
      <c r="AK1143" s="80" t="s">
        <v>9975</v>
      </c>
      <c r="AL1143" s="80"/>
      <c r="AM1143" s="87" t="str">
        <f>HYPERLINK("https://t.co/ka6lJUbWIH")</f>
        <v>https://t.co/ka6lJUbWIH</v>
      </c>
      <c r="AN1143" s="80"/>
      <c r="AO1143" s="82">
        <v>44348.676620370374</v>
      </c>
      <c r="AP1143" s="87" t="str">
        <f>HYPERLINK("https://pbs.twimg.com/profile_banners/1399761182089629697/1632750844")</f>
        <v>https://pbs.twimg.com/profile_banners/1399761182089629697/1632750844</v>
      </c>
      <c r="AQ1143" s="80" t="b">
        <v>1</v>
      </c>
      <c r="AR1143" s="80" t="b">
        <v>0</v>
      </c>
      <c r="AS1143" s="80" t="b">
        <v>0</v>
      </c>
      <c r="AT1143" s="80"/>
      <c r="AU1143" s="80">
        <v>2</v>
      </c>
      <c r="AV1143" s="80"/>
      <c r="AW1143" s="80" t="b">
        <v>0</v>
      </c>
      <c r="AX1143" s="80" t="s">
        <v>10746</v>
      </c>
      <c r="AY1143" s="87" t="str">
        <f>HYPERLINK("https://twitter.com/yazmato")</f>
        <v>https://twitter.com/yazmato</v>
      </c>
      <c r="AZ1143" s="80" t="s">
        <v>66</v>
      </c>
      <c r="BA1143" s="2"/>
      <c r="BB1143" s="3"/>
      <c r="BC1143" s="3"/>
      <c r="BD1143" s="3"/>
      <c r="BE1143" s="3"/>
    </row>
    <row r="1144" spans="1:57" x14ac:dyDescent="0.35">
      <c r="A1144" s="66" t="s">
        <v>1128</v>
      </c>
      <c r="B1144" s="67"/>
      <c r="C1144" s="67"/>
      <c r="D1144" s="68"/>
      <c r="E1144" s="70"/>
      <c r="F1144" s="109" t="str">
        <f>HYPERLINK("https://pbs.twimg.com/profile_images/1417707143726133248/AkF3gKwj_normal.jpg")</f>
        <v>https://pbs.twimg.com/profile_images/1417707143726133248/AkF3gKwj_normal.jpg</v>
      </c>
      <c r="G1144" s="67"/>
      <c r="H1144" s="71"/>
      <c r="I1144" s="72"/>
      <c r="J1144" s="72"/>
      <c r="K1144" s="71" t="s">
        <v>11887</v>
      </c>
      <c r="L1144" s="75"/>
      <c r="M1144" s="76"/>
      <c r="N1144" s="76"/>
      <c r="O1144" s="77"/>
      <c r="P1144" s="78"/>
      <c r="Q1144" s="78"/>
      <c r="R1144" s="92"/>
      <c r="S1144" s="92"/>
      <c r="T1144" s="92"/>
      <c r="U1144" s="92"/>
      <c r="V1144" s="52"/>
      <c r="W1144" s="52"/>
      <c r="X1144" s="52"/>
      <c r="Y1144" s="52"/>
      <c r="Z1144" s="51"/>
      <c r="AA1144" s="73"/>
      <c r="AB1144" s="73"/>
      <c r="AC1144" s="74"/>
      <c r="AD1144" s="80" t="s">
        <v>7702</v>
      </c>
      <c r="AE1144" s="85" t="s">
        <v>8812</v>
      </c>
      <c r="AF1144" s="80">
        <v>220</v>
      </c>
      <c r="AG1144" s="80">
        <v>222</v>
      </c>
      <c r="AH1144" s="80">
        <v>7852</v>
      </c>
      <c r="AI1144" s="80">
        <v>12</v>
      </c>
      <c r="AJ1144" s="80"/>
      <c r="AK1144" s="80" t="s">
        <v>9976</v>
      </c>
      <c r="AL1144" s="80" t="s">
        <v>10676</v>
      </c>
      <c r="AM1144" s="87" t="str">
        <f>HYPERLINK("https://t.co/3Zs07HNVbU")</f>
        <v>https://t.co/3Zs07HNVbU</v>
      </c>
      <c r="AN1144" s="80"/>
      <c r="AO1144" s="82">
        <v>44227.44017361111</v>
      </c>
      <c r="AP1144" s="87" t="str">
        <f>HYPERLINK("https://pbs.twimg.com/profile_banners/1355826167052345346/1624719083")</f>
        <v>https://pbs.twimg.com/profile_banners/1355826167052345346/1624719083</v>
      </c>
      <c r="AQ1144" s="80" t="b">
        <v>1</v>
      </c>
      <c r="AR1144" s="80" t="b">
        <v>0</v>
      </c>
      <c r="AS1144" s="80" t="b">
        <v>1</v>
      </c>
      <c r="AT1144" s="80"/>
      <c r="AU1144" s="80">
        <v>1</v>
      </c>
      <c r="AV1144" s="80"/>
      <c r="AW1144" s="80" t="b">
        <v>0</v>
      </c>
      <c r="AX1144" s="80" t="s">
        <v>10746</v>
      </c>
      <c r="AY1144" s="87" t="str">
        <f>HYPERLINK("https://twitter.com/masellbuy")</f>
        <v>https://twitter.com/masellbuy</v>
      </c>
      <c r="AZ1144" s="80" t="s">
        <v>66</v>
      </c>
      <c r="BA1144" s="2"/>
      <c r="BB1144" s="3"/>
      <c r="BC1144" s="3"/>
      <c r="BD1144" s="3"/>
      <c r="BE1144" s="3"/>
    </row>
    <row r="1145" spans="1:57" x14ac:dyDescent="0.35">
      <c r="A1145" s="66" t="s">
        <v>1129</v>
      </c>
      <c r="B1145" s="67"/>
      <c r="C1145" s="67"/>
      <c r="D1145" s="68"/>
      <c r="E1145" s="70"/>
      <c r="F1145" s="109" t="str">
        <f>HYPERLINK("https://pbs.twimg.com/profile_images/1426931626487861248/P5FRzKzh_normal.jpg")</f>
        <v>https://pbs.twimg.com/profile_images/1426931626487861248/P5FRzKzh_normal.jpg</v>
      </c>
      <c r="G1145" s="67"/>
      <c r="H1145" s="71"/>
      <c r="I1145" s="72"/>
      <c r="J1145" s="72"/>
      <c r="K1145" s="71" t="s">
        <v>11888</v>
      </c>
      <c r="L1145" s="75"/>
      <c r="M1145" s="76"/>
      <c r="N1145" s="76"/>
      <c r="O1145" s="77"/>
      <c r="P1145" s="78"/>
      <c r="Q1145" s="78"/>
      <c r="R1145" s="92"/>
      <c r="S1145" s="92"/>
      <c r="T1145" s="92"/>
      <c r="U1145" s="92"/>
      <c r="V1145" s="52"/>
      <c r="W1145" s="52"/>
      <c r="X1145" s="52"/>
      <c r="Y1145" s="52"/>
      <c r="Z1145" s="51"/>
      <c r="AA1145" s="73"/>
      <c r="AB1145" s="73"/>
      <c r="AC1145" s="74"/>
      <c r="AD1145" s="80" t="s">
        <v>7703</v>
      </c>
      <c r="AE1145" s="85" t="s">
        <v>8813</v>
      </c>
      <c r="AF1145" s="80">
        <v>142</v>
      </c>
      <c r="AG1145" s="80">
        <v>22</v>
      </c>
      <c r="AH1145" s="80">
        <v>2044</v>
      </c>
      <c r="AI1145" s="80">
        <v>782</v>
      </c>
      <c r="AJ1145" s="80"/>
      <c r="AK1145" s="80" t="s">
        <v>9977</v>
      </c>
      <c r="AL1145" s="80"/>
      <c r="AM1145" s="80"/>
      <c r="AN1145" s="80"/>
      <c r="AO1145" s="82">
        <v>44139.965821759259</v>
      </c>
      <c r="AP1145" s="87" t="str">
        <f>HYPERLINK("https://pbs.twimg.com/profile_banners/1324126912315158529/1627610583")</f>
        <v>https://pbs.twimg.com/profile_banners/1324126912315158529/1627610583</v>
      </c>
      <c r="AQ1145" s="80" t="b">
        <v>1</v>
      </c>
      <c r="AR1145" s="80" t="b">
        <v>0</v>
      </c>
      <c r="AS1145" s="80" t="b">
        <v>0</v>
      </c>
      <c r="AT1145" s="80"/>
      <c r="AU1145" s="80">
        <v>0</v>
      </c>
      <c r="AV1145" s="80"/>
      <c r="AW1145" s="80" t="b">
        <v>0</v>
      </c>
      <c r="AX1145" s="80" t="s">
        <v>10746</v>
      </c>
      <c r="AY1145" s="87" t="str">
        <f>HYPERLINK("https://twitter.com/sassysleep_")</f>
        <v>https://twitter.com/sassysleep_</v>
      </c>
      <c r="AZ1145" s="80" t="s">
        <v>66</v>
      </c>
      <c r="BA1145" s="2"/>
      <c r="BB1145" s="3"/>
      <c r="BC1145" s="3"/>
      <c r="BD1145" s="3"/>
      <c r="BE1145" s="3"/>
    </row>
    <row r="1146" spans="1:57" x14ac:dyDescent="0.35">
      <c r="A1146" s="66" t="s">
        <v>1130</v>
      </c>
      <c r="B1146" s="67"/>
      <c r="C1146" s="67"/>
      <c r="D1146" s="68"/>
      <c r="E1146" s="70"/>
      <c r="F1146" s="109" t="str">
        <f>HYPERLINK("https://pbs.twimg.com/profile_images/1435937779603501064/TdkJ_Cxy_normal.jpg")</f>
        <v>https://pbs.twimg.com/profile_images/1435937779603501064/TdkJ_Cxy_normal.jpg</v>
      </c>
      <c r="G1146" s="67"/>
      <c r="H1146" s="71"/>
      <c r="I1146" s="72"/>
      <c r="J1146" s="72"/>
      <c r="K1146" s="71" t="s">
        <v>11889</v>
      </c>
      <c r="L1146" s="75"/>
      <c r="M1146" s="76"/>
      <c r="N1146" s="76"/>
      <c r="O1146" s="77"/>
      <c r="P1146" s="78"/>
      <c r="Q1146" s="78"/>
      <c r="R1146" s="92"/>
      <c r="S1146" s="92"/>
      <c r="T1146" s="92"/>
      <c r="U1146" s="92"/>
      <c r="V1146" s="52"/>
      <c r="W1146" s="52"/>
      <c r="X1146" s="52"/>
      <c r="Y1146" s="52"/>
      <c r="Z1146" s="51"/>
      <c r="AA1146" s="73"/>
      <c r="AB1146" s="73"/>
      <c r="AC1146" s="74"/>
      <c r="AD1146" s="80" t="s">
        <v>7704</v>
      </c>
      <c r="AE1146" s="85" t="s">
        <v>8814</v>
      </c>
      <c r="AF1146" s="80">
        <v>3588</v>
      </c>
      <c r="AG1146" s="80">
        <v>3213</v>
      </c>
      <c r="AH1146" s="80">
        <v>17109</v>
      </c>
      <c r="AI1146" s="80">
        <v>34804</v>
      </c>
      <c r="AJ1146" s="80"/>
      <c r="AK1146" s="80" t="s">
        <v>9978</v>
      </c>
      <c r="AL1146" s="80" t="s">
        <v>10677</v>
      </c>
      <c r="AM1146" s="80"/>
      <c r="AN1146" s="80"/>
      <c r="AO1146" s="82">
        <v>44117.041331018518</v>
      </c>
      <c r="AP1146" s="87" t="str">
        <f>HYPERLINK("https://pbs.twimg.com/profile_banners/1315819202033315840/1624052466")</f>
        <v>https://pbs.twimg.com/profile_banners/1315819202033315840/1624052466</v>
      </c>
      <c r="AQ1146" s="80" t="b">
        <v>1</v>
      </c>
      <c r="AR1146" s="80" t="b">
        <v>0</v>
      </c>
      <c r="AS1146" s="80" t="b">
        <v>1</v>
      </c>
      <c r="AT1146" s="80"/>
      <c r="AU1146" s="80">
        <v>1</v>
      </c>
      <c r="AV1146" s="80"/>
      <c r="AW1146" s="80" t="b">
        <v>0</v>
      </c>
      <c r="AX1146" s="80" t="s">
        <v>10746</v>
      </c>
      <c r="AY1146" s="87" t="str">
        <f>HYPERLINK("https://twitter.com/fattireyz")</f>
        <v>https://twitter.com/fattireyz</v>
      </c>
      <c r="AZ1146" s="80" t="s">
        <v>66</v>
      </c>
      <c r="BA1146" s="2"/>
      <c r="BB1146" s="3"/>
      <c r="BC1146" s="3"/>
      <c r="BD1146" s="3"/>
      <c r="BE1146" s="3"/>
    </row>
    <row r="1147" spans="1:57" x14ac:dyDescent="0.35">
      <c r="A1147" s="66" t="s">
        <v>1215</v>
      </c>
      <c r="B1147" s="67"/>
      <c r="C1147" s="67"/>
      <c r="D1147" s="68"/>
      <c r="E1147" s="70"/>
      <c r="F1147" s="109" t="str">
        <f>HYPERLINK("https://pbs.twimg.com/profile_images/1407481907349053441/tfZyVC6S_normal.jpg")</f>
        <v>https://pbs.twimg.com/profile_images/1407481907349053441/tfZyVC6S_normal.jpg</v>
      </c>
      <c r="G1147" s="67"/>
      <c r="H1147" s="71"/>
      <c r="I1147" s="72"/>
      <c r="J1147" s="72"/>
      <c r="K1147" s="71" t="s">
        <v>11890</v>
      </c>
      <c r="L1147" s="75"/>
      <c r="M1147" s="76"/>
      <c r="N1147" s="76"/>
      <c r="O1147" s="77"/>
      <c r="P1147" s="78"/>
      <c r="Q1147" s="78"/>
      <c r="R1147" s="92"/>
      <c r="S1147" s="92"/>
      <c r="T1147" s="92"/>
      <c r="U1147" s="92"/>
      <c r="V1147" s="52"/>
      <c r="W1147" s="52"/>
      <c r="X1147" s="52"/>
      <c r="Y1147" s="52"/>
      <c r="Z1147" s="51"/>
      <c r="AA1147" s="73"/>
      <c r="AB1147" s="73"/>
      <c r="AC1147" s="74"/>
      <c r="AD1147" s="80" t="s">
        <v>7705</v>
      </c>
      <c r="AE1147" s="85" t="s">
        <v>8815</v>
      </c>
      <c r="AF1147" s="80">
        <v>3541</v>
      </c>
      <c r="AG1147" s="80">
        <v>14914</v>
      </c>
      <c r="AH1147" s="80">
        <v>12820</v>
      </c>
      <c r="AI1147" s="80">
        <v>20166</v>
      </c>
      <c r="AJ1147" s="80"/>
      <c r="AK1147" s="80" t="s">
        <v>9979</v>
      </c>
      <c r="AL1147" s="80" t="s">
        <v>10159</v>
      </c>
      <c r="AM1147" s="80"/>
      <c r="AN1147" s="80"/>
      <c r="AO1147" s="82">
        <v>43767.6249537037</v>
      </c>
      <c r="AP1147" s="87" t="str">
        <f>HYPERLINK("https://pbs.twimg.com/profile_banners/1189195077836398592/1611289611")</f>
        <v>https://pbs.twimg.com/profile_banners/1189195077836398592/1611289611</v>
      </c>
      <c r="AQ1147" s="80" t="b">
        <v>1</v>
      </c>
      <c r="AR1147" s="80" t="b">
        <v>0</v>
      </c>
      <c r="AS1147" s="80" t="b">
        <v>0</v>
      </c>
      <c r="AT1147" s="80"/>
      <c r="AU1147" s="80">
        <v>5</v>
      </c>
      <c r="AV1147" s="80"/>
      <c r="AW1147" s="80" t="b">
        <v>0</v>
      </c>
      <c r="AX1147" s="80" t="s">
        <v>10746</v>
      </c>
      <c r="AY1147" s="87" t="str">
        <f>HYPERLINK("https://twitter.com/zomet13")</f>
        <v>https://twitter.com/zomet13</v>
      </c>
      <c r="AZ1147" s="80" t="s">
        <v>66</v>
      </c>
      <c r="BA1147" s="2"/>
      <c r="BB1147" s="3"/>
      <c r="BC1147" s="3"/>
      <c r="BD1147" s="3"/>
      <c r="BE1147" s="3"/>
    </row>
    <row r="1148" spans="1:57" x14ac:dyDescent="0.35">
      <c r="A1148" s="66" t="s">
        <v>1131</v>
      </c>
      <c r="B1148" s="67"/>
      <c r="C1148" s="67"/>
      <c r="D1148" s="68"/>
      <c r="E1148" s="70"/>
      <c r="F1148" s="109" t="str">
        <f>HYPERLINK("https://pbs.twimg.com/profile_images/1438210660148514816/o7zsCFBe_normal.jpg")</f>
        <v>https://pbs.twimg.com/profile_images/1438210660148514816/o7zsCFBe_normal.jpg</v>
      </c>
      <c r="G1148" s="67"/>
      <c r="H1148" s="71"/>
      <c r="I1148" s="72"/>
      <c r="J1148" s="72"/>
      <c r="K1148" s="71" t="s">
        <v>11891</v>
      </c>
      <c r="L1148" s="75"/>
      <c r="M1148" s="76"/>
      <c r="N1148" s="76"/>
      <c r="O1148" s="77"/>
      <c r="P1148" s="78"/>
      <c r="Q1148" s="78"/>
      <c r="R1148" s="92"/>
      <c r="S1148" s="92"/>
      <c r="T1148" s="92"/>
      <c r="U1148" s="92"/>
      <c r="V1148" s="52"/>
      <c r="W1148" s="52"/>
      <c r="X1148" s="52"/>
      <c r="Y1148" s="52"/>
      <c r="Z1148" s="51"/>
      <c r="AA1148" s="73"/>
      <c r="AB1148" s="73"/>
      <c r="AC1148" s="74"/>
      <c r="AD1148" s="80" t="s">
        <v>7706</v>
      </c>
      <c r="AE1148" s="85" t="s">
        <v>8816</v>
      </c>
      <c r="AF1148" s="80">
        <v>3</v>
      </c>
      <c r="AG1148" s="80">
        <v>532</v>
      </c>
      <c r="AH1148" s="80">
        <v>3536</v>
      </c>
      <c r="AI1148" s="80">
        <v>0</v>
      </c>
      <c r="AJ1148" s="80"/>
      <c r="AK1148" s="80" t="s">
        <v>9980</v>
      </c>
      <c r="AL1148" s="80" t="s">
        <v>10182</v>
      </c>
      <c r="AM1148" s="87" t="str">
        <f>HYPERLINK("https://t.co/pxzJjzOwzB")</f>
        <v>https://t.co/pxzJjzOwzB</v>
      </c>
      <c r="AN1148" s="80"/>
      <c r="AO1148" s="82">
        <v>44366.446018518516</v>
      </c>
      <c r="AP1148" s="87" t="str">
        <f>HYPERLINK("https://pbs.twimg.com/profile_banners/1406200528720175105/1624101733")</f>
        <v>https://pbs.twimg.com/profile_banners/1406200528720175105/1624101733</v>
      </c>
      <c r="AQ1148" s="80" t="b">
        <v>1</v>
      </c>
      <c r="AR1148" s="80" t="b">
        <v>0</v>
      </c>
      <c r="AS1148" s="80" t="b">
        <v>0</v>
      </c>
      <c r="AT1148" s="80"/>
      <c r="AU1148" s="80">
        <v>1</v>
      </c>
      <c r="AV1148" s="80"/>
      <c r="AW1148" s="80" t="b">
        <v>0</v>
      </c>
      <c r="AX1148" s="80" t="s">
        <v>10746</v>
      </c>
      <c r="AY1148" s="87" t="str">
        <f>HYPERLINK("https://twitter.com/skzmarketmy")</f>
        <v>https://twitter.com/skzmarketmy</v>
      </c>
      <c r="AZ1148" s="80" t="s">
        <v>66</v>
      </c>
      <c r="BA1148" s="2"/>
      <c r="BB1148" s="3"/>
      <c r="BC1148" s="3"/>
      <c r="BD1148" s="3"/>
      <c r="BE1148" s="3"/>
    </row>
    <row r="1149" spans="1:57" x14ac:dyDescent="0.35">
      <c r="A1149" s="66" t="s">
        <v>1132</v>
      </c>
      <c r="B1149" s="67"/>
      <c r="C1149" s="67"/>
      <c r="D1149" s="68"/>
      <c r="E1149" s="70"/>
      <c r="F1149" s="109" t="str">
        <f>HYPERLINK("https://pbs.twimg.com/profile_images/1435856468918484994/ZTSsvaqZ_normal.jpg")</f>
        <v>https://pbs.twimg.com/profile_images/1435856468918484994/ZTSsvaqZ_normal.jpg</v>
      </c>
      <c r="G1149" s="67"/>
      <c r="H1149" s="71"/>
      <c r="I1149" s="72"/>
      <c r="J1149" s="72"/>
      <c r="K1149" s="71" t="s">
        <v>11892</v>
      </c>
      <c r="L1149" s="75"/>
      <c r="M1149" s="76"/>
      <c r="N1149" s="76"/>
      <c r="O1149" s="77"/>
      <c r="P1149" s="78"/>
      <c r="Q1149" s="78"/>
      <c r="R1149" s="92"/>
      <c r="S1149" s="92"/>
      <c r="T1149" s="92"/>
      <c r="U1149" s="92"/>
      <c r="V1149" s="52"/>
      <c r="W1149" s="52"/>
      <c r="X1149" s="52"/>
      <c r="Y1149" s="52"/>
      <c r="Z1149" s="51"/>
      <c r="AA1149" s="73"/>
      <c r="AB1149" s="73"/>
      <c r="AC1149" s="74"/>
      <c r="AD1149" s="80" t="s">
        <v>7707</v>
      </c>
      <c r="AE1149" s="85" t="s">
        <v>8817</v>
      </c>
      <c r="AF1149" s="80">
        <v>373</v>
      </c>
      <c r="AG1149" s="80">
        <v>58</v>
      </c>
      <c r="AH1149" s="80">
        <v>1591</v>
      </c>
      <c r="AI1149" s="80">
        <v>2682</v>
      </c>
      <c r="AJ1149" s="80"/>
      <c r="AK1149" s="80"/>
      <c r="AL1149" s="80"/>
      <c r="AM1149" s="80"/>
      <c r="AN1149" s="80"/>
      <c r="AO1149" s="82">
        <v>44404.149837962963</v>
      </c>
      <c r="AP1149" s="87" t="str">
        <f>HYPERLINK("https://pbs.twimg.com/profile_banners/1419864024099921925/1631066234")</f>
        <v>https://pbs.twimg.com/profile_banners/1419864024099921925/1631066234</v>
      </c>
      <c r="AQ1149" s="80" t="b">
        <v>1</v>
      </c>
      <c r="AR1149" s="80" t="b">
        <v>0</v>
      </c>
      <c r="AS1149" s="80" t="b">
        <v>0</v>
      </c>
      <c r="AT1149" s="80"/>
      <c r="AU1149" s="80">
        <v>0</v>
      </c>
      <c r="AV1149" s="80"/>
      <c r="AW1149" s="80" t="b">
        <v>0</v>
      </c>
      <c r="AX1149" s="80" t="s">
        <v>10746</v>
      </c>
      <c r="AY1149" s="87" t="str">
        <f>HYPERLINK("https://twitter.com/anade04973624")</f>
        <v>https://twitter.com/anade04973624</v>
      </c>
      <c r="AZ1149" s="80" t="s">
        <v>66</v>
      </c>
      <c r="BA1149" s="2"/>
      <c r="BB1149" s="3"/>
      <c r="BC1149" s="3"/>
      <c r="BD1149" s="3"/>
      <c r="BE1149" s="3"/>
    </row>
    <row r="1150" spans="1:57" x14ac:dyDescent="0.35">
      <c r="A1150" s="66" t="s">
        <v>1133</v>
      </c>
      <c r="B1150" s="67"/>
      <c r="C1150" s="67"/>
      <c r="D1150" s="68"/>
      <c r="E1150" s="70"/>
      <c r="F1150" s="109" t="str">
        <f>HYPERLINK("https://pbs.twimg.com/profile_images/1440959798531420169/UC1Ubb6U_normal.jpg")</f>
        <v>https://pbs.twimg.com/profile_images/1440959798531420169/UC1Ubb6U_normal.jpg</v>
      </c>
      <c r="G1150" s="67"/>
      <c r="H1150" s="71"/>
      <c r="I1150" s="72"/>
      <c r="J1150" s="72"/>
      <c r="K1150" s="71" t="s">
        <v>11893</v>
      </c>
      <c r="L1150" s="75"/>
      <c r="M1150" s="76"/>
      <c r="N1150" s="76"/>
      <c r="O1150" s="77"/>
      <c r="P1150" s="78"/>
      <c r="Q1150" s="78"/>
      <c r="R1150" s="92"/>
      <c r="S1150" s="92"/>
      <c r="T1150" s="92"/>
      <c r="U1150" s="92"/>
      <c r="V1150" s="52"/>
      <c r="W1150" s="52"/>
      <c r="X1150" s="52"/>
      <c r="Y1150" s="52"/>
      <c r="Z1150" s="51"/>
      <c r="AA1150" s="73"/>
      <c r="AB1150" s="73"/>
      <c r="AC1150" s="74"/>
      <c r="AD1150" s="80" t="s">
        <v>7708</v>
      </c>
      <c r="AE1150" s="85" t="s">
        <v>8818</v>
      </c>
      <c r="AF1150" s="80">
        <v>168</v>
      </c>
      <c r="AG1150" s="80">
        <v>37</v>
      </c>
      <c r="AH1150" s="80">
        <v>1711</v>
      </c>
      <c r="AI1150" s="80">
        <v>2320</v>
      </c>
      <c r="AJ1150" s="80"/>
      <c r="AK1150" s="80" t="s">
        <v>9981</v>
      </c>
      <c r="AL1150" s="80"/>
      <c r="AM1150" s="87" t="str">
        <f>HYPERLINK("https://t.co/iPfunRiXCW")</f>
        <v>https://t.co/iPfunRiXCW</v>
      </c>
      <c r="AN1150" s="80"/>
      <c r="AO1150" s="82">
        <v>44348.269016203703</v>
      </c>
      <c r="AP1150" s="87" t="str">
        <f>HYPERLINK("https://pbs.twimg.com/profile_banners/1399613438112854016/1632386350")</f>
        <v>https://pbs.twimg.com/profile_banners/1399613438112854016/1632386350</v>
      </c>
      <c r="AQ1150" s="80" t="b">
        <v>1</v>
      </c>
      <c r="AR1150" s="80" t="b">
        <v>0</v>
      </c>
      <c r="AS1150" s="80" t="b">
        <v>0</v>
      </c>
      <c r="AT1150" s="80"/>
      <c r="AU1150" s="80">
        <v>0</v>
      </c>
      <c r="AV1150" s="80"/>
      <c r="AW1150" s="80" t="b">
        <v>0</v>
      </c>
      <c r="AX1150" s="80" t="s">
        <v>10746</v>
      </c>
      <c r="AY1150" s="87" t="str">
        <f>HYPERLINK("https://twitter.com/yeoninnie")</f>
        <v>https://twitter.com/yeoninnie</v>
      </c>
      <c r="AZ1150" s="80" t="s">
        <v>66</v>
      </c>
      <c r="BA1150" s="2"/>
      <c r="BB1150" s="3"/>
      <c r="BC1150" s="3"/>
      <c r="BD1150" s="3"/>
      <c r="BE1150" s="3"/>
    </row>
    <row r="1151" spans="1:57" x14ac:dyDescent="0.35">
      <c r="A1151" s="66" t="s">
        <v>1134</v>
      </c>
      <c r="B1151" s="67"/>
      <c r="C1151" s="67"/>
      <c r="D1151" s="68"/>
      <c r="E1151" s="70"/>
      <c r="F1151" s="109" t="str">
        <f>HYPERLINK("https://pbs.twimg.com/profile_images/1437962721929019395/u3j0WTaN_normal.jpg")</f>
        <v>https://pbs.twimg.com/profile_images/1437962721929019395/u3j0WTaN_normal.jpg</v>
      </c>
      <c r="G1151" s="67"/>
      <c r="H1151" s="71"/>
      <c r="I1151" s="72"/>
      <c r="J1151" s="72"/>
      <c r="K1151" s="71" t="s">
        <v>11894</v>
      </c>
      <c r="L1151" s="75"/>
      <c r="M1151" s="76"/>
      <c r="N1151" s="76"/>
      <c r="O1151" s="77"/>
      <c r="P1151" s="78"/>
      <c r="Q1151" s="78"/>
      <c r="R1151" s="92"/>
      <c r="S1151" s="92"/>
      <c r="T1151" s="92"/>
      <c r="U1151" s="92"/>
      <c r="V1151" s="52"/>
      <c r="W1151" s="52"/>
      <c r="X1151" s="52"/>
      <c r="Y1151" s="52"/>
      <c r="Z1151" s="51"/>
      <c r="AA1151" s="73"/>
      <c r="AB1151" s="73"/>
      <c r="AC1151" s="74"/>
      <c r="AD1151" s="80" t="s">
        <v>7709</v>
      </c>
      <c r="AE1151" s="85" t="s">
        <v>8819</v>
      </c>
      <c r="AF1151" s="80">
        <v>185</v>
      </c>
      <c r="AG1151" s="80">
        <v>101</v>
      </c>
      <c r="AH1151" s="80">
        <v>5103</v>
      </c>
      <c r="AI1151" s="80">
        <v>9501</v>
      </c>
      <c r="AJ1151" s="80"/>
      <c r="AK1151" s="80" t="s">
        <v>9982</v>
      </c>
      <c r="AL1151" s="80" t="s">
        <v>6547</v>
      </c>
      <c r="AM1151" s="87" t="str">
        <f>HYPERLINK("https://t.co/D4cogqWCNJ")</f>
        <v>https://t.co/D4cogqWCNJ</v>
      </c>
      <c r="AN1151" s="80"/>
      <c r="AO1151" s="82">
        <v>43901.359282407408</v>
      </c>
      <c r="AP1151" s="87" t="str">
        <f>HYPERLINK("https://pbs.twimg.com/profile_banners/1237658727827656704/1600272225")</f>
        <v>https://pbs.twimg.com/profile_banners/1237658727827656704/1600272225</v>
      </c>
      <c r="AQ1151" s="80" t="b">
        <v>1</v>
      </c>
      <c r="AR1151" s="80" t="b">
        <v>0</v>
      </c>
      <c r="AS1151" s="80" t="b">
        <v>1</v>
      </c>
      <c r="AT1151" s="80"/>
      <c r="AU1151" s="80">
        <v>0</v>
      </c>
      <c r="AV1151" s="80"/>
      <c r="AW1151" s="80" t="b">
        <v>0</v>
      </c>
      <c r="AX1151" s="80" t="s">
        <v>10746</v>
      </c>
      <c r="AY1151" s="87" t="str">
        <f>HYPERLINK("https://twitter.com/yseohui96")</f>
        <v>https://twitter.com/yseohui96</v>
      </c>
      <c r="AZ1151" s="80" t="s">
        <v>66</v>
      </c>
      <c r="BA1151" s="2"/>
      <c r="BB1151" s="3"/>
      <c r="BC1151" s="3"/>
      <c r="BD1151" s="3"/>
      <c r="BE1151" s="3"/>
    </row>
    <row r="1152" spans="1:57" x14ac:dyDescent="0.35">
      <c r="A1152" s="66" t="s">
        <v>1135</v>
      </c>
      <c r="B1152" s="67"/>
      <c r="C1152" s="67"/>
      <c r="D1152" s="68"/>
      <c r="E1152" s="70"/>
      <c r="F1152" s="109" t="str">
        <f>HYPERLINK("https://pbs.twimg.com/profile_images/1301524629815615489/48HKqLLl_normal.jpg")</f>
        <v>https://pbs.twimg.com/profile_images/1301524629815615489/48HKqLLl_normal.jpg</v>
      </c>
      <c r="G1152" s="67"/>
      <c r="H1152" s="71"/>
      <c r="I1152" s="72"/>
      <c r="J1152" s="72"/>
      <c r="K1152" s="71" t="s">
        <v>11895</v>
      </c>
      <c r="L1152" s="75"/>
      <c r="M1152" s="76"/>
      <c r="N1152" s="76"/>
      <c r="O1152" s="77"/>
      <c r="P1152" s="78"/>
      <c r="Q1152" s="78"/>
      <c r="R1152" s="92"/>
      <c r="S1152" s="92"/>
      <c r="T1152" s="92"/>
      <c r="U1152" s="92"/>
      <c r="V1152" s="52"/>
      <c r="W1152" s="52"/>
      <c r="X1152" s="52"/>
      <c r="Y1152" s="52"/>
      <c r="Z1152" s="51"/>
      <c r="AA1152" s="73"/>
      <c r="AB1152" s="73"/>
      <c r="AC1152" s="74"/>
      <c r="AD1152" s="80" t="s">
        <v>7710</v>
      </c>
      <c r="AE1152" s="85" t="s">
        <v>8820</v>
      </c>
      <c r="AF1152" s="80">
        <v>99</v>
      </c>
      <c r="AG1152" s="80">
        <v>3670</v>
      </c>
      <c r="AH1152" s="80">
        <v>6601</v>
      </c>
      <c r="AI1152" s="80">
        <v>687</v>
      </c>
      <c r="AJ1152" s="80"/>
      <c r="AK1152" s="80" t="s">
        <v>9983</v>
      </c>
      <c r="AL1152" s="80" t="s">
        <v>6543</v>
      </c>
      <c r="AM1152" s="87" t="str">
        <f>HYPERLINK("https://t.co/Qbzddc5qMb")</f>
        <v>https://t.co/Qbzddc5qMb</v>
      </c>
      <c r="AN1152" s="80"/>
      <c r="AO1152" s="82">
        <v>42272.452488425923</v>
      </c>
      <c r="AP1152" s="87" t="str">
        <f>HYPERLINK("https://pbs.twimg.com/profile_banners/3680646260/1582163691")</f>
        <v>https://pbs.twimg.com/profile_banners/3680646260/1582163691</v>
      </c>
      <c r="AQ1152" s="80" t="b">
        <v>0</v>
      </c>
      <c r="AR1152" s="80" t="b">
        <v>0</v>
      </c>
      <c r="AS1152" s="80" t="b">
        <v>1</v>
      </c>
      <c r="AT1152" s="80"/>
      <c r="AU1152" s="80">
        <v>1</v>
      </c>
      <c r="AV1152" s="87" t="str">
        <f>HYPERLINK("https://abs.twimg.com/images/themes/theme1/bg.png")</f>
        <v>https://abs.twimg.com/images/themes/theme1/bg.png</v>
      </c>
      <c r="AW1152" s="80" t="b">
        <v>0</v>
      </c>
      <c r="AX1152" s="80" t="s">
        <v>10746</v>
      </c>
      <c r="AY1152" s="87" t="str">
        <f>HYPERLINK("https://twitter.com/revmen_id")</f>
        <v>https://twitter.com/revmen_id</v>
      </c>
      <c r="AZ1152" s="80" t="s">
        <v>66</v>
      </c>
      <c r="BA1152" s="2"/>
      <c r="BB1152" s="3"/>
      <c r="BC1152" s="3"/>
      <c r="BD1152" s="3"/>
      <c r="BE1152" s="3"/>
    </row>
    <row r="1153" spans="1:57" x14ac:dyDescent="0.35">
      <c r="A1153" s="66" t="s">
        <v>1136</v>
      </c>
      <c r="B1153" s="67"/>
      <c r="C1153" s="67"/>
      <c r="D1153" s="68"/>
      <c r="E1153" s="70"/>
      <c r="F1153" s="109" t="str">
        <f>HYPERLINK("https://pbs.twimg.com/profile_images/1288147431310241792/xuQzvx22_normal.jpg")</f>
        <v>https://pbs.twimg.com/profile_images/1288147431310241792/xuQzvx22_normal.jpg</v>
      </c>
      <c r="G1153" s="67"/>
      <c r="H1153" s="71"/>
      <c r="I1153" s="72"/>
      <c r="J1153" s="72"/>
      <c r="K1153" s="71" t="s">
        <v>11896</v>
      </c>
      <c r="L1153" s="75"/>
      <c r="M1153" s="76"/>
      <c r="N1153" s="76"/>
      <c r="O1153" s="77"/>
      <c r="P1153" s="78"/>
      <c r="Q1153" s="78"/>
      <c r="R1153" s="92"/>
      <c r="S1153" s="92"/>
      <c r="T1153" s="92"/>
      <c r="U1153" s="92"/>
      <c r="V1153" s="52"/>
      <c r="W1153" s="52"/>
      <c r="X1153" s="52"/>
      <c r="Y1153" s="52"/>
      <c r="Z1153" s="51"/>
      <c r="AA1153" s="73"/>
      <c r="AB1153" s="73"/>
      <c r="AC1153" s="74"/>
      <c r="AD1153" s="80" t="s">
        <v>7711</v>
      </c>
      <c r="AE1153" s="85" t="s">
        <v>8821</v>
      </c>
      <c r="AF1153" s="80">
        <v>756</v>
      </c>
      <c r="AG1153" s="80">
        <v>102</v>
      </c>
      <c r="AH1153" s="80">
        <v>4935</v>
      </c>
      <c r="AI1153" s="80">
        <v>322</v>
      </c>
      <c r="AJ1153" s="80"/>
      <c r="AK1153" s="80" t="s">
        <v>9984</v>
      </c>
      <c r="AL1153" s="80"/>
      <c r="AM1153" s="80"/>
      <c r="AN1153" s="80"/>
      <c r="AO1153" s="82">
        <v>43675.218599537038</v>
      </c>
      <c r="AP1153" s="87" t="str">
        <f>HYPERLINK("https://pbs.twimg.com/profile_banners/1155708224340811776/1608471888")</f>
        <v>https://pbs.twimg.com/profile_banners/1155708224340811776/1608471888</v>
      </c>
      <c r="AQ1153" s="80" t="b">
        <v>1</v>
      </c>
      <c r="AR1153" s="80" t="b">
        <v>0</v>
      </c>
      <c r="AS1153" s="80" t="b">
        <v>1</v>
      </c>
      <c r="AT1153" s="80"/>
      <c r="AU1153" s="80">
        <v>0</v>
      </c>
      <c r="AV1153" s="80"/>
      <c r="AW1153" s="80" t="b">
        <v>0</v>
      </c>
      <c r="AX1153" s="80" t="s">
        <v>10746</v>
      </c>
      <c r="AY1153" s="87" t="str">
        <f>HYPERLINK("https://twitter.com/andidewiyahooc1")</f>
        <v>https://twitter.com/andidewiyahooc1</v>
      </c>
      <c r="AZ1153" s="80" t="s">
        <v>66</v>
      </c>
      <c r="BA1153" s="2"/>
      <c r="BB1153" s="3"/>
      <c r="BC1153" s="3"/>
      <c r="BD1153" s="3"/>
      <c r="BE1153" s="3"/>
    </row>
    <row r="1154" spans="1:57" x14ac:dyDescent="0.35">
      <c r="A1154" s="66" t="s">
        <v>1137</v>
      </c>
      <c r="B1154" s="67"/>
      <c r="C1154" s="67"/>
      <c r="D1154" s="68"/>
      <c r="E1154" s="70"/>
      <c r="F1154" s="109" t="str">
        <f>HYPERLINK("https://pbs.twimg.com/profile_images/1441375390652530690/nuc0y6Gv_normal.jpg")</f>
        <v>https://pbs.twimg.com/profile_images/1441375390652530690/nuc0y6Gv_normal.jpg</v>
      </c>
      <c r="G1154" s="67"/>
      <c r="H1154" s="71"/>
      <c r="I1154" s="72"/>
      <c r="J1154" s="72"/>
      <c r="K1154" s="71" t="s">
        <v>11897</v>
      </c>
      <c r="L1154" s="75"/>
      <c r="M1154" s="76"/>
      <c r="N1154" s="76"/>
      <c r="O1154" s="77"/>
      <c r="P1154" s="78"/>
      <c r="Q1154" s="78"/>
      <c r="R1154" s="92"/>
      <c r="S1154" s="92"/>
      <c r="T1154" s="92"/>
      <c r="U1154" s="92"/>
      <c r="V1154" s="52"/>
      <c r="W1154" s="52"/>
      <c r="X1154" s="52"/>
      <c r="Y1154" s="52"/>
      <c r="Z1154" s="51"/>
      <c r="AA1154" s="73"/>
      <c r="AB1154" s="73"/>
      <c r="AC1154" s="74"/>
      <c r="AD1154" s="80" t="s">
        <v>7712</v>
      </c>
      <c r="AE1154" s="85" t="s">
        <v>8822</v>
      </c>
      <c r="AF1154" s="80">
        <v>345</v>
      </c>
      <c r="AG1154" s="80">
        <v>599</v>
      </c>
      <c r="AH1154" s="80">
        <v>44544</v>
      </c>
      <c r="AI1154" s="80">
        <v>10548</v>
      </c>
      <c r="AJ1154" s="80"/>
      <c r="AK1154" s="80" t="s">
        <v>9985</v>
      </c>
      <c r="AL1154" s="80" t="s">
        <v>10678</v>
      </c>
      <c r="AM1154" s="87" t="str">
        <f>HYPERLINK("https://t.co/BC7vC2XcGp")</f>
        <v>https://t.co/BC7vC2XcGp</v>
      </c>
      <c r="AN1154" s="80"/>
      <c r="AO1154" s="82">
        <v>41255.222870370373</v>
      </c>
      <c r="AP1154" s="87" t="str">
        <f>HYPERLINK("https://pbs.twimg.com/profile_banners/1005635900/1572696607")</f>
        <v>https://pbs.twimg.com/profile_banners/1005635900/1572696607</v>
      </c>
      <c r="AQ1154" s="80" t="b">
        <v>0</v>
      </c>
      <c r="AR1154" s="80" t="b">
        <v>0</v>
      </c>
      <c r="AS1154" s="80" t="b">
        <v>1</v>
      </c>
      <c r="AT1154" s="80"/>
      <c r="AU1154" s="80">
        <v>1</v>
      </c>
      <c r="AV1154" s="87" t="str">
        <f>HYPERLINK("https://abs.twimg.com/images/themes/theme1/bg.png")</f>
        <v>https://abs.twimg.com/images/themes/theme1/bg.png</v>
      </c>
      <c r="AW1154" s="80" t="b">
        <v>0</v>
      </c>
      <c r="AX1154" s="80" t="s">
        <v>10746</v>
      </c>
      <c r="AY1154" s="87" t="str">
        <f>HYPERLINK("https://twitter.com/aynbla")</f>
        <v>https://twitter.com/aynbla</v>
      </c>
      <c r="AZ1154" s="80" t="s">
        <v>66</v>
      </c>
      <c r="BA1154" s="2"/>
      <c r="BB1154" s="3"/>
      <c r="BC1154" s="3"/>
      <c r="BD1154" s="3"/>
      <c r="BE1154" s="3"/>
    </row>
    <row r="1155" spans="1:57" x14ac:dyDescent="0.35">
      <c r="A1155" s="66" t="s">
        <v>1138</v>
      </c>
      <c r="B1155" s="67"/>
      <c r="C1155" s="67"/>
      <c r="D1155" s="68"/>
      <c r="E1155" s="70"/>
      <c r="F1155" s="109" t="str">
        <f>HYPERLINK("https://pbs.twimg.com/profile_images/1420290115948093444/60AY-oJE_normal.jpg")</f>
        <v>https://pbs.twimg.com/profile_images/1420290115948093444/60AY-oJE_normal.jpg</v>
      </c>
      <c r="G1155" s="67"/>
      <c r="H1155" s="71"/>
      <c r="I1155" s="72"/>
      <c r="J1155" s="72"/>
      <c r="K1155" s="71" t="s">
        <v>11898</v>
      </c>
      <c r="L1155" s="75"/>
      <c r="M1155" s="76"/>
      <c r="N1155" s="76"/>
      <c r="O1155" s="77"/>
      <c r="P1155" s="78"/>
      <c r="Q1155" s="78"/>
      <c r="R1155" s="92"/>
      <c r="S1155" s="92"/>
      <c r="T1155" s="92"/>
      <c r="U1155" s="92"/>
      <c r="V1155" s="52"/>
      <c r="W1155" s="52"/>
      <c r="X1155" s="52"/>
      <c r="Y1155" s="52"/>
      <c r="Z1155" s="51"/>
      <c r="AA1155" s="73"/>
      <c r="AB1155" s="73"/>
      <c r="AC1155" s="74"/>
      <c r="AD1155" s="80" t="s">
        <v>7713</v>
      </c>
      <c r="AE1155" s="85" t="s">
        <v>8823</v>
      </c>
      <c r="AF1155" s="80">
        <v>10</v>
      </c>
      <c r="AG1155" s="80">
        <v>7</v>
      </c>
      <c r="AH1155" s="80">
        <v>107</v>
      </c>
      <c r="AI1155" s="80">
        <v>15</v>
      </c>
      <c r="AJ1155" s="80"/>
      <c r="AK1155" s="80" t="s">
        <v>9986</v>
      </c>
      <c r="AL1155" s="80"/>
      <c r="AM1155" s="80"/>
      <c r="AN1155" s="80"/>
      <c r="AO1155" s="82">
        <v>44405.324687499997</v>
      </c>
      <c r="AP1155" s="80"/>
      <c r="AQ1155" s="80" t="b">
        <v>1</v>
      </c>
      <c r="AR1155" s="80" t="b">
        <v>0</v>
      </c>
      <c r="AS1155" s="80" t="b">
        <v>0</v>
      </c>
      <c r="AT1155" s="80"/>
      <c r="AU1155" s="80">
        <v>0</v>
      </c>
      <c r="AV1155" s="80"/>
      <c r="AW1155" s="80" t="b">
        <v>0</v>
      </c>
      <c r="AX1155" s="80" t="s">
        <v>10746</v>
      </c>
      <c r="AY1155" s="87" t="str">
        <f>HYPERLINK("https://twitter.com/jdihkpumgl")</f>
        <v>https://twitter.com/jdihkpumgl</v>
      </c>
      <c r="AZ1155" s="80" t="s">
        <v>66</v>
      </c>
      <c r="BA1155" s="2"/>
      <c r="BB1155" s="3"/>
      <c r="BC1155" s="3"/>
      <c r="BD1155" s="3"/>
      <c r="BE1155" s="3"/>
    </row>
    <row r="1156" spans="1:57" x14ac:dyDescent="0.35">
      <c r="A1156" s="66" t="s">
        <v>1139</v>
      </c>
      <c r="B1156" s="67"/>
      <c r="C1156" s="67"/>
      <c r="D1156" s="68"/>
      <c r="E1156" s="70"/>
      <c r="F1156" s="109" t="str">
        <f>HYPERLINK("https://pbs.twimg.com/profile_images/1372171656702009346/TnwndwHV_normal.jpg")</f>
        <v>https://pbs.twimg.com/profile_images/1372171656702009346/TnwndwHV_normal.jpg</v>
      </c>
      <c r="G1156" s="67"/>
      <c r="H1156" s="71"/>
      <c r="I1156" s="72"/>
      <c r="J1156" s="72"/>
      <c r="K1156" s="71" t="s">
        <v>11899</v>
      </c>
      <c r="L1156" s="75"/>
      <c r="M1156" s="76"/>
      <c r="N1156" s="76"/>
      <c r="O1156" s="77"/>
      <c r="P1156" s="78"/>
      <c r="Q1156" s="78"/>
      <c r="R1156" s="92"/>
      <c r="S1156" s="92"/>
      <c r="T1156" s="92"/>
      <c r="U1156" s="92"/>
      <c r="V1156" s="52"/>
      <c r="W1156" s="52"/>
      <c r="X1156" s="52"/>
      <c r="Y1156" s="52"/>
      <c r="Z1156" s="51"/>
      <c r="AA1156" s="73"/>
      <c r="AB1156" s="73"/>
      <c r="AC1156" s="74"/>
      <c r="AD1156" s="80" t="s">
        <v>7714</v>
      </c>
      <c r="AE1156" s="85" t="s">
        <v>8824</v>
      </c>
      <c r="AF1156" s="80">
        <v>115</v>
      </c>
      <c r="AG1156" s="80">
        <v>59</v>
      </c>
      <c r="AH1156" s="80">
        <v>176</v>
      </c>
      <c r="AI1156" s="80">
        <v>746</v>
      </c>
      <c r="AJ1156" s="80"/>
      <c r="AK1156" s="80" t="s">
        <v>9987</v>
      </c>
      <c r="AL1156" s="80"/>
      <c r="AM1156" s="80"/>
      <c r="AN1156" s="80"/>
      <c r="AO1156" s="82">
        <v>43473.249664351853</v>
      </c>
      <c r="AP1156" s="87" t="str">
        <f>HYPERLINK("https://pbs.twimg.com/profile_banners/1082517134796705794/1553315584")</f>
        <v>https://pbs.twimg.com/profile_banners/1082517134796705794/1553315584</v>
      </c>
      <c r="AQ1156" s="80" t="b">
        <v>1</v>
      </c>
      <c r="AR1156" s="80" t="b">
        <v>0</v>
      </c>
      <c r="AS1156" s="80" t="b">
        <v>0</v>
      </c>
      <c r="AT1156" s="80"/>
      <c r="AU1156" s="80">
        <v>0</v>
      </c>
      <c r="AV1156" s="80"/>
      <c r="AW1156" s="80" t="b">
        <v>0</v>
      </c>
      <c r="AX1156" s="80" t="s">
        <v>10746</v>
      </c>
      <c r="AY1156" s="87" t="str">
        <f>HYPERLINK("https://twitter.com/sitinoerhayati")</f>
        <v>https://twitter.com/sitinoerhayati</v>
      </c>
      <c r="AZ1156" s="80" t="s">
        <v>66</v>
      </c>
      <c r="BA1156" s="2"/>
      <c r="BB1156" s="3"/>
      <c r="BC1156" s="3"/>
      <c r="BD1156" s="3"/>
      <c r="BE1156" s="3"/>
    </row>
    <row r="1157" spans="1:57" x14ac:dyDescent="0.35">
      <c r="A1157" s="66" t="s">
        <v>1140</v>
      </c>
      <c r="B1157" s="67"/>
      <c r="C1157" s="67"/>
      <c r="D1157" s="68"/>
      <c r="E1157" s="70"/>
      <c r="F1157" s="109" t="str">
        <f>HYPERLINK("https://pbs.twimg.com/profile_images/1441632650037383172/w5tyrTV__normal.jpg")</f>
        <v>https://pbs.twimg.com/profile_images/1441632650037383172/w5tyrTV__normal.jpg</v>
      </c>
      <c r="G1157" s="67"/>
      <c r="H1157" s="71"/>
      <c r="I1157" s="72"/>
      <c r="J1157" s="72"/>
      <c r="K1157" s="71" t="s">
        <v>11900</v>
      </c>
      <c r="L1157" s="75"/>
      <c r="M1157" s="76"/>
      <c r="N1157" s="76"/>
      <c r="O1157" s="77"/>
      <c r="P1157" s="78"/>
      <c r="Q1157" s="78"/>
      <c r="R1157" s="92"/>
      <c r="S1157" s="92"/>
      <c r="T1157" s="92"/>
      <c r="U1157" s="92"/>
      <c r="V1157" s="52"/>
      <c r="W1157" s="52"/>
      <c r="X1157" s="52"/>
      <c r="Y1157" s="52"/>
      <c r="Z1157" s="51"/>
      <c r="AA1157" s="73"/>
      <c r="AB1157" s="73"/>
      <c r="AC1157" s="74"/>
      <c r="AD1157" s="80" t="s">
        <v>7715</v>
      </c>
      <c r="AE1157" s="85" t="s">
        <v>6442</v>
      </c>
      <c r="AF1157" s="80">
        <v>224</v>
      </c>
      <c r="AG1157" s="80">
        <v>1558</v>
      </c>
      <c r="AH1157" s="80">
        <v>168589</v>
      </c>
      <c r="AI1157" s="80">
        <v>41285</v>
      </c>
      <c r="AJ1157" s="80"/>
      <c r="AK1157" s="80" t="s">
        <v>9988</v>
      </c>
      <c r="AL1157" s="80" t="s">
        <v>10679</v>
      </c>
      <c r="AM1157" s="87" t="str">
        <f>HYPERLINK("https://t.co/a8XVYPg5zR")</f>
        <v>https://t.co/a8XVYPg5zR</v>
      </c>
      <c r="AN1157" s="80"/>
      <c r="AO1157" s="82">
        <v>40801.542534722219</v>
      </c>
      <c r="AP1157" s="87" t="str">
        <f>HYPERLINK("https://pbs.twimg.com/profile_banners/373946658/1631241064")</f>
        <v>https://pbs.twimg.com/profile_banners/373946658/1631241064</v>
      </c>
      <c r="AQ1157" s="80" t="b">
        <v>0</v>
      </c>
      <c r="AR1157" s="80" t="b">
        <v>0</v>
      </c>
      <c r="AS1157" s="80" t="b">
        <v>1</v>
      </c>
      <c r="AT1157" s="80"/>
      <c r="AU1157" s="80">
        <v>8</v>
      </c>
      <c r="AV1157" s="87" t="str">
        <f>HYPERLINK("https://abs.twimg.com/images/themes/theme1/bg.png")</f>
        <v>https://abs.twimg.com/images/themes/theme1/bg.png</v>
      </c>
      <c r="AW1157" s="80" t="b">
        <v>0</v>
      </c>
      <c r="AX1157" s="80" t="s">
        <v>10746</v>
      </c>
      <c r="AY1157" s="87" t="str">
        <f>HYPERLINK("https://twitter.com/juyeonspicy")</f>
        <v>https://twitter.com/juyeonspicy</v>
      </c>
      <c r="AZ1157" s="80" t="s">
        <v>66</v>
      </c>
      <c r="BA1157" s="2"/>
      <c r="BB1157" s="3"/>
      <c r="BC1157" s="3"/>
      <c r="BD1157" s="3"/>
      <c r="BE1157" s="3"/>
    </row>
    <row r="1158" spans="1:57" x14ac:dyDescent="0.35">
      <c r="A1158" s="66" t="s">
        <v>1141</v>
      </c>
      <c r="B1158" s="67"/>
      <c r="C1158" s="67"/>
      <c r="D1158" s="68"/>
      <c r="E1158" s="70"/>
      <c r="F1158" s="109" t="str">
        <f>HYPERLINK("https://pbs.twimg.com/profile_images/1401745365863309320/mlBKu-W9_normal.jpg")</f>
        <v>https://pbs.twimg.com/profile_images/1401745365863309320/mlBKu-W9_normal.jpg</v>
      </c>
      <c r="G1158" s="67"/>
      <c r="H1158" s="71"/>
      <c r="I1158" s="72"/>
      <c r="J1158" s="72"/>
      <c r="K1158" s="71" t="s">
        <v>11901</v>
      </c>
      <c r="L1158" s="75"/>
      <c r="M1158" s="76"/>
      <c r="N1158" s="76"/>
      <c r="O1158" s="77"/>
      <c r="P1158" s="78"/>
      <c r="Q1158" s="78"/>
      <c r="R1158" s="92"/>
      <c r="S1158" s="92"/>
      <c r="T1158" s="92"/>
      <c r="U1158" s="92"/>
      <c r="V1158" s="52"/>
      <c r="W1158" s="52"/>
      <c r="X1158" s="52"/>
      <c r="Y1158" s="52"/>
      <c r="Z1158" s="51"/>
      <c r="AA1158" s="73"/>
      <c r="AB1158" s="73"/>
      <c r="AC1158" s="74"/>
      <c r="AD1158" s="80" t="s">
        <v>7716</v>
      </c>
      <c r="AE1158" s="85" t="s">
        <v>8825</v>
      </c>
      <c r="AF1158" s="80">
        <v>3686</v>
      </c>
      <c r="AG1158" s="80">
        <v>7318</v>
      </c>
      <c r="AH1158" s="80">
        <v>182638</v>
      </c>
      <c r="AI1158" s="80">
        <v>249557</v>
      </c>
      <c r="AJ1158" s="80"/>
      <c r="AK1158" s="80" t="s">
        <v>9989</v>
      </c>
      <c r="AL1158" s="80" t="s">
        <v>10159</v>
      </c>
      <c r="AM1158" s="80"/>
      <c r="AN1158" s="80"/>
      <c r="AO1158" s="82">
        <v>42180.343784722223</v>
      </c>
      <c r="AP1158" s="87" t="str">
        <f>HYPERLINK("https://pbs.twimg.com/profile_banners/3255362880/1618123741")</f>
        <v>https://pbs.twimg.com/profile_banners/3255362880/1618123741</v>
      </c>
      <c r="AQ1158" s="80" t="b">
        <v>1</v>
      </c>
      <c r="AR1158" s="80" t="b">
        <v>0</v>
      </c>
      <c r="AS1158" s="80" t="b">
        <v>0</v>
      </c>
      <c r="AT1158" s="80"/>
      <c r="AU1158" s="80">
        <v>1</v>
      </c>
      <c r="AV1158" s="87" t="str">
        <f>HYPERLINK("https://abs.twimg.com/images/themes/theme1/bg.png")</f>
        <v>https://abs.twimg.com/images/themes/theme1/bg.png</v>
      </c>
      <c r="AW1158" s="80" t="b">
        <v>0</v>
      </c>
      <c r="AX1158" s="80" t="s">
        <v>10746</v>
      </c>
      <c r="AY1158" s="87" t="str">
        <f>HYPERLINK("https://twitter.com/herlin_673yp")</f>
        <v>https://twitter.com/herlin_673yp</v>
      </c>
      <c r="AZ1158" s="80" t="s">
        <v>66</v>
      </c>
      <c r="BA1158" s="2"/>
      <c r="BB1158" s="3"/>
      <c r="BC1158" s="3"/>
      <c r="BD1158" s="3"/>
      <c r="BE1158" s="3"/>
    </row>
    <row r="1159" spans="1:57" x14ac:dyDescent="0.35">
      <c r="A1159" s="66" t="s">
        <v>1142</v>
      </c>
      <c r="B1159" s="67"/>
      <c r="C1159" s="67"/>
      <c r="D1159" s="68"/>
      <c r="E1159" s="70"/>
      <c r="F1159" s="109" t="str">
        <f>HYPERLINK("https://pbs.twimg.com/profile_images/1441378581527945218/XDhIHdhJ_normal.jpg")</f>
        <v>https://pbs.twimg.com/profile_images/1441378581527945218/XDhIHdhJ_normal.jpg</v>
      </c>
      <c r="G1159" s="67"/>
      <c r="H1159" s="71"/>
      <c r="I1159" s="72"/>
      <c r="J1159" s="72"/>
      <c r="K1159" s="71" t="s">
        <v>11902</v>
      </c>
      <c r="L1159" s="75"/>
      <c r="M1159" s="76"/>
      <c r="N1159" s="76"/>
      <c r="O1159" s="77"/>
      <c r="P1159" s="78"/>
      <c r="Q1159" s="78"/>
      <c r="R1159" s="92"/>
      <c r="S1159" s="92"/>
      <c r="T1159" s="92"/>
      <c r="U1159" s="92"/>
      <c r="V1159" s="52"/>
      <c r="W1159" s="52"/>
      <c r="X1159" s="52"/>
      <c r="Y1159" s="52"/>
      <c r="Z1159" s="51"/>
      <c r="AA1159" s="73"/>
      <c r="AB1159" s="73"/>
      <c r="AC1159" s="74"/>
      <c r="AD1159" s="80" t="s">
        <v>7717</v>
      </c>
      <c r="AE1159" s="85" t="s">
        <v>8826</v>
      </c>
      <c r="AF1159" s="80">
        <v>282</v>
      </c>
      <c r="AG1159" s="80">
        <v>4393</v>
      </c>
      <c r="AH1159" s="80">
        <v>26418</v>
      </c>
      <c r="AI1159" s="80">
        <v>18</v>
      </c>
      <c r="AJ1159" s="80"/>
      <c r="AK1159" s="80"/>
      <c r="AL1159" s="80" t="s">
        <v>10680</v>
      </c>
      <c r="AM1159" s="80"/>
      <c r="AN1159" s="80"/>
      <c r="AO1159" s="82">
        <v>40186.394548611112</v>
      </c>
      <c r="AP1159" s="80"/>
      <c r="AQ1159" s="80" t="b">
        <v>1</v>
      </c>
      <c r="AR1159" s="80" t="b">
        <v>0</v>
      </c>
      <c r="AS1159" s="80" t="b">
        <v>0</v>
      </c>
      <c r="AT1159" s="80"/>
      <c r="AU1159" s="80">
        <v>16</v>
      </c>
      <c r="AV1159" s="87" t="str">
        <f>HYPERLINK("https://abs.twimg.com/images/themes/theme1/bg.png")</f>
        <v>https://abs.twimg.com/images/themes/theme1/bg.png</v>
      </c>
      <c r="AW1159" s="80" t="b">
        <v>0</v>
      </c>
      <c r="AX1159" s="80" t="s">
        <v>10746</v>
      </c>
      <c r="AY1159" s="87" t="str">
        <f>HYPERLINK("https://twitter.com/flobamoraglobal")</f>
        <v>https://twitter.com/flobamoraglobal</v>
      </c>
      <c r="AZ1159" s="80" t="s">
        <v>66</v>
      </c>
      <c r="BA1159" s="2"/>
      <c r="BB1159" s="3"/>
      <c r="BC1159" s="3"/>
      <c r="BD1159" s="3"/>
      <c r="BE1159" s="3"/>
    </row>
    <row r="1160" spans="1:57" x14ac:dyDescent="0.35">
      <c r="A1160" s="66" t="s">
        <v>1143</v>
      </c>
      <c r="B1160" s="67"/>
      <c r="C1160" s="67"/>
      <c r="D1160" s="68"/>
      <c r="E1160" s="70"/>
      <c r="F1160" s="109" t="str">
        <f>HYPERLINK("https://pbs.twimg.com/profile_images/1307219680436711424/SeUn4vA2_normal.jpg")</f>
        <v>https://pbs.twimg.com/profile_images/1307219680436711424/SeUn4vA2_normal.jpg</v>
      </c>
      <c r="G1160" s="67"/>
      <c r="H1160" s="71"/>
      <c r="I1160" s="72"/>
      <c r="J1160" s="72"/>
      <c r="K1160" s="71" t="s">
        <v>11903</v>
      </c>
      <c r="L1160" s="75"/>
      <c r="M1160" s="76"/>
      <c r="N1160" s="76"/>
      <c r="O1160" s="77"/>
      <c r="P1160" s="78"/>
      <c r="Q1160" s="78"/>
      <c r="R1160" s="92"/>
      <c r="S1160" s="92"/>
      <c r="T1160" s="92"/>
      <c r="U1160" s="92"/>
      <c r="V1160" s="52"/>
      <c r="W1160" s="52"/>
      <c r="X1160" s="52"/>
      <c r="Y1160" s="52"/>
      <c r="Z1160" s="51"/>
      <c r="AA1160" s="73"/>
      <c r="AB1160" s="73"/>
      <c r="AC1160" s="74"/>
      <c r="AD1160" s="80" t="s">
        <v>7718</v>
      </c>
      <c r="AE1160" s="85" t="s">
        <v>8827</v>
      </c>
      <c r="AF1160" s="80">
        <v>508</v>
      </c>
      <c r="AG1160" s="80">
        <v>1515</v>
      </c>
      <c r="AH1160" s="80">
        <v>90449</v>
      </c>
      <c r="AI1160" s="80">
        <v>1978</v>
      </c>
      <c r="AJ1160" s="80"/>
      <c r="AK1160" s="80" t="s">
        <v>9990</v>
      </c>
      <c r="AL1160" s="80" t="s">
        <v>10182</v>
      </c>
      <c r="AM1160" s="80"/>
      <c r="AN1160" s="80"/>
      <c r="AO1160" s="82">
        <v>40794.806122685186</v>
      </c>
      <c r="AP1160" s="87" t="str">
        <f>HYPERLINK("https://pbs.twimg.com/profile_banners/370282927/1590831366")</f>
        <v>https://pbs.twimg.com/profile_banners/370282927/1590831366</v>
      </c>
      <c r="AQ1160" s="80" t="b">
        <v>0</v>
      </c>
      <c r="AR1160" s="80" t="b">
        <v>0</v>
      </c>
      <c r="AS1160" s="80" t="b">
        <v>1</v>
      </c>
      <c r="AT1160" s="80"/>
      <c r="AU1160" s="80">
        <v>0</v>
      </c>
      <c r="AV1160" s="87" t="str">
        <f>HYPERLINK("https://abs.twimg.com/images/themes/theme1/bg.png")</f>
        <v>https://abs.twimg.com/images/themes/theme1/bg.png</v>
      </c>
      <c r="AW1160" s="80" t="b">
        <v>0</v>
      </c>
      <c r="AX1160" s="80" t="s">
        <v>10746</v>
      </c>
      <c r="AY1160" s="87" t="str">
        <f>HYPERLINK("https://twitter.com/mmrrllssyyffqq")</f>
        <v>https://twitter.com/mmrrllssyyffqq</v>
      </c>
      <c r="AZ1160" s="80" t="s">
        <v>66</v>
      </c>
      <c r="BA1160" s="2"/>
      <c r="BB1160" s="3"/>
      <c r="BC1160" s="3"/>
      <c r="BD1160" s="3"/>
      <c r="BE1160" s="3"/>
    </row>
    <row r="1161" spans="1:57" x14ac:dyDescent="0.35">
      <c r="A1161" s="66" t="s">
        <v>1144</v>
      </c>
      <c r="B1161" s="67"/>
      <c r="C1161" s="67"/>
      <c r="D1161" s="68"/>
      <c r="E1161" s="70"/>
      <c r="F1161" s="109" t="str">
        <f>HYPERLINK("https://pbs.twimg.com/profile_images/1441259725912350724/fhTswPtR_normal.jpg")</f>
        <v>https://pbs.twimg.com/profile_images/1441259725912350724/fhTswPtR_normal.jpg</v>
      </c>
      <c r="G1161" s="67"/>
      <c r="H1161" s="71"/>
      <c r="I1161" s="72"/>
      <c r="J1161" s="72"/>
      <c r="K1161" s="71" t="s">
        <v>11904</v>
      </c>
      <c r="L1161" s="75"/>
      <c r="M1161" s="76"/>
      <c r="N1161" s="76"/>
      <c r="O1161" s="77"/>
      <c r="P1161" s="78"/>
      <c r="Q1161" s="78"/>
      <c r="R1161" s="92"/>
      <c r="S1161" s="92"/>
      <c r="T1161" s="92"/>
      <c r="U1161" s="92"/>
      <c r="V1161" s="52"/>
      <c r="W1161" s="52"/>
      <c r="X1161" s="52"/>
      <c r="Y1161" s="52"/>
      <c r="Z1161" s="51"/>
      <c r="AA1161" s="73"/>
      <c r="AB1161" s="73"/>
      <c r="AC1161" s="74"/>
      <c r="AD1161" s="80" t="s">
        <v>7719</v>
      </c>
      <c r="AE1161" s="85" t="s">
        <v>6443</v>
      </c>
      <c r="AF1161" s="80">
        <v>282</v>
      </c>
      <c r="AG1161" s="80">
        <v>239</v>
      </c>
      <c r="AH1161" s="80">
        <v>3066</v>
      </c>
      <c r="AI1161" s="80">
        <v>6020</v>
      </c>
      <c r="AJ1161" s="80"/>
      <c r="AK1161" s="80" t="s">
        <v>9991</v>
      </c>
      <c r="AL1161" s="80" t="s">
        <v>10681</v>
      </c>
      <c r="AM1161" s="80"/>
      <c r="AN1161" s="80"/>
      <c r="AO1161" s="82">
        <v>44273.092719907407</v>
      </c>
      <c r="AP1161" s="87" t="str">
        <f>HYPERLINK("https://pbs.twimg.com/profile_banners/1372370360805388288/1632466742")</f>
        <v>https://pbs.twimg.com/profile_banners/1372370360805388288/1632466742</v>
      </c>
      <c r="AQ1161" s="80" t="b">
        <v>1</v>
      </c>
      <c r="AR1161" s="80" t="b">
        <v>0</v>
      </c>
      <c r="AS1161" s="80" t="b">
        <v>0</v>
      </c>
      <c r="AT1161" s="80"/>
      <c r="AU1161" s="80">
        <v>0</v>
      </c>
      <c r="AV1161" s="80"/>
      <c r="AW1161" s="80" t="b">
        <v>0</v>
      </c>
      <c r="AX1161" s="80" t="s">
        <v>10746</v>
      </c>
      <c r="AY1161" s="87" t="str">
        <f>HYPERLINK("https://twitter.com/swoozidk")</f>
        <v>https://twitter.com/swoozidk</v>
      </c>
      <c r="AZ1161" s="80" t="s">
        <v>66</v>
      </c>
      <c r="BA1161" s="2"/>
      <c r="BB1161" s="3"/>
      <c r="BC1161" s="3"/>
      <c r="BD1161" s="3"/>
      <c r="BE1161" s="3"/>
    </row>
    <row r="1162" spans="1:57" x14ac:dyDescent="0.35">
      <c r="A1162" s="66" t="s">
        <v>1145</v>
      </c>
      <c r="B1162" s="67"/>
      <c r="C1162" s="67"/>
      <c r="D1162" s="68"/>
      <c r="E1162" s="70"/>
      <c r="F1162" s="109" t="str">
        <f>HYPERLINK("https://pbs.twimg.com/profile_images/1437210481597431808/EyrzKyw1_normal.jpg")</f>
        <v>https://pbs.twimg.com/profile_images/1437210481597431808/EyrzKyw1_normal.jpg</v>
      </c>
      <c r="G1162" s="67"/>
      <c r="H1162" s="71"/>
      <c r="I1162" s="72"/>
      <c r="J1162" s="72"/>
      <c r="K1162" s="71" t="s">
        <v>11905</v>
      </c>
      <c r="L1162" s="75"/>
      <c r="M1162" s="76"/>
      <c r="N1162" s="76"/>
      <c r="O1162" s="77"/>
      <c r="P1162" s="78"/>
      <c r="Q1162" s="78"/>
      <c r="R1162" s="92"/>
      <c r="S1162" s="92"/>
      <c r="T1162" s="92"/>
      <c r="U1162" s="92"/>
      <c r="V1162" s="52"/>
      <c r="W1162" s="52"/>
      <c r="X1162" s="52"/>
      <c r="Y1162" s="52"/>
      <c r="Z1162" s="51"/>
      <c r="AA1162" s="73"/>
      <c r="AB1162" s="73"/>
      <c r="AC1162" s="74"/>
      <c r="AD1162" s="80" t="s">
        <v>7720</v>
      </c>
      <c r="AE1162" s="85" t="s">
        <v>8828</v>
      </c>
      <c r="AF1162" s="80">
        <v>2380</v>
      </c>
      <c r="AG1162" s="80">
        <v>2772</v>
      </c>
      <c r="AH1162" s="80">
        <v>39790</v>
      </c>
      <c r="AI1162" s="80">
        <v>11922</v>
      </c>
      <c r="AJ1162" s="80"/>
      <c r="AK1162" s="80" t="s">
        <v>9992</v>
      </c>
      <c r="AL1162" s="80" t="s">
        <v>10682</v>
      </c>
      <c r="AM1162" s="87" t="str">
        <f>HYPERLINK("https://t.co/Ty3ZtptcJ2")</f>
        <v>https://t.co/Ty3ZtptcJ2</v>
      </c>
      <c r="AN1162" s="80"/>
      <c r="AO1162" s="82">
        <v>43813.625277777777</v>
      </c>
      <c r="AP1162" s="87" t="str">
        <f>HYPERLINK("https://pbs.twimg.com/profile_banners/1205865062956617728/1631492664")</f>
        <v>https://pbs.twimg.com/profile_banners/1205865062956617728/1631492664</v>
      </c>
      <c r="AQ1162" s="80" t="b">
        <v>1</v>
      </c>
      <c r="AR1162" s="80" t="b">
        <v>0</v>
      </c>
      <c r="AS1162" s="80" t="b">
        <v>0</v>
      </c>
      <c r="AT1162" s="80"/>
      <c r="AU1162" s="80">
        <v>22</v>
      </c>
      <c r="AV1162" s="80"/>
      <c r="AW1162" s="80" t="b">
        <v>0</v>
      </c>
      <c r="AX1162" s="80" t="s">
        <v>10746</v>
      </c>
      <c r="AY1162" s="87" t="str">
        <f>HYPERLINK("https://twitter.com/lcvingwoo_")</f>
        <v>https://twitter.com/lcvingwoo_</v>
      </c>
      <c r="AZ1162" s="80" t="s">
        <v>66</v>
      </c>
      <c r="BA1162" s="2"/>
      <c r="BB1162" s="3"/>
      <c r="BC1162" s="3"/>
      <c r="BD1162" s="3"/>
      <c r="BE1162" s="3"/>
    </row>
    <row r="1163" spans="1:57" x14ac:dyDescent="0.35">
      <c r="A1163" s="66" t="s">
        <v>1147</v>
      </c>
      <c r="B1163" s="67"/>
      <c r="C1163" s="67"/>
      <c r="D1163" s="68"/>
      <c r="E1163" s="70"/>
      <c r="F1163" s="109" t="str">
        <f>HYPERLINK("https://pbs.twimg.com/profile_images/1377111142959513600/EvnkaLu6_normal.jpg")</f>
        <v>https://pbs.twimg.com/profile_images/1377111142959513600/EvnkaLu6_normal.jpg</v>
      </c>
      <c r="G1163" s="67"/>
      <c r="H1163" s="71"/>
      <c r="I1163" s="72"/>
      <c r="J1163" s="72"/>
      <c r="K1163" s="71" t="s">
        <v>11906</v>
      </c>
      <c r="L1163" s="75"/>
      <c r="M1163" s="76"/>
      <c r="N1163" s="76"/>
      <c r="O1163" s="77"/>
      <c r="P1163" s="78"/>
      <c r="Q1163" s="78"/>
      <c r="R1163" s="92"/>
      <c r="S1163" s="92"/>
      <c r="T1163" s="92"/>
      <c r="U1163" s="92"/>
      <c r="V1163" s="52"/>
      <c r="W1163" s="52"/>
      <c r="X1163" s="52"/>
      <c r="Y1163" s="52"/>
      <c r="Z1163" s="51"/>
      <c r="AA1163" s="73"/>
      <c r="AB1163" s="73"/>
      <c r="AC1163" s="74"/>
      <c r="AD1163" s="80" t="s">
        <v>7721</v>
      </c>
      <c r="AE1163" s="85" t="s">
        <v>8829</v>
      </c>
      <c r="AF1163" s="80">
        <v>248</v>
      </c>
      <c r="AG1163" s="80">
        <v>54907</v>
      </c>
      <c r="AH1163" s="80">
        <v>19577</v>
      </c>
      <c r="AI1163" s="80">
        <v>15185</v>
      </c>
      <c r="AJ1163" s="80"/>
      <c r="AK1163" s="80" t="s">
        <v>9993</v>
      </c>
      <c r="AL1163" s="80" t="s">
        <v>10174</v>
      </c>
      <c r="AM1163" s="87" t="str">
        <f>HYPERLINK("https://t.co/QTim71Hod5")</f>
        <v>https://t.co/QTim71Hod5</v>
      </c>
      <c r="AN1163" s="80"/>
      <c r="AO1163" s="82">
        <v>41750.180798611109</v>
      </c>
      <c r="AP1163" s="87" t="str">
        <f>HYPERLINK("https://pbs.twimg.com/profile_banners/2455950804/1583830834")</f>
        <v>https://pbs.twimg.com/profile_banners/2455950804/1583830834</v>
      </c>
      <c r="AQ1163" s="80" t="b">
        <v>0</v>
      </c>
      <c r="AR1163" s="80" t="b">
        <v>0</v>
      </c>
      <c r="AS1163" s="80" t="b">
        <v>1</v>
      </c>
      <c r="AT1163" s="80"/>
      <c r="AU1163" s="80">
        <v>35</v>
      </c>
      <c r="AV1163" s="87" t="str">
        <f>HYPERLINK("https://abs.twimg.com/images/themes/theme1/bg.png")</f>
        <v>https://abs.twimg.com/images/themes/theme1/bg.png</v>
      </c>
      <c r="AW1163" s="80" t="b">
        <v>1</v>
      </c>
      <c r="AX1163" s="80" t="s">
        <v>10746</v>
      </c>
      <c r="AY1163" s="87" t="str">
        <f>HYPERLINK("https://twitter.com/humasjabar")</f>
        <v>https://twitter.com/humasjabar</v>
      </c>
      <c r="AZ1163" s="80" t="s">
        <v>66</v>
      </c>
      <c r="BA1163" s="2"/>
      <c r="BB1163" s="3"/>
      <c r="BC1163" s="3"/>
      <c r="BD1163" s="3"/>
      <c r="BE1163" s="3"/>
    </row>
    <row r="1164" spans="1:57" x14ac:dyDescent="0.35">
      <c r="A1164" s="66" t="s">
        <v>1148</v>
      </c>
      <c r="B1164" s="67"/>
      <c r="C1164" s="67"/>
      <c r="D1164" s="68"/>
      <c r="E1164" s="70"/>
      <c r="F1164" s="109" t="str">
        <f>HYPERLINK("https://pbs.twimg.com/profile_images/1022491401689300992/z39-NKi0_normal.jpg")</f>
        <v>https://pbs.twimg.com/profile_images/1022491401689300992/z39-NKi0_normal.jpg</v>
      </c>
      <c r="G1164" s="67"/>
      <c r="H1164" s="71"/>
      <c r="I1164" s="72"/>
      <c r="J1164" s="72"/>
      <c r="K1164" s="71" t="s">
        <v>11907</v>
      </c>
      <c r="L1164" s="75"/>
      <c r="M1164" s="76"/>
      <c r="N1164" s="76"/>
      <c r="O1164" s="77"/>
      <c r="P1164" s="78"/>
      <c r="Q1164" s="78"/>
      <c r="R1164" s="92"/>
      <c r="S1164" s="92"/>
      <c r="T1164" s="92"/>
      <c r="U1164" s="92"/>
      <c r="V1164" s="52"/>
      <c r="W1164" s="52"/>
      <c r="X1164" s="52"/>
      <c r="Y1164" s="52"/>
      <c r="Z1164" s="51"/>
      <c r="AA1164" s="73"/>
      <c r="AB1164" s="73"/>
      <c r="AC1164" s="74"/>
      <c r="AD1164" s="80" t="s">
        <v>7722</v>
      </c>
      <c r="AE1164" s="85" t="s">
        <v>8830</v>
      </c>
      <c r="AF1164" s="80">
        <v>401</v>
      </c>
      <c r="AG1164" s="80">
        <v>31</v>
      </c>
      <c r="AH1164" s="80">
        <v>3280</v>
      </c>
      <c r="AI1164" s="80">
        <v>36207</v>
      </c>
      <c r="AJ1164" s="80"/>
      <c r="AK1164" s="80" t="s">
        <v>9994</v>
      </c>
      <c r="AL1164" s="80"/>
      <c r="AM1164" s="80"/>
      <c r="AN1164" s="80"/>
      <c r="AO1164" s="82">
        <v>43247.344756944447</v>
      </c>
      <c r="AP1164" s="80"/>
      <c r="AQ1164" s="80" t="b">
        <v>1</v>
      </c>
      <c r="AR1164" s="80" t="b">
        <v>0</v>
      </c>
      <c r="AS1164" s="80" t="b">
        <v>0</v>
      </c>
      <c r="AT1164" s="80"/>
      <c r="AU1164" s="80">
        <v>0</v>
      </c>
      <c r="AV1164" s="80"/>
      <c r="AW1164" s="80" t="b">
        <v>0</v>
      </c>
      <c r="AX1164" s="80" t="s">
        <v>10746</v>
      </c>
      <c r="AY1164" s="87" t="str">
        <f>HYPERLINK("https://twitter.com/repkemanz")</f>
        <v>https://twitter.com/repkemanz</v>
      </c>
      <c r="AZ1164" s="80" t="s">
        <v>66</v>
      </c>
      <c r="BA1164" s="2"/>
      <c r="BB1164" s="3"/>
      <c r="BC1164" s="3"/>
      <c r="BD1164" s="3"/>
      <c r="BE1164" s="3"/>
    </row>
    <row r="1165" spans="1:57" x14ac:dyDescent="0.35">
      <c r="A1165" s="66" t="s">
        <v>1493</v>
      </c>
      <c r="B1165" s="67"/>
      <c r="C1165" s="67"/>
      <c r="D1165" s="68"/>
      <c r="E1165" s="70"/>
      <c r="F1165" s="109" t="str">
        <f>HYPERLINK("https://pbs.twimg.com/profile_images/1433806480990298118/lEVGIS_L_normal.jpg")</f>
        <v>https://pbs.twimg.com/profile_images/1433806480990298118/lEVGIS_L_normal.jpg</v>
      </c>
      <c r="G1165" s="67"/>
      <c r="H1165" s="71"/>
      <c r="I1165" s="72"/>
      <c r="J1165" s="72"/>
      <c r="K1165" s="71" t="s">
        <v>11908</v>
      </c>
      <c r="L1165" s="75"/>
      <c r="M1165" s="76"/>
      <c r="N1165" s="76"/>
      <c r="O1165" s="77"/>
      <c r="P1165" s="78"/>
      <c r="Q1165" s="78"/>
      <c r="R1165" s="92"/>
      <c r="S1165" s="92"/>
      <c r="T1165" s="92"/>
      <c r="U1165" s="92"/>
      <c r="V1165" s="52"/>
      <c r="W1165" s="52"/>
      <c r="X1165" s="52"/>
      <c r="Y1165" s="52"/>
      <c r="Z1165" s="51"/>
      <c r="AA1165" s="73"/>
      <c r="AB1165" s="73"/>
      <c r="AC1165" s="74"/>
      <c r="AD1165" s="80" t="s">
        <v>7723</v>
      </c>
      <c r="AE1165" s="85" t="s">
        <v>6444</v>
      </c>
      <c r="AF1165" s="80">
        <v>598</v>
      </c>
      <c r="AG1165" s="80">
        <v>7927</v>
      </c>
      <c r="AH1165" s="80">
        <v>67479</v>
      </c>
      <c r="AI1165" s="80">
        <v>11832</v>
      </c>
      <c r="AJ1165" s="80"/>
      <c r="AK1165" s="80" t="s">
        <v>9995</v>
      </c>
      <c r="AL1165" s="80" t="s">
        <v>10683</v>
      </c>
      <c r="AM1165" s="80"/>
      <c r="AN1165" s="80"/>
      <c r="AO1165" s="82">
        <v>39940.390451388892</v>
      </c>
      <c r="AP1165" s="87" t="str">
        <f>HYPERLINK("https://pbs.twimg.com/profile_banners/38400817/1631327553")</f>
        <v>https://pbs.twimg.com/profile_banners/38400817/1631327553</v>
      </c>
      <c r="AQ1165" s="80" t="b">
        <v>0</v>
      </c>
      <c r="AR1165" s="80" t="b">
        <v>0</v>
      </c>
      <c r="AS1165" s="80" t="b">
        <v>0</v>
      </c>
      <c r="AT1165" s="80"/>
      <c r="AU1165" s="80">
        <v>29</v>
      </c>
      <c r="AV1165" s="87" t="str">
        <f>HYPERLINK("https://abs.twimg.com/images/themes/theme5/bg.gif")</f>
        <v>https://abs.twimg.com/images/themes/theme5/bg.gif</v>
      </c>
      <c r="AW1165" s="80" t="b">
        <v>0</v>
      </c>
      <c r="AX1165" s="80" t="s">
        <v>10746</v>
      </c>
      <c r="AY1165" s="87" t="str">
        <f>HYPERLINK("https://twitter.com/ckinoza")</f>
        <v>https://twitter.com/ckinoza</v>
      </c>
      <c r="AZ1165" s="80" t="s">
        <v>65</v>
      </c>
      <c r="BA1165" s="2"/>
      <c r="BB1165" s="3"/>
      <c r="BC1165" s="3"/>
      <c r="BD1165" s="3"/>
      <c r="BE1165" s="3"/>
    </row>
    <row r="1166" spans="1:57" x14ac:dyDescent="0.35">
      <c r="A1166" s="66" t="s">
        <v>1149</v>
      </c>
      <c r="B1166" s="67"/>
      <c r="C1166" s="67"/>
      <c r="D1166" s="68"/>
      <c r="E1166" s="70"/>
      <c r="F1166" s="109" t="str">
        <f>HYPERLINK("https://pbs.twimg.com/profile_images/1427476009440354306/SvtC46Ya_normal.jpg")</f>
        <v>https://pbs.twimg.com/profile_images/1427476009440354306/SvtC46Ya_normal.jpg</v>
      </c>
      <c r="G1166" s="67"/>
      <c r="H1166" s="71"/>
      <c r="I1166" s="72"/>
      <c r="J1166" s="72"/>
      <c r="K1166" s="71" t="s">
        <v>11909</v>
      </c>
      <c r="L1166" s="75"/>
      <c r="M1166" s="76"/>
      <c r="N1166" s="76"/>
      <c r="O1166" s="77"/>
      <c r="P1166" s="78"/>
      <c r="Q1166" s="78"/>
      <c r="R1166" s="92"/>
      <c r="S1166" s="92"/>
      <c r="T1166" s="92"/>
      <c r="U1166" s="92"/>
      <c r="V1166" s="52"/>
      <c r="W1166" s="52"/>
      <c r="X1166" s="52"/>
      <c r="Y1166" s="52"/>
      <c r="Z1166" s="51"/>
      <c r="AA1166" s="73"/>
      <c r="AB1166" s="73"/>
      <c r="AC1166" s="74"/>
      <c r="AD1166" s="80" t="s">
        <v>1149</v>
      </c>
      <c r="AE1166" s="85" t="s">
        <v>8831</v>
      </c>
      <c r="AF1166" s="80">
        <v>1837</v>
      </c>
      <c r="AG1166" s="80">
        <v>385</v>
      </c>
      <c r="AH1166" s="80">
        <v>5416</v>
      </c>
      <c r="AI1166" s="80">
        <v>1298</v>
      </c>
      <c r="AJ1166" s="80"/>
      <c r="AK1166" s="80" t="s">
        <v>9996</v>
      </c>
      <c r="AL1166" s="80"/>
      <c r="AM1166" s="80"/>
      <c r="AN1166" s="80"/>
      <c r="AO1166" s="82">
        <v>44425.149039351854</v>
      </c>
      <c r="AP1166" s="80"/>
      <c r="AQ1166" s="80" t="b">
        <v>1</v>
      </c>
      <c r="AR1166" s="80" t="b">
        <v>0</v>
      </c>
      <c r="AS1166" s="80" t="b">
        <v>0</v>
      </c>
      <c r="AT1166" s="80"/>
      <c r="AU1166" s="80">
        <v>0</v>
      </c>
      <c r="AV1166" s="80"/>
      <c r="AW1166" s="80" t="b">
        <v>0</v>
      </c>
      <c r="AX1166" s="80" t="s">
        <v>10746</v>
      </c>
      <c r="AY1166" s="87" t="str">
        <f>HYPERLINK("https://twitter.com/ide2nesia")</f>
        <v>https://twitter.com/ide2nesia</v>
      </c>
      <c r="AZ1166" s="80" t="s">
        <v>66</v>
      </c>
      <c r="BA1166" s="2"/>
      <c r="BB1166" s="3"/>
      <c r="BC1166" s="3"/>
      <c r="BD1166" s="3"/>
      <c r="BE1166" s="3"/>
    </row>
    <row r="1167" spans="1:57" x14ac:dyDescent="0.35">
      <c r="A1167" s="66" t="s">
        <v>1150</v>
      </c>
      <c r="B1167" s="67"/>
      <c r="C1167" s="67"/>
      <c r="D1167" s="68"/>
      <c r="E1167" s="70"/>
      <c r="F1167" s="109" t="str">
        <f>HYPERLINK("https://pbs.twimg.com/profile_images/1426708730914107392/vQQyZZIU_normal.jpg")</f>
        <v>https://pbs.twimg.com/profile_images/1426708730914107392/vQQyZZIU_normal.jpg</v>
      </c>
      <c r="G1167" s="67"/>
      <c r="H1167" s="71"/>
      <c r="I1167" s="72"/>
      <c r="J1167" s="72"/>
      <c r="K1167" s="71" t="s">
        <v>11910</v>
      </c>
      <c r="L1167" s="75"/>
      <c r="M1167" s="76"/>
      <c r="N1167" s="76"/>
      <c r="O1167" s="77"/>
      <c r="P1167" s="78"/>
      <c r="Q1167" s="78"/>
      <c r="R1167" s="92"/>
      <c r="S1167" s="92"/>
      <c r="T1167" s="92"/>
      <c r="U1167" s="92"/>
      <c r="V1167" s="52"/>
      <c r="W1167" s="52"/>
      <c r="X1167" s="52"/>
      <c r="Y1167" s="52"/>
      <c r="Z1167" s="51"/>
      <c r="AA1167" s="73"/>
      <c r="AB1167" s="73"/>
      <c r="AC1167" s="74"/>
      <c r="AD1167" s="80" t="s">
        <v>7724</v>
      </c>
      <c r="AE1167" s="85" t="s">
        <v>8832</v>
      </c>
      <c r="AF1167" s="80">
        <v>2179</v>
      </c>
      <c r="AG1167" s="80">
        <v>2350</v>
      </c>
      <c r="AH1167" s="80">
        <v>489956</v>
      </c>
      <c r="AI1167" s="80">
        <v>57270</v>
      </c>
      <c r="AJ1167" s="80"/>
      <c r="AK1167" s="80" t="s">
        <v>9997</v>
      </c>
      <c r="AL1167" s="80" t="s">
        <v>10684</v>
      </c>
      <c r="AM1167" s="80"/>
      <c r="AN1167" s="80"/>
      <c r="AO1167" s="82">
        <v>40959.896851851852</v>
      </c>
      <c r="AP1167" s="87" t="str">
        <f>HYPERLINK("https://pbs.twimg.com/profile_banners/498272759/1623896171")</f>
        <v>https://pbs.twimg.com/profile_banners/498272759/1623896171</v>
      </c>
      <c r="AQ1167" s="80" t="b">
        <v>0</v>
      </c>
      <c r="AR1167" s="80" t="b">
        <v>0</v>
      </c>
      <c r="AS1167" s="80" t="b">
        <v>1</v>
      </c>
      <c r="AT1167" s="80"/>
      <c r="AU1167" s="80">
        <v>61</v>
      </c>
      <c r="AV1167" s="87" t="str">
        <f>HYPERLINK("https://abs.twimg.com/images/themes/theme4/bg.gif")</f>
        <v>https://abs.twimg.com/images/themes/theme4/bg.gif</v>
      </c>
      <c r="AW1167" s="80" t="b">
        <v>0</v>
      </c>
      <c r="AX1167" s="80" t="s">
        <v>10746</v>
      </c>
      <c r="AY1167" s="87" t="str">
        <f>HYPERLINK("https://twitter.com/mudha_satriya")</f>
        <v>https://twitter.com/mudha_satriya</v>
      </c>
      <c r="AZ1167" s="80" t="s">
        <v>66</v>
      </c>
      <c r="BA1167" s="2"/>
      <c r="BB1167" s="3"/>
      <c r="BC1167" s="3"/>
      <c r="BD1167" s="3"/>
      <c r="BE1167" s="3"/>
    </row>
    <row r="1168" spans="1:57" x14ac:dyDescent="0.35">
      <c r="A1168" s="66" t="s">
        <v>1151</v>
      </c>
      <c r="B1168" s="67"/>
      <c r="C1168" s="67"/>
      <c r="D1168" s="68"/>
      <c r="E1168" s="70"/>
      <c r="F1168" s="109" t="str">
        <f>HYPERLINK("https://pbs.twimg.com/profile_images/1438432618953928705/X21tt8HN_normal.jpg")</f>
        <v>https://pbs.twimg.com/profile_images/1438432618953928705/X21tt8HN_normal.jpg</v>
      </c>
      <c r="G1168" s="67"/>
      <c r="H1168" s="71"/>
      <c r="I1168" s="72"/>
      <c r="J1168" s="72"/>
      <c r="K1168" s="71" t="s">
        <v>11911</v>
      </c>
      <c r="L1168" s="75"/>
      <c r="M1168" s="76"/>
      <c r="N1168" s="76"/>
      <c r="O1168" s="77"/>
      <c r="P1168" s="78"/>
      <c r="Q1168" s="78"/>
      <c r="R1168" s="92"/>
      <c r="S1168" s="92"/>
      <c r="T1168" s="92"/>
      <c r="U1168" s="92"/>
      <c r="V1168" s="52"/>
      <c r="W1168" s="52"/>
      <c r="X1168" s="52"/>
      <c r="Y1168" s="52"/>
      <c r="Z1168" s="51"/>
      <c r="AA1168" s="73"/>
      <c r="AB1168" s="73"/>
      <c r="AC1168" s="74"/>
      <c r="AD1168" s="80" t="s">
        <v>7725</v>
      </c>
      <c r="AE1168" s="85" t="s">
        <v>8833</v>
      </c>
      <c r="AF1168" s="80">
        <v>439</v>
      </c>
      <c r="AG1168" s="80">
        <v>621</v>
      </c>
      <c r="AH1168" s="80">
        <v>72752</v>
      </c>
      <c r="AI1168" s="80">
        <v>5266</v>
      </c>
      <c r="AJ1168" s="80"/>
      <c r="AK1168" s="80"/>
      <c r="AL1168" s="80" t="s">
        <v>10685</v>
      </c>
      <c r="AM1168" s="80"/>
      <c r="AN1168" s="80"/>
      <c r="AO1168" s="82">
        <v>41069.216458333336</v>
      </c>
      <c r="AP1168" s="87" t="str">
        <f>HYPERLINK("https://pbs.twimg.com/profile_banners/603327770/1627291013")</f>
        <v>https://pbs.twimg.com/profile_banners/603327770/1627291013</v>
      </c>
      <c r="AQ1168" s="80" t="b">
        <v>0</v>
      </c>
      <c r="AR1168" s="80" t="b">
        <v>0</v>
      </c>
      <c r="AS1168" s="80" t="b">
        <v>1</v>
      </c>
      <c r="AT1168" s="80"/>
      <c r="AU1168" s="80">
        <v>3</v>
      </c>
      <c r="AV1168" s="87" t="str">
        <f>HYPERLINK("https://abs.twimg.com/images/themes/theme13/bg.gif")</f>
        <v>https://abs.twimg.com/images/themes/theme13/bg.gif</v>
      </c>
      <c r="AW1168" s="80" t="b">
        <v>0</v>
      </c>
      <c r="AX1168" s="80" t="s">
        <v>10746</v>
      </c>
      <c r="AY1168" s="87" t="str">
        <f>HYPERLINK("https://twitter.com/nikfaez_")</f>
        <v>https://twitter.com/nikfaez_</v>
      </c>
      <c r="AZ1168" s="80" t="s">
        <v>66</v>
      </c>
      <c r="BA1168" s="2"/>
      <c r="BB1168" s="3"/>
      <c r="BC1168" s="3"/>
      <c r="BD1168" s="3"/>
      <c r="BE1168" s="3"/>
    </row>
    <row r="1169" spans="1:57" x14ac:dyDescent="0.35">
      <c r="A1169" s="66" t="s">
        <v>1152</v>
      </c>
      <c r="B1169" s="67"/>
      <c r="C1169" s="67"/>
      <c r="D1169" s="68"/>
      <c r="E1169" s="70"/>
      <c r="F1169" s="109" t="str">
        <f>HYPERLINK("https://pbs.twimg.com/profile_images/1401628124417167361/jKslQbMv_normal.jpg")</f>
        <v>https://pbs.twimg.com/profile_images/1401628124417167361/jKslQbMv_normal.jpg</v>
      </c>
      <c r="G1169" s="67"/>
      <c r="H1169" s="71"/>
      <c r="I1169" s="72"/>
      <c r="J1169" s="72"/>
      <c r="K1169" s="71" t="s">
        <v>11912</v>
      </c>
      <c r="L1169" s="75"/>
      <c r="M1169" s="76"/>
      <c r="N1169" s="76"/>
      <c r="O1169" s="77"/>
      <c r="P1169" s="78"/>
      <c r="Q1169" s="78"/>
      <c r="R1169" s="92"/>
      <c r="S1169" s="92"/>
      <c r="T1169" s="92"/>
      <c r="U1169" s="92"/>
      <c r="V1169" s="52"/>
      <c r="W1169" s="52"/>
      <c r="X1169" s="52"/>
      <c r="Y1169" s="52"/>
      <c r="Z1169" s="51"/>
      <c r="AA1169" s="73"/>
      <c r="AB1169" s="73"/>
      <c r="AC1169" s="74"/>
      <c r="AD1169" s="80" t="s">
        <v>7726</v>
      </c>
      <c r="AE1169" s="85" t="s">
        <v>8834</v>
      </c>
      <c r="AF1169" s="80">
        <v>319</v>
      </c>
      <c r="AG1169" s="80">
        <v>213</v>
      </c>
      <c r="AH1169" s="80">
        <v>6421</v>
      </c>
      <c r="AI1169" s="80">
        <v>112</v>
      </c>
      <c r="AJ1169" s="80"/>
      <c r="AK1169" s="80" t="s">
        <v>9998</v>
      </c>
      <c r="AL1169" s="80" t="s">
        <v>10686</v>
      </c>
      <c r="AM1169" s="87" t="str">
        <f>HYPERLINK("https://t.co/gK2mWnwUsi")</f>
        <v>https://t.co/gK2mWnwUsi</v>
      </c>
      <c r="AN1169" s="80"/>
      <c r="AO1169" s="82">
        <v>40806.056921296295</v>
      </c>
      <c r="AP1169" s="87" t="str">
        <f>HYPERLINK("https://pbs.twimg.com/profile_banners/376521184/1624367955")</f>
        <v>https://pbs.twimg.com/profile_banners/376521184/1624367955</v>
      </c>
      <c r="AQ1169" s="80" t="b">
        <v>0</v>
      </c>
      <c r="AR1169" s="80" t="b">
        <v>0</v>
      </c>
      <c r="AS1169" s="80" t="b">
        <v>1</v>
      </c>
      <c r="AT1169" s="80"/>
      <c r="AU1169" s="80">
        <v>1</v>
      </c>
      <c r="AV1169" s="87" t="str">
        <f>HYPERLINK("https://abs.twimg.com/images/themes/theme1/bg.png")</f>
        <v>https://abs.twimg.com/images/themes/theme1/bg.png</v>
      </c>
      <c r="AW1169" s="80" t="b">
        <v>0</v>
      </c>
      <c r="AX1169" s="80" t="s">
        <v>10746</v>
      </c>
      <c r="AY1169" s="87" t="str">
        <f>HYPERLINK("https://twitter.com/marwansr")</f>
        <v>https://twitter.com/marwansr</v>
      </c>
      <c r="AZ1169" s="80" t="s">
        <v>66</v>
      </c>
      <c r="BA1169" s="2"/>
      <c r="BB1169" s="3"/>
      <c r="BC1169" s="3"/>
      <c r="BD1169" s="3"/>
      <c r="BE1169" s="3"/>
    </row>
    <row r="1170" spans="1:57" x14ac:dyDescent="0.35">
      <c r="A1170" s="66" t="s">
        <v>1494</v>
      </c>
      <c r="B1170" s="67"/>
      <c r="C1170" s="67"/>
      <c r="D1170" s="68"/>
      <c r="E1170" s="70"/>
      <c r="F1170" s="109" t="str">
        <f>HYPERLINK("https://pbs.twimg.com/profile_images/600881619277205504/iUR2APB__normal.jpg")</f>
        <v>https://pbs.twimg.com/profile_images/600881619277205504/iUR2APB__normal.jpg</v>
      </c>
      <c r="G1170" s="67"/>
      <c r="H1170" s="71"/>
      <c r="I1170" s="72"/>
      <c r="J1170" s="72"/>
      <c r="K1170" s="71" t="s">
        <v>11913</v>
      </c>
      <c r="L1170" s="75"/>
      <c r="M1170" s="76"/>
      <c r="N1170" s="76"/>
      <c r="O1170" s="77"/>
      <c r="P1170" s="78"/>
      <c r="Q1170" s="78"/>
      <c r="R1170" s="92"/>
      <c r="S1170" s="92"/>
      <c r="T1170" s="92"/>
      <c r="U1170" s="92"/>
      <c r="V1170" s="52"/>
      <c r="W1170" s="52"/>
      <c r="X1170" s="52"/>
      <c r="Y1170" s="52"/>
      <c r="Z1170" s="51"/>
      <c r="AA1170" s="73"/>
      <c r="AB1170" s="73"/>
      <c r="AC1170" s="74"/>
      <c r="AD1170" s="80" t="s">
        <v>7727</v>
      </c>
      <c r="AE1170" s="85" t="s">
        <v>6445</v>
      </c>
      <c r="AF1170" s="80">
        <v>141</v>
      </c>
      <c r="AG1170" s="80">
        <v>33337</v>
      </c>
      <c r="AH1170" s="80">
        <v>14992</v>
      </c>
      <c r="AI1170" s="80">
        <v>202</v>
      </c>
      <c r="AJ1170" s="80"/>
      <c r="AK1170" s="80" t="s">
        <v>9999</v>
      </c>
      <c r="AL1170" s="80" t="s">
        <v>6543</v>
      </c>
      <c r="AM1170" s="87" t="str">
        <f>HYPERLINK("https://t.co/Or56PnQBVK")</f>
        <v>https://t.co/Or56PnQBVK</v>
      </c>
      <c r="AN1170" s="80"/>
      <c r="AO1170" s="82">
        <v>41996.158425925925</v>
      </c>
      <c r="AP1170" s="87" t="str">
        <f>HYPERLINK("https://pbs.twimg.com/profile_banners/2940183750/1628138304")</f>
        <v>https://pbs.twimg.com/profile_banners/2940183750/1628138304</v>
      </c>
      <c r="AQ1170" s="80" t="b">
        <v>0</v>
      </c>
      <c r="AR1170" s="80" t="b">
        <v>0</v>
      </c>
      <c r="AS1170" s="80" t="b">
        <v>1</v>
      </c>
      <c r="AT1170" s="80"/>
      <c r="AU1170" s="80">
        <v>42</v>
      </c>
      <c r="AV1170" s="87" t="str">
        <f>HYPERLINK("https://abs.twimg.com/images/themes/theme1/bg.png")</f>
        <v>https://abs.twimg.com/images/themes/theme1/bg.png</v>
      </c>
      <c r="AW1170" s="80" t="b">
        <v>1</v>
      </c>
      <c r="AX1170" s="80" t="s">
        <v>10746</v>
      </c>
      <c r="AY1170" s="87" t="str">
        <f>HYPERLINK("https://twitter.com/beacukairi")</f>
        <v>https://twitter.com/beacukairi</v>
      </c>
      <c r="AZ1170" s="80" t="s">
        <v>65</v>
      </c>
      <c r="BA1170" s="2"/>
      <c r="BB1170" s="3"/>
      <c r="BC1170" s="3"/>
      <c r="BD1170" s="3"/>
      <c r="BE1170" s="3"/>
    </row>
    <row r="1171" spans="1:57" x14ac:dyDescent="0.35">
      <c r="A1171" s="66" t="s">
        <v>1153</v>
      </c>
      <c r="B1171" s="67"/>
      <c r="C1171" s="67"/>
      <c r="D1171" s="68"/>
      <c r="E1171" s="70"/>
      <c r="F1171" s="109" t="str">
        <f>HYPERLINK("https://pbs.twimg.com/profile_images/1182137196641341440/J62lUR3E_normal.jpg")</f>
        <v>https://pbs.twimg.com/profile_images/1182137196641341440/J62lUR3E_normal.jpg</v>
      </c>
      <c r="G1171" s="67"/>
      <c r="H1171" s="71"/>
      <c r="I1171" s="72"/>
      <c r="J1171" s="72"/>
      <c r="K1171" s="71" t="s">
        <v>11914</v>
      </c>
      <c r="L1171" s="75"/>
      <c r="M1171" s="76"/>
      <c r="N1171" s="76"/>
      <c r="O1171" s="77"/>
      <c r="P1171" s="78"/>
      <c r="Q1171" s="78"/>
      <c r="R1171" s="92"/>
      <c r="S1171" s="92"/>
      <c r="T1171" s="92"/>
      <c r="U1171" s="92"/>
      <c r="V1171" s="52"/>
      <c r="W1171" s="52"/>
      <c r="X1171" s="52"/>
      <c r="Y1171" s="52"/>
      <c r="Z1171" s="51"/>
      <c r="AA1171" s="73"/>
      <c r="AB1171" s="73"/>
      <c r="AC1171" s="74"/>
      <c r="AD1171" s="80" t="s">
        <v>7728</v>
      </c>
      <c r="AE1171" s="85" t="s">
        <v>8835</v>
      </c>
      <c r="AF1171" s="80">
        <v>25</v>
      </c>
      <c r="AG1171" s="80">
        <v>1464</v>
      </c>
      <c r="AH1171" s="80">
        <v>300</v>
      </c>
      <c r="AI1171" s="80">
        <v>1</v>
      </c>
      <c r="AJ1171" s="80"/>
      <c r="AK1171" s="80" t="s">
        <v>10000</v>
      </c>
      <c r="AL1171" s="80" t="s">
        <v>10687</v>
      </c>
      <c r="AM1171" s="87" t="str">
        <f>HYPERLINK("https://t.co/KdlaCKIDvB")</f>
        <v>https://t.co/KdlaCKIDvB</v>
      </c>
      <c r="AN1171" s="80"/>
      <c r="AO1171" s="82">
        <v>43335.219143518516</v>
      </c>
      <c r="AP1171" s="87" t="str">
        <f>HYPERLINK("https://pbs.twimg.com/profile_banners/1032496547244564482/1570686811")</f>
        <v>https://pbs.twimg.com/profile_banners/1032496547244564482/1570686811</v>
      </c>
      <c r="AQ1171" s="80" t="b">
        <v>0</v>
      </c>
      <c r="AR1171" s="80" t="b">
        <v>0</v>
      </c>
      <c r="AS1171" s="80" t="b">
        <v>1</v>
      </c>
      <c r="AT1171" s="80"/>
      <c r="AU1171" s="80">
        <v>4</v>
      </c>
      <c r="AV1171" s="87" t="str">
        <f>HYPERLINK("https://abs.twimg.com/images/themes/theme1/bg.png")</f>
        <v>https://abs.twimg.com/images/themes/theme1/bg.png</v>
      </c>
      <c r="AW1171" s="80" t="b">
        <v>1</v>
      </c>
      <c r="AX1171" s="80" t="s">
        <v>10746</v>
      </c>
      <c r="AY1171" s="87" t="str">
        <f>HYPERLINK("https://twitter.com/djppikominfo")</f>
        <v>https://twitter.com/djppikominfo</v>
      </c>
      <c r="AZ1171" s="80" t="s">
        <v>66</v>
      </c>
      <c r="BA1171" s="2"/>
      <c r="BB1171" s="3"/>
      <c r="BC1171" s="3"/>
      <c r="BD1171" s="3"/>
      <c r="BE1171" s="3"/>
    </row>
    <row r="1172" spans="1:57" x14ac:dyDescent="0.35">
      <c r="A1172" s="66" t="s">
        <v>1154</v>
      </c>
      <c r="B1172" s="67"/>
      <c r="C1172" s="67"/>
      <c r="D1172" s="68"/>
      <c r="E1172" s="70"/>
      <c r="F1172" s="109" t="str">
        <f>HYPERLINK("https://pbs.twimg.com/profile_images/1438541233249394698/xzEkQyB7_normal.jpg")</f>
        <v>https://pbs.twimg.com/profile_images/1438541233249394698/xzEkQyB7_normal.jpg</v>
      </c>
      <c r="G1172" s="67"/>
      <c r="H1172" s="71"/>
      <c r="I1172" s="72"/>
      <c r="J1172" s="72"/>
      <c r="K1172" s="71" t="s">
        <v>11915</v>
      </c>
      <c r="L1172" s="75"/>
      <c r="M1172" s="76"/>
      <c r="N1172" s="76"/>
      <c r="O1172" s="77"/>
      <c r="P1172" s="78"/>
      <c r="Q1172" s="78"/>
      <c r="R1172" s="92"/>
      <c r="S1172" s="92"/>
      <c r="T1172" s="92"/>
      <c r="U1172" s="92"/>
      <c r="V1172" s="52"/>
      <c r="W1172" s="52"/>
      <c r="X1172" s="52"/>
      <c r="Y1172" s="52"/>
      <c r="Z1172" s="51"/>
      <c r="AA1172" s="73"/>
      <c r="AB1172" s="73"/>
      <c r="AC1172" s="74"/>
      <c r="AD1172" s="80" t="s">
        <v>7729</v>
      </c>
      <c r="AE1172" s="85" t="s">
        <v>6446</v>
      </c>
      <c r="AF1172" s="80">
        <v>144</v>
      </c>
      <c r="AG1172" s="80">
        <v>120</v>
      </c>
      <c r="AH1172" s="80">
        <v>7065</v>
      </c>
      <c r="AI1172" s="80">
        <v>5199</v>
      </c>
      <c r="AJ1172" s="80"/>
      <c r="AK1172" s="80" t="s">
        <v>10001</v>
      </c>
      <c r="AL1172" s="80" t="s">
        <v>10688</v>
      </c>
      <c r="AM1172" s="80"/>
      <c r="AN1172" s="80"/>
      <c r="AO1172" s="82">
        <v>43670.342511574076</v>
      </c>
      <c r="AP1172" s="87" t="str">
        <f>HYPERLINK("https://pbs.twimg.com/profile_banners/1153941188866482176/1632404977")</f>
        <v>https://pbs.twimg.com/profile_banners/1153941188866482176/1632404977</v>
      </c>
      <c r="AQ1172" s="80" t="b">
        <v>1</v>
      </c>
      <c r="AR1172" s="80" t="b">
        <v>0</v>
      </c>
      <c r="AS1172" s="80" t="b">
        <v>0</v>
      </c>
      <c r="AT1172" s="80"/>
      <c r="AU1172" s="80">
        <v>2</v>
      </c>
      <c r="AV1172" s="80"/>
      <c r="AW1172" s="80" t="b">
        <v>0</v>
      </c>
      <c r="AX1172" s="80" t="s">
        <v>10746</v>
      </c>
      <c r="AY1172" s="87" t="str">
        <f>HYPERLINK("https://twitter.com/joshyyyy111")</f>
        <v>https://twitter.com/joshyyyy111</v>
      </c>
      <c r="AZ1172" s="80" t="s">
        <v>66</v>
      </c>
      <c r="BA1172" s="2"/>
      <c r="BB1172" s="3"/>
      <c r="BC1172" s="3"/>
      <c r="BD1172" s="3"/>
      <c r="BE1172" s="3"/>
    </row>
    <row r="1173" spans="1:57" x14ac:dyDescent="0.35">
      <c r="A1173" s="66" t="s">
        <v>1155</v>
      </c>
      <c r="B1173" s="67"/>
      <c r="C1173" s="67"/>
      <c r="D1173" s="68"/>
      <c r="E1173" s="70"/>
      <c r="F1173" s="109" t="str">
        <f>HYPERLINK("https://pbs.twimg.com/profile_images/1257136451461853186/L8aojTf8_normal.jpg")</f>
        <v>https://pbs.twimg.com/profile_images/1257136451461853186/L8aojTf8_normal.jpg</v>
      </c>
      <c r="G1173" s="67"/>
      <c r="H1173" s="71"/>
      <c r="I1173" s="72"/>
      <c r="J1173" s="72"/>
      <c r="K1173" s="71" t="s">
        <v>11916</v>
      </c>
      <c r="L1173" s="75"/>
      <c r="M1173" s="76"/>
      <c r="N1173" s="76"/>
      <c r="O1173" s="77"/>
      <c r="P1173" s="78"/>
      <c r="Q1173" s="78"/>
      <c r="R1173" s="92"/>
      <c r="S1173" s="92"/>
      <c r="T1173" s="92"/>
      <c r="U1173" s="92"/>
      <c r="V1173" s="52"/>
      <c r="W1173" s="52"/>
      <c r="X1173" s="52"/>
      <c r="Y1173" s="52"/>
      <c r="Z1173" s="51"/>
      <c r="AA1173" s="73"/>
      <c r="AB1173" s="73"/>
      <c r="AC1173" s="74"/>
      <c r="AD1173" s="80" t="s">
        <v>1155</v>
      </c>
      <c r="AE1173" s="85" t="s">
        <v>8836</v>
      </c>
      <c r="AF1173" s="80">
        <v>19</v>
      </c>
      <c r="AG1173" s="80">
        <v>122</v>
      </c>
      <c r="AH1173" s="80">
        <v>5724</v>
      </c>
      <c r="AI1173" s="80">
        <v>1390</v>
      </c>
      <c r="AJ1173" s="80"/>
      <c r="AK1173" s="80" t="s">
        <v>10002</v>
      </c>
      <c r="AL1173" s="80"/>
      <c r="AM1173" s="80"/>
      <c r="AN1173" s="80"/>
      <c r="AO1173" s="82">
        <v>43955.098333333335</v>
      </c>
      <c r="AP1173" s="87" t="str">
        <f>HYPERLINK("https://pbs.twimg.com/profile_banners/1257133203195740160/1588559720")</f>
        <v>https://pbs.twimg.com/profile_banners/1257133203195740160/1588559720</v>
      </c>
      <c r="AQ1173" s="80" t="b">
        <v>1</v>
      </c>
      <c r="AR1173" s="80" t="b">
        <v>0</v>
      </c>
      <c r="AS1173" s="80" t="b">
        <v>0</v>
      </c>
      <c r="AT1173" s="80"/>
      <c r="AU1173" s="80">
        <v>0</v>
      </c>
      <c r="AV1173" s="80"/>
      <c r="AW1173" s="80" t="b">
        <v>0</v>
      </c>
      <c r="AX1173" s="80" t="s">
        <v>10746</v>
      </c>
      <c r="AY1173" s="87" t="str">
        <f>HYPERLINK("https://twitter.com/polresrembang86")</f>
        <v>https://twitter.com/polresrembang86</v>
      </c>
      <c r="AZ1173" s="80" t="s">
        <v>66</v>
      </c>
      <c r="BA1173" s="2"/>
      <c r="BB1173" s="3"/>
      <c r="BC1173" s="3"/>
      <c r="BD1173" s="3"/>
      <c r="BE1173" s="3"/>
    </row>
    <row r="1174" spans="1:57" x14ac:dyDescent="0.35">
      <c r="A1174" s="66" t="s">
        <v>1157</v>
      </c>
      <c r="B1174" s="67"/>
      <c r="C1174" s="67"/>
      <c r="D1174" s="68"/>
      <c r="E1174" s="70"/>
      <c r="F1174" s="109" t="str">
        <f>HYPERLINK("https://pbs.twimg.com/profile_images/1442142533488836610/NG24KRxQ_normal.jpg")</f>
        <v>https://pbs.twimg.com/profile_images/1442142533488836610/NG24KRxQ_normal.jpg</v>
      </c>
      <c r="G1174" s="67"/>
      <c r="H1174" s="71"/>
      <c r="I1174" s="72"/>
      <c r="J1174" s="72"/>
      <c r="K1174" s="71" t="s">
        <v>11917</v>
      </c>
      <c r="L1174" s="75"/>
      <c r="M1174" s="76"/>
      <c r="N1174" s="76"/>
      <c r="O1174" s="77"/>
      <c r="P1174" s="78"/>
      <c r="Q1174" s="78"/>
      <c r="R1174" s="92"/>
      <c r="S1174" s="92"/>
      <c r="T1174" s="92"/>
      <c r="U1174" s="92"/>
      <c r="V1174" s="52"/>
      <c r="W1174" s="52"/>
      <c r="X1174" s="52"/>
      <c r="Y1174" s="52"/>
      <c r="Z1174" s="51"/>
      <c r="AA1174" s="73"/>
      <c r="AB1174" s="73"/>
      <c r="AC1174" s="74"/>
      <c r="AD1174" s="80" t="s">
        <v>7730</v>
      </c>
      <c r="AE1174" s="85" t="s">
        <v>8837</v>
      </c>
      <c r="AF1174" s="80">
        <v>445</v>
      </c>
      <c r="AG1174" s="80">
        <v>406</v>
      </c>
      <c r="AH1174" s="80">
        <v>11078</v>
      </c>
      <c r="AI1174" s="80">
        <v>149</v>
      </c>
      <c r="AJ1174" s="80"/>
      <c r="AK1174" s="80" t="s">
        <v>10003</v>
      </c>
      <c r="AL1174" s="80"/>
      <c r="AM1174" s="80"/>
      <c r="AN1174" s="80"/>
      <c r="AO1174" s="82">
        <v>43849.508449074077</v>
      </c>
      <c r="AP1174" s="87" t="str">
        <f>HYPERLINK("https://pbs.twimg.com/profile_banners/1218868714914762752/1583850676")</f>
        <v>https://pbs.twimg.com/profile_banners/1218868714914762752/1583850676</v>
      </c>
      <c r="AQ1174" s="80" t="b">
        <v>1</v>
      </c>
      <c r="AR1174" s="80" t="b">
        <v>0</v>
      </c>
      <c r="AS1174" s="80" t="b">
        <v>1</v>
      </c>
      <c r="AT1174" s="80"/>
      <c r="AU1174" s="80">
        <v>0</v>
      </c>
      <c r="AV1174" s="80"/>
      <c r="AW1174" s="80" t="b">
        <v>0</v>
      </c>
      <c r="AX1174" s="80" t="s">
        <v>10746</v>
      </c>
      <c r="AY1174" s="87" t="str">
        <f>HYPERLINK("https://twitter.com/psychoddle")</f>
        <v>https://twitter.com/psychoddle</v>
      </c>
      <c r="AZ1174" s="80" t="s">
        <v>66</v>
      </c>
      <c r="BA1174" s="2"/>
      <c r="BB1174" s="3"/>
      <c r="BC1174" s="3"/>
      <c r="BD1174" s="3"/>
      <c r="BE1174" s="3"/>
    </row>
    <row r="1175" spans="1:57" x14ac:dyDescent="0.35">
      <c r="A1175" s="66" t="s">
        <v>1495</v>
      </c>
      <c r="B1175" s="67"/>
      <c r="C1175" s="67"/>
      <c r="D1175" s="68"/>
      <c r="E1175" s="70"/>
      <c r="F1175" s="109" t="str">
        <f>HYPERLINK("https://pbs.twimg.com/profile_images/1426604788658040832/160F7lMh_normal.jpg")</f>
        <v>https://pbs.twimg.com/profile_images/1426604788658040832/160F7lMh_normal.jpg</v>
      </c>
      <c r="G1175" s="67"/>
      <c r="H1175" s="71"/>
      <c r="I1175" s="72"/>
      <c r="J1175" s="72"/>
      <c r="K1175" s="71" t="s">
        <v>11918</v>
      </c>
      <c r="L1175" s="75"/>
      <c r="M1175" s="76"/>
      <c r="N1175" s="76"/>
      <c r="O1175" s="77"/>
      <c r="P1175" s="78"/>
      <c r="Q1175" s="78"/>
      <c r="R1175" s="92"/>
      <c r="S1175" s="92"/>
      <c r="T1175" s="92"/>
      <c r="U1175" s="92"/>
      <c r="V1175" s="52"/>
      <c r="W1175" s="52"/>
      <c r="X1175" s="52"/>
      <c r="Y1175" s="52"/>
      <c r="Z1175" s="51"/>
      <c r="AA1175" s="73"/>
      <c r="AB1175" s="73"/>
      <c r="AC1175" s="74"/>
      <c r="AD1175" s="80" t="s">
        <v>7731</v>
      </c>
      <c r="AE1175" s="85" t="s">
        <v>6447</v>
      </c>
      <c r="AF1175" s="80">
        <v>172</v>
      </c>
      <c r="AG1175" s="80">
        <v>6755</v>
      </c>
      <c r="AH1175" s="80">
        <v>16084</v>
      </c>
      <c r="AI1175" s="80">
        <v>50568</v>
      </c>
      <c r="AJ1175" s="80"/>
      <c r="AK1175" s="80" t="s">
        <v>10004</v>
      </c>
      <c r="AL1175" s="80" t="s">
        <v>10689</v>
      </c>
      <c r="AM1175" s="80"/>
      <c r="AN1175" s="80"/>
      <c r="AO1175" s="82">
        <v>43842.798935185187</v>
      </c>
      <c r="AP1175" s="87" t="str">
        <f>HYPERLINK("https://pbs.twimg.com/profile_banners/1216437264269471744/1632294634")</f>
        <v>https://pbs.twimg.com/profile_banners/1216437264269471744/1632294634</v>
      </c>
      <c r="AQ1175" s="80" t="b">
        <v>1</v>
      </c>
      <c r="AR1175" s="80" t="b">
        <v>0</v>
      </c>
      <c r="AS1175" s="80" t="b">
        <v>0</v>
      </c>
      <c r="AT1175" s="80"/>
      <c r="AU1175" s="80">
        <v>3</v>
      </c>
      <c r="AV1175" s="80"/>
      <c r="AW1175" s="80" t="b">
        <v>0</v>
      </c>
      <c r="AX1175" s="80" t="s">
        <v>10746</v>
      </c>
      <c r="AY1175" s="87" t="str">
        <f>HYPERLINK("https://twitter.com/justlilbitchy")</f>
        <v>https://twitter.com/justlilbitchy</v>
      </c>
      <c r="AZ1175" s="80" t="s">
        <v>65</v>
      </c>
      <c r="BA1175" s="2"/>
      <c r="BB1175" s="3"/>
      <c r="BC1175" s="3"/>
      <c r="BD1175" s="3"/>
      <c r="BE1175" s="3"/>
    </row>
    <row r="1176" spans="1:57" x14ac:dyDescent="0.35">
      <c r="A1176" s="66" t="s">
        <v>1158</v>
      </c>
      <c r="B1176" s="67"/>
      <c r="C1176" s="67"/>
      <c r="D1176" s="68"/>
      <c r="E1176" s="70"/>
      <c r="F1176" s="109" t="str">
        <f>HYPERLINK("https://pbs.twimg.com/profile_images/1404710367238889473/Fx6kiN7d_normal.jpg")</f>
        <v>https://pbs.twimg.com/profile_images/1404710367238889473/Fx6kiN7d_normal.jpg</v>
      </c>
      <c r="G1176" s="67"/>
      <c r="H1176" s="71"/>
      <c r="I1176" s="72"/>
      <c r="J1176" s="72"/>
      <c r="K1176" s="71" t="s">
        <v>11919</v>
      </c>
      <c r="L1176" s="75"/>
      <c r="M1176" s="76"/>
      <c r="N1176" s="76"/>
      <c r="O1176" s="77"/>
      <c r="P1176" s="78"/>
      <c r="Q1176" s="78"/>
      <c r="R1176" s="92"/>
      <c r="S1176" s="92"/>
      <c r="T1176" s="92"/>
      <c r="U1176" s="92"/>
      <c r="V1176" s="52"/>
      <c r="W1176" s="52"/>
      <c r="X1176" s="52"/>
      <c r="Y1176" s="52"/>
      <c r="Z1176" s="51"/>
      <c r="AA1176" s="73"/>
      <c r="AB1176" s="73"/>
      <c r="AC1176" s="74"/>
      <c r="AD1176" s="80" t="s">
        <v>7732</v>
      </c>
      <c r="AE1176" s="85" t="s">
        <v>8838</v>
      </c>
      <c r="AF1176" s="80">
        <v>304</v>
      </c>
      <c r="AG1176" s="80">
        <v>666</v>
      </c>
      <c r="AH1176" s="80">
        <v>30113</v>
      </c>
      <c r="AI1176" s="80">
        <v>524</v>
      </c>
      <c r="AJ1176" s="80"/>
      <c r="AK1176" s="80"/>
      <c r="AL1176" s="80"/>
      <c r="AM1176" s="80"/>
      <c r="AN1176" s="80"/>
      <c r="AO1176" s="82">
        <v>40956.131840277776</v>
      </c>
      <c r="AP1176" s="87" t="str">
        <f>HYPERLINK("https://pbs.twimg.com/profile_banners/494631190/1498027230")</f>
        <v>https://pbs.twimg.com/profile_banners/494631190/1498027230</v>
      </c>
      <c r="AQ1176" s="80" t="b">
        <v>0</v>
      </c>
      <c r="AR1176" s="80" t="b">
        <v>0</v>
      </c>
      <c r="AS1176" s="80" t="b">
        <v>1</v>
      </c>
      <c r="AT1176" s="80"/>
      <c r="AU1176" s="80">
        <v>0</v>
      </c>
      <c r="AV1176" s="87" t="str">
        <f>HYPERLINK("https://abs.twimg.com/images/themes/theme1/bg.png")</f>
        <v>https://abs.twimg.com/images/themes/theme1/bg.png</v>
      </c>
      <c r="AW1176" s="80" t="b">
        <v>0</v>
      </c>
      <c r="AX1176" s="80" t="s">
        <v>10746</v>
      </c>
      <c r="AY1176" s="87" t="str">
        <f>HYPERLINK("https://twitter.com/tiarakhansaaa")</f>
        <v>https://twitter.com/tiarakhansaaa</v>
      </c>
      <c r="AZ1176" s="80" t="s">
        <v>66</v>
      </c>
      <c r="BA1176" s="2"/>
      <c r="BB1176" s="3"/>
      <c r="BC1176" s="3"/>
      <c r="BD1176" s="3"/>
      <c r="BE1176" s="3"/>
    </row>
    <row r="1177" spans="1:57" x14ac:dyDescent="0.35">
      <c r="A1177" s="66" t="s">
        <v>1159</v>
      </c>
      <c r="B1177" s="67"/>
      <c r="C1177" s="67"/>
      <c r="D1177" s="68"/>
      <c r="E1177" s="70"/>
      <c r="F1177" s="109" t="str">
        <f>HYPERLINK("https://pbs.twimg.com/profile_images/1414279213985660938/0fbg4ekt_normal.jpg")</f>
        <v>https://pbs.twimg.com/profile_images/1414279213985660938/0fbg4ekt_normal.jpg</v>
      </c>
      <c r="G1177" s="67"/>
      <c r="H1177" s="71"/>
      <c r="I1177" s="72"/>
      <c r="J1177" s="72"/>
      <c r="K1177" s="71" t="s">
        <v>11920</v>
      </c>
      <c r="L1177" s="75"/>
      <c r="M1177" s="76"/>
      <c r="N1177" s="76"/>
      <c r="O1177" s="77"/>
      <c r="P1177" s="78"/>
      <c r="Q1177" s="78"/>
      <c r="R1177" s="92"/>
      <c r="S1177" s="92"/>
      <c r="T1177" s="92"/>
      <c r="U1177" s="92"/>
      <c r="V1177" s="52"/>
      <c r="W1177" s="52"/>
      <c r="X1177" s="52"/>
      <c r="Y1177" s="52"/>
      <c r="Z1177" s="51"/>
      <c r="AA1177" s="73"/>
      <c r="AB1177" s="73"/>
      <c r="AC1177" s="74"/>
      <c r="AD1177" s="80" t="s">
        <v>7733</v>
      </c>
      <c r="AE1177" s="85" t="s">
        <v>8839</v>
      </c>
      <c r="AF1177" s="80">
        <v>149</v>
      </c>
      <c r="AG1177" s="80">
        <v>18</v>
      </c>
      <c r="AH1177" s="80">
        <v>3784</v>
      </c>
      <c r="AI1177" s="80">
        <v>1595</v>
      </c>
      <c r="AJ1177" s="80"/>
      <c r="AK1177" s="80" t="s">
        <v>10005</v>
      </c>
      <c r="AL1177" s="80" t="s">
        <v>10690</v>
      </c>
      <c r="AM1177" s="80"/>
      <c r="AN1177" s="80"/>
      <c r="AO1177" s="82">
        <v>43149.150706018518</v>
      </c>
      <c r="AP1177" s="87" t="str">
        <f>HYPERLINK("https://pbs.twimg.com/profile_banners/965067604330102785/1626025414")</f>
        <v>https://pbs.twimg.com/profile_banners/965067604330102785/1626025414</v>
      </c>
      <c r="AQ1177" s="80" t="b">
        <v>1</v>
      </c>
      <c r="AR1177" s="80" t="b">
        <v>0</v>
      </c>
      <c r="AS1177" s="80" t="b">
        <v>0</v>
      </c>
      <c r="AT1177" s="80"/>
      <c r="AU1177" s="80">
        <v>0</v>
      </c>
      <c r="AV1177" s="80"/>
      <c r="AW1177" s="80" t="b">
        <v>0</v>
      </c>
      <c r="AX1177" s="80" t="s">
        <v>10746</v>
      </c>
      <c r="AY1177" s="87" t="str">
        <f>HYPERLINK("https://twitter.com/_averain99")</f>
        <v>https://twitter.com/_averain99</v>
      </c>
      <c r="AZ1177" s="80" t="s">
        <v>66</v>
      </c>
      <c r="BA1177" s="2"/>
      <c r="BB1177" s="3"/>
      <c r="BC1177" s="3"/>
      <c r="BD1177" s="3"/>
      <c r="BE1177" s="3"/>
    </row>
    <row r="1178" spans="1:57" x14ac:dyDescent="0.35">
      <c r="A1178" s="66" t="s">
        <v>1160</v>
      </c>
      <c r="B1178" s="67"/>
      <c r="C1178" s="67"/>
      <c r="D1178" s="68"/>
      <c r="E1178" s="70"/>
      <c r="F1178" s="109" t="str">
        <f>HYPERLINK("https://pbs.twimg.com/profile_images/1442425427570544641/4tFgXwgV_normal.jpg")</f>
        <v>https://pbs.twimg.com/profile_images/1442425427570544641/4tFgXwgV_normal.jpg</v>
      </c>
      <c r="G1178" s="67"/>
      <c r="H1178" s="71"/>
      <c r="I1178" s="72"/>
      <c r="J1178" s="72"/>
      <c r="K1178" s="71" t="s">
        <v>11921</v>
      </c>
      <c r="L1178" s="75"/>
      <c r="M1178" s="76"/>
      <c r="N1178" s="76"/>
      <c r="O1178" s="77"/>
      <c r="P1178" s="78"/>
      <c r="Q1178" s="78"/>
      <c r="R1178" s="92"/>
      <c r="S1178" s="92"/>
      <c r="T1178" s="92"/>
      <c r="U1178" s="92"/>
      <c r="V1178" s="52"/>
      <c r="W1178" s="52"/>
      <c r="X1178" s="52"/>
      <c r="Y1178" s="52"/>
      <c r="Z1178" s="51"/>
      <c r="AA1178" s="73"/>
      <c r="AB1178" s="73"/>
      <c r="AC1178" s="74"/>
      <c r="AD1178" s="80" t="s">
        <v>7734</v>
      </c>
      <c r="AE1178" s="85" t="s">
        <v>8840</v>
      </c>
      <c r="AF1178" s="80">
        <v>421</v>
      </c>
      <c r="AG1178" s="80">
        <v>350</v>
      </c>
      <c r="AH1178" s="80">
        <v>4315</v>
      </c>
      <c r="AI1178" s="80">
        <v>31931</v>
      </c>
      <c r="AJ1178" s="80"/>
      <c r="AK1178" s="80" t="s">
        <v>10006</v>
      </c>
      <c r="AL1178" s="80" t="s">
        <v>10691</v>
      </c>
      <c r="AM1178" s="80"/>
      <c r="AN1178" s="80"/>
      <c r="AO1178" s="82">
        <v>44022.686030092591</v>
      </c>
      <c r="AP1178" s="87" t="str">
        <f>HYPERLINK("https://pbs.twimg.com/profile_banners/1281626082945282049/1632307169")</f>
        <v>https://pbs.twimg.com/profile_banners/1281626082945282049/1632307169</v>
      </c>
      <c r="AQ1178" s="80" t="b">
        <v>1</v>
      </c>
      <c r="AR1178" s="80" t="b">
        <v>0</v>
      </c>
      <c r="AS1178" s="80" t="b">
        <v>0</v>
      </c>
      <c r="AT1178" s="80"/>
      <c r="AU1178" s="80">
        <v>2</v>
      </c>
      <c r="AV1178" s="80"/>
      <c r="AW1178" s="80" t="b">
        <v>0</v>
      </c>
      <c r="AX1178" s="80" t="s">
        <v>10746</v>
      </c>
      <c r="AY1178" s="87" t="str">
        <f>HYPERLINK("https://twitter.com/nynassuh")</f>
        <v>https://twitter.com/nynassuh</v>
      </c>
      <c r="AZ1178" s="80" t="s">
        <v>66</v>
      </c>
      <c r="BA1178" s="2"/>
      <c r="BB1178" s="3"/>
      <c r="BC1178" s="3"/>
      <c r="BD1178" s="3"/>
      <c r="BE1178" s="3"/>
    </row>
    <row r="1179" spans="1:57" x14ac:dyDescent="0.35">
      <c r="A1179" s="66" t="s">
        <v>1201</v>
      </c>
      <c r="B1179" s="67"/>
      <c r="C1179" s="67"/>
      <c r="D1179" s="68"/>
      <c r="E1179" s="70"/>
      <c r="F1179" s="109" t="str">
        <f>HYPERLINK("https://pbs.twimg.com/profile_images/1438475751502745601/6n73M59b_normal.jpg")</f>
        <v>https://pbs.twimg.com/profile_images/1438475751502745601/6n73M59b_normal.jpg</v>
      </c>
      <c r="G1179" s="67"/>
      <c r="H1179" s="71"/>
      <c r="I1179" s="72"/>
      <c r="J1179" s="72"/>
      <c r="K1179" s="71" t="s">
        <v>11922</v>
      </c>
      <c r="L1179" s="75"/>
      <c r="M1179" s="76"/>
      <c r="N1179" s="76"/>
      <c r="O1179" s="77"/>
      <c r="P1179" s="78"/>
      <c r="Q1179" s="78"/>
      <c r="R1179" s="92"/>
      <c r="S1179" s="92"/>
      <c r="T1179" s="92"/>
      <c r="U1179" s="92"/>
      <c r="V1179" s="52"/>
      <c r="W1179" s="52"/>
      <c r="X1179" s="52"/>
      <c r="Y1179" s="52"/>
      <c r="Z1179" s="51"/>
      <c r="AA1179" s="73"/>
      <c r="AB1179" s="73"/>
      <c r="AC1179" s="74"/>
      <c r="AD1179" s="80" t="s">
        <v>7735</v>
      </c>
      <c r="AE1179" s="85" t="s">
        <v>8841</v>
      </c>
      <c r="AF1179" s="80">
        <v>897</v>
      </c>
      <c r="AG1179" s="80">
        <v>752</v>
      </c>
      <c r="AH1179" s="80">
        <v>33805</v>
      </c>
      <c r="AI1179" s="80">
        <v>20716</v>
      </c>
      <c r="AJ1179" s="80"/>
      <c r="AK1179" s="80" t="s">
        <v>10007</v>
      </c>
      <c r="AL1179" s="80"/>
      <c r="AM1179" s="80"/>
      <c r="AN1179" s="80"/>
      <c r="AO1179" s="82">
        <v>42355.43167824074</v>
      </c>
      <c r="AP1179" s="87" t="str">
        <f>HYPERLINK("https://pbs.twimg.com/profile_banners/4583592733/1569223311")</f>
        <v>https://pbs.twimg.com/profile_banners/4583592733/1569223311</v>
      </c>
      <c r="AQ1179" s="80" t="b">
        <v>1</v>
      </c>
      <c r="AR1179" s="80" t="b">
        <v>0</v>
      </c>
      <c r="AS1179" s="80" t="b">
        <v>0</v>
      </c>
      <c r="AT1179" s="80"/>
      <c r="AU1179" s="80">
        <v>3</v>
      </c>
      <c r="AV1179" s="80"/>
      <c r="AW1179" s="80" t="b">
        <v>0</v>
      </c>
      <c r="AX1179" s="80" t="s">
        <v>10746</v>
      </c>
      <c r="AY1179" s="87" t="str">
        <f>HYPERLINK("https://twitter.com/fullsunbb_")</f>
        <v>https://twitter.com/fullsunbb_</v>
      </c>
      <c r="AZ1179" s="80" t="s">
        <v>66</v>
      </c>
      <c r="BA1179" s="2"/>
      <c r="BB1179" s="3"/>
      <c r="BC1179" s="3"/>
      <c r="BD1179" s="3"/>
      <c r="BE1179" s="3"/>
    </row>
    <row r="1180" spans="1:57" x14ac:dyDescent="0.35">
      <c r="A1180" s="66" t="s">
        <v>1162</v>
      </c>
      <c r="B1180" s="67"/>
      <c r="C1180" s="67"/>
      <c r="D1180" s="68"/>
      <c r="E1180" s="70"/>
      <c r="F1180" s="109" t="str">
        <f>HYPERLINK("https://abs.twimg.com/sticky/default_profile_images/default_profile_normal.png")</f>
        <v>https://abs.twimg.com/sticky/default_profile_images/default_profile_normal.png</v>
      </c>
      <c r="G1180" s="67"/>
      <c r="H1180" s="71"/>
      <c r="I1180" s="72"/>
      <c r="J1180" s="72"/>
      <c r="K1180" s="71" t="s">
        <v>11923</v>
      </c>
      <c r="L1180" s="75"/>
      <c r="M1180" s="76"/>
      <c r="N1180" s="76"/>
      <c r="O1180" s="77"/>
      <c r="P1180" s="78"/>
      <c r="Q1180" s="78"/>
      <c r="R1180" s="92"/>
      <c r="S1180" s="92"/>
      <c r="T1180" s="92"/>
      <c r="U1180" s="92"/>
      <c r="V1180" s="52"/>
      <c r="W1180" s="52"/>
      <c r="X1180" s="52"/>
      <c r="Y1180" s="52"/>
      <c r="Z1180" s="51"/>
      <c r="AA1180" s="73"/>
      <c r="AB1180" s="73"/>
      <c r="AC1180" s="74"/>
      <c r="AD1180" s="80" t="s">
        <v>7736</v>
      </c>
      <c r="AE1180" s="85" t="s">
        <v>8842</v>
      </c>
      <c r="AF1180" s="80">
        <v>18</v>
      </c>
      <c r="AG1180" s="80">
        <v>6</v>
      </c>
      <c r="AH1180" s="80">
        <v>5758</v>
      </c>
      <c r="AI1180" s="80">
        <v>5749</v>
      </c>
      <c r="AJ1180" s="80"/>
      <c r="AK1180" s="80"/>
      <c r="AL1180" s="80"/>
      <c r="AM1180" s="80"/>
      <c r="AN1180" s="80"/>
      <c r="AO1180" s="82">
        <v>43978.373611111114</v>
      </c>
      <c r="AP1180" s="80"/>
      <c r="AQ1180" s="80" t="b">
        <v>1</v>
      </c>
      <c r="AR1180" s="80" t="b">
        <v>1</v>
      </c>
      <c r="AS1180" s="80" t="b">
        <v>0</v>
      </c>
      <c r="AT1180" s="80"/>
      <c r="AU1180" s="80">
        <v>0</v>
      </c>
      <c r="AV1180" s="80"/>
      <c r="AW1180" s="80" t="b">
        <v>0</v>
      </c>
      <c r="AX1180" s="80" t="s">
        <v>10746</v>
      </c>
      <c r="AY1180" s="87" t="str">
        <f>HYPERLINK("https://twitter.com/permanamukim")</f>
        <v>https://twitter.com/permanamukim</v>
      </c>
      <c r="AZ1180" s="80" t="s">
        <v>66</v>
      </c>
      <c r="BA1180" s="2"/>
      <c r="BB1180" s="3"/>
      <c r="BC1180" s="3"/>
      <c r="BD1180" s="3"/>
      <c r="BE1180" s="3"/>
    </row>
    <row r="1181" spans="1:57" x14ac:dyDescent="0.35">
      <c r="A1181" s="66" t="s">
        <v>1163</v>
      </c>
      <c r="B1181" s="67"/>
      <c r="C1181" s="67"/>
      <c r="D1181" s="68"/>
      <c r="E1181" s="70"/>
      <c r="F1181" s="109" t="str">
        <f>HYPERLINK("https://pbs.twimg.com/profile_images/1375813641987969024/J7NfAuHI_normal.jpg")</f>
        <v>https://pbs.twimg.com/profile_images/1375813641987969024/J7NfAuHI_normal.jpg</v>
      </c>
      <c r="G1181" s="67"/>
      <c r="H1181" s="71"/>
      <c r="I1181" s="72"/>
      <c r="J1181" s="72"/>
      <c r="K1181" s="71" t="s">
        <v>11924</v>
      </c>
      <c r="L1181" s="75"/>
      <c r="M1181" s="76"/>
      <c r="N1181" s="76"/>
      <c r="O1181" s="77"/>
      <c r="P1181" s="78"/>
      <c r="Q1181" s="78"/>
      <c r="R1181" s="92"/>
      <c r="S1181" s="92"/>
      <c r="T1181" s="92"/>
      <c r="U1181" s="92"/>
      <c r="V1181" s="52"/>
      <c r="W1181" s="52"/>
      <c r="X1181" s="52"/>
      <c r="Y1181" s="52"/>
      <c r="Z1181" s="51"/>
      <c r="AA1181" s="73"/>
      <c r="AB1181" s="73"/>
      <c r="AC1181" s="74"/>
      <c r="AD1181" s="80" t="s">
        <v>7737</v>
      </c>
      <c r="AE1181" s="85" t="s">
        <v>8843</v>
      </c>
      <c r="AF1181" s="80">
        <v>309</v>
      </c>
      <c r="AG1181" s="80">
        <v>1497</v>
      </c>
      <c r="AH1181" s="80">
        <v>58856</v>
      </c>
      <c r="AI1181" s="80">
        <v>2140</v>
      </c>
      <c r="AJ1181" s="80"/>
      <c r="AK1181" s="80"/>
      <c r="AL1181" s="80" t="s">
        <v>6543</v>
      </c>
      <c r="AM1181" s="87" t="str">
        <f>HYPERLINK("https://t.co/I6ZpVuWyC3")</f>
        <v>https://t.co/I6ZpVuWyC3</v>
      </c>
      <c r="AN1181" s="80"/>
      <c r="AO1181" s="82">
        <v>40139.113437499997</v>
      </c>
      <c r="AP1181" s="87" t="str">
        <f>HYPERLINK("https://pbs.twimg.com/profile_banners/91706718/1507459487")</f>
        <v>https://pbs.twimg.com/profile_banners/91706718/1507459487</v>
      </c>
      <c r="AQ1181" s="80" t="b">
        <v>0</v>
      </c>
      <c r="AR1181" s="80" t="b">
        <v>0</v>
      </c>
      <c r="AS1181" s="80" t="b">
        <v>1</v>
      </c>
      <c r="AT1181" s="80"/>
      <c r="AU1181" s="80">
        <v>3</v>
      </c>
      <c r="AV1181" s="87" t="str">
        <f>HYPERLINK("https://abs.twimg.com/images/themes/theme19/bg.gif")</f>
        <v>https://abs.twimg.com/images/themes/theme19/bg.gif</v>
      </c>
      <c r="AW1181" s="80" t="b">
        <v>0</v>
      </c>
      <c r="AX1181" s="80" t="s">
        <v>10746</v>
      </c>
      <c r="AY1181" s="87" t="str">
        <f>HYPERLINK("https://twitter.com/davinardsyah")</f>
        <v>https://twitter.com/davinardsyah</v>
      </c>
      <c r="AZ1181" s="80" t="s">
        <v>66</v>
      </c>
      <c r="BA1181" s="2"/>
      <c r="BB1181" s="3"/>
      <c r="BC1181" s="3"/>
      <c r="BD1181" s="3"/>
      <c r="BE1181" s="3"/>
    </row>
    <row r="1182" spans="1:57" x14ac:dyDescent="0.35">
      <c r="A1182" s="66" t="s">
        <v>1164</v>
      </c>
      <c r="B1182" s="67"/>
      <c r="C1182" s="67"/>
      <c r="D1182" s="68"/>
      <c r="E1182" s="70"/>
      <c r="F1182" s="109" t="str">
        <f>HYPERLINK("https://pbs.twimg.com/profile_images/436718367580233728/6KC1NEmY_normal.jpeg")</f>
        <v>https://pbs.twimg.com/profile_images/436718367580233728/6KC1NEmY_normal.jpeg</v>
      </c>
      <c r="G1182" s="67"/>
      <c r="H1182" s="71"/>
      <c r="I1182" s="72"/>
      <c r="J1182" s="72"/>
      <c r="K1182" s="71" t="s">
        <v>11925</v>
      </c>
      <c r="L1182" s="75"/>
      <c r="M1182" s="76"/>
      <c r="N1182" s="76"/>
      <c r="O1182" s="77"/>
      <c r="P1182" s="78"/>
      <c r="Q1182" s="78"/>
      <c r="R1182" s="92"/>
      <c r="S1182" s="92"/>
      <c r="T1182" s="92"/>
      <c r="U1182" s="92"/>
      <c r="V1182" s="52"/>
      <c r="W1182" s="52"/>
      <c r="X1182" s="52"/>
      <c r="Y1182" s="52"/>
      <c r="Z1182" s="51"/>
      <c r="AA1182" s="73"/>
      <c r="AB1182" s="73"/>
      <c r="AC1182" s="74"/>
      <c r="AD1182" s="80" t="s">
        <v>7738</v>
      </c>
      <c r="AE1182" s="85" t="s">
        <v>8844</v>
      </c>
      <c r="AF1182" s="80">
        <v>1</v>
      </c>
      <c r="AG1182" s="80">
        <v>3338</v>
      </c>
      <c r="AH1182" s="80">
        <v>154097</v>
      </c>
      <c r="AI1182" s="80">
        <v>0</v>
      </c>
      <c r="AJ1182" s="80"/>
      <c r="AK1182" s="80" t="s">
        <v>10008</v>
      </c>
      <c r="AL1182" s="80" t="s">
        <v>10692</v>
      </c>
      <c r="AM1182" s="80"/>
      <c r="AN1182" s="80"/>
      <c r="AO1182" s="82">
        <v>40938.169571759259</v>
      </c>
      <c r="AP1182" s="80"/>
      <c r="AQ1182" s="80" t="b">
        <v>1</v>
      </c>
      <c r="AR1182" s="80" t="b">
        <v>0</v>
      </c>
      <c r="AS1182" s="80" t="b">
        <v>0</v>
      </c>
      <c r="AT1182" s="80"/>
      <c r="AU1182" s="80">
        <v>6</v>
      </c>
      <c r="AV1182" s="87" t="str">
        <f>HYPERLINK("https://abs.twimg.com/images/themes/theme1/bg.png")</f>
        <v>https://abs.twimg.com/images/themes/theme1/bg.png</v>
      </c>
      <c r="AW1182" s="80" t="b">
        <v>0</v>
      </c>
      <c r="AX1182" s="80" t="s">
        <v>10746</v>
      </c>
      <c r="AY1182" s="87" t="str">
        <f>HYPERLINK("https://twitter.com/bikinlaparmata")</f>
        <v>https://twitter.com/bikinlaparmata</v>
      </c>
      <c r="AZ1182" s="80" t="s">
        <v>66</v>
      </c>
      <c r="BA1182" s="2"/>
      <c r="BB1182" s="3"/>
      <c r="BC1182" s="3"/>
      <c r="BD1182" s="3"/>
      <c r="BE1182" s="3"/>
    </row>
    <row r="1183" spans="1:57" x14ac:dyDescent="0.35">
      <c r="A1183" s="66" t="s">
        <v>1165</v>
      </c>
      <c r="B1183" s="67"/>
      <c r="C1183" s="67"/>
      <c r="D1183" s="68"/>
      <c r="E1183" s="70"/>
      <c r="F1183" s="109" t="str">
        <f>HYPERLINK("https://pbs.twimg.com/profile_images/1442624156281892865/hrrDH6M2_normal.jpg")</f>
        <v>https://pbs.twimg.com/profile_images/1442624156281892865/hrrDH6M2_normal.jpg</v>
      </c>
      <c r="G1183" s="67"/>
      <c r="H1183" s="71"/>
      <c r="I1183" s="72"/>
      <c r="J1183" s="72"/>
      <c r="K1183" s="71" t="s">
        <v>11926</v>
      </c>
      <c r="L1183" s="75"/>
      <c r="M1183" s="76"/>
      <c r="N1183" s="76"/>
      <c r="O1183" s="77"/>
      <c r="P1183" s="78"/>
      <c r="Q1183" s="78"/>
      <c r="R1183" s="92"/>
      <c r="S1183" s="92"/>
      <c r="T1183" s="92"/>
      <c r="U1183" s="92"/>
      <c r="V1183" s="52"/>
      <c r="W1183" s="52"/>
      <c r="X1183" s="52"/>
      <c r="Y1183" s="52"/>
      <c r="Z1183" s="51"/>
      <c r="AA1183" s="73"/>
      <c r="AB1183" s="73"/>
      <c r="AC1183" s="74"/>
      <c r="AD1183" s="80" t="s">
        <v>7739</v>
      </c>
      <c r="AE1183" s="85" t="s">
        <v>8845</v>
      </c>
      <c r="AF1183" s="80">
        <v>411</v>
      </c>
      <c r="AG1183" s="80">
        <v>6704</v>
      </c>
      <c r="AH1183" s="80">
        <v>71862</v>
      </c>
      <c r="AI1183" s="80">
        <v>475</v>
      </c>
      <c r="AJ1183" s="80"/>
      <c r="AK1183" s="80" t="s">
        <v>10009</v>
      </c>
      <c r="AL1183" s="80"/>
      <c r="AM1183" s="87" t="str">
        <f>HYPERLINK("https://t.co/mJauMEiUky")</f>
        <v>https://t.co/mJauMEiUky</v>
      </c>
      <c r="AN1183" s="80"/>
      <c r="AO1183" s="82">
        <v>40776.183425925927</v>
      </c>
      <c r="AP1183" s="87" t="str">
        <f>HYPERLINK("https://pbs.twimg.com/profile_banners/359177627/1632051563")</f>
        <v>https://pbs.twimg.com/profile_banners/359177627/1632051563</v>
      </c>
      <c r="AQ1183" s="80" t="b">
        <v>0</v>
      </c>
      <c r="AR1183" s="80" t="b">
        <v>0</v>
      </c>
      <c r="AS1183" s="80" t="b">
        <v>0</v>
      </c>
      <c r="AT1183" s="80"/>
      <c r="AU1183" s="80">
        <v>23</v>
      </c>
      <c r="AV1183" s="87" t="str">
        <f>HYPERLINK("https://abs.twimg.com/images/themes/theme14/bg.gif")</f>
        <v>https://abs.twimg.com/images/themes/theme14/bg.gif</v>
      </c>
      <c r="AW1183" s="80" t="b">
        <v>0</v>
      </c>
      <c r="AX1183" s="80" t="s">
        <v>10746</v>
      </c>
      <c r="AY1183" s="87" t="str">
        <f>HYPERLINK("https://twitter.com/tuanwidi")</f>
        <v>https://twitter.com/tuanwidi</v>
      </c>
      <c r="AZ1183" s="80" t="s">
        <v>66</v>
      </c>
      <c r="BA1183" s="2"/>
      <c r="BB1183" s="3"/>
      <c r="BC1183" s="3"/>
      <c r="BD1183" s="3"/>
      <c r="BE1183" s="3"/>
    </row>
    <row r="1184" spans="1:57" x14ac:dyDescent="0.35">
      <c r="A1184" s="66" t="s">
        <v>1166</v>
      </c>
      <c r="B1184" s="67"/>
      <c r="C1184" s="67"/>
      <c r="D1184" s="68"/>
      <c r="E1184" s="70"/>
      <c r="F1184" s="109" t="str">
        <f>HYPERLINK("https://pbs.twimg.com/profile_images/1430194701030752261/1HlC3V1W_normal.jpg")</f>
        <v>https://pbs.twimg.com/profile_images/1430194701030752261/1HlC3V1W_normal.jpg</v>
      </c>
      <c r="G1184" s="67"/>
      <c r="H1184" s="71"/>
      <c r="I1184" s="72"/>
      <c r="J1184" s="72"/>
      <c r="K1184" s="71" t="s">
        <v>11927</v>
      </c>
      <c r="L1184" s="75"/>
      <c r="M1184" s="76"/>
      <c r="N1184" s="76"/>
      <c r="O1184" s="77"/>
      <c r="P1184" s="78"/>
      <c r="Q1184" s="78"/>
      <c r="R1184" s="92"/>
      <c r="S1184" s="92"/>
      <c r="T1184" s="92"/>
      <c r="U1184" s="92"/>
      <c r="V1184" s="52"/>
      <c r="W1184" s="52"/>
      <c r="X1184" s="52"/>
      <c r="Y1184" s="52"/>
      <c r="Z1184" s="51"/>
      <c r="AA1184" s="73"/>
      <c r="AB1184" s="73"/>
      <c r="AC1184" s="74"/>
      <c r="AD1184" s="80" t="s">
        <v>7740</v>
      </c>
      <c r="AE1184" s="85" t="s">
        <v>8846</v>
      </c>
      <c r="AF1184" s="80">
        <v>807</v>
      </c>
      <c r="AG1184" s="80">
        <v>4220</v>
      </c>
      <c r="AH1184" s="80">
        <v>134916</v>
      </c>
      <c r="AI1184" s="80">
        <v>1901</v>
      </c>
      <c r="AJ1184" s="80"/>
      <c r="AK1184" s="80" t="s">
        <v>10010</v>
      </c>
      <c r="AL1184" s="80" t="s">
        <v>10281</v>
      </c>
      <c r="AM1184" s="87" t="str">
        <f>HYPERLINK("https://t.co/Dnjrjcmmrg")</f>
        <v>https://t.co/Dnjrjcmmrg</v>
      </c>
      <c r="AN1184" s="80"/>
      <c r="AO1184" s="82">
        <v>40559.39435185185</v>
      </c>
      <c r="AP1184" s="87" t="str">
        <f>HYPERLINK("https://pbs.twimg.com/profile_banners/238908321/1452176959")</f>
        <v>https://pbs.twimg.com/profile_banners/238908321/1452176959</v>
      </c>
      <c r="AQ1184" s="80" t="b">
        <v>0</v>
      </c>
      <c r="AR1184" s="80" t="b">
        <v>0</v>
      </c>
      <c r="AS1184" s="80" t="b">
        <v>1</v>
      </c>
      <c r="AT1184" s="80"/>
      <c r="AU1184" s="80">
        <v>19</v>
      </c>
      <c r="AV1184" s="87" t="str">
        <f>HYPERLINK("https://abs.twimg.com/images/themes/theme1/bg.png")</f>
        <v>https://abs.twimg.com/images/themes/theme1/bg.png</v>
      </c>
      <c r="AW1184" s="80" t="b">
        <v>0</v>
      </c>
      <c r="AX1184" s="80" t="s">
        <v>10746</v>
      </c>
      <c r="AY1184" s="87" t="str">
        <f>HYPERLINK("https://twitter.com/whenscarves")</f>
        <v>https://twitter.com/whenscarves</v>
      </c>
      <c r="AZ1184" s="80" t="s">
        <v>66</v>
      </c>
      <c r="BA1184" s="2"/>
      <c r="BB1184" s="3"/>
      <c r="BC1184" s="3"/>
      <c r="BD1184" s="3"/>
      <c r="BE1184" s="3"/>
    </row>
    <row r="1185" spans="1:57" x14ac:dyDescent="0.35">
      <c r="A1185" s="66" t="s">
        <v>1167</v>
      </c>
      <c r="B1185" s="67"/>
      <c r="C1185" s="67"/>
      <c r="D1185" s="68"/>
      <c r="E1185" s="70"/>
      <c r="F1185" s="109" t="str">
        <f>HYPERLINK("https://pbs.twimg.com/profile_images/1417286703199395858/JGiJoMLz_normal.jpg")</f>
        <v>https://pbs.twimg.com/profile_images/1417286703199395858/JGiJoMLz_normal.jpg</v>
      </c>
      <c r="G1185" s="67"/>
      <c r="H1185" s="71"/>
      <c r="I1185" s="72"/>
      <c r="J1185" s="72"/>
      <c r="K1185" s="71" t="s">
        <v>11928</v>
      </c>
      <c r="L1185" s="75"/>
      <c r="M1185" s="76"/>
      <c r="N1185" s="76"/>
      <c r="O1185" s="77"/>
      <c r="P1185" s="78"/>
      <c r="Q1185" s="78"/>
      <c r="R1185" s="92"/>
      <c r="S1185" s="92"/>
      <c r="T1185" s="92"/>
      <c r="U1185" s="92"/>
      <c r="V1185" s="52"/>
      <c r="W1185" s="52"/>
      <c r="X1185" s="52"/>
      <c r="Y1185" s="52"/>
      <c r="Z1185" s="51"/>
      <c r="AA1185" s="73"/>
      <c r="AB1185" s="73"/>
      <c r="AC1185" s="74"/>
      <c r="AD1185" s="80" t="s">
        <v>7741</v>
      </c>
      <c r="AE1185" s="85" t="s">
        <v>8847</v>
      </c>
      <c r="AF1185" s="80">
        <v>173</v>
      </c>
      <c r="AG1185" s="80">
        <v>4925</v>
      </c>
      <c r="AH1185" s="80">
        <v>22585</v>
      </c>
      <c r="AI1185" s="80">
        <v>1579</v>
      </c>
      <c r="AJ1185" s="80"/>
      <c r="AK1185" s="80" t="s">
        <v>10011</v>
      </c>
      <c r="AL1185" s="80" t="s">
        <v>10671</v>
      </c>
      <c r="AM1185" s="87" t="str">
        <f>HYPERLINK("https://t.co/pSiwkziD0C")</f>
        <v>https://t.co/pSiwkziD0C</v>
      </c>
      <c r="AN1185" s="80"/>
      <c r="AO1185" s="82">
        <v>40791.305208333331</v>
      </c>
      <c r="AP1185" s="87" t="str">
        <f>HYPERLINK("https://pbs.twimg.com/profile_banners/368194171/1631187323")</f>
        <v>https://pbs.twimg.com/profile_banners/368194171/1631187323</v>
      </c>
      <c r="AQ1185" s="80" t="b">
        <v>0</v>
      </c>
      <c r="AR1185" s="80" t="b">
        <v>0</v>
      </c>
      <c r="AS1185" s="80" t="b">
        <v>0</v>
      </c>
      <c r="AT1185" s="80"/>
      <c r="AU1185" s="80">
        <v>38</v>
      </c>
      <c r="AV1185" s="87" t="str">
        <f>HYPERLINK("https://abs.twimg.com/images/themes/theme17/bg.gif")</f>
        <v>https://abs.twimg.com/images/themes/theme17/bg.gif</v>
      </c>
      <c r="AW1185" s="80" t="b">
        <v>0</v>
      </c>
      <c r="AX1185" s="80" t="s">
        <v>10746</v>
      </c>
      <c r="AY1185" s="87" t="str">
        <f>HYPERLINK("https://twitter.com/jiaeffendie")</f>
        <v>https://twitter.com/jiaeffendie</v>
      </c>
      <c r="AZ1185" s="80" t="s">
        <v>66</v>
      </c>
      <c r="BA1185" s="2"/>
      <c r="BB1185" s="3"/>
      <c r="BC1185" s="3"/>
      <c r="BD1185" s="3"/>
      <c r="BE1185" s="3"/>
    </row>
    <row r="1186" spans="1:57" x14ac:dyDescent="0.35">
      <c r="A1186" s="66" t="s">
        <v>1168</v>
      </c>
      <c r="B1186" s="67"/>
      <c r="C1186" s="67"/>
      <c r="D1186" s="68"/>
      <c r="E1186" s="70"/>
      <c r="F1186" s="109" t="str">
        <f>HYPERLINK("https://pbs.twimg.com/profile_images/1433077129080557569/fuNxTrKB_normal.jpg")</f>
        <v>https://pbs.twimg.com/profile_images/1433077129080557569/fuNxTrKB_normal.jpg</v>
      </c>
      <c r="G1186" s="67"/>
      <c r="H1186" s="71"/>
      <c r="I1186" s="72"/>
      <c r="J1186" s="72"/>
      <c r="K1186" s="71" t="s">
        <v>11929</v>
      </c>
      <c r="L1186" s="75"/>
      <c r="M1186" s="76"/>
      <c r="N1186" s="76"/>
      <c r="O1186" s="77"/>
      <c r="P1186" s="78"/>
      <c r="Q1186" s="78"/>
      <c r="R1186" s="92"/>
      <c r="S1186" s="92"/>
      <c r="T1186" s="92"/>
      <c r="U1186" s="92"/>
      <c r="V1186" s="52"/>
      <c r="W1186" s="52"/>
      <c r="X1186" s="52"/>
      <c r="Y1186" s="52"/>
      <c r="Z1186" s="51"/>
      <c r="AA1186" s="73"/>
      <c r="AB1186" s="73"/>
      <c r="AC1186" s="74"/>
      <c r="AD1186" s="80" t="s">
        <v>7742</v>
      </c>
      <c r="AE1186" s="85" t="s">
        <v>8848</v>
      </c>
      <c r="AF1186" s="80">
        <v>999</v>
      </c>
      <c r="AG1186" s="80">
        <v>12163</v>
      </c>
      <c r="AH1186" s="80">
        <v>264165</v>
      </c>
      <c r="AI1186" s="80">
        <v>5778</v>
      </c>
      <c r="AJ1186" s="80"/>
      <c r="AK1186" s="80" t="s">
        <v>10012</v>
      </c>
      <c r="AL1186" s="80" t="s">
        <v>10693</v>
      </c>
      <c r="AM1186" s="87" t="str">
        <f>HYPERLINK("https://t.co/7T3Q0Nh8xi")</f>
        <v>https://t.co/7T3Q0Nh8xi</v>
      </c>
      <c r="AN1186" s="80"/>
      <c r="AO1186" s="82">
        <v>40452.700740740744</v>
      </c>
      <c r="AP1186" s="87" t="str">
        <f>HYPERLINK("https://pbs.twimg.com/profile_banners/197488018/1455779749")</f>
        <v>https://pbs.twimg.com/profile_banners/197488018/1455779749</v>
      </c>
      <c r="AQ1186" s="80" t="b">
        <v>0</v>
      </c>
      <c r="AR1186" s="80" t="b">
        <v>0</v>
      </c>
      <c r="AS1186" s="80" t="b">
        <v>1</v>
      </c>
      <c r="AT1186" s="80"/>
      <c r="AU1186" s="80">
        <v>76</v>
      </c>
      <c r="AV1186" s="87" t="str">
        <f>HYPERLINK("https://abs.twimg.com/images/themes/theme1/bg.png")</f>
        <v>https://abs.twimg.com/images/themes/theme1/bg.png</v>
      </c>
      <c r="AW1186" s="80" t="b">
        <v>1</v>
      </c>
      <c r="AX1186" s="80" t="s">
        <v>10746</v>
      </c>
      <c r="AY1186" s="87" t="str">
        <f>HYPERLINK("https://twitter.com/torantula")</f>
        <v>https://twitter.com/torantula</v>
      </c>
      <c r="AZ1186" s="80" t="s">
        <v>66</v>
      </c>
      <c r="BA1186" s="2"/>
      <c r="BB1186" s="3"/>
      <c r="BC1186" s="3"/>
      <c r="BD1186" s="3"/>
      <c r="BE1186" s="3"/>
    </row>
    <row r="1187" spans="1:57" x14ac:dyDescent="0.35">
      <c r="A1187" s="66" t="s">
        <v>1169</v>
      </c>
      <c r="B1187" s="67"/>
      <c r="C1187" s="67"/>
      <c r="D1187" s="68"/>
      <c r="E1187" s="70"/>
      <c r="F1187" s="109" t="str">
        <f>HYPERLINK("https://pbs.twimg.com/profile_images/1437953686609612806/i0WGmfAB_normal.jpg")</f>
        <v>https://pbs.twimg.com/profile_images/1437953686609612806/i0WGmfAB_normal.jpg</v>
      </c>
      <c r="G1187" s="67"/>
      <c r="H1187" s="71"/>
      <c r="I1187" s="72"/>
      <c r="J1187" s="72"/>
      <c r="K1187" s="71" t="s">
        <v>11930</v>
      </c>
      <c r="L1187" s="75"/>
      <c r="M1187" s="76"/>
      <c r="N1187" s="76"/>
      <c r="O1187" s="77"/>
      <c r="P1187" s="78"/>
      <c r="Q1187" s="78"/>
      <c r="R1187" s="92"/>
      <c r="S1187" s="92"/>
      <c r="T1187" s="92"/>
      <c r="U1187" s="92"/>
      <c r="V1187" s="52"/>
      <c r="W1187" s="52"/>
      <c r="X1187" s="52"/>
      <c r="Y1187" s="52"/>
      <c r="Z1187" s="51"/>
      <c r="AA1187" s="73"/>
      <c r="AB1187" s="73"/>
      <c r="AC1187" s="74"/>
      <c r="AD1187" s="80" t="s">
        <v>7743</v>
      </c>
      <c r="AE1187" s="85" t="s">
        <v>8849</v>
      </c>
      <c r="AF1187" s="80">
        <v>1231</v>
      </c>
      <c r="AG1187" s="80">
        <v>64183</v>
      </c>
      <c r="AH1187" s="80">
        <v>354088</v>
      </c>
      <c r="AI1187" s="80">
        <v>1031</v>
      </c>
      <c r="AJ1187" s="80"/>
      <c r="AK1187" s="80" t="s">
        <v>10013</v>
      </c>
      <c r="AL1187" s="80" t="s">
        <v>10694</v>
      </c>
      <c r="AM1187" s="80"/>
      <c r="AN1187" s="80"/>
      <c r="AO1187" s="82">
        <v>40556.074374999997</v>
      </c>
      <c r="AP1187" s="87" t="str">
        <f>HYPERLINK("https://pbs.twimg.com/profile_banners/237530329/1632050316")</f>
        <v>https://pbs.twimg.com/profile_banners/237530329/1632050316</v>
      </c>
      <c r="AQ1187" s="80" t="b">
        <v>0</v>
      </c>
      <c r="AR1187" s="80" t="b">
        <v>0</v>
      </c>
      <c r="AS1187" s="80" t="b">
        <v>1</v>
      </c>
      <c r="AT1187" s="80"/>
      <c r="AU1187" s="80">
        <v>118</v>
      </c>
      <c r="AV1187" s="87" t="str">
        <f>HYPERLINK("https://abs.twimg.com/images/themes/theme1/bg.png")</f>
        <v>https://abs.twimg.com/images/themes/theme1/bg.png</v>
      </c>
      <c r="AW1187" s="80" t="b">
        <v>0</v>
      </c>
      <c r="AX1187" s="80" t="s">
        <v>10746</v>
      </c>
      <c r="AY1187" s="87" t="str">
        <f>HYPERLINK("https://twitter.com/funjunkies")</f>
        <v>https://twitter.com/funjunkies</v>
      </c>
      <c r="AZ1187" s="80" t="s">
        <v>66</v>
      </c>
      <c r="BA1187" s="2"/>
      <c r="BB1187" s="3"/>
      <c r="BC1187" s="3"/>
      <c r="BD1187" s="3"/>
      <c r="BE1187" s="3"/>
    </row>
    <row r="1188" spans="1:57" x14ac:dyDescent="0.35">
      <c r="A1188" s="66" t="s">
        <v>1170</v>
      </c>
      <c r="B1188" s="67"/>
      <c r="C1188" s="67"/>
      <c r="D1188" s="68"/>
      <c r="E1188" s="70"/>
      <c r="F1188" s="109" t="str">
        <f>HYPERLINK("https://pbs.twimg.com/profile_images/1434161726795116547/ZGm-lc9C_normal.jpg")</f>
        <v>https://pbs.twimg.com/profile_images/1434161726795116547/ZGm-lc9C_normal.jpg</v>
      </c>
      <c r="G1188" s="67"/>
      <c r="H1188" s="71"/>
      <c r="I1188" s="72"/>
      <c r="J1188" s="72"/>
      <c r="K1188" s="71" t="s">
        <v>11931</v>
      </c>
      <c r="L1188" s="75"/>
      <c r="M1188" s="76"/>
      <c r="N1188" s="76"/>
      <c r="O1188" s="77"/>
      <c r="P1188" s="78"/>
      <c r="Q1188" s="78"/>
      <c r="R1188" s="92"/>
      <c r="S1188" s="92"/>
      <c r="T1188" s="92"/>
      <c r="U1188" s="92"/>
      <c r="V1188" s="52"/>
      <c r="W1188" s="52"/>
      <c r="X1188" s="52"/>
      <c r="Y1188" s="52"/>
      <c r="Z1188" s="51"/>
      <c r="AA1188" s="73"/>
      <c r="AB1188" s="73"/>
      <c r="AC1188" s="74"/>
      <c r="AD1188" s="80" t="s">
        <v>7744</v>
      </c>
      <c r="AE1188" s="85" t="s">
        <v>8850</v>
      </c>
      <c r="AF1188" s="80">
        <v>699</v>
      </c>
      <c r="AG1188" s="80">
        <v>505</v>
      </c>
      <c r="AH1188" s="80">
        <v>27158</v>
      </c>
      <c r="AI1188" s="80">
        <v>1899</v>
      </c>
      <c r="AJ1188" s="80"/>
      <c r="AK1188" s="80" t="s">
        <v>10014</v>
      </c>
      <c r="AL1188" s="80" t="s">
        <v>10695</v>
      </c>
      <c r="AM1188" s="80"/>
      <c r="AN1188" s="80"/>
      <c r="AO1188" s="82">
        <v>40285.119062500002</v>
      </c>
      <c r="AP1188" s="87" t="str">
        <f>HYPERLINK("https://pbs.twimg.com/profile_banners/133957073/1483380306")</f>
        <v>https://pbs.twimg.com/profile_banners/133957073/1483380306</v>
      </c>
      <c r="AQ1188" s="80" t="b">
        <v>0</v>
      </c>
      <c r="AR1188" s="80" t="b">
        <v>0</v>
      </c>
      <c r="AS1188" s="80" t="b">
        <v>1</v>
      </c>
      <c r="AT1188" s="80"/>
      <c r="AU1188" s="80">
        <v>6</v>
      </c>
      <c r="AV1188" s="87" t="str">
        <f>HYPERLINK("https://abs.twimg.com/images/themes/theme5/bg.gif")</f>
        <v>https://abs.twimg.com/images/themes/theme5/bg.gif</v>
      </c>
      <c r="AW1188" s="80" t="b">
        <v>0</v>
      </c>
      <c r="AX1188" s="80" t="s">
        <v>10746</v>
      </c>
      <c r="AY1188" s="87" t="str">
        <f>HYPERLINK("https://twitter.com/dipurwantto")</f>
        <v>https://twitter.com/dipurwantto</v>
      </c>
      <c r="AZ1188" s="80" t="s">
        <v>66</v>
      </c>
      <c r="BA1188" s="2"/>
      <c r="BB1188" s="3"/>
      <c r="BC1188" s="3"/>
      <c r="BD1188" s="3"/>
      <c r="BE1188" s="3"/>
    </row>
    <row r="1189" spans="1:57" x14ac:dyDescent="0.35">
      <c r="A1189" s="66" t="s">
        <v>1218</v>
      </c>
      <c r="B1189" s="67"/>
      <c r="C1189" s="67"/>
      <c r="D1189" s="68"/>
      <c r="E1189" s="70"/>
      <c r="F1189" s="109" t="str">
        <f>HYPERLINK("https://pbs.twimg.com/profile_images/1240484448593838082/MeLHHW97_normal.jpg")</f>
        <v>https://pbs.twimg.com/profile_images/1240484448593838082/MeLHHW97_normal.jpg</v>
      </c>
      <c r="G1189" s="67"/>
      <c r="H1189" s="71"/>
      <c r="I1189" s="72"/>
      <c r="J1189" s="72"/>
      <c r="K1189" s="71" t="s">
        <v>11932</v>
      </c>
      <c r="L1189" s="75"/>
      <c r="M1189" s="76"/>
      <c r="N1189" s="76"/>
      <c r="O1189" s="77"/>
      <c r="P1189" s="78"/>
      <c r="Q1189" s="78"/>
      <c r="R1189" s="92"/>
      <c r="S1189" s="92"/>
      <c r="T1189" s="92"/>
      <c r="U1189" s="92"/>
      <c r="V1189" s="52"/>
      <c r="W1189" s="52"/>
      <c r="X1189" s="52"/>
      <c r="Y1189" s="52"/>
      <c r="Z1189" s="51"/>
      <c r="AA1189" s="73"/>
      <c r="AB1189" s="73"/>
      <c r="AC1189" s="74"/>
      <c r="AD1189" s="80" t="s">
        <v>7745</v>
      </c>
      <c r="AE1189" s="85" t="s">
        <v>8851</v>
      </c>
      <c r="AF1189" s="80">
        <v>271</v>
      </c>
      <c r="AG1189" s="80">
        <v>866</v>
      </c>
      <c r="AH1189" s="80">
        <v>2194</v>
      </c>
      <c r="AI1189" s="80">
        <v>2697</v>
      </c>
      <c r="AJ1189" s="80"/>
      <c r="AK1189" s="80" t="s">
        <v>10015</v>
      </c>
      <c r="AL1189" s="80" t="s">
        <v>10696</v>
      </c>
      <c r="AM1189" s="80"/>
      <c r="AN1189" s="80"/>
      <c r="AO1189" s="82">
        <v>43139.075497685182</v>
      </c>
      <c r="AP1189" s="87" t="str">
        <f>HYPERLINK("https://pbs.twimg.com/profile_banners/961416468763037696/1630897129")</f>
        <v>https://pbs.twimg.com/profile_banners/961416468763037696/1630897129</v>
      </c>
      <c r="AQ1189" s="80" t="b">
        <v>1</v>
      </c>
      <c r="AR1189" s="80" t="b">
        <v>0</v>
      </c>
      <c r="AS1189" s="80" t="b">
        <v>0</v>
      </c>
      <c r="AT1189" s="80"/>
      <c r="AU1189" s="80">
        <v>2</v>
      </c>
      <c r="AV1189" s="80"/>
      <c r="AW1189" s="80" t="b">
        <v>0</v>
      </c>
      <c r="AX1189" s="80" t="s">
        <v>10746</v>
      </c>
      <c r="AY1189" s="87" t="str">
        <f>HYPERLINK("https://twitter.com/pmi_kabsemarang")</f>
        <v>https://twitter.com/pmi_kabsemarang</v>
      </c>
      <c r="AZ1189" s="80" t="s">
        <v>66</v>
      </c>
      <c r="BA1189" s="2"/>
      <c r="BB1189" s="3"/>
      <c r="BC1189" s="3"/>
      <c r="BD1189" s="3"/>
      <c r="BE1189" s="3"/>
    </row>
    <row r="1190" spans="1:57" x14ac:dyDescent="0.35">
      <c r="A1190" s="66" t="s">
        <v>1221</v>
      </c>
      <c r="B1190" s="67"/>
      <c r="C1190" s="67"/>
      <c r="D1190" s="68"/>
      <c r="E1190" s="70"/>
      <c r="F1190" s="109" t="str">
        <f>HYPERLINK("https://pbs.twimg.com/profile_images/1204066861391863808/-RGmTZIn_normal.jpg")</f>
        <v>https://pbs.twimg.com/profile_images/1204066861391863808/-RGmTZIn_normal.jpg</v>
      </c>
      <c r="G1190" s="67"/>
      <c r="H1190" s="71"/>
      <c r="I1190" s="72"/>
      <c r="J1190" s="72"/>
      <c r="K1190" s="71" t="s">
        <v>11933</v>
      </c>
      <c r="L1190" s="75"/>
      <c r="M1190" s="76"/>
      <c r="N1190" s="76"/>
      <c r="O1190" s="77"/>
      <c r="P1190" s="78"/>
      <c r="Q1190" s="78"/>
      <c r="R1190" s="92"/>
      <c r="S1190" s="92"/>
      <c r="T1190" s="92"/>
      <c r="U1190" s="92"/>
      <c r="V1190" s="52"/>
      <c r="W1190" s="52"/>
      <c r="X1190" s="52"/>
      <c r="Y1190" s="52"/>
      <c r="Z1190" s="51"/>
      <c r="AA1190" s="73"/>
      <c r="AB1190" s="73"/>
      <c r="AC1190" s="74"/>
      <c r="AD1190" s="80" t="s">
        <v>7746</v>
      </c>
      <c r="AE1190" s="85" t="s">
        <v>8852</v>
      </c>
      <c r="AF1190" s="80">
        <v>174</v>
      </c>
      <c r="AG1190" s="80">
        <v>173755</v>
      </c>
      <c r="AH1190" s="80">
        <v>181216</v>
      </c>
      <c r="AI1190" s="80">
        <v>100</v>
      </c>
      <c r="AJ1190" s="80"/>
      <c r="AK1190" s="80" t="s">
        <v>10016</v>
      </c>
      <c r="AL1190" s="80" t="s">
        <v>6543</v>
      </c>
      <c r="AM1190" s="87" t="str">
        <f>HYPERLINK("https://t.co/IFlEoBRqqK")</f>
        <v>https://t.co/IFlEoBRqqK</v>
      </c>
      <c r="AN1190" s="80"/>
      <c r="AO1190" s="82">
        <v>40256.577835648146</v>
      </c>
      <c r="AP1190" s="87" t="str">
        <f>HYPERLINK("https://pbs.twimg.com/profile_banners/124466389/1597164371")</f>
        <v>https://pbs.twimg.com/profile_banners/124466389/1597164371</v>
      </c>
      <c r="AQ1190" s="80" t="b">
        <v>0</v>
      </c>
      <c r="AR1190" s="80" t="b">
        <v>0</v>
      </c>
      <c r="AS1190" s="80" t="b">
        <v>0</v>
      </c>
      <c r="AT1190" s="80"/>
      <c r="AU1190" s="80">
        <v>195</v>
      </c>
      <c r="AV1190" s="87" t="str">
        <f>HYPERLINK("https://abs.twimg.com/images/themes/theme17/bg.gif")</f>
        <v>https://abs.twimg.com/images/themes/theme17/bg.gif</v>
      </c>
      <c r="AW1190" s="80" t="b">
        <v>0</v>
      </c>
      <c r="AX1190" s="80" t="s">
        <v>10746</v>
      </c>
      <c r="AY1190" s="87" t="str">
        <f>HYPERLINK("https://twitter.com/blood4lifeid")</f>
        <v>https://twitter.com/blood4lifeid</v>
      </c>
      <c r="AZ1190" s="80" t="s">
        <v>66</v>
      </c>
      <c r="BA1190" s="2"/>
      <c r="BB1190" s="3"/>
      <c r="BC1190" s="3"/>
      <c r="BD1190" s="3"/>
      <c r="BE1190" s="3"/>
    </row>
    <row r="1191" spans="1:57" x14ac:dyDescent="0.35">
      <c r="A1191" s="66" t="s">
        <v>1171</v>
      </c>
      <c r="B1191" s="67"/>
      <c r="C1191" s="67"/>
      <c r="D1191" s="68"/>
      <c r="E1191" s="70"/>
      <c r="F1191" s="109" t="str">
        <f>HYPERLINK("https://pbs.twimg.com/profile_images/1350424337124188160/EPv9b8Jd_normal.jpg")</f>
        <v>https://pbs.twimg.com/profile_images/1350424337124188160/EPv9b8Jd_normal.jpg</v>
      </c>
      <c r="G1191" s="67"/>
      <c r="H1191" s="71"/>
      <c r="I1191" s="72"/>
      <c r="J1191" s="72"/>
      <c r="K1191" s="71" t="s">
        <v>11934</v>
      </c>
      <c r="L1191" s="75"/>
      <c r="M1191" s="76"/>
      <c r="N1191" s="76"/>
      <c r="O1191" s="77"/>
      <c r="P1191" s="78"/>
      <c r="Q1191" s="78"/>
      <c r="R1191" s="92"/>
      <c r="S1191" s="92"/>
      <c r="T1191" s="92"/>
      <c r="U1191" s="92"/>
      <c r="V1191" s="52"/>
      <c r="W1191" s="52"/>
      <c r="X1191" s="52"/>
      <c r="Y1191" s="52"/>
      <c r="Z1191" s="51"/>
      <c r="AA1191" s="73"/>
      <c r="AB1191" s="73"/>
      <c r="AC1191" s="74"/>
      <c r="AD1191" s="80" t="s">
        <v>7747</v>
      </c>
      <c r="AE1191" s="85" t="s">
        <v>8853</v>
      </c>
      <c r="AF1191" s="80">
        <v>163</v>
      </c>
      <c r="AG1191" s="80">
        <v>103</v>
      </c>
      <c r="AH1191" s="80">
        <v>10513</v>
      </c>
      <c r="AI1191" s="80">
        <v>1282</v>
      </c>
      <c r="AJ1191" s="80"/>
      <c r="AK1191" s="80">
        <v>2021</v>
      </c>
      <c r="AL1191" s="80"/>
      <c r="AM1191" s="80"/>
      <c r="AN1191" s="80"/>
      <c r="AO1191" s="82">
        <v>41729.160370370373</v>
      </c>
      <c r="AP1191" s="87" t="str">
        <f>HYPERLINK("https://pbs.twimg.com/profile_banners/2419940252/1546349966")</f>
        <v>https://pbs.twimg.com/profile_banners/2419940252/1546349966</v>
      </c>
      <c r="AQ1191" s="80" t="b">
        <v>0</v>
      </c>
      <c r="AR1191" s="80" t="b">
        <v>0</v>
      </c>
      <c r="AS1191" s="80" t="b">
        <v>0</v>
      </c>
      <c r="AT1191" s="80"/>
      <c r="AU1191" s="80">
        <v>0</v>
      </c>
      <c r="AV1191" s="87" t="str">
        <f>HYPERLINK("https://abs.twimg.com/images/themes/theme9/bg.gif")</f>
        <v>https://abs.twimg.com/images/themes/theme9/bg.gif</v>
      </c>
      <c r="AW1191" s="80" t="b">
        <v>0</v>
      </c>
      <c r="AX1191" s="80" t="s">
        <v>10746</v>
      </c>
      <c r="AY1191" s="87" t="str">
        <f>HYPERLINK("https://twitter.com/dw19kur")</f>
        <v>https://twitter.com/dw19kur</v>
      </c>
      <c r="AZ1191" s="80" t="s">
        <v>66</v>
      </c>
      <c r="BA1191" s="2"/>
      <c r="BB1191" s="3"/>
      <c r="BC1191" s="3"/>
      <c r="BD1191" s="3"/>
      <c r="BE1191" s="3"/>
    </row>
    <row r="1192" spans="1:57" x14ac:dyDescent="0.35">
      <c r="A1192" s="66" t="s">
        <v>1172</v>
      </c>
      <c r="B1192" s="67"/>
      <c r="C1192" s="67"/>
      <c r="D1192" s="68"/>
      <c r="E1192" s="70"/>
      <c r="F1192" s="109" t="str">
        <f>HYPERLINK("https://pbs.twimg.com/profile_images/629577348124250112/IWjRokag_normal.jpg")</f>
        <v>https://pbs.twimg.com/profile_images/629577348124250112/IWjRokag_normal.jpg</v>
      </c>
      <c r="G1192" s="67"/>
      <c r="H1192" s="71"/>
      <c r="I1192" s="72"/>
      <c r="J1192" s="72"/>
      <c r="K1192" s="71" t="s">
        <v>11935</v>
      </c>
      <c r="L1192" s="75"/>
      <c r="M1192" s="76"/>
      <c r="N1192" s="76"/>
      <c r="O1192" s="77"/>
      <c r="P1192" s="78"/>
      <c r="Q1192" s="78"/>
      <c r="R1192" s="92"/>
      <c r="S1192" s="92"/>
      <c r="T1192" s="92"/>
      <c r="U1192" s="92"/>
      <c r="V1192" s="52"/>
      <c r="W1192" s="52"/>
      <c r="X1192" s="52"/>
      <c r="Y1192" s="52"/>
      <c r="Z1192" s="51"/>
      <c r="AA1192" s="73"/>
      <c r="AB1192" s="73"/>
      <c r="AC1192" s="74"/>
      <c r="AD1192" s="80" t="s">
        <v>7748</v>
      </c>
      <c r="AE1192" s="85" t="s">
        <v>8854</v>
      </c>
      <c r="AF1192" s="80">
        <v>2383</v>
      </c>
      <c r="AG1192" s="80">
        <v>1484</v>
      </c>
      <c r="AH1192" s="80">
        <v>22689</v>
      </c>
      <c r="AI1192" s="80">
        <v>23565</v>
      </c>
      <c r="AJ1192" s="80"/>
      <c r="AK1192" s="80" t="s">
        <v>10017</v>
      </c>
      <c r="AL1192" s="80" t="s">
        <v>10697</v>
      </c>
      <c r="AM1192" s="87" t="str">
        <f>HYPERLINK("https://t.co/GoTDUrVYVZ")</f>
        <v>https://t.co/GoTDUrVYVZ</v>
      </c>
      <c r="AN1192" s="80"/>
      <c r="AO1192" s="82">
        <v>42212.380023148151</v>
      </c>
      <c r="AP1192" s="87" t="str">
        <f>HYPERLINK("https://pbs.twimg.com/profile_banners/3297252602/1448249103")</f>
        <v>https://pbs.twimg.com/profile_banners/3297252602/1448249103</v>
      </c>
      <c r="AQ1192" s="80" t="b">
        <v>1</v>
      </c>
      <c r="AR1192" s="80" t="b">
        <v>0</v>
      </c>
      <c r="AS1192" s="80" t="b">
        <v>1</v>
      </c>
      <c r="AT1192" s="80"/>
      <c r="AU1192" s="80">
        <v>14</v>
      </c>
      <c r="AV1192" s="87" t="str">
        <f>HYPERLINK("https://abs.twimg.com/images/themes/theme1/bg.png")</f>
        <v>https://abs.twimg.com/images/themes/theme1/bg.png</v>
      </c>
      <c r="AW1192" s="80" t="b">
        <v>0</v>
      </c>
      <c r="AX1192" s="80" t="s">
        <v>10746</v>
      </c>
      <c r="AY1192" s="87" t="str">
        <f>HYPERLINK("https://twitter.com/itsnaini_alan")</f>
        <v>https://twitter.com/itsnaini_alan</v>
      </c>
      <c r="AZ1192" s="80" t="s">
        <v>66</v>
      </c>
      <c r="BA1192" s="2"/>
      <c r="BB1192" s="3"/>
      <c r="BC1192" s="3"/>
      <c r="BD1192" s="3"/>
      <c r="BE1192" s="3"/>
    </row>
    <row r="1193" spans="1:57" x14ac:dyDescent="0.35">
      <c r="A1193" s="66" t="s">
        <v>1193</v>
      </c>
      <c r="B1193" s="67"/>
      <c r="C1193" s="67"/>
      <c r="D1193" s="68"/>
      <c r="E1193" s="70"/>
      <c r="F1193" s="109" t="str">
        <f>HYPERLINK("https://pbs.twimg.com/profile_images/828476099910787072/sa_vVggV_normal.jpg")</f>
        <v>https://pbs.twimg.com/profile_images/828476099910787072/sa_vVggV_normal.jpg</v>
      </c>
      <c r="G1193" s="67"/>
      <c r="H1193" s="71"/>
      <c r="I1193" s="72"/>
      <c r="J1193" s="72"/>
      <c r="K1193" s="71" t="s">
        <v>11936</v>
      </c>
      <c r="L1193" s="75"/>
      <c r="M1193" s="76"/>
      <c r="N1193" s="76"/>
      <c r="O1193" s="77"/>
      <c r="P1193" s="78"/>
      <c r="Q1193" s="78"/>
      <c r="R1193" s="92"/>
      <c r="S1193" s="92"/>
      <c r="T1193" s="92"/>
      <c r="U1193" s="92"/>
      <c r="V1193" s="52"/>
      <c r="W1193" s="52"/>
      <c r="X1193" s="52"/>
      <c r="Y1193" s="52"/>
      <c r="Z1193" s="51"/>
      <c r="AA1193" s="73"/>
      <c r="AB1193" s="73"/>
      <c r="AC1193" s="74"/>
      <c r="AD1193" s="80" t="s">
        <v>7749</v>
      </c>
      <c r="AE1193" s="85" t="s">
        <v>8855</v>
      </c>
      <c r="AF1193" s="80">
        <v>328</v>
      </c>
      <c r="AG1193" s="80">
        <v>483</v>
      </c>
      <c r="AH1193" s="80">
        <v>1891</v>
      </c>
      <c r="AI1193" s="80">
        <v>417</v>
      </c>
      <c r="AJ1193" s="80"/>
      <c r="AK1193" s="80" t="s">
        <v>10018</v>
      </c>
      <c r="AL1193" s="80" t="s">
        <v>10698</v>
      </c>
      <c r="AM1193" s="87" t="str">
        <f>HYPERLINK("https://t.co/1Aiv0lx7s0")</f>
        <v>https://t.co/1Aiv0lx7s0</v>
      </c>
      <c r="AN1193" s="80"/>
      <c r="AO1193" s="82">
        <v>42759.082488425927</v>
      </c>
      <c r="AP1193" s="87" t="str">
        <f>HYPERLINK("https://pbs.twimg.com/profile_banners/823711613538549760/1594344120")</f>
        <v>https://pbs.twimg.com/profile_banners/823711613538549760/1594344120</v>
      </c>
      <c r="AQ1193" s="80" t="b">
        <v>1</v>
      </c>
      <c r="AR1193" s="80" t="b">
        <v>0</v>
      </c>
      <c r="AS1193" s="80" t="b">
        <v>1</v>
      </c>
      <c r="AT1193" s="80"/>
      <c r="AU1193" s="80">
        <v>1</v>
      </c>
      <c r="AV1193" s="80"/>
      <c r="AW1193" s="80" t="b">
        <v>0</v>
      </c>
      <c r="AX1193" s="80" t="s">
        <v>10746</v>
      </c>
      <c r="AY1193" s="87" t="str">
        <f>HYPERLINK("https://twitter.com/ppid_sragen")</f>
        <v>https://twitter.com/ppid_sragen</v>
      </c>
      <c r="AZ1193" s="80" t="s">
        <v>66</v>
      </c>
      <c r="BA1193" s="2"/>
      <c r="BB1193" s="3"/>
      <c r="BC1193" s="3"/>
      <c r="BD1193" s="3"/>
      <c r="BE1193" s="3"/>
    </row>
    <row r="1194" spans="1:57" x14ac:dyDescent="0.35">
      <c r="A1194" s="66" t="s">
        <v>1173</v>
      </c>
      <c r="B1194" s="67"/>
      <c r="C1194" s="67"/>
      <c r="D1194" s="68"/>
      <c r="E1194" s="70"/>
      <c r="F1194" s="109" t="str">
        <f>HYPERLINK("https://pbs.twimg.com/profile_images/1383682987229794312/PA1pHn2N_normal.jpg")</f>
        <v>https://pbs.twimg.com/profile_images/1383682987229794312/PA1pHn2N_normal.jpg</v>
      </c>
      <c r="G1194" s="67"/>
      <c r="H1194" s="71"/>
      <c r="I1194" s="72"/>
      <c r="J1194" s="72"/>
      <c r="K1194" s="71" t="s">
        <v>11937</v>
      </c>
      <c r="L1194" s="75"/>
      <c r="M1194" s="76"/>
      <c r="N1194" s="76"/>
      <c r="O1194" s="77"/>
      <c r="P1194" s="78"/>
      <c r="Q1194" s="78"/>
      <c r="R1194" s="92"/>
      <c r="S1194" s="92"/>
      <c r="T1194" s="92"/>
      <c r="U1194" s="92"/>
      <c r="V1194" s="52"/>
      <c r="W1194" s="52"/>
      <c r="X1194" s="52"/>
      <c r="Y1194" s="52"/>
      <c r="Z1194" s="51"/>
      <c r="AA1194" s="73"/>
      <c r="AB1194" s="73"/>
      <c r="AC1194" s="74"/>
      <c r="AD1194" s="80" t="s">
        <v>7750</v>
      </c>
      <c r="AE1194" s="85" t="s">
        <v>8856</v>
      </c>
      <c r="AF1194" s="80">
        <v>341</v>
      </c>
      <c r="AG1194" s="80">
        <v>316</v>
      </c>
      <c r="AH1194" s="80">
        <v>22174</v>
      </c>
      <c r="AI1194" s="80">
        <v>549</v>
      </c>
      <c r="AJ1194" s="80"/>
      <c r="AK1194" s="80" t="s">
        <v>10019</v>
      </c>
      <c r="AL1194" s="80"/>
      <c r="AM1194" s="87" t="str">
        <f>HYPERLINK("https://t.co/lhhkmuqJmV")</f>
        <v>https://t.co/lhhkmuqJmV</v>
      </c>
      <c r="AN1194" s="80"/>
      <c r="AO1194" s="82">
        <v>40816.59207175926</v>
      </c>
      <c r="AP1194" s="87" t="str">
        <f>HYPERLINK("https://pbs.twimg.com/profile_banners/382681603/1588066014")</f>
        <v>https://pbs.twimg.com/profile_banners/382681603/1588066014</v>
      </c>
      <c r="AQ1194" s="80" t="b">
        <v>0</v>
      </c>
      <c r="AR1194" s="80" t="b">
        <v>0</v>
      </c>
      <c r="AS1194" s="80" t="b">
        <v>1</v>
      </c>
      <c r="AT1194" s="80"/>
      <c r="AU1194" s="80">
        <v>1</v>
      </c>
      <c r="AV1194" s="87" t="str">
        <f>HYPERLINK("https://abs.twimg.com/images/themes/theme6/bg.gif")</f>
        <v>https://abs.twimg.com/images/themes/theme6/bg.gif</v>
      </c>
      <c r="AW1194" s="80" t="b">
        <v>0</v>
      </c>
      <c r="AX1194" s="80" t="s">
        <v>10746</v>
      </c>
      <c r="AY1194" s="87" t="str">
        <f>HYPERLINK("https://twitter.com/anisprasety")</f>
        <v>https://twitter.com/anisprasety</v>
      </c>
      <c r="AZ1194" s="80" t="s">
        <v>66</v>
      </c>
      <c r="BA1194" s="2"/>
      <c r="BB1194" s="3"/>
      <c r="BC1194" s="3"/>
      <c r="BD1194" s="3"/>
      <c r="BE1194" s="3"/>
    </row>
    <row r="1195" spans="1:57" x14ac:dyDescent="0.35">
      <c r="A1195" s="66" t="s">
        <v>1174</v>
      </c>
      <c r="B1195" s="67"/>
      <c r="C1195" s="67"/>
      <c r="D1195" s="68"/>
      <c r="E1195" s="70"/>
      <c r="F1195" s="109" t="str">
        <f>HYPERLINK("https://pbs.twimg.com/profile_images/1359828572676923398/D6Eo-GNZ_normal.jpg")</f>
        <v>https://pbs.twimg.com/profile_images/1359828572676923398/D6Eo-GNZ_normal.jpg</v>
      </c>
      <c r="G1195" s="67"/>
      <c r="H1195" s="71"/>
      <c r="I1195" s="72"/>
      <c r="J1195" s="72"/>
      <c r="K1195" s="71" t="s">
        <v>11938</v>
      </c>
      <c r="L1195" s="75"/>
      <c r="M1195" s="76"/>
      <c r="N1195" s="76"/>
      <c r="O1195" s="77"/>
      <c r="P1195" s="78"/>
      <c r="Q1195" s="78"/>
      <c r="R1195" s="92"/>
      <c r="S1195" s="92"/>
      <c r="T1195" s="92"/>
      <c r="U1195" s="92"/>
      <c r="V1195" s="52"/>
      <c r="W1195" s="52"/>
      <c r="X1195" s="52"/>
      <c r="Y1195" s="52"/>
      <c r="Z1195" s="51"/>
      <c r="AA1195" s="73"/>
      <c r="AB1195" s="73"/>
      <c r="AC1195" s="74"/>
      <c r="AD1195" s="80" t="s">
        <v>7751</v>
      </c>
      <c r="AE1195" s="85" t="s">
        <v>8857</v>
      </c>
      <c r="AF1195" s="80">
        <v>1139</v>
      </c>
      <c r="AG1195" s="80">
        <v>389</v>
      </c>
      <c r="AH1195" s="80">
        <v>2601</v>
      </c>
      <c r="AI1195" s="80">
        <v>39074</v>
      </c>
      <c r="AJ1195" s="80"/>
      <c r="AK1195" s="80" t="s">
        <v>10020</v>
      </c>
      <c r="AL1195" s="80"/>
      <c r="AM1195" s="80"/>
      <c r="AN1195" s="80"/>
      <c r="AO1195" s="82">
        <v>40870.358993055554</v>
      </c>
      <c r="AP1195" s="87" t="str">
        <f>HYPERLINK("https://pbs.twimg.com/profile_banners/419376183/1539998478")</f>
        <v>https://pbs.twimg.com/profile_banners/419376183/1539998478</v>
      </c>
      <c r="AQ1195" s="80" t="b">
        <v>0</v>
      </c>
      <c r="AR1195" s="80" t="b">
        <v>0</v>
      </c>
      <c r="AS1195" s="80" t="b">
        <v>0</v>
      </c>
      <c r="AT1195" s="80"/>
      <c r="AU1195" s="80">
        <v>1</v>
      </c>
      <c r="AV1195" s="87" t="str">
        <f>HYPERLINK("https://abs.twimg.com/images/themes/theme1/bg.png")</f>
        <v>https://abs.twimg.com/images/themes/theme1/bg.png</v>
      </c>
      <c r="AW1195" s="80" t="b">
        <v>0</v>
      </c>
      <c r="AX1195" s="80" t="s">
        <v>10746</v>
      </c>
      <c r="AY1195" s="87" t="str">
        <f>HYPERLINK("https://twitter.com/el_maqnuah")</f>
        <v>https://twitter.com/el_maqnuah</v>
      </c>
      <c r="AZ1195" s="80" t="s">
        <v>66</v>
      </c>
      <c r="BA1195" s="2"/>
      <c r="BB1195" s="3"/>
      <c r="BC1195" s="3"/>
      <c r="BD1195" s="3"/>
      <c r="BE1195" s="3"/>
    </row>
    <row r="1196" spans="1:57" x14ac:dyDescent="0.35">
      <c r="A1196" s="66" t="s">
        <v>1175</v>
      </c>
      <c r="B1196" s="67"/>
      <c r="C1196" s="67"/>
      <c r="D1196" s="68"/>
      <c r="E1196" s="70"/>
      <c r="F1196" s="109" t="str">
        <f>HYPERLINK("https://pbs.twimg.com/profile_images/1289976442655129600/5CJ3Qk-a_normal.jpg")</f>
        <v>https://pbs.twimg.com/profile_images/1289976442655129600/5CJ3Qk-a_normal.jpg</v>
      </c>
      <c r="G1196" s="67"/>
      <c r="H1196" s="71"/>
      <c r="I1196" s="72"/>
      <c r="J1196" s="72"/>
      <c r="K1196" s="71" t="s">
        <v>11939</v>
      </c>
      <c r="L1196" s="75"/>
      <c r="M1196" s="76"/>
      <c r="N1196" s="76"/>
      <c r="O1196" s="77"/>
      <c r="P1196" s="78"/>
      <c r="Q1196" s="78"/>
      <c r="R1196" s="92"/>
      <c r="S1196" s="92"/>
      <c r="T1196" s="92"/>
      <c r="U1196" s="92"/>
      <c r="V1196" s="52"/>
      <c r="W1196" s="52"/>
      <c r="X1196" s="52"/>
      <c r="Y1196" s="52"/>
      <c r="Z1196" s="51"/>
      <c r="AA1196" s="73"/>
      <c r="AB1196" s="73"/>
      <c r="AC1196" s="74"/>
      <c r="AD1196" s="80" t="s">
        <v>7752</v>
      </c>
      <c r="AE1196" s="85" t="s">
        <v>8858</v>
      </c>
      <c r="AF1196" s="80">
        <v>71</v>
      </c>
      <c r="AG1196" s="80">
        <v>55</v>
      </c>
      <c r="AH1196" s="80">
        <v>10297</v>
      </c>
      <c r="AI1196" s="80">
        <v>5809</v>
      </c>
      <c r="AJ1196" s="80"/>
      <c r="AK1196" s="80" t="s">
        <v>10021</v>
      </c>
      <c r="AL1196" s="80"/>
      <c r="AM1196" s="80"/>
      <c r="AN1196" s="80"/>
      <c r="AO1196" s="82">
        <v>41128.48877314815</v>
      </c>
      <c r="AP1196" s="87" t="str">
        <f>HYPERLINK("https://pbs.twimg.com/profile_banners/742738435/1596389325")</f>
        <v>https://pbs.twimg.com/profile_banners/742738435/1596389325</v>
      </c>
      <c r="AQ1196" s="80" t="b">
        <v>0</v>
      </c>
      <c r="AR1196" s="80" t="b">
        <v>0</v>
      </c>
      <c r="AS1196" s="80" t="b">
        <v>1</v>
      </c>
      <c r="AT1196" s="80"/>
      <c r="AU1196" s="80">
        <v>1</v>
      </c>
      <c r="AV1196" s="87" t="str">
        <f>HYPERLINK("https://abs.twimg.com/images/themes/theme10/bg.gif")</f>
        <v>https://abs.twimg.com/images/themes/theme10/bg.gif</v>
      </c>
      <c r="AW1196" s="80" t="b">
        <v>0</v>
      </c>
      <c r="AX1196" s="80" t="s">
        <v>10746</v>
      </c>
      <c r="AY1196" s="87" t="str">
        <f>HYPERLINK("https://twitter.com/_u5er5_")</f>
        <v>https://twitter.com/_u5er5_</v>
      </c>
      <c r="AZ1196" s="80" t="s">
        <v>66</v>
      </c>
      <c r="BA1196" s="2"/>
      <c r="BB1196" s="3"/>
      <c r="BC1196" s="3"/>
      <c r="BD1196" s="3"/>
      <c r="BE1196" s="3"/>
    </row>
    <row r="1197" spans="1:57" x14ac:dyDescent="0.35">
      <c r="A1197" s="66" t="s">
        <v>1496</v>
      </c>
      <c r="B1197" s="67"/>
      <c r="C1197" s="67"/>
      <c r="D1197" s="68"/>
      <c r="E1197" s="70"/>
      <c r="F1197" s="109" t="str">
        <f>HYPERLINK("https://pbs.twimg.com/profile_images/1358697140545982467/6GuQW5Us_normal.jpg")</f>
        <v>https://pbs.twimg.com/profile_images/1358697140545982467/6GuQW5Us_normal.jpg</v>
      </c>
      <c r="G1197" s="67"/>
      <c r="H1197" s="71"/>
      <c r="I1197" s="72"/>
      <c r="J1197" s="72"/>
      <c r="K1197" s="71" t="s">
        <v>11940</v>
      </c>
      <c r="L1197" s="75"/>
      <c r="M1197" s="76"/>
      <c r="N1197" s="76"/>
      <c r="O1197" s="77"/>
      <c r="P1197" s="78"/>
      <c r="Q1197" s="78"/>
      <c r="R1197" s="92"/>
      <c r="S1197" s="92"/>
      <c r="T1197" s="92"/>
      <c r="U1197" s="92"/>
      <c r="V1197" s="52"/>
      <c r="W1197" s="52"/>
      <c r="X1197" s="52"/>
      <c r="Y1197" s="52"/>
      <c r="Z1197" s="51"/>
      <c r="AA1197" s="73"/>
      <c r="AB1197" s="73"/>
      <c r="AC1197" s="74"/>
      <c r="AD1197" s="80" t="s">
        <v>7753</v>
      </c>
      <c r="AE1197" s="85" t="s">
        <v>6448</v>
      </c>
      <c r="AF1197" s="80">
        <v>36</v>
      </c>
      <c r="AG1197" s="80">
        <v>70</v>
      </c>
      <c r="AH1197" s="80">
        <v>43225</v>
      </c>
      <c r="AI1197" s="80">
        <v>268</v>
      </c>
      <c r="AJ1197" s="80"/>
      <c r="AK1197" s="80" t="s">
        <v>10022</v>
      </c>
      <c r="AL1197" s="80"/>
      <c r="AM1197" s="80"/>
      <c r="AN1197" s="80"/>
      <c r="AO1197" s="82">
        <v>41448.59479166667</v>
      </c>
      <c r="AP1197" s="87" t="str">
        <f>HYPERLINK("https://pbs.twimg.com/profile_banners/1541082236/1591332200")</f>
        <v>https://pbs.twimg.com/profile_banners/1541082236/1591332200</v>
      </c>
      <c r="AQ1197" s="80" t="b">
        <v>0</v>
      </c>
      <c r="AR1197" s="80" t="b">
        <v>0</v>
      </c>
      <c r="AS1197" s="80" t="b">
        <v>1</v>
      </c>
      <c r="AT1197" s="80"/>
      <c r="AU1197" s="80">
        <v>2</v>
      </c>
      <c r="AV1197" s="87" t="str">
        <f>HYPERLINK("https://abs.twimg.com/images/themes/theme1/bg.png")</f>
        <v>https://abs.twimg.com/images/themes/theme1/bg.png</v>
      </c>
      <c r="AW1197" s="80" t="b">
        <v>0</v>
      </c>
      <c r="AX1197" s="80" t="s">
        <v>10746</v>
      </c>
      <c r="AY1197" s="87" t="str">
        <f>HYPERLINK("https://twitter.com/nanjirouechizen")</f>
        <v>https://twitter.com/nanjirouechizen</v>
      </c>
      <c r="AZ1197" s="80" t="s">
        <v>65</v>
      </c>
      <c r="BA1197" s="2"/>
      <c r="BB1197" s="3"/>
      <c r="BC1197" s="3"/>
      <c r="BD1197" s="3"/>
      <c r="BE1197" s="3"/>
    </row>
    <row r="1198" spans="1:57" x14ac:dyDescent="0.35">
      <c r="A1198" s="66" t="s">
        <v>1176</v>
      </c>
      <c r="B1198" s="67"/>
      <c r="C1198" s="67"/>
      <c r="D1198" s="68"/>
      <c r="E1198" s="70"/>
      <c r="F1198" s="109" t="str">
        <f>HYPERLINK("https://pbs.twimg.com/profile_images/1342090869290110976/LvlCGsjd_normal.jpg")</f>
        <v>https://pbs.twimg.com/profile_images/1342090869290110976/LvlCGsjd_normal.jpg</v>
      </c>
      <c r="G1198" s="67"/>
      <c r="H1198" s="71"/>
      <c r="I1198" s="72"/>
      <c r="J1198" s="72"/>
      <c r="K1198" s="71" t="s">
        <v>11941</v>
      </c>
      <c r="L1198" s="75"/>
      <c r="M1198" s="76"/>
      <c r="N1198" s="76"/>
      <c r="O1198" s="77"/>
      <c r="P1198" s="78"/>
      <c r="Q1198" s="78"/>
      <c r="R1198" s="92"/>
      <c r="S1198" s="92"/>
      <c r="T1198" s="92"/>
      <c r="U1198" s="92"/>
      <c r="V1198" s="52"/>
      <c r="W1198" s="52"/>
      <c r="X1198" s="52"/>
      <c r="Y1198" s="52"/>
      <c r="Z1198" s="51"/>
      <c r="AA1198" s="73"/>
      <c r="AB1198" s="73"/>
      <c r="AC1198" s="74"/>
      <c r="AD1198" s="80" t="s">
        <v>7754</v>
      </c>
      <c r="AE1198" s="85" t="s">
        <v>8859</v>
      </c>
      <c r="AF1198" s="80">
        <v>30</v>
      </c>
      <c r="AG1198" s="80">
        <v>38</v>
      </c>
      <c r="AH1198" s="80">
        <v>1935</v>
      </c>
      <c r="AI1198" s="80">
        <v>73</v>
      </c>
      <c r="AJ1198" s="80"/>
      <c r="AK1198" s="80" t="s">
        <v>10023</v>
      </c>
      <c r="AL1198" s="80" t="s">
        <v>10699</v>
      </c>
      <c r="AM1198" s="80"/>
      <c r="AN1198" s="80"/>
      <c r="AO1198" s="82">
        <v>44189.536192129628</v>
      </c>
      <c r="AP1198" s="80"/>
      <c r="AQ1198" s="80" t="b">
        <v>1</v>
      </c>
      <c r="AR1198" s="80" t="b">
        <v>0</v>
      </c>
      <c r="AS1198" s="80" t="b">
        <v>1</v>
      </c>
      <c r="AT1198" s="80"/>
      <c r="AU1198" s="80">
        <v>0</v>
      </c>
      <c r="AV1198" s="80"/>
      <c r="AW1198" s="80" t="b">
        <v>0</v>
      </c>
      <c r="AX1198" s="80" t="s">
        <v>10746</v>
      </c>
      <c r="AY1198" s="87" t="str">
        <f>HYPERLINK("https://twitter.com/reskrimrestaptk")</f>
        <v>https://twitter.com/reskrimrestaptk</v>
      </c>
      <c r="AZ1198" s="80" t="s">
        <v>66</v>
      </c>
      <c r="BA1198" s="2"/>
      <c r="BB1198" s="3"/>
      <c r="BC1198" s="3"/>
      <c r="BD1198" s="3"/>
      <c r="BE1198" s="3"/>
    </row>
    <row r="1199" spans="1:57" x14ac:dyDescent="0.35">
      <c r="A1199" s="66" t="s">
        <v>1177</v>
      </c>
      <c r="B1199" s="67"/>
      <c r="C1199" s="67"/>
      <c r="D1199" s="68"/>
      <c r="E1199" s="70"/>
      <c r="F1199" s="109" t="str">
        <f>HYPERLINK("https://pbs.twimg.com/profile_images/1332229354407903232/PNPiaKwJ_normal.jpg")</f>
        <v>https://pbs.twimg.com/profile_images/1332229354407903232/PNPiaKwJ_normal.jpg</v>
      </c>
      <c r="G1199" s="67"/>
      <c r="H1199" s="71"/>
      <c r="I1199" s="72"/>
      <c r="J1199" s="72"/>
      <c r="K1199" s="71" t="s">
        <v>11942</v>
      </c>
      <c r="L1199" s="75"/>
      <c r="M1199" s="76"/>
      <c r="N1199" s="76"/>
      <c r="O1199" s="77"/>
      <c r="P1199" s="78"/>
      <c r="Q1199" s="78"/>
      <c r="R1199" s="92"/>
      <c r="S1199" s="92"/>
      <c r="T1199" s="92"/>
      <c r="U1199" s="92"/>
      <c r="V1199" s="52"/>
      <c r="W1199" s="52"/>
      <c r="X1199" s="52"/>
      <c r="Y1199" s="52"/>
      <c r="Z1199" s="51"/>
      <c r="AA1199" s="73"/>
      <c r="AB1199" s="73"/>
      <c r="AC1199" s="74"/>
      <c r="AD1199" s="80" t="s">
        <v>7755</v>
      </c>
      <c r="AE1199" s="85" t="s">
        <v>8860</v>
      </c>
      <c r="AF1199" s="80">
        <v>1378</v>
      </c>
      <c r="AG1199" s="80">
        <v>150</v>
      </c>
      <c r="AH1199" s="80">
        <v>10494</v>
      </c>
      <c r="AI1199" s="80">
        <v>11631</v>
      </c>
      <c r="AJ1199" s="80"/>
      <c r="AK1199" s="80" t="s">
        <v>10024</v>
      </c>
      <c r="AL1199" s="80" t="s">
        <v>10700</v>
      </c>
      <c r="AM1199" s="80"/>
      <c r="AN1199" s="80"/>
      <c r="AO1199" s="82">
        <v>43931.502187500002</v>
      </c>
      <c r="AP1199" s="87" t="str">
        <f>HYPERLINK("https://pbs.twimg.com/profile_banners/1248582222350651392/1631890051")</f>
        <v>https://pbs.twimg.com/profile_banners/1248582222350651392/1631890051</v>
      </c>
      <c r="AQ1199" s="80" t="b">
        <v>1</v>
      </c>
      <c r="AR1199" s="80" t="b">
        <v>0</v>
      </c>
      <c r="AS1199" s="80" t="b">
        <v>1</v>
      </c>
      <c r="AT1199" s="80"/>
      <c r="AU1199" s="80">
        <v>0</v>
      </c>
      <c r="AV1199" s="80"/>
      <c r="AW1199" s="80" t="b">
        <v>0</v>
      </c>
      <c r="AX1199" s="80" t="s">
        <v>10746</v>
      </c>
      <c r="AY1199" s="87" t="str">
        <f>HYPERLINK("https://twitter.com/nararara17")</f>
        <v>https://twitter.com/nararara17</v>
      </c>
      <c r="AZ1199" s="80" t="s">
        <v>66</v>
      </c>
      <c r="BA1199" s="2"/>
      <c r="BB1199" s="3"/>
      <c r="BC1199" s="3"/>
      <c r="BD1199" s="3"/>
      <c r="BE1199" s="3"/>
    </row>
    <row r="1200" spans="1:57" x14ac:dyDescent="0.35">
      <c r="A1200" s="66" t="s">
        <v>1178</v>
      </c>
      <c r="B1200" s="67"/>
      <c r="C1200" s="67"/>
      <c r="D1200" s="68"/>
      <c r="E1200" s="70"/>
      <c r="F1200" s="109" t="str">
        <f>HYPERLINK("https://pbs.twimg.com/profile_images/1283699520614707200/wYMU0kc0_normal.jpg")</f>
        <v>https://pbs.twimg.com/profile_images/1283699520614707200/wYMU0kc0_normal.jpg</v>
      </c>
      <c r="G1200" s="67"/>
      <c r="H1200" s="71"/>
      <c r="I1200" s="72"/>
      <c r="J1200" s="72"/>
      <c r="K1200" s="71" t="s">
        <v>11943</v>
      </c>
      <c r="L1200" s="75"/>
      <c r="M1200" s="76"/>
      <c r="N1200" s="76"/>
      <c r="O1200" s="77"/>
      <c r="P1200" s="78"/>
      <c r="Q1200" s="78"/>
      <c r="R1200" s="92"/>
      <c r="S1200" s="92"/>
      <c r="T1200" s="92"/>
      <c r="U1200" s="92"/>
      <c r="V1200" s="52"/>
      <c r="W1200" s="52"/>
      <c r="X1200" s="52"/>
      <c r="Y1200" s="52"/>
      <c r="Z1200" s="51"/>
      <c r="AA1200" s="73"/>
      <c r="AB1200" s="73"/>
      <c r="AC1200" s="74"/>
      <c r="AD1200" s="80" t="s">
        <v>7756</v>
      </c>
      <c r="AE1200" s="85" t="s">
        <v>8861</v>
      </c>
      <c r="AF1200" s="80">
        <v>247</v>
      </c>
      <c r="AG1200" s="80">
        <v>127</v>
      </c>
      <c r="AH1200" s="80">
        <v>768</v>
      </c>
      <c r="AI1200" s="80">
        <v>442</v>
      </c>
      <c r="AJ1200" s="80"/>
      <c r="AK1200" s="80"/>
      <c r="AL1200" s="80" t="s">
        <v>10701</v>
      </c>
      <c r="AM1200" s="87" t="str">
        <f>HYPERLINK("https://t.co/03qDTu4PcZ")</f>
        <v>https://t.co/03qDTu4PcZ</v>
      </c>
      <c r="AN1200" s="80"/>
      <c r="AO1200" s="82">
        <v>40076.338912037034</v>
      </c>
      <c r="AP1200" s="87" t="str">
        <f>HYPERLINK("https://pbs.twimg.com/profile_banners/75746290/1493443475")</f>
        <v>https://pbs.twimg.com/profile_banners/75746290/1493443475</v>
      </c>
      <c r="AQ1200" s="80" t="b">
        <v>0</v>
      </c>
      <c r="AR1200" s="80" t="b">
        <v>0</v>
      </c>
      <c r="AS1200" s="80" t="b">
        <v>1</v>
      </c>
      <c r="AT1200" s="80"/>
      <c r="AU1200" s="80">
        <v>0</v>
      </c>
      <c r="AV1200" s="87" t="str">
        <f>HYPERLINK("https://abs.twimg.com/images/themes/theme6/bg.gif")</f>
        <v>https://abs.twimg.com/images/themes/theme6/bg.gif</v>
      </c>
      <c r="AW1200" s="80" t="b">
        <v>0</v>
      </c>
      <c r="AX1200" s="80" t="s">
        <v>10746</v>
      </c>
      <c r="AY1200" s="87" t="str">
        <f>HYPERLINK("https://twitter.com/hendrichalid")</f>
        <v>https://twitter.com/hendrichalid</v>
      </c>
      <c r="AZ1200" s="80" t="s">
        <v>66</v>
      </c>
      <c r="BA1200" s="2"/>
      <c r="BB1200" s="3"/>
      <c r="BC1200" s="3"/>
      <c r="BD1200" s="3"/>
      <c r="BE1200" s="3"/>
    </row>
    <row r="1201" spans="1:57" x14ac:dyDescent="0.35">
      <c r="A1201" s="66" t="s">
        <v>1179</v>
      </c>
      <c r="B1201" s="67"/>
      <c r="C1201" s="67"/>
      <c r="D1201" s="68"/>
      <c r="E1201" s="70"/>
      <c r="F1201" s="109" t="str">
        <f>HYPERLINK("https://pbs.twimg.com/profile_images/1265840072621883392/uUx7ESrO_normal.jpg")</f>
        <v>https://pbs.twimg.com/profile_images/1265840072621883392/uUx7ESrO_normal.jpg</v>
      </c>
      <c r="G1201" s="67"/>
      <c r="H1201" s="71"/>
      <c r="I1201" s="72"/>
      <c r="J1201" s="72"/>
      <c r="K1201" s="71" t="s">
        <v>11944</v>
      </c>
      <c r="L1201" s="75"/>
      <c r="M1201" s="76"/>
      <c r="N1201" s="76"/>
      <c r="O1201" s="77"/>
      <c r="P1201" s="78"/>
      <c r="Q1201" s="78"/>
      <c r="R1201" s="92"/>
      <c r="S1201" s="92"/>
      <c r="T1201" s="92"/>
      <c r="U1201" s="92"/>
      <c r="V1201" s="52"/>
      <c r="W1201" s="52"/>
      <c r="X1201" s="52"/>
      <c r="Y1201" s="52"/>
      <c r="Z1201" s="51"/>
      <c r="AA1201" s="73"/>
      <c r="AB1201" s="73"/>
      <c r="AC1201" s="74"/>
      <c r="AD1201" s="80" t="s">
        <v>7757</v>
      </c>
      <c r="AE1201" s="85" t="s">
        <v>8862</v>
      </c>
      <c r="AF1201" s="80">
        <v>3227</v>
      </c>
      <c r="AG1201" s="80">
        <v>3210</v>
      </c>
      <c r="AH1201" s="80">
        <v>72421</v>
      </c>
      <c r="AI1201" s="80">
        <v>100037</v>
      </c>
      <c r="AJ1201" s="80"/>
      <c r="AK1201" s="80" t="s">
        <v>10025</v>
      </c>
      <c r="AL1201" s="80" t="s">
        <v>10702</v>
      </c>
      <c r="AM1201" s="80"/>
      <c r="AN1201" s="80"/>
      <c r="AO1201" s="82">
        <v>41857.380543981482</v>
      </c>
      <c r="AP1201" s="87" t="str">
        <f>HYPERLINK("https://pbs.twimg.com/profile_banners/2711563154/1576738595")</f>
        <v>https://pbs.twimg.com/profile_banners/2711563154/1576738595</v>
      </c>
      <c r="AQ1201" s="80" t="b">
        <v>1</v>
      </c>
      <c r="AR1201" s="80" t="b">
        <v>0</v>
      </c>
      <c r="AS1201" s="80" t="b">
        <v>1</v>
      </c>
      <c r="AT1201" s="80"/>
      <c r="AU1201" s="80">
        <v>0</v>
      </c>
      <c r="AV1201" s="87" t="str">
        <f>HYPERLINK("https://abs.twimg.com/images/themes/theme1/bg.png")</f>
        <v>https://abs.twimg.com/images/themes/theme1/bg.png</v>
      </c>
      <c r="AW1201" s="80" t="b">
        <v>0</v>
      </c>
      <c r="AX1201" s="80" t="s">
        <v>10746</v>
      </c>
      <c r="AY1201" s="87" t="str">
        <f>HYPERLINK("https://twitter.com/negarakecil")</f>
        <v>https://twitter.com/negarakecil</v>
      </c>
      <c r="AZ1201" s="80" t="s">
        <v>66</v>
      </c>
      <c r="BA1201" s="2"/>
      <c r="BB1201" s="3"/>
      <c r="BC1201" s="3"/>
      <c r="BD1201" s="3"/>
      <c r="BE1201" s="3"/>
    </row>
    <row r="1202" spans="1:57" x14ac:dyDescent="0.35">
      <c r="A1202" s="66" t="s">
        <v>1180</v>
      </c>
      <c r="B1202" s="67"/>
      <c r="C1202" s="67"/>
      <c r="D1202" s="68"/>
      <c r="E1202" s="70"/>
      <c r="F1202" s="109" t="str">
        <f>HYPERLINK("https://pbs.twimg.com/profile_images/1427435177312014336/lWjxj0EU_normal.jpg")</f>
        <v>https://pbs.twimg.com/profile_images/1427435177312014336/lWjxj0EU_normal.jpg</v>
      </c>
      <c r="G1202" s="67"/>
      <c r="H1202" s="71"/>
      <c r="I1202" s="72"/>
      <c r="J1202" s="72"/>
      <c r="K1202" s="71" t="s">
        <v>11945</v>
      </c>
      <c r="L1202" s="75"/>
      <c r="M1202" s="76"/>
      <c r="N1202" s="76"/>
      <c r="O1202" s="77"/>
      <c r="P1202" s="78"/>
      <c r="Q1202" s="78"/>
      <c r="R1202" s="92"/>
      <c r="S1202" s="92"/>
      <c r="T1202" s="92"/>
      <c r="U1202" s="92"/>
      <c r="V1202" s="52"/>
      <c r="W1202" s="52"/>
      <c r="X1202" s="52"/>
      <c r="Y1202" s="52"/>
      <c r="Z1202" s="51"/>
      <c r="AA1202" s="73"/>
      <c r="AB1202" s="73"/>
      <c r="AC1202" s="74"/>
      <c r="AD1202" s="80" t="s">
        <v>7758</v>
      </c>
      <c r="AE1202" s="85" t="s">
        <v>8863</v>
      </c>
      <c r="AF1202" s="80">
        <v>950</v>
      </c>
      <c r="AG1202" s="80">
        <v>578</v>
      </c>
      <c r="AH1202" s="80">
        <v>14259</v>
      </c>
      <c r="AI1202" s="80">
        <v>13857</v>
      </c>
      <c r="AJ1202" s="80"/>
      <c r="AK1202" s="80" t="s">
        <v>10026</v>
      </c>
      <c r="AL1202" s="80" t="s">
        <v>10703</v>
      </c>
      <c r="AM1202" s="80"/>
      <c r="AN1202" s="80"/>
      <c r="AO1202" s="82">
        <v>42280.693981481483</v>
      </c>
      <c r="AP1202" s="87" t="str">
        <f>HYPERLINK("https://pbs.twimg.com/profile_banners/3771801192/1616466480")</f>
        <v>https://pbs.twimg.com/profile_banners/3771801192/1616466480</v>
      </c>
      <c r="AQ1202" s="80" t="b">
        <v>1</v>
      </c>
      <c r="AR1202" s="80" t="b">
        <v>0</v>
      </c>
      <c r="AS1202" s="80" t="b">
        <v>0</v>
      </c>
      <c r="AT1202" s="80"/>
      <c r="AU1202" s="80">
        <v>0</v>
      </c>
      <c r="AV1202" s="87" t="str">
        <f>HYPERLINK("https://abs.twimg.com/images/themes/theme1/bg.png")</f>
        <v>https://abs.twimg.com/images/themes/theme1/bg.png</v>
      </c>
      <c r="AW1202" s="80" t="b">
        <v>0</v>
      </c>
      <c r="AX1202" s="80" t="s">
        <v>10746</v>
      </c>
      <c r="AY1202" s="87" t="str">
        <f>HYPERLINK("https://twitter.com/ekapuspitaward1")</f>
        <v>https://twitter.com/ekapuspitaward1</v>
      </c>
      <c r="AZ1202" s="80" t="s">
        <v>66</v>
      </c>
      <c r="BA1202" s="2"/>
      <c r="BB1202" s="3"/>
      <c r="BC1202" s="3"/>
      <c r="BD1202" s="3"/>
      <c r="BE1202" s="3"/>
    </row>
    <row r="1203" spans="1:57" x14ac:dyDescent="0.35">
      <c r="A1203" s="66" t="s">
        <v>1181</v>
      </c>
      <c r="B1203" s="67"/>
      <c r="C1203" s="67"/>
      <c r="D1203" s="68"/>
      <c r="E1203" s="70"/>
      <c r="F1203" s="109" t="str">
        <f>HYPERLINK("https://pbs.twimg.com/profile_images/984648858515816448/ix2cDQyH_normal.jpg")</f>
        <v>https://pbs.twimg.com/profile_images/984648858515816448/ix2cDQyH_normal.jpg</v>
      </c>
      <c r="G1203" s="67"/>
      <c r="H1203" s="71"/>
      <c r="I1203" s="72"/>
      <c r="J1203" s="72"/>
      <c r="K1203" s="71" t="s">
        <v>11946</v>
      </c>
      <c r="L1203" s="75"/>
      <c r="M1203" s="76"/>
      <c r="N1203" s="76"/>
      <c r="O1203" s="77"/>
      <c r="P1203" s="78"/>
      <c r="Q1203" s="78"/>
      <c r="R1203" s="92"/>
      <c r="S1203" s="92"/>
      <c r="T1203" s="92"/>
      <c r="U1203" s="92"/>
      <c r="V1203" s="52"/>
      <c r="W1203" s="52"/>
      <c r="X1203" s="52"/>
      <c r="Y1203" s="52"/>
      <c r="Z1203" s="51"/>
      <c r="AA1203" s="73"/>
      <c r="AB1203" s="73"/>
      <c r="AC1203" s="74"/>
      <c r="AD1203" s="80" t="s">
        <v>7759</v>
      </c>
      <c r="AE1203" s="85" t="s">
        <v>8864</v>
      </c>
      <c r="AF1203" s="80">
        <v>290</v>
      </c>
      <c r="AG1203" s="80">
        <v>2056</v>
      </c>
      <c r="AH1203" s="80">
        <v>8373</v>
      </c>
      <c r="AI1203" s="80">
        <v>5934</v>
      </c>
      <c r="AJ1203" s="80"/>
      <c r="AK1203" s="80" t="s">
        <v>10027</v>
      </c>
      <c r="AL1203" s="80" t="s">
        <v>10704</v>
      </c>
      <c r="AM1203" s="87" t="str">
        <f>HYPERLINK("https://t.co/NZOkivJhqe")</f>
        <v>https://t.co/NZOkivJhqe</v>
      </c>
      <c r="AN1203" s="80"/>
      <c r="AO1203" s="82">
        <v>42404.107534722221</v>
      </c>
      <c r="AP1203" s="87" t="str">
        <f>HYPERLINK("https://pbs.twimg.com/profile_banners/4875390783/1602551579")</f>
        <v>https://pbs.twimg.com/profile_banners/4875390783/1602551579</v>
      </c>
      <c r="AQ1203" s="80" t="b">
        <v>0</v>
      </c>
      <c r="AR1203" s="80" t="b">
        <v>0</v>
      </c>
      <c r="AS1203" s="80" t="b">
        <v>1</v>
      </c>
      <c r="AT1203" s="80"/>
      <c r="AU1203" s="80">
        <v>0</v>
      </c>
      <c r="AV1203" s="87" t="str">
        <f>HYPERLINK("https://abs.twimg.com/images/themes/theme1/bg.png")</f>
        <v>https://abs.twimg.com/images/themes/theme1/bg.png</v>
      </c>
      <c r="AW1203" s="80" t="b">
        <v>0</v>
      </c>
      <c r="AX1203" s="80" t="s">
        <v>10746</v>
      </c>
      <c r="AY1203" s="87" t="str">
        <f>HYPERLINK("https://twitter.com/humaspemkotbkl")</f>
        <v>https://twitter.com/humaspemkotbkl</v>
      </c>
      <c r="AZ1203" s="80" t="s">
        <v>66</v>
      </c>
      <c r="BA1203" s="2"/>
      <c r="BB1203" s="3"/>
      <c r="BC1203" s="3"/>
      <c r="BD1203" s="3"/>
      <c r="BE1203" s="3"/>
    </row>
    <row r="1204" spans="1:57" x14ac:dyDescent="0.35">
      <c r="A1204" s="66" t="s">
        <v>1182</v>
      </c>
      <c r="B1204" s="67"/>
      <c r="C1204" s="67"/>
      <c r="D1204" s="68"/>
      <c r="E1204" s="70"/>
      <c r="F1204" s="109" t="str">
        <f>HYPERLINK("https://pbs.twimg.com/profile_images/1370794159666176000/uYKyyR22_normal.jpg")</f>
        <v>https://pbs.twimg.com/profile_images/1370794159666176000/uYKyyR22_normal.jpg</v>
      </c>
      <c r="G1204" s="67"/>
      <c r="H1204" s="71"/>
      <c r="I1204" s="72"/>
      <c r="J1204" s="72"/>
      <c r="K1204" s="71" t="s">
        <v>11947</v>
      </c>
      <c r="L1204" s="75"/>
      <c r="M1204" s="76"/>
      <c r="N1204" s="76"/>
      <c r="O1204" s="77"/>
      <c r="P1204" s="78"/>
      <c r="Q1204" s="78"/>
      <c r="R1204" s="92"/>
      <c r="S1204" s="92"/>
      <c r="T1204" s="92"/>
      <c r="U1204" s="92"/>
      <c r="V1204" s="52"/>
      <c r="W1204" s="52"/>
      <c r="X1204" s="52"/>
      <c r="Y1204" s="52"/>
      <c r="Z1204" s="51"/>
      <c r="AA1204" s="73"/>
      <c r="AB1204" s="73"/>
      <c r="AC1204" s="74"/>
      <c r="AD1204" s="80" t="s">
        <v>7760</v>
      </c>
      <c r="AE1204" s="85" t="s">
        <v>8865</v>
      </c>
      <c r="AF1204" s="80">
        <v>197</v>
      </c>
      <c r="AG1204" s="80">
        <v>10</v>
      </c>
      <c r="AH1204" s="80">
        <v>801</v>
      </c>
      <c r="AI1204" s="80">
        <v>1566</v>
      </c>
      <c r="AJ1204" s="80"/>
      <c r="AK1204" s="80" t="s">
        <v>10028</v>
      </c>
      <c r="AL1204" s="80" t="s">
        <v>10705</v>
      </c>
      <c r="AM1204" s="80"/>
      <c r="AN1204" s="80"/>
      <c r="AO1204" s="82">
        <v>44267.81355324074</v>
      </c>
      <c r="AP1204" s="80"/>
      <c r="AQ1204" s="80" t="b">
        <v>1</v>
      </c>
      <c r="AR1204" s="80" t="b">
        <v>0</v>
      </c>
      <c r="AS1204" s="80" t="b">
        <v>0</v>
      </c>
      <c r="AT1204" s="80"/>
      <c r="AU1204" s="80">
        <v>1</v>
      </c>
      <c r="AV1204" s="80"/>
      <c r="AW1204" s="80" t="b">
        <v>0</v>
      </c>
      <c r="AX1204" s="80" t="s">
        <v>10746</v>
      </c>
      <c r="AY1204" s="87" t="str">
        <f>HYPERLINK("https://twitter.com/rezanurazar")</f>
        <v>https://twitter.com/rezanurazar</v>
      </c>
      <c r="AZ1204" s="80" t="s">
        <v>66</v>
      </c>
      <c r="BA1204" s="2"/>
      <c r="BB1204" s="3"/>
      <c r="BC1204" s="3"/>
      <c r="BD1204" s="3"/>
      <c r="BE1204" s="3"/>
    </row>
    <row r="1205" spans="1:57" x14ac:dyDescent="0.35">
      <c r="A1205" s="66" t="s">
        <v>1497</v>
      </c>
      <c r="B1205" s="67"/>
      <c r="C1205" s="67"/>
      <c r="D1205" s="68"/>
      <c r="E1205" s="70"/>
      <c r="F1205" s="109" t="str">
        <f>HYPERLINK("https://pbs.twimg.com/profile_images/1392794985594978309/EtZSLUcu_normal.jpg")</f>
        <v>https://pbs.twimg.com/profile_images/1392794985594978309/EtZSLUcu_normal.jpg</v>
      </c>
      <c r="G1205" s="67"/>
      <c r="H1205" s="71"/>
      <c r="I1205" s="72"/>
      <c r="J1205" s="72"/>
      <c r="K1205" s="71" t="s">
        <v>11948</v>
      </c>
      <c r="L1205" s="75"/>
      <c r="M1205" s="76"/>
      <c r="N1205" s="76"/>
      <c r="O1205" s="77"/>
      <c r="P1205" s="78"/>
      <c r="Q1205" s="78"/>
      <c r="R1205" s="92"/>
      <c r="S1205" s="92"/>
      <c r="T1205" s="92"/>
      <c r="U1205" s="92"/>
      <c r="V1205" s="52"/>
      <c r="W1205" s="52"/>
      <c r="X1205" s="52"/>
      <c r="Y1205" s="52"/>
      <c r="Z1205" s="51"/>
      <c r="AA1205" s="73"/>
      <c r="AB1205" s="73"/>
      <c r="AC1205" s="74"/>
      <c r="AD1205" s="80" t="s">
        <v>7761</v>
      </c>
      <c r="AE1205" s="85" t="s">
        <v>6450</v>
      </c>
      <c r="AF1205" s="80">
        <v>3993</v>
      </c>
      <c r="AG1205" s="80">
        <v>3826</v>
      </c>
      <c r="AH1205" s="80">
        <v>173262</v>
      </c>
      <c r="AI1205" s="80">
        <v>10321</v>
      </c>
      <c r="AJ1205" s="80"/>
      <c r="AK1205" s="80" t="s">
        <v>10029</v>
      </c>
      <c r="AL1205" s="80" t="s">
        <v>10706</v>
      </c>
      <c r="AM1205" s="87" t="str">
        <f>HYPERLINK("https://t.co/NwHcod8tNF")</f>
        <v>https://t.co/NwHcod8tNF</v>
      </c>
      <c r="AN1205" s="80"/>
      <c r="AO1205" s="82">
        <v>40544.168715277781</v>
      </c>
      <c r="AP1205" s="87" t="str">
        <f>HYPERLINK("https://pbs.twimg.com/profile_banners/232736087/1604469886")</f>
        <v>https://pbs.twimg.com/profile_banners/232736087/1604469886</v>
      </c>
      <c r="AQ1205" s="80" t="b">
        <v>0</v>
      </c>
      <c r="AR1205" s="80" t="b">
        <v>0</v>
      </c>
      <c r="AS1205" s="80" t="b">
        <v>1</v>
      </c>
      <c r="AT1205" s="80"/>
      <c r="AU1205" s="80">
        <v>12</v>
      </c>
      <c r="AV1205" s="87" t="str">
        <f>HYPERLINK("https://abs.twimg.com/images/themes/theme1/bg.png")</f>
        <v>https://abs.twimg.com/images/themes/theme1/bg.png</v>
      </c>
      <c r="AW1205" s="80" t="b">
        <v>0</v>
      </c>
      <c r="AX1205" s="80" t="s">
        <v>10746</v>
      </c>
      <c r="AY1205" s="87" t="str">
        <f>HYPERLINK("https://twitter.com/cisska_rahayu")</f>
        <v>https://twitter.com/cisska_rahayu</v>
      </c>
      <c r="AZ1205" s="80" t="s">
        <v>65</v>
      </c>
      <c r="BA1205" s="2"/>
      <c r="BB1205" s="3"/>
      <c r="BC1205" s="3"/>
      <c r="BD1205" s="3"/>
      <c r="BE1205" s="3"/>
    </row>
    <row r="1206" spans="1:57" x14ac:dyDescent="0.35">
      <c r="A1206" s="66" t="s">
        <v>1183</v>
      </c>
      <c r="B1206" s="67"/>
      <c r="C1206" s="67"/>
      <c r="D1206" s="68"/>
      <c r="E1206" s="70"/>
      <c r="F1206" s="109" t="str">
        <f>HYPERLINK("https://pbs.twimg.com/profile_images/1441087944396197901/TKs8ZdDv_normal.jpg")</f>
        <v>https://pbs.twimg.com/profile_images/1441087944396197901/TKs8ZdDv_normal.jpg</v>
      </c>
      <c r="G1206" s="67"/>
      <c r="H1206" s="71"/>
      <c r="I1206" s="72"/>
      <c r="J1206" s="72"/>
      <c r="K1206" s="71" t="s">
        <v>11949</v>
      </c>
      <c r="L1206" s="75"/>
      <c r="M1206" s="76"/>
      <c r="N1206" s="76"/>
      <c r="O1206" s="77"/>
      <c r="P1206" s="78"/>
      <c r="Q1206" s="78"/>
      <c r="R1206" s="92"/>
      <c r="S1206" s="92"/>
      <c r="T1206" s="92"/>
      <c r="U1206" s="92"/>
      <c r="V1206" s="52"/>
      <c r="W1206" s="52"/>
      <c r="X1206" s="52"/>
      <c r="Y1206" s="52"/>
      <c r="Z1206" s="51"/>
      <c r="AA1206" s="73"/>
      <c r="AB1206" s="73"/>
      <c r="AC1206" s="74"/>
      <c r="AD1206" s="80" t="s">
        <v>7762</v>
      </c>
      <c r="AE1206" s="85" t="s">
        <v>8866</v>
      </c>
      <c r="AF1206" s="80">
        <v>282</v>
      </c>
      <c r="AG1206" s="80">
        <v>203</v>
      </c>
      <c r="AH1206" s="80">
        <v>1005</v>
      </c>
      <c r="AI1206" s="80">
        <v>804</v>
      </c>
      <c r="AJ1206" s="80"/>
      <c r="AK1206" s="80" t="s">
        <v>10030</v>
      </c>
      <c r="AL1206" s="80" t="s">
        <v>10707</v>
      </c>
      <c r="AM1206" s="80"/>
      <c r="AN1206" s="80"/>
      <c r="AO1206" s="82">
        <v>43960.081435185188</v>
      </c>
      <c r="AP1206" s="87" t="str">
        <f>HYPERLINK("https://pbs.twimg.com/profile_banners/1258938988984819712/1605247101")</f>
        <v>https://pbs.twimg.com/profile_banners/1258938988984819712/1605247101</v>
      </c>
      <c r="AQ1206" s="80" t="b">
        <v>1</v>
      </c>
      <c r="AR1206" s="80" t="b">
        <v>0</v>
      </c>
      <c r="AS1206" s="80" t="b">
        <v>0</v>
      </c>
      <c r="AT1206" s="80"/>
      <c r="AU1206" s="80">
        <v>1</v>
      </c>
      <c r="AV1206" s="80"/>
      <c r="AW1206" s="80" t="b">
        <v>0</v>
      </c>
      <c r="AX1206" s="80" t="s">
        <v>10746</v>
      </c>
      <c r="AY1206" s="87" t="str">
        <f>HYPERLINK("https://twitter.com/moncherriees")</f>
        <v>https://twitter.com/moncherriees</v>
      </c>
      <c r="AZ1206" s="80" t="s">
        <v>66</v>
      </c>
      <c r="BA1206" s="2"/>
      <c r="BB1206" s="3"/>
      <c r="BC1206" s="3"/>
      <c r="BD1206" s="3"/>
      <c r="BE1206" s="3"/>
    </row>
    <row r="1207" spans="1:57" x14ac:dyDescent="0.35">
      <c r="A1207" s="66" t="s">
        <v>1184</v>
      </c>
      <c r="B1207" s="67"/>
      <c r="C1207" s="67"/>
      <c r="D1207" s="68"/>
      <c r="E1207" s="70"/>
      <c r="F1207" s="109" t="str">
        <f>HYPERLINK("https://pbs.twimg.com/profile_images/1416389115126247426/HID1IePG_normal.jpg")</f>
        <v>https://pbs.twimg.com/profile_images/1416389115126247426/HID1IePG_normal.jpg</v>
      </c>
      <c r="G1207" s="67"/>
      <c r="H1207" s="71"/>
      <c r="I1207" s="72"/>
      <c r="J1207" s="72"/>
      <c r="K1207" s="71" t="s">
        <v>11950</v>
      </c>
      <c r="L1207" s="75"/>
      <c r="M1207" s="76"/>
      <c r="N1207" s="76"/>
      <c r="O1207" s="77"/>
      <c r="P1207" s="78"/>
      <c r="Q1207" s="78"/>
      <c r="R1207" s="92"/>
      <c r="S1207" s="92"/>
      <c r="T1207" s="92"/>
      <c r="U1207" s="92"/>
      <c r="V1207" s="52"/>
      <c r="W1207" s="52"/>
      <c r="X1207" s="52"/>
      <c r="Y1207" s="52"/>
      <c r="Z1207" s="51"/>
      <c r="AA1207" s="73"/>
      <c r="AB1207" s="73"/>
      <c r="AC1207" s="74"/>
      <c r="AD1207" s="80" t="s">
        <v>7763</v>
      </c>
      <c r="AE1207" s="85" t="s">
        <v>8867</v>
      </c>
      <c r="AF1207" s="80">
        <v>92</v>
      </c>
      <c r="AG1207" s="80">
        <v>454</v>
      </c>
      <c r="AH1207" s="80">
        <v>8632</v>
      </c>
      <c r="AI1207" s="80">
        <v>6103</v>
      </c>
      <c r="AJ1207" s="80"/>
      <c r="AK1207" s="80" t="s">
        <v>10031</v>
      </c>
      <c r="AL1207" s="80" t="s">
        <v>10182</v>
      </c>
      <c r="AM1207" s="87" t="str">
        <f>HYPERLINK("https://t.co/eSjzA161lH")</f>
        <v>https://t.co/eSjzA161lH</v>
      </c>
      <c r="AN1207" s="80"/>
      <c r="AO1207" s="82">
        <v>44265.519942129627</v>
      </c>
      <c r="AP1207" s="87" t="str">
        <f>HYPERLINK("https://pbs.twimg.com/profile_banners/1369626206174281733/1626531567")</f>
        <v>https://pbs.twimg.com/profile_banners/1369626206174281733/1626531567</v>
      </c>
      <c r="AQ1207" s="80" t="b">
        <v>1</v>
      </c>
      <c r="AR1207" s="80" t="b">
        <v>0</v>
      </c>
      <c r="AS1207" s="80" t="b">
        <v>0</v>
      </c>
      <c r="AT1207" s="80"/>
      <c r="AU1207" s="80">
        <v>0</v>
      </c>
      <c r="AV1207" s="80"/>
      <c r="AW1207" s="80" t="b">
        <v>0</v>
      </c>
      <c r="AX1207" s="80" t="s">
        <v>10746</v>
      </c>
      <c r="AY1207" s="87" t="str">
        <f>HYPERLINK("https://twitter.com/mykimchillstore")</f>
        <v>https://twitter.com/mykimchillstore</v>
      </c>
      <c r="AZ1207" s="80" t="s">
        <v>66</v>
      </c>
      <c r="BA1207" s="2"/>
      <c r="BB1207" s="3"/>
      <c r="BC1207" s="3"/>
      <c r="BD1207" s="3"/>
      <c r="BE1207" s="3"/>
    </row>
    <row r="1208" spans="1:57" x14ac:dyDescent="0.35">
      <c r="A1208" s="66" t="s">
        <v>1185</v>
      </c>
      <c r="B1208" s="67"/>
      <c r="C1208" s="67"/>
      <c r="D1208" s="68"/>
      <c r="E1208" s="70"/>
      <c r="F1208" s="109" t="str">
        <f>HYPERLINK("https://pbs.twimg.com/profile_images/1411138666718666757/NClcpgaI_normal.jpg")</f>
        <v>https://pbs.twimg.com/profile_images/1411138666718666757/NClcpgaI_normal.jpg</v>
      </c>
      <c r="G1208" s="67"/>
      <c r="H1208" s="71"/>
      <c r="I1208" s="72"/>
      <c r="J1208" s="72"/>
      <c r="K1208" s="71" t="s">
        <v>11951</v>
      </c>
      <c r="L1208" s="75"/>
      <c r="M1208" s="76"/>
      <c r="N1208" s="76"/>
      <c r="O1208" s="77"/>
      <c r="P1208" s="78"/>
      <c r="Q1208" s="78"/>
      <c r="R1208" s="92"/>
      <c r="S1208" s="92"/>
      <c r="T1208" s="92"/>
      <c r="U1208" s="92"/>
      <c r="V1208" s="52"/>
      <c r="W1208" s="52"/>
      <c r="X1208" s="52"/>
      <c r="Y1208" s="52"/>
      <c r="Z1208" s="51"/>
      <c r="AA1208" s="73"/>
      <c r="AB1208" s="73"/>
      <c r="AC1208" s="74"/>
      <c r="AD1208" s="80" t="s">
        <v>7764</v>
      </c>
      <c r="AE1208" s="85" t="s">
        <v>8868</v>
      </c>
      <c r="AF1208" s="80">
        <v>381</v>
      </c>
      <c r="AG1208" s="80">
        <v>530</v>
      </c>
      <c r="AH1208" s="80">
        <v>53270</v>
      </c>
      <c r="AI1208" s="80">
        <v>323</v>
      </c>
      <c r="AJ1208" s="80"/>
      <c r="AK1208" s="80" t="s">
        <v>10032</v>
      </c>
      <c r="AL1208" s="80" t="s">
        <v>10708</v>
      </c>
      <c r="AM1208" s="80"/>
      <c r="AN1208" s="80"/>
      <c r="AO1208" s="82">
        <v>39932.725381944445</v>
      </c>
      <c r="AP1208" s="87" t="str">
        <f>HYPERLINK("https://pbs.twimg.com/profile_banners/36414779/1359721401")</f>
        <v>https://pbs.twimg.com/profile_banners/36414779/1359721401</v>
      </c>
      <c r="AQ1208" s="80" t="b">
        <v>0</v>
      </c>
      <c r="AR1208" s="80" t="b">
        <v>0</v>
      </c>
      <c r="AS1208" s="80" t="b">
        <v>1</v>
      </c>
      <c r="AT1208" s="80"/>
      <c r="AU1208" s="80">
        <v>8</v>
      </c>
      <c r="AV1208" s="87" t="str">
        <f>HYPERLINK("https://abs.twimg.com/images/themes/theme1/bg.png")</f>
        <v>https://abs.twimg.com/images/themes/theme1/bg.png</v>
      </c>
      <c r="AW1208" s="80" t="b">
        <v>0</v>
      </c>
      <c r="AX1208" s="80" t="s">
        <v>10746</v>
      </c>
      <c r="AY1208" s="87" t="str">
        <f>HYPERLINK("https://twitter.com/elgowh")</f>
        <v>https://twitter.com/elgowh</v>
      </c>
      <c r="AZ1208" s="80" t="s">
        <v>66</v>
      </c>
      <c r="BA1208" s="2"/>
      <c r="BB1208" s="3"/>
      <c r="BC1208" s="3"/>
      <c r="BD1208" s="3"/>
      <c r="BE1208" s="3"/>
    </row>
    <row r="1209" spans="1:57" x14ac:dyDescent="0.35">
      <c r="A1209" s="66" t="s">
        <v>1186</v>
      </c>
      <c r="B1209" s="67"/>
      <c r="C1209" s="67"/>
      <c r="D1209" s="68"/>
      <c r="E1209" s="70"/>
      <c r="F1209" s="109" t="str">
        <f>HYPERLINK("https://pbs.twimg.com/profile_images/897718509182087168/WFJgfwCn_normal.jpg")</f>
        <v>https://pbs.twimg.com/profile_images/897718509182087168/WFJgfwCn_normal.jpg</v>
      </c>
      <c r="G1209" s="67"/>
      <c r="H1209" s="71"/>
      <c r="I1209" s="72"/>
      <c r="J1209" s="72"/>
      <c r="K1209" s="71" t="s">
        <v>11952</v>
      </c>
      <c r="L1209" s="75"/>
      <c r="M1209" s="76"/>
      <c r="N1209" s="76"/>
      <c r="O1209" s="77"/>
      <c r="P1209" s="78"/>
      <c r="Q1209" s="78"/>
      <c r="R1209" s="92"/>
      <c r="S1209" s="92"/>
      <c r="T1209" s="92"/>
      <c r="U1209" s="92"/>
      <c r="V1209" s="52"/>
      <c r="W1209" s="52"/>
      <c r="X1209" s="52"/>
      <c r="Y1209" s="52"/>
      <c r="Z1209" s="51"/>
      <c r="AA1209" s="73"/>
      <c r="AB1209" s="73"/>
      <c r="AC1209" s="74"/>
      <c r="AD1209" s="80" t="s">
        <v>7765</v>
      </c>
      <c r="AE1209" s="85" t="s">
        <v>8869</v>
      </c>
      <c r="AF1209" s="80">
        <v>21</v>
      </c>
      <c r="AG1209" s="80">
        <v>748</v>
      </c>
      <c r="AH1209" s="80">
        <v>1797</v>
      </c>
      <c r="AI1209" s="80">
        <v>22</v>
      </c>
      <c r="AJ1209" s="80"/>
      <c r="AK1209" s="80" t="s">
        <v>10033</v>
      </c>
      <c r="AL1209" s="80" t="s">
        <v>10709</v>
      </c>
      <c r="AM1209" s="87" t="str">
        <f>HYPERLINK("https://t.co/F1LCdoAylE")</f>
        <v>https://t.co/F1LCdoAylE</v>
      </c>
      <c r="AN1209" s="80"/>
      <c r="AO1209" s="82">
        <v>41614.114930555559</v>
      </c>
      <c r="AP1209" s="87" t="str">
        <f>HYPERLINK("https://pbs.twimg.com/profile_banners/2232343434/1483493831")</f>
        <v>https://pbs.twimg.com/profile_banners/2232343434/1483493831</v>
      </c>
      <c r="AQ1209" s="80" t="b">
        <v>1</v>
      </c>
      <c r="AR1209" s="80" t="b">
        <v>0</v>
      </c>
      <c r="AS1209" s="80" t="b">
        <v>1</v>
      </c>
      <c r="AT1209" s="80"/>
      <c r="AU1209" s="80">
        <v>1</v>
      </c>
      <c r="AV1209" s="87" t="str">
        <f>HYPERLINK("https://abs.twimg.com/images/themes/theme1/bg.png")</f>
        <v>https://abs.twimg.com/images/themes/theme1/bg.png</v>
      </c>
      <c r="AW1209" s="80" t="b">
        <v>0</v>
      </c>
      <c r="AX1209" s="80" t="s">
        <v>10746</v>
      </c>
      <c r="AY1209" s="87" t="str">
        <f>HYPERLINK("https://twitter.com/bbplk_serang")</f>
        <v>https://twitter.com/bbplk_serang</v>
      </c>
      <c r="AZ1209" s="80" t="s">
        <v>66</v>
      </c>
      <c r="BA1209" s="2"/>
      <c r="BB1209" s="3"/>
      <c r="BC1209" s="3"/>
      <c r="BD1209" s="3"/>
      <c r="BE1209" s="3"/>
    </row>
    <row r="1210" spans="1:57" x14ac:dyDescent="0.35">
      <c r="A1210" s="66" t="s">
        <v>1187</v>
      </c>
      <c r="B1210" s="67"/>
      <c r="C1210" s="67"/>
      <c r="D1210" s="68"/>
      <c r="E1210" s="70"/>
      <c r="F1210" s="109" t="str">
        <f>HYPERLINK("https://pbs.twimg.com/profile_images/1442527905259479043/KCyjZ3kH_normal.jpg")</f>
        <v>https://pbs.twimg.com/profile_images/1442527905259479043/KCyjZ3kH_normal.jpg</v>
      </c>
      <c r="G1210" s="67"/>
      <c r="H1210" s="71"/>
      <c r="I1210" s="72"/>
      <c r="J1210" s="72"/>
      <c r="K1210" s="71" t="s">
        <v>11953</v>
      </c>
      <c r="L1210" s="75"/>
      <c r="M1210" s="76"/>
      <c r="N1210" s="76"/>
      <c r="O1210" s="77"/>
      <c r="P1210" s="78"/>
      <c r="Q1210" s="78"/>
      <c r="R1210" s="92"/>
      <c r="S1210" s="92"/>
      <c r="T1210" s="92"/>
      <c r="U1210" s="92"/>
      <c r="V1210" s="52"/>
      <c r="W1210" s="52"/>
      <c r="X1210" s="52"/>
      <c r="Y1210" s="52"/>
      <c r="Z1210" s="51"/>
      <c r="AA1210" s="73"/>
      <c r="AB1210" s="73"/>
      <c r="AC1210" s="74"/>
      <c r="AD1210" s="80" t="s">
        <v>7766</v>
      </c>
      <c r="AE1210" s="85" t="s">
        <v>8870</v>
      </c>
      <c r="AF1210" s="80">
        <v>501</v>
      </c>
      <c r="AG1210" s="80">
        <v>13168</v>
      </c>
      <c r="AH1210" s="80">
        <v>15661</v>
      </c>
      <c r="AI1210" s="80">
        <v>5678</v>
      </c>
      <c r="AJ1210" s="80"/>
      <c r="AK1210" s="80" t="s">
        <v>10034</v>
      </c>
      <c r="AL1210" s="80"/>
      <c r="AM1210" s="80"/>
      <c r="AN1210" s="80"/>
      <c r="AO1210" s="82">
        <v>43759.764201388891</v>
      </c>
      <c r="AP1210" s="87" t="str">
        <f>HYPERLINK("https://pbs.twimg.com/profile_banners/1186346362574524416/1601642773")</f>
        <v>https://pbs.twimg.com/profile_banners/1186346362574524416/1601642773</v>
      </c>
      <c r="AQ1210" s="80" t="b">
        <v>1</v>
      </c>
      <c r="AR1210" s="80" t="b">
        <v>0</v>
      </c>
      <c r="AS1210" s="80" t="b">
        <v>1</v>
      </c>
      <c r="AT1210" s="80"/>
      <c r="AU1210" s="80">
        <v>0</v>
      </c>
      <c r="AV1210" s="80"/>
      <c r="AW1210" s="80" t="b">
        <v>0</v>
      </c>
      <c r="AX1210" s="80" t="s">
        <v>10746</v>
      </c>
      <c r="AY1210" s="87" t="str">
        <f>HYPERLINK("https://twitter.com/hash1r4_")</f>
        <v>https://twitter.com/hash1r4_</v>
      </c>
      <c r="AZ1210" s="80" t="s">
        <v>66</v>
      </c>
      <c r="BA1210" s="2"/>
      <c r="BB1210" s="3"/>
      <c r="BC1210" s="3"/>
      <c r="BD1210" s="3"/>
      <c r="BE1210" s="3"/>
    </row>
    <row r="1211" spans="1:57" x14ac:dyDescent="0.35">
      <c r="A1211" s="66" t="s">
        <v>1498</v>
      </c>
      <c r="B1211" s="67"/>
      <c r="C1211" s="67"/>
      <c r="D1211" s="68"/>
      <c r="E1211" s="70"/>
      <c r="F1211" s="109" t="str">
        <f>HYPERLINK("https://pbs.twimg.com/profile_images/1435598704300331008/ykNYMtn7_normal.jpg")</f>
        <v>https://pbs.twimg.com/profile_images/1435598704300331008/ykNYMtn7_normal.jpg</v>
      </c>
      <c r="G1211" s="67"/>
      <c r="H1211" s="71"/>
      <c r="I1211" s="72"/>
      <c r="J1211" s="72"/>
      <c r="K1211" s="71" t="s">
        <v>11954</v>
      </c>
      <c r="L1211" s="75"/>
      <c r="M1211" s="76"/>
      <c r="N1211" s="76"/>
      <c r="O1211" s="77"/>
      <c r="P1211" s="78"/>
      <c r="Q1211" s="78"/>
      <c r="R1211" s="92"/>
      <c r="S1211" s="92"/>
      <c r="T1211" s="92"/>
      <c r="U1211" s="92"/>
      <c r="V1211" s="52"/>
      <c r="W1211" s="52"/>
      <c r="X1211" s="52"/>
      <c r="Y1211" s="52"/>
      <c r="Z1211" s="51"/>
      <c r="AA1211" s="73"/>
      <c r="AB1211" s="73"/>
      <c r="AC1211" s="74"/>
      <c r="AD1211" s="80" t="s">
        <v>7767</v>
      </c>
      <c r="AE1211" s="85" t="s">
        <v>6451</v>
      </c>
      <c r="AF1211" s="80">
        <v>270</v>
      </c>
      <c r="AG1211" s="80">
        <v>5427</v>
      </c>
      <c r="AH1211" s="80">
        <v>3261</v>
      </c>
      <c r="AI1211" s="80">
        <v>1015</v>
      </c>
      <c r="AJ1211" s="80"/>
      <c r="AK1211" s="80" t="s">
        <v>10035</v>
      </c>
      <c r="AL1211" s="80"/>
      <c r="AM1211" s="80"/>
      <c r="AN1211" s="80"/>
      <c r="AO1211" s="82">
        <v>44032.496620370373</v>
      </c>
      <c r="AP1211" s="87" t="str">
        <f>HYPERLINK("https://pbs.twimg.com/profile_banners/1285181380784078848/1626769450")</f>
        <v>https://pbs.twimg.com/profile_banners/1285181380784078848/1626769450</v>
      </c>
      <c r="AQ1211" s="80" t="b">
        <v>1</v>
      </c>
      <c r="AR1211" s="80" t="b">
        <v>0</v>
      </c>
      <c r="AS1211" s="80" t="b">
        <v>0</v>
      </c>
      <c r="AT1211" s="80"/>
      <c r="AU1211" s="80">
        <v>1</v>
      </c>
      <c r="AV1211" s="80"/>
      <c r="AW1211" s="80" t="b">
        <v>0</v>
      </c>
      <c r="AX1211" s="80" t="s">
        <v>10746</v>
      </c>
      <c r="AY1211" s="87" t="str">
        <f>HYPERLINK("https://twitter.com/rekkaal")</f>
        <v>https://twitter.com/rekkaal</v>
      </c>
      <c r="AZ1211" s="80" t="s">
        <v>65</v>
      </c>
      <c r="BA1211" s="2"/>
      <c r="BB1211" s="3"/>
      <c r="BC1211" s="3"/>
      <c r="BD1211" s="3"/>
      <c r="BE1211" s="3"/>
    </row>
    <row r="1212" spans="1:57" x14ac:dyDescent="0.35">
      <c r="A1212" s="66" t="s">
        <v>1188</v>
      </c>
      <c r="B1212" s="67"/>
      <c r="C1212" s="67"/>
      <c r="D1212" s="68"/>
      <c r="E1212" s="70"/>
      <c r="F1212" s="109" t="str">
        <f>HYPERLINK("https://pbs.twimg.com/profile_images/1433705550605262848/-R8nyHHY_normal.jpg")</f>
        <v>https://pbs.twimg.com/profile_images/1433705550605262848/-R8nyHHY_normal.jpg</v>
      </c>
      <c r="G1212" s="67"/>
      <c r="H1212" s="71"/>
      <c r="I1212" s="72"/>
      <c r="J1212" s="72"/>
      <c r="K1212" s="71" t="s">
        <v>11955</v>
      </c>
      <c r="L1212" s="75"/>
      <c r="M1212" s="76"/>
      <c r="N1212" s="76"/>
      <c r="O1212" s="77"/>
      <c r="P1212" s="78"/>
      <c r="Q1212" s="78"/>
      <c r="R1212" s="92"/>
      <c r="S1212" s="92"/>
      <c r="T1212" s="92"/>
      <c r="U1212" s="92"/>
      <c r="V1212" s="52"/>
      <c r="W1212" s="52"/>
      <c r="X1212" s="52"/>
      <c r="Y1212" s="52"/>
      <c r="Z1212" s="51"/>
      <c r="AA1212" s="73"/>
      <c r="AB1212" s="73"/>
      <c r="AC1212" s="74"/>
      <c r="AD1212" s="80" t="s">
        <v>7768</v>
      </c>
      <c r="AE1212" s="85" t="s">
        <v>8871</v>
      </c>
      <c r="AF1212" s="80">
        <v>126</v>
      </c>
      <c r="AG1212" s="80">
        <v>14</v>
      </c>
      <c r="AH1212" s="80">
        <v>378</v>
      </c>
      <c r="AI1212" s="80">
        <v>1840</v>
      </c>
      <c r="AJ1212" s="80"/>
      <c r="AK1212" s="80" t="s">
        <v>10036</v>
      </c>
      <c r="AL1212" s="80"/>
      <c r="AM1212" s="80"/>
      <c r="AN1212" s="80"/>
      <c r="AO1212" s="82">
        <v>44386.310601851852</v>
      </c>
      <c r="AP1212" s="87" t="str">
        <f>HYPERLINK("https://pbs.twimg.com/profile_banners/1413399309337333763/1632755688")</f>
        <v>https://pbs.twimg.com/profile_banners/1413399309337333763/1632755688</v>
      </c>
      <c r="AQ1212" s="80" t="b">
        <v>1</v>
      </c>
      <c r="AR1212" s="80" t="b">
        <v>0</v>
      </c>
      <c r="AS1212" s="80" t="b">
        <v>0</v>
      </c>
      <c r="AT1212" s="80"/>
      <c r="AU1212" s="80">
        <v>0</v>
      </c>
      <c r="AV1212" s="80"/>
      <c r="AW1212" s="80" t="b">
        <v>0</v>
      </c>
      <c r="AX1212" s="80" t="s">
        <v>10746</v>
      </c>
      <c r="AY1212" s="87" t="str">
        <f>HYPERLINK("https://twitter.com/wicaksono_pe")</f>
        <v>https://twitter.com/wicaksono_pe</v>
      </c>
      <c r="AZ1212" s="80" t="s">
        <v>66</v>
      </c>
      <c r="BA1212" s="2"/>
      <c r="BB1212" s="3"/>
      <c r="BC1212" s="3"/>
      <c r="BD1212" s="3"/>
      <c r="BE1212" s="3"/>
    </row>
    <row r="1213" spans="1:57" x14ac:dyDescent="0.35">
      <c r="A1213" s="66" t="s">
        <v>1189</v>
      </c>
      <c r="B1213" s="67"/>
      <c r="C1213" s="67"/>
      <c r="D1213" s="68"/>
      <c r="E1213" s="70"/>
      <c r="F1213" s="109" t="str">
        <f>HYPERLINK("https://pbs.twimg.com/profile_images/1434103240988119040/IWpRojT5_normal.jpg")</f>
        <v>https://pbs.twimg.com/profile_images/1434103240988119040/IWpRojT5_normal.jpg</v>
      </c>
      <c r="G1213" s="67"/>
      <c r="H1213" s="71"/>
      <c r="I1213" s="72"/>
      <c r="J1213" s="72"/>
      <c r="K1213" s="71" t="s">
        <v>11956</v>
      </c>
      <c r="L1213" s="75"/>
      <c r="M1213" s="76"/>
      <c r="N1213" s="76"/>
      <c r="O1213" s="77"/>
      <c r="P1213" s="78"/>
      <c r="Q1213" s="78"/>
      <c r="R1213" s="92"/>
      <c r="S1213" s="92"/>
      <c r="T1213" s="92"/>
      <c r="U1213" s="92"/>
      <c r="V1213" s="52"/>
      <c r="W1213" s="52"/>
      <c r="X1213" s="52"/>
      <c r="Y1213" s="52"/>
      <c r="Z1213" s="51"/>
      <c r="AA1213" s="73"/>
      <c r="AB1213" s="73"/>
      <c r="AC1213" s="74"/>
      <c r="AD1213" s="80" t="s">
        <v>7769</v>
      </c>
      <c r="AE1213" s="85" t="s">
        <v>6452</v>
      </c>
      <c r="AF1213" s="80">
        <v>83</v>
      </c>
      <c r="AG1213" s="80">
        <v>87</v>
      </c>
      <c r="AH1213" s="80">
        <v>1619</v>
      </c>
      <c r="AI1213" s="80">
        <v>8627</v>
      </c>
      <c r="AJ1213" s="80"/>
      <c r="AK1213" s="80" t="s">
        <v>10037</v>
      </c>
      <c r="AL1213" s="80" t="s">
        <v>10710</v>
      </c>
      <c r="AM1213" s="87" t="str">
        <f>HYPERLINK("https://t.co/YsODCLjRiw")</f>
        <v>https://t.co/YsODCLjRiw</v>
      </c>
      <c r="AN1213" s="80"/>
      <c r="AO1213" s="82">
        <v>44443.442129629628</v>
      </c>
      <c r="AP1213" s="87" t="str">
        <f>HYPERLINK("https://pbs.twimg.com/profile_banners/1434103080144961536/1631859945")</f>
        <v>https://pbs.twimg.com/profile_banners/1434103080144961536/1631859945</v>
      </c>
      <c r="AQ1213" s="80" t="b">
        <v>1</v>
      </c>
      <c r="AR1213" s="80" t="b">
        <v>0</v>
      </c>
      <c r="AS1213" s="80" t="b">
        <v>0</v>
      </c>
      <c r="AT1213" s="80"/>
      <c r="AU1213" s="80">
        <v>0</v>
      </c>
      <c r="AV1213" s="80"/>
      <c r="AW1213" s="80" t="b">
        <v>0</v>
      </c>
      <c r="AX1213" s="80" t="s">
        <v>10746</v>
      </c>
      <c r="AY1213" s="87" t="str">
        <f>HYPERLINK("https://twitter.com/minanggermanic")</f>
        <v>https://twitter.com/minanggermanic</v>
      </c>
      <c r="AZ1213" s="80" t="s">
        <v>66</v>
      </c>
      <c r="BA1213" s="2"/>
      <c r="BB1213" s="3"/>
      <c r="BC1213" s="3"/>
      <c r="BD1213" s="3"/>
      <c r="BE1213" s="3"/>
    </row>
    <row r="1214" spans="1:57" x14ac:dyDescent="0.35">
      <c r="A1214" s="66" t="s">
        <v>1190</v>
      </c>
      <c r="B1214" s="67"/>
      <c r="C1214" s="67"/>
      <c r="D1214" s="68"/>
      <c r="E1214" s="70"/>
      <c r="F1214" s="109" t="str">
        <f>HYPERLINK("https://pbs.twimg.com/profile_images/1432989171841306628/CnWCbwd4_normal.jpg")</f>
        <v>https://pbs.twimg.com/profile_images/1432989171841306628/CnWCbwd4_normal.jpg</v>
      </c>
      <c r="G1214" s="67"/>
      <c r="H1214" s="71"/>
      <c r="I1214" s="72"/>
      <c r="J1214" s="72"/>
      <c r="K1214" s="71" t="s">
        <v>11957</v>
      </c>
      <c r="L1214" s="75"/>
      <c r="M1214" s="76"/>
      <c r="N1214" s="76"/>
      <c r="O1214" s="77"/>
      <c r="P1214" s="78"/>
      <c r="Q1214" s="78"/>
      <c r="R1214" s="92"/>
      <c r="S1214" s="92"/>
      <c r="T1214" s="92"/>
      <c r="U1214" s="92"/>
      <c r="V1214" s="52"/>
      <c r="W1214" s="52"/>
      <c r="X1214" s="52"/>
      <c r="Y1214" s="52"/>
      <c r="Z1214" s="51"/>
      <c r="AA1214" s="73"/>
      <c r="AB1214" s="73"/>
      <c r="AC1214" s="74"/>
      <c r="AD1214" s="80" t="s">
        <v>7770</v>
      </c>
      <c r="AE1214" s="85" t="s">
        <v>8872</v>
      </c>
      <c r="AF1214" s="80">
        <v>2111</v>
      </c>
      <c r="AG1214" s="80">
        <v>2292</v>
      </c>
      <c r="AH1214" s="80">
        <v>19964</v>
      </c>
      <c r="AI1214" s="80">
        <v>15523</v>
      </c>
      <c r="AJ1214" s="80"/>
      <c r="AK1214" s="80"/>
      <c r="AL1214" s="80" t="s">
        <v>10281</v>
      </c>
      <c r="AM1214" s="87" t="str">
        <f>HYPERLINK("https://t.co/lcrsKYqblb")</f>
        <v>https://t.co/lcrsKYqblb</v>
      </c>
      <c r="AN1214" s="80"/>
      <c r="AO1214" s="82">
        <v>44028.727418981478</v>
      </c>
      <c r="AP1214" s="87" t="str">
        <f>HYPERLINK("https://pbs.twimg.com/profile_banners/1283815459792416768/1596997694")</f>
        <v>https://pbs.twimg.com/profile_banners/1283815459792416768/1596997694</v>
      </c>
      <c r="AQ1214" s="80" t="b">
        <v>1</v>
      </c>
      <c r="AR1214" s="80" t="b">
        <v>0</v>
      </c>
      <c r="AS1214" s="80" t="b">
        <v>0</v>
      </c>
      <c r="AT1214" s="80"/>
      <c r="AU1214" s="80">
        <v>0</v>
      </c>
      <c r="AV1214" s="80"/>
      <c r="AW1214" s="80" t="b">
        <v>0</v>
      </c>
      <c r="AX1214" s="80" t="s">
        <v>10746</v>
      </c>
      <c r="AY1214" s="87" t="str">
        <f>HYPERLINK("https://twitter.com/spy_zone85")</f>
        <v>https://twitter.com/spy_zone85</v>
      </c>
      <c r="AZ1214" s="80" t="s">
        <v>66</v>
      </c>
      <c r="BA1214" s="2"/>
      <c r="BB1214" s="3"/>
      <c r="BC1214" s="3"/>
      <c r="BD1214" s="3"/>
      <c r="BE1214" s="3"/>
    </row>
    <row r="1215" spans="1:57" x14ac:dyDescent="0.35">
      <c r="A1215" s="66" t="s">
        <v>1499</v>
      </c>
      <c r="B1215" s="67"/>
      <c r="C1215" s="67"/>
      <c r="D1215" s="68"/>
      <c r="E1215" s="70"/>
      <c r="F1215" s="109" t="str">
        <f>HYPERLINK("https://pbs.twimg.com/profile_images/1432989250132189186/_R5CIxDk_normal.jpg")</f>
        <v>https://pbs.twimg.com/profile_images/1432989250132189186/_R5CIxDk_normal.jpg</v>
      </c>
      <c r="G1215" s="67"/>
      <c r="H1215" s="71"/>
      <c r="I1215" s="72"/>
      <c r="J1215" s="72"/>
      <c r="K1215" s="71" t="s">
        <v>11958</v>
      </c>
      <c r="L1215" s="75"/>
      <c r="M1215" s="76"/>
      <c r="N1215" s="76"/>
      <c r="O1215" s="77"/>
      <c r="P1215" s="78"/>
      <c r="Q1215" s="78"/>
      <c r="R1215" s="92"/>
      <c r="S1215" s="92"/>
      <c r="T1215" s="92"/>
      <c r="U1215" s="92"/>
      <c r="V1215" s="52"/>
      <c r="W1215" s="52"/>
      <c r="X1215" s="52"/>
      <c r="Y1215" s="52"/>
      <c r="Z1215" s="51"/>
      <c r="AA1215" s="73"/>
      <c r="AB1215" s="73"/>
      <c r="AC1215" s="74"/>
      <c r="AD1215" s="80" t="s">
        <v>7771</v>
      </c>
      <c r="AE1215" s="85" t="s">
        <v>8873</v>
      </c>
      <c r="AF1215" s="80">
        <v>9418</v>
      </c>
      <c r="AG1215" s="80">
        <v>56300</v>
      </c>
      <c r="AH1215" s="80">
        <v>187455</v>
      </c>
      <c r="AI1215" s="80">
        <v>322143</v>
      </c>
      <c r="AJ1215" s="80"/>
      <c r="AK1215" s="80"/>
      <c r="AL1215" s="80" t="s">
        <v>10325</v>
      </c>
      <c r="AM1215" s="87" t="str">
        <f>HYPERLINK("https://t.co/wixZ3kAoID")</f>
        <v>https://t.co/wixZ3kAoID</v>
      </c>
      <c r="AN1215" s="80"/>
      <c r="AO1215" s="82">
        <v>40889.645671296297</v>
      </c>
      <c r="AP1215" s="87" t="str">
        <f>HYPERLINK("https://pbs.twimg.com/profile_banners/435004096/1526820673")</f>
        <v>https://pbs.twimg.com/profile_banners/435004096/1526820673</v>
      </c>
      <c r="AQ1215" s="80" t="b">
        <v>1</v>
      </c>
      <c r="AR1215" s="80" t="b">
        <v>0</v>
      </c>
      <c r="AS1215" s="80" t="b">
        <v>1</v>
      </c>
      <c r="AT1215" s="80"/>
      <c r="AU1215" s="80">
        <v>21</v>
      </c>
      <c r="AV1215" s="87" t="str">
        <f>HYPERLINK("https://abs.twimg.com/images/themes/theme1/bg.png")</f>
        <v>https://abs.twimg.com/images/themes/theme1/bg.png</v>
      </c>
      <c r="AW1215" s="80" t="b">
        <v>0</v>
      </c>
      <c r="AX1215" s="80" t="s">
        <v>10746</v>
      </c>
      <c r="AY1215" s="87" t="str">
        <f>HYPERLINK("https://twitter.com/aryprasetyo85")</f>
        <v>https://twitter.com/aryprasetyo85</v>
      </c>
      <c r="AZ1215" s="80" t="s">
        <v>65</v>
      </c>
      <c r="BA1215" s="2"/>
      <c r="BB1215" s="3"/>
      <c r="BC1215" s="3"/>
      <c r="BD1215" s="3"/>
      <c r="BE1215" s="3"/>
    </row>
    <row r="1216" spans="1:57" x14ac:dyDescent="0.35">
      <c r="A1216" s="66" t="s">
        <v>1500</v>
      </c>
      <c r="B1216" s="67"/>
      <c r="C1216" s="67"/>
      <c r="D1216" s="68"/>
      <c r="E1216" s="70"/>
      <c r="F1216" s="109" t="str">
        <f>HYPERLINK("https://pbs.twimg.com/profile_images/1441981200235597829/kgXp2JM1_normal.jpg")</f>
        <v>https://pbs.twimg.com/profile_images/1441981200235597829/kgXp2JM1_normal.jpg</v>
      </c>
      <c r="G1216" s="67"/>
      <c r="H1216" s="71"/>
      <c r="I1216" s="72"/>
      <c r="J1216" s="72"/>
      <c r="K1216" s="71" t="s">
        <v>11959</v>
      </c>
      <c r="L1216" s="75"/>
      <c r="M1216" s="76"/>
      <c r="N1216" s="76"/>
      <c r="O1216" s="77"/>
      <c r="P1216" s="78"/>
      <c r="Q1216" s="78"/>
      <c r="R1216" s="92"/>
      <c r="S1216" s="92"/>
      <c r="T1216" s="92"/>
      <c r="U1216" s="92"/>
      <c r="V1216" s="52"/>
      <c r="W1216" s="52"/>
      <c r="X1216" s="52"/>
      <c r="Y1216" s="52"/>
      <c r="Z1216" s="51"/>
      <c r="AA1216" s="73"/>
      <c r="AB1216" s="73"/>
      <c r="AC1216" s="74"/>
      <c r="AD1216" s="80" t="s">
        <v>7772</v>
      </c>
      <c r="AE1216" s="85" t="s">
        <v>8874</v>
      </c>
      <c r="AF1216" s="80">
        <v>147</v>
      </c>
      <c r="AG1216" s="80">
        <v>66</v>
      </c>
      <c r="AH1216" s="80">
        <v>1231</v>
      </c>
      <c r="AI1216" s="80">
        <v>1210</v>
      </c>
      <c r="AJ1216" s="80"/>
      <c r="AK1216" s="80" t="s">
        <v>10038</v>
      </c>
      <c r="AL1216" s="80"/>
      <c r="AM1216" s="80"/>
      <c r="AN1216" s="80"/>
      <c r="AO1216" s="82">
        <v>44289.298935185187</v>
      </c>
      <c r="AP1216" s="80"/>
      <c r="AQ1216" s="80" t="b">
        <v>1</v>
      </c>
      <c r="AR1216" s="80" t="b">
        <v>0</v>
      </c>
      <c r="AS1216" s="80" t="b">
        <v>0</v>
      </c>
      <c r="AT1216" s="80"/>
      <c r="AU1216" s="80">
        <v>0</v>
      </c>
      <c r="AV1216" s="80"/>
      <c r="AW1216" s="80" t="b">
        <v>0</v>
      </c>
      <c r="AX1216" s="80" t="s">
        <v>10746</v>
      </c>
      <c r="AY1216" s="87" t="str">
        <f>HYPERLINK("https://twitter.com/tb_aank")</f>
        <v>https://twitter.com/tb_aank</v>
      </c>
      <c r="AZ1216" s="80" t="s">
        <v>65</v>
      </c>
      <c r="BA1216" s="2"/>
      <c r="BB1216" s="3"/>
      <c r="BC1216" s="3"/>
      <c r="BD1216" s="3"/>
      <c r="BE1216" s="3"/>
    </row>
    <row r="1217" spans="1:57" x14ac:dyDescent="0.35">
      <c r="A1217" s="66" t="s">
        <v>1501</v>
      </c>
      <c r="B1217" s="67"/>
      <c r="C1217" s="67"/>
      <c r="D1217" s="68"/>
      <c r="E1217" s="70"/>
      <c r="F1217" s="109" t="str">
        <f>HYPERLINK("https://pbs.twimg.com/profile_images/1428254600931414016/PHI1BvFx_normal.jpg")</f>
        <v>https://pbs.twimg.com/profile_images/1428254600931414016/PHI1BvFx_normal.jpg</v>
      </c>
      <c r="G1217" s="67"/>
      <c r="H1217" s="71"/>
      <c r="I1217" s="72"/>
      <c r="J1217" s="72"/>
      <c r="K1217" s="71" t="s">
        <v>11960</v>
      </c>
      <c r="L1217" s="75"/>
      <c r="M1217" s="76"/>
      <c r="N1217" s="76"/>
      <c r="O1217" s="77"/>
      <c r="P1217" s="78"/>
      <c r="Q1217" s="78"/>
      <c r="R1217" s="92"/>
      <c r="S1217" s="92"/>
      <c r="T1217" s="92"/>
      <c r="U1217" s="92"/>
      <c r="V1217" s="52"/>
      <c r="W1217" s="52"/>
      <c r="X1217" s="52"/>
      <c r="Y1217" s="52"/>
      <c r="Z1217" s="51"/>
      <c r="AA1217" s="73"/>
      <c r="AB1217" s="73"/>
      <c r="AC1217" s="74"/>
      <c r="AD1217" s="80" t="s">
        <v>7773</v>
      </c>
      <c r="AE1217" s="85" t="s">
        <v>8875</v>
      </c>
      <c r="AF1217" s="80">
        <v>329</v>
      </c>
      <c r="AG1217" s="80">
        <v>1120797</v>
      </c>
      <c r="AH1217" s="80">
        <v>12181</v>
      </c>
      <c r="AI1217" s="80">
        <v>75872</v>
      </c>
      <c r="AJ1217" s="80"/>
      <c r="AK1217" s="80" t="s">
        <v>10039</v>
      </c>
      <c r="AL1217" s="80" t="s">
        <v>6543</v>
      </c>
      <c r="AM1217" s="87" t="str">
        <f>HYPERLINK("https://t.co/pcw0gyOmxb")</f>
        <v>https://t.co/pcw0gyOmxb</v>
      </c>
      <c r="AN1217" s="80"/>
      <c r="AO1217" s="82">
        <v>42388.053518518522</v>
      </c>
      <c r="AP1217" s="87" t="str">
        <f>HYPERLINK("https://pbs.twimg.com/profile_banners/4780649298/1591761174")</f>
        <v>https://pbs.twimg.com/profile_banners/4780649298/1591761174</v>
      </c>
      <c r="AQ1217" s="80" t="b">
        <v>0</v>
      </c>
      <c r="AR1217" s="80" t="b">
        <v>0</v>
      </c>
      <c r="AS1217" s="80" t="b">
        <v>0</v>
      </c>
      <c r="AT1217" s="80"/>
      <c r="AU1217" s="80">
        <v>256</v>
      </c>
      <c r="AV1217" s="87" t="str">
        <f>HYPERLINK("https://abs.twimg.com/images/themes/theme1/bg.png")</f>
        <v>https://abs.twimg.com/images/themes/theme1/bg.png</v>
      </c>
      <c r="AW1217" s="80" t="b">
        <v>0</v>
      </c>
      <c r="AX1217" s="80" t="s">
        <v>10746</v>
      </c>
      <c r="AY1217" s="87" t="str">
        <f>HYPERLINK("https://twitter.com/dennysiregar7")</f>
        <v>https://twitter.com/dennysiregar7</v>
      </c>
      <c r="AZ1217" s="80" t="s">
        <v>65</v>
      </c>
      <c r="BA1217" s="2"/>
      <c r="BB1217" s="3"/>
      <c r="BC1217" s="3"/>
      <c r="BD1217" s="3"/>
      <c r="BE1217" s="3"/>
    </row>
    <row r="1218" spans="1:57" x14ac:dyDescent="0.35">
      <c r="A1218" s="66" t="s">
        <v>1502</v>
      </c>
      <c r="B1218" s="67"/>
      <c r="C1218" s="67"/>
      <c r="D1218" s="68"/>
      <c r="E1218" s="70"/>
      <c r="F1218" s="109" t="str">
        <f>HYPERLINK("https://pbs.twimg.com/profile_images/1004256321716146176/unrQySpr_normal.jpg")</f>
        <v>https://pbs.twimg.com/profile_images/1004256321716146176/unrQySpr_normal.jpg</v>
      </c>
      <c r="G1218" s="67"/>
      <c r="H1218" s="71"/>
      <c r="I1218" s="72"/>
      <c r="J1218" s="72"/>
      <c r="K1218" s="71" t="s">
        <v>11961</v>
      </c>
      <c r="L1218" s="75"/>
      <c r="M1218" s="76"/>
      <c r="N1218" s="76"/>
      <c r="O1218" s="77"/>
      <c r="P1218" s="78"/>
      <c r="Q1218" s="78"/>
      <c r="R1218" s="92"/>
      <c r="S1218" s="92"/>
      <c r="T1218" s="92"/>
      <c r="U1218" s="92"/>
      <c r="V1218" s="52"/>
      <c r="W1218" s="52"/>
      <c r="X1218" s="52"/>
      <c r="Y1218" s="52"/>
      <c r="Z1218" s="51"/>
      <c r="AA1218" s="73"/>
      <c r="AB1218" s="73"/>
      <c r="AC1218" s="74"/>
      <c r="AD1218" s="80" t="s">
        <v>7774</v>
      </c>
      <c r="AE1218" s="85" t="s">
        <v>8876</v>
      </c>
      <c r="AF1218" s="80">
        <v>240</v>
      </c>
      <c r="AG1218" s="80">
        <v>3147</v>
      </c>
      <c r="AH1218" s="80">
        <v>3349</v>
      </c>
      <c r="AI1218" s="80">
        <v>549</v>
      </c>
      <c r="AJ1218" s="80"/>
      <c r="AK1218" s="80" t="s">
        <v>10040</v>
      </c>
      <c r="AL1218" s="80" t="s">
        <v>10159</v>
      </c>
      <c r="AM1218" s="87" t="str">
        <f>HYPERLINK("https://t.co/bT0OOSWwbY")</f>
        <v>https://t.co/bT0OOSWwbY</v>
      </c>
      <c r="AN1218" s="80"/>
      <c r="AO1218" s="82">
        <v>42361.053368055553</v>
      </c>
      <c r="AP1218" s="87" t="str">
        <f>HYPERLINK("https://pbs.twimg.com/profile_banners/4634287842/1543108814")</f>
        <v>https://pbs.twimg.com/profile_banners/4634287842/1543108814</v>
      </c>
      <c r="AQ1218" s="80" t="b">
        <v>0</v>
      </c>
      <c r="AR1218" s="80" t="b">
        <v>0</v>
      </c>
      <c r="AS1218" s="80" t="b">
        <v>0</v>
      </c>
      <c r="AT1218" s="80"/>
      <c r="AU1218" s="80">
        <v>9</v>
      </c>
      <c r="AV1218" s="87" t="str">
        <f>HYPERLINK("https://abs.twimg.com/images/themes/theme1/bg.png")</f>
        <v>https://abs.twimg.com/images/themes/theme1/bg.png</v>
      </c>
      <c r="AW1218" s="80" t="b">
        <v>0</v>
      </c>
      <c r="AX1218" s="80" t="s">
        <v>10746</v>
      </c>
      <c r="AY1218" s="87" t="str">
        <f>HYPERLINK("https://twitter.com/baktikominfo")</f>
        <v>https://twitter.com/baktikominfo</v>
      </c>
      <c r="AZ1218" s="80" t="s">
        <v>65</v>
      </c>
      <c r="BA1218" s="2"/>
      <c r="BB1218" s="3"/>
      <c r="BC1218" s="3"/>
      <c r="BD1218" s="3"/>
      <c r="BE1218" s="3"/>
    </row>
    <row r="1219" spans="1:57" x14ac:dyDescent="0.35">
      <c r="A1219" s="66" t="s">
        <v>1503</v>
      </c>
      <c r="B1219" s="67"/>
      <c r="C1219" s="67"/>
      <c r="D1219" s="68"/>
      <c r="E1219" s="70"/>
      <c r="F1219" s="109" t="str">
        <f>HYPERLINK("https://pbs.twimg.com/profile_images/643328450107801600/IF4Ncsym_normal.jpg")</f>
        <v>https://pbs.twimg.com/profile_images/643328450107801600/IF4Ncsym_normal.jpg</v>
      </c>
      <c r="G1219" s="67"/>
      <c r="H1219" s="71"/>
      <c r="I1219" s="72"/>
      <c r="J1219" s="72"/>
      <c r="K1219" s="71" t="s">
        <v>11962</v>
      </c>
      <c r="L1219" s="75"/>
      <c r="M1219" s="76"/>
      <c r="N1219" s="76"/>
      <c r="O1219" s="77"/>
      <c r="P1219" s="78"/>
      <c r="Q1219" s="78"/>
      <c r="R1219" s="92"/>
      <c r="S1219" s="92"/>
      <c r="T1219" s="92"/>
      <c r="U1219" s="92"/>
      <c r="V1219" s="52"/>
      <c r="W1219" s="52"/>
      <c r="X1219" s="52"/>
      <c r="Y1219" s="52"/>
      <c r="Z1219" s="51"/>
      <c r="AA1219" s="73"/>
      <c r="AB1219" s="73"/>
      <c r="AC1219" s="74"/>
      <c r="AD1219" s="80" t="s">
        <v>7775</v>
      </c>
      <c r="AE1219" s="85" t="s">
        <v>8877</v>
      </c>
      <c r="AF1219" s="80">
        <v>169</v>
      </c>
      <c r="AG1219" s="80">
        <v>588963</v>
      </c>
      <c r="AH1219" s="80">
        <v>25106</v>
      </c>
      <c r="AI1219" s="80">
        <v>2117</v>
      </c>
      <c r="AJ1219" s="80"/>
      <c r="AK1219" s="80" t="s">
        <v>10041</v>
      </c>
      <c r="AL1219" s="80" t="s">
        <v>10325</v>
      </c>
      <c r="AM1219" s="87" t="str">
        <f>HYPERLINK("https://t.co/5WKi51AcBZ")</f>
        <v>https://t.co/5WKi51AcBZ</v>
      </c>
      <c r="AN1219" s="80"/>
      <c r="AO1219" s="82">
        <v>42258.116539351853</v>
      </c>
      <c r="AP1219" s="87" t="str">
        <f>HYPERLINK("https://pbs.twimg.com/profile_banners/3522129133/1626858401")</f>
        <v>https://pbs.twimg.com/profile_banners/3522129133/1626858401</v>
      </c>
      <c r="AQ1219" s="80" t="b">
        <v>0</v>
      </c>
      <c r="AR1219" s="80" t="b">
        <v>0</v>
      </c>
      <c r="AS1219" s="80" t="b">
        <v>1</v>
      </c>
      <c r="AT1219" s="80"/>
      <c r="AU1219" s="80">
        <v>342</v>
      </c>
      <c r="AV1219" s="87" t="str">
        <f>HYPERLINK("https://abs.twimg.com/images/themes/theme1/bg.png")</f>
        <v>https://abs.twimg.com/images/themes/theme1/bg.png</v>
      </c>
      <c r="AW1219" s="80" t="b">
        <v>1</v>
      </c>
      <c r="AX1219" s="80" t="s">
        <v>10746</v>
      </c>
      <c r="AY1219" s="87" t="str">
        <f>HYPERLINK("https://twitter.com/kemensetnegri")</f>
        <v>https://twitter.com/kemensetnegri</v>
      </c>
      <c r="AZ1219" s="80" t="s">
        <v>65</v>
      </c>
      <c r="BA1219" s="2"/>
      <c r="BB1219" s="3"/>
      <c r="BC1219" s="3"/>
      <c r="BD1219" s="3"/>
      <c r="BE1219" s="3"/>
    </row>
    <row r="1220" spans="1:57" x14ac:dyDescent="0.35">
      <c r="A1220" s="66" t="s">
        <v>1504</v>
      </c>
      <c r="B1220" s="67"/>
      <c r="C1220" s="67"/>
      <c r="D1220" s="68"/>
      <c r="E1220" s="70"/>
      <c r="F1220" s="109" t="str">
        <f>HYPERLINK("https://pbs.twimg.com/profile_images/1139000915250180096/2F8dXi2W_normal.jpg")</f>
        <v>https://pbs.twimg.com/profile_images/1139000915250180096/2F8dXi2W_normal.jpg</v>
      </c>
      <c r="G1220" s="67"/>
      <c r="H1220" s="71"/>
      <c r="I1220" s="72"/>
      <c r="J1220" s="72"/>
      <c r="K1220" s="71" t="s">
        <v>11963</v>
      </c>
      <c r="L1220" s="75"/>
      <c r="M1220" s="76"/>
      <c r="N1220" s="76"/>
      <c r="O1220" s="77"/>
      <c r="P1220" s="78"/>
      <c r="Q1220" s="78"/>
      <c r="R1220" s="92"/>
      <c r="S1220" s="92"/>
      <c r="T1220" s="92"/>
      <c r="U1220" s="92"/>
      <c r="V1220" s="52"/>
      <c r="W1220" s="52"/>
      <c r="X1220" s="52"/>
      <c r="Y1220" s="52"/>
      <c r="Z1220" s="51"/>
      <c r="AA1220" s="73"/>
      <c r="AB1220" s="73"/>
      <c r="AC1220" s="74"/>
      <c r="AD1220" s="80" t="s">
        <v>7776</v>
      </c>
      <c r="AE1220" s="85" t="s">
        <v>8878</v>
      </c>
      <c r="AF1220" s="80">
        <v>97</v>
      </c>
      <c r="AG1220" s="80">
        <v>1164603</v>
      </c>
      <c r="AH1220" s="80">
        <v>56660</v>
      </c>
      <c r="AI1220" s="80">
        <v>179</v>
      </c>
      <c r="AJ1220" s="80"/>
      <c r="AK1220" s="80" t="s">
        <v>10042</v>
      </c>
      <c r="AL1220" s="80" t="s">
        <v>10134</v>
      </c>
      <c r="AM1220" s="87" t="str">
        <f>HYPERLINK("https://t.co/EHJ3cG08Ra")</f>
        <v>https://t.co/EHJ3cG08Ra</v>
      </c>
      <c r="AN1220" s="80"/>
      <c r="AO1220" s="82">
        <v>40606.477685185186</v>
      </c>
      <c r="AP1220" s="87" t="str">
        <f>HYPERLINK("https://pbs.twimg.com/profile_banners/260686783/1598965413")</f>
        <v>https://pbs.twimg.com/profile_banners/260686783/1598965413</v>
      </c>
      <c r="AQ1220" s="80" t="b">
        <v>0</v>
      </c>
      <c r="AR1220" s="80" t="b">
        <v>0</v>
      </c>
      <c r="AS1220" s="80" t="b">
        <v>1</v>
      </c>
      <c r="AT1220" s="80"/>
      <c r="AU1220" s="80">
        <v>548</v>
      </c>
      <c r="AV1220" s="87" t="str">
        <f>HYPERLINK("https://abs.twimg.com/images/themes/theme1/bg.png")</f>
        <v>https://abs.twimg.com/images/themes/theme1/bg.png</v>
      </c>
      <c r="AW1220" s="80" t="b">
        <v>1</v>
      </c>
      <c r="AX1220" s="80" t="s">
        <v>10746</v>
      </c>
      <c r="AY1220" s="87" t="str">
        <f>HYPERLINK("https://twitter.com/setkabgoid")</f>
        <v>https://twitter.com/setkabgoid</v>
      </c>
      <c r="AZ1220" s="80" t="s">
        <v>65</v>
      </c>
      <c r="BA1220" s="2"/>
      <c r="BB1220" s="3"/>
      <c r="BC1220" s="3"/>
      <c r="BD1220" s="3"/>
      <c r="BE1220" s="3"/>
    </row>
    <row r="1221" spans="1:57" x14ac:dyDescent="0.35">
      <c r="A1221" s="66" t="s">
        <v>1505</v>
      </c>
      <c r="B1221" s="67"/>
      <c r="C1221" s="67"/>
      <c r="D1221" s="68"/>
      <c r="E1221" s="70"/>
      <c r="F1221" s="109" t="str">
        <f>HYPERLINK("https://pbs.twimg.com/profile_images/779710578545655808/ZDa_-x6v_normal.jpg")</f>
        <v>https://pbs.twimg.com/profile_images/779710578545655808/ZDa_-x6v_normal.jpg</v>
      </c>
      <c r="G1221" s="67"/>
      <c r="H1221" s="71"/>
      <c r="I1221" s="72"/>
      <c r="J1221" s="72"/>
      <c r="K1221" s="71" t="s">
        <v>11964</v>
      </c>
      <c r="L1221" s="75"/>
      <c r="M1221" s="76"/>
      <c r="N1221" s="76"/>
      <c r="O1221" s="77"/>
      <c r="P1221" s="78"/>
      <c r="Q1221" s="78"/>
      <c r="R1221" s="92"/>
      <c r="S1221" s="92"/>
      <c r="T1221" s="92"/>
      <c r="U1221" s="92"/>
      <c r="V1221" s="52"/>
      <c r="W1221" s="52"/>
      <c r="X1221" s="52"/>
      <c r="Y1221" s="52"/>
      <c r="Z1221" s="51"/>
      <c r="AA1221" s="73"/>
      <c r="AB1221" s="73"/>
      <c r="AC1221" s="74"/>
      <c r="AD1221" s="80" t="s">
        <v>7777</v>
      </c>
      <c r="AE1221" s="85" t="s">
        <v>8879</v>
      </c>
      <c r="AF1221" s="80">
        <v>129</v>
      </c>
      <c r="AG1221" s="80">
        <v>237169</v>
      </c>
      <c r="AH1221" s="80">
        <v>46619</v>
      </c>
      <c r="AI1221" s="80">
        <v>109</v>
      </c>
      <c r="AJ1221" s="80"/>
      <c r="AK1221" s="80" t="s">
        <v>10043</v>
      </c>
      <c r="AL1221" s="80" t="s">
        <v>10667</v>
      </c>
      <c r="AM1221" s="87" t="str">
        <f>HYPERLINK("https://t.co/Huf1XvK9Ip")</f>
        <v>https://t.co/Huf1XvK9Ip</v>
      </c>
      <c r="AN1221" s="80"/>
      <c r="AO1221" s="82">
        <v>42618.288611111115</v>
      </c>
      <c r="AP1221" s="87" t="str">
        <f>HYPERLINK("https://pbs.twimg.com/profile_banners/772689620576395264/1611820806")</f>
        <v>https://pbs.twimg.com/profile_banners/772689620576395264/1611820806</v>
      </c>
      <c r="AQ1221" s="80" t="b">
        <v>0</v>
      </c>
      <c r="AR1221" s="80" t="b">
        <v>0</v>
      </c>
      <c r="AS1221" s="80" t="b">
        <v>1</v>
      </c>
      <c r="AT1221" s="80"/>
      <c r="AU1221" s="80">
        <v>223</v>
      </c>
      <c r="AV1221" s="87" t="str">
        <f>HYPERLINK("https://abs.twimg.com/images/themes/theme1/bg.png")</f>
        <v>https://abs.twimg.com/images/themes/theme1/bg.png</v>
      </c>
      <c r="AW1221" s="80" t="b">
        <v>1</v>
      </c>
      <c r="AX1221" s="80" t="s">
        <v>10746</v>
      </c>
      <c r="AY1221" s="87" t="str">
        <f>HYPERLINK("https://twitter.com/kspgoid")</f>
        <v>https://twitter.com/kspgoid</v>
      </c>
      <c r="AZ1221" s="80" t="s">
        <v>65</v>
      </c>
      <c r="BA1221" s="2"/>
      <c r="BB1221" s="3"/>
      <c r="BC1221" s="3"/>
      <c r="BD1221" s="3"/>
      <c r="BE1221" s="3"/>
    </row>
    <row r="1222" spans="1:57" x14ac:dyDescent="0.35">
      <c r="A1222" s="66" t="s">
        <v>1506</v>
      </c>
      <c r="B1222" s="67"/>
      <c r="C1222" s="67"/>
      <c r="D1222" s="68"/>
      <c r="E1222" s="70"/>
      <c r="F1222" s="109" t="str">
        <f>HYPERLINK("https://pbs.twimg.com/profile_images/1424578548698808323/UCZSFZkP_normal.jpg")</f>
        <v>https://pbs.twimg.com/profile_images/1424578548698808323/UCZSFZkP_normal.jpg</v>
      </c>
      <c r="G1222" s="67"/>
      <c r="H1222" s="71"/>
      <c r="I1222" s="72"/>
      <c r="J1222" s="72"/>
      <c r="K1222" s="71" t="s">
        <v>11965</v>
      </c>
      <c r="L1222" s="75"/>
      <c r="M1222" s="76"/>
      <c r="N1222" s="76"/>
      <c r="O1222" s="77"/>
      <c r="P1222" s="78"/>
      <c r="Q1222" s="78"/>
      <c r="R1222" s="92"/>
      <c r="S1222" s="92"/>
      <c r="T1222" s="92"/>
      <c r="U1222" s="92"/>
      <c r="V1222" s="52"/>
      <c r="W1222" s="52"/>
      <c r="X1222" s="52"/>
      <c r="Y1222" s="52"/>
      <c r="Z1222" s="51"/>
      <c r="AA1222" s="73"/>
      <c r="AB1222" s="73"/>
      <c r="AC1222" s="74"/>
      <c r="AD1222" s="80" t="s">
        <v>7778</v>
      </c>
      <c r="AE1222" s="85" t="s">
        <v>8880</v>
      </c>
      <c r="AF1222" s="80">
        <v>181</v>
      </c>
      <c r="AG1222" s="80">
        <v>45629</v>
      </c>
      <c r="AH1222" s="80">
        <v>18591</v>
      </c>
      <c r="AI1222" s="80">
        <v>4279</v>
      </c>
      <c r="AJ1222" s="80"/>
      <c r="AK1222" s="80" t="s">
        <v>10044</v>
      </c>
      <c r="AL1222" s="80" t="s">
        <v>10184</v>
      </c>
      <c r="AM1222" s="87" t="str">
        <f>HYPERLINK("https://t.co/jorjtkFTc1")</f>
        <v>https://t.co/jorjtkFTc1</v>
      </c>
      <c r="AN1222" s="80"/>
      <c r="AO1222" s="82">
        <v>40463.130949074075</v>
      </c>
      <c r="AP1222" s="87" t="str">
        <f>HYPERLINK("https://pbs.twimg.com/profile_banners/201554665/1391524164")</f>
        <v>https://pbs.twimg.com/profile_banners/201554665/1391524164</v>
      </c>
      <c r="AQ1222" s="80" t="b">
        <v>1</v>
      </c>
      <c r="AR1222" s="80" t="b">
        <v>0</v>
      </c>
      <c r="AS1222" s="80" t="b">
        <v>0</v>
      </c>
      <c r="AT1222" s="80"/>
      <c r="AU1222" s="80">
        <v>35</v>
      </c>
      <c r="AV1222" s="87" t="str">
        <f>HYPERLINK("https://abs.twimg.com/images/themes/theme1/bg.png")</f>
        <v>https://abs.twimg.com/images/themes/theme1/bg.png</v>
      </c>
      <c r="AW1222" s="80" t="b">
        <v>1</v>
      </c>
      <c r="AX1222" s="80" t="s">
        <v>10746</v>
      </c>
      <c r="AY1222" s="87" t="str">
        <f>HYPERLINK("https://twitter.com/henrysubiakto")</f>
        <v>https://twitter.com/henrysubiakto</v>
      </c>
      <c r="AZ1222" s="80" t="s">
        <v>65</v>
      </c>
      <c r="BA1222" s="2"/>
      <c r="BB1222" s="3"/>
      <c r="BC1222" s="3"/>
      <c r="BD1222" s="3"/>
      <c r="BE1222" s="3"/>
    </row>
    <row r="1223" spans="1:57" x14ac:dyDescent="0.35">
      <c r="A1223" s="66" t="s">
        <v>1507</v>
      </c>
      <c r="B1223" s="67"/>
      <c r="C1223" s="67"/>
      <c r="D1223" s="68"/>
      <c r="E1223" s="70"/>
      <c r="F1223" s="109" t="str">
        <f>HYPERLINK("https://pbs.twimg.com/profile_images/1328927559338246145/mz-oUe20_normal.jpg")</f>
        <v>https://pbs.twimg.com/profile_images/1328927559338246145/mz-oUe20_normal.jpg</v>
      </c>
      <c r="G1223" s="67"/>
      <c r="H1223" s="71"/>
      <c r="I1223" s="72"/>
      <c r="J1223" s="72"/>
      <c r="K1223" s="71" t="s">
        <v>11966</v>
      </c>
      <c r="L1223" s="75"/>
      <c r="M1223" s="76"/>
      <c r="N1223" s="76"/>
      <c r="O1223" s="77"/>
      <c r="P1223" s="78"/>
      <c r="Q1223" s="78"/>
      <c r="R1223" s="92"/>
      <c r="S1223" s="92"/>
      <c r="T1223" s="92"/>
      <c r="U1223" s="92"/>
      <c r="V1223" s="52"/>
      <c r="W1223" s="52"/>
      <c r="X1223" s="52"/>
      <c r="Y1223" s="52"/>
      <c r="Z1223" s="51"/>
      <c r="AA1223" s="73"/>
      <c r="AB1223" s="73"/>
      <c r="AC1223" s="74"/>
      <c r="AD1223" s="80" t="s">
        <v>7779</v>
      </c>
      <c r="AE1223" s="85" t="s">
        <v>6453</v>
      </c>
      <c r="AF1223" s="80">
        <v>283</v>
      </c>
      <c r="AG1223" s="80">
        <v>79107</v>
      </c>
      <c r="AH1223" s="80">
        <v>7372</v>
      </c>
      <c r="AI1223" s="80">
        <v>6044</v>
      </c>
      <c r="AJ1223" s="80"/>
      <c r="AK1223" s="80" t="s">
        <v>10045</v>
      </c>
      <c r="AL1223" s="80" t="s">
        <v>10711</v>
      </c>
      <c r="AM1223" s="80"/>
      <c r="AN1223" s="80"/>
      <c r="AO1223" s="82">
        <v>41171.499884259261</v>
      </c>
      <c r="AP1223" s="87" t="str">
        <f>HYPERLINK("https://pbs.twimg.com/profile_banners/833172937/1391334923")</f>
        <v>https://pbs.twimg.com/profile_banners/833172937/1391334923</v>
      </c>
      <c r="AQ1223" s="80" t="b">
        <v>0</v>
      </c>
      <c r="AR1223" s="80" t="b">
        <v>0</v>
      </c>
      <c r="AS1223" s="80" t="b">
        <v>0</v>
      </c>
      <c r="AT1223" s="80"/>
      <c r="AU1223" s="80">
        <v>54</v>
      </c>
      <c r="AV1223" s="87" t="str">
        <f>HYPERLINK("https://abs.twimg.com/images/themes/theme7/bg.gif")</f>
        <v>https://abs.twimg.com/images/themes/theme7/bg.gif</v>
      </c>
      <c r="AW1223" s="80" t="b">
        <v>0</v>
      </c>
      <c r="AX1223" s="80" t="s">
        <v>10746</v>
      </c>
      <c r="AY1223" s="87" t="str">
        <f>HYPERLINK("https://twitter.com/absetyono")</f>
        <v>https://twitter.com/absetyono</v>
      </c>
      <c r="AZ1223" s="80" t="s">
        <v>65</v>
      </c>
      <c r="BA1223" s="2"/>
      <c r="BB1223" s="3"/>
      <c r="BC1223" s="3"/>
      <c r="BD1223" s="3"/>
      <c r="BE1223" s="3"/>
    </row>
    <row r="1224" spans="1:57" x14ac:dyDescent="0.35">
      <c r="A1224" s="66" t="s">
        <v>1508</v>
      </c>
      <c r="B1224" s="67"/>
      <c r="C1224" s="67"/>
      <c r="D1224" s="68"/>
      <c r="E1224" s="70"/>
      <c r="F1224" s="109" t="str">
        <f>HYPERLINK("https://pbs.twimg.com/profile_images/1188644723889557510/Y1lr4e-s_normal.jpg")</f>
        <v>https://pbs.twimg.com/profile_images/1188644723889557510/Y1lr4e-s_normal.jpg</v>
      </c>
      <c r="G1224" s="67"/>
      <c r="H1224" s="71"/>
      <c r="I1224" s="72"/>
      <c r="J1224" s="72"/>
      <c r="K1224" s="71" t="s">
        <v>11967</v>
      </c>
      <c r="L1224" s="75"/>
      <c r="M1224" s="76"/>
      <c r="N1224" s="76"/>
      <c r="O1224" s="77"/>
      <c r="P1224" s="78"/>
      <c r="Q1224" s="78"/>
      <c r="R1224" s="92"/>
      <c r="S1224" s="92"/>
      <c r="T1224" s="92"/>
      <c r="U1224" s="92"/>
      <c r="V1224" s="52"/>
      <c r="W1224" s="52"/>
      <c r="X1224" s="52"/>
      <c r="Y1224" s="52"/>
      <c r="Z1224" s="51"/>
      <c r="AA1224" s="73"/>
      <c r="AB1224" s="73"/>
      <c r="AC1224" s="74"/>
      <c r="AD1224" s="80" t="s">
        <v>7780</v>
      </c>
      <c r="AE1224" s="85" t="s">
        <v>6471</v>
      </c>
      <c r="AF1224" s="80">
        <v>24</v>
      </c>
      <c r="AG1224" s="80">
        <v>4171</v>
      </c>
      <c r="AH1224" s="80">
        <v>88</v>
      </c>
      <c r="AI1224" s="80">
        <v>3</v>
      </c>
      <c r="AJ1224" s="80"/>
      <c r="AK1224" s="80" t="s">
        <v>10046</v>
      </c>
      <c r="AL1224" s="80"/>
      <c r="AM1224" s="80"/>
      <c r="AN1224" s="80"/>
      <c r="AO1224" s="82">
        <v>43762.343657407408</v>
      </c>
      <c r="AP1224" s="87" t="str">
        <f>HYPERLINK("https://pbs.twimg.com/profile_banners/1187281119978258432/1571979638")</f>
        <v>https://pbs.twimg.com/profile_banners/1187281119978258432/1571979638</v>
      </c>
      <c r="AQ1224" s="80" t="b">
        <v>1</v>
      </c>
      <c r="AR1224" s="80" t="b">
        <v>0</v>
      </c>
      <c r="AS1224" s="80" t="b">
        <v>0</v>
      </c>
      <c r="AT1224" s="80"/>
      <c r="AU1224" s="80">
        <v>11</v>
      </c>
      <c r="AV1224" s="80"/>
      <c r="AW1224" s="80" t="b">
        <v>1</v>
      </c>
      <c r="AX1224" s="80" t="s">
        <v>10746</v>
      </c>
      <c r="AY1224" s="87" t="str">
        <f>HYPERLINK("https://twitter.com/platejohnny")</f>
        <v>https://twitter.com/platejohnny</v>
      </c>
      <c r="AZ1224" s="80" t="s">
        <v>65</v>
      </c>
      <c r="BA1224" s="2"/>
      <c r="BB1224" s="3"/>
      <c r="BC1224" s="3"/>
      <c r="BD1224" s="3"/>
      <c r="BE1224" s="3"/>
    </row>
    <row r="1225" spans="1:57" x14ac:dyDescent="0.35">
      <c r="A1225" s="66" t="s">
        <v>1192</v>
      </c>
      <c r="B1225" s="67"/>
      <c r="C1225" s="67"/>
      <c r="D1225" s="68"/>
      <c r="E1225" s="70"/>
      <c r="F1225" s="109" t="str">
        <f>HYPERLINK("https://pbs.twimg.com/profile_images/541215484788490241/BMpZp2ug_normal.jpeg")</f>
        <v>https://pbs.twimg.com/profile_images/541215484788490241/BMpZp2ug_normal.jpeg</v>
      </c>
      <c r="G1225" s="67"/>
      <c r="H1225" s="71"/>
      <c r="I1225" s="72"/>
      <c r="J1225" s="72"/>
      <c r="K1225" s="71" t="s">
        <v>11968</v>
      </c>
      <c r="L1225" s="75"/>
      <c r="M1225" s="76"/>
      <c r="N1225" s="76"/>
      <c r="O1225" s="77"/>
      <c r="P1225" s="78"/>
      <c r="Q1225" s="78"/>
      <c r="R1225" s="92"/>
      <c r="S1225" s="92"/>
      <c r="T1225" s="92"/>
      <c r="U1225" s="92"/>
      <c r="V1225" s="52"/>
      <c r="W1225" s="52"/>
      <c r="X1225" s="52"/>
      <c r="Y1225" s="52"/>
      <c r="Z1225" s="51"/>
      <c r="AA1225" s="73"/>
      <c r="AB1225" s="73"/>
      <c r="AC1225" s="74"/>
      <c r="AD1225" s="80" t="s">
        <v>7781</v>
      </c>
      <c r="AE1225" s="85" t="s">
        <v>8881</v>
      </c>
      <c r="AF1225" s="80">
        <v>996</v>
      </c>
      <c r="AG1225" s="80">
        <v>20624</v>
      </c>
      <c r="AH1225" s="80">
        <v>57500</v>
      </c>
      <c r="AI1225" s="80">
        <v>2249</v>
      </c>
      <c r="AJ1225" s="80"/>
      <c r="AK1225" s="80" t="s">
        <v>10047</v>
      </c>
      <c r="AL1225" s="80" t="s">
        <v>10712</v>
      </c>
      <c r="AM1225" s="87" t="str">
        <f>HYPERLINK("https://t.co/OMTe0P6Bja")</f>
        <v>https://t.co/OMTe0P6Bja</v>
      </c>
      <c r="AN1225" s="80"/>
      <c r="AO1225" s="82">
        <v>39872.089317129627</v>
      </c>
      <c r="AP1225" s="87" t="str">
        <f>HYPERLINK("https://pbs.twimg.com/profile_banners/22218406/1599453739")</f>
        <v>https://pbs.twimg.com/profile_banners/22218406/1599453739</v>
      </c>
      <c r="AQ1225" s="80" t="b">
        <v>0</v>
      </c>
      <c r="AR1225" s="80" t="b">
        <v>0</v>
      </c>
      <c r="AS1225" s="80" t="b">
        <v>1</v>
      </c>
      <c r="AT1225" s="80"/>
      <c r="AU1225" s="80">
        <v>185</v>
      </c>
      <c r="AV1225" s="87" t="str">
        <f>HYPERLINK("https://abs.twimg.com/images/themes/theme12/bg.gif")</f>
        <v>https://abs.twimg.com/images/themes/theme12/bg.gif</v>
      </c>
      <c r="AW1225" s="80" t="b">
        <v>0</v>
      </c>
      <c r="AX1225" s="80" t="s">
        <v>10746</v>
      </c>
      <c r="AY1225" s="87" t="str">
        <f>HYPERLINK("https://twitter.com/luluiii")</f>
        <v>https://twitter.com/luluiii</v>
      </c>
      <c r="AZ1225" s="80" t="s">
        <v>66</v>
      </c>
      <c r="BA1225" s="2"/>
      <c r="BB1225" s="3"/>
      <c r="BC1225" s="3"/>
      <c r="BD1225" s="3"/>
      <c r="BE1225" s="3"/>
    </row>
    <row r="1226" spans="1:57" x14ac:dyDescent="0.35">
      <c r="A1226" s="66" t="s">
        <v>1194</v>
      </c>
      <c r="B1226" s="67"/>
      <c r="C1226" s="67"/>
      <c r="D1226" s="68"/>
      <c r="E1226" s="70"/>
      <c r="F1226" s="109" t="str">
        <f>HYPERLINK("https://pbs.twimg.com/profile_images/1276416657636786176/mhpnZwKk_normal.jpg")</f>
        <v>https://pbs.twimg.com/profile_images/1276416657636786176/mhpnZwKk_normal.jpg</v>
      </c>
      <c r="G1226" s="67"/>
      <c r="H1226" s="71"/>
      <c r="I1226" s="72"/>
      <c r="J1226" s="72"/>
      <c r="K1226" s="71" t="s">
        <v>11969</v>
      </c>
      <c r="L1226" s="75"/>
      <c r="M1226" s="76"/>
      <c r="N1226" s="76"/>
      <c r="O1226" s="77"/>
      <c r="P1226" s="78"/>
      <c r="Q1226" s="78"/>
      <c r="R1226" s="92"/>
      <c r="S1226" s="92"/>
      <c r="T1226" s="92"/>
      <c r="U1226" s="92"/>
      <c r="V1226" s="52"/>
      <c r="W1226" s="52"/>
      <c r="X1226" s="52"/>
      <c r="Y1226" s="52"/>
      <c r="Z1226" s="51"/>
      <c r="AA1226" s="73"/>
      <c r="AB1226" s="73"/>
      <c r="AC1226" s="74"/>
      <c r="AD1226" s="80" t="s">
        <v>7782</v>
      </c>
      <c r="AE1226" s="85" t="s">
        <v>8882</v>
      </c>
      <c r="AF1226" s="80">
        <v>1027</v>
      </c>
      <c r="AG1226" s="80">
        <v>568</v>
      </c>
      <c r="AH1226" s="80">
        <v>12764</v>
      </c>
      <c r="AI1226" s="80">
        <v>23104</v>
      </c>
      <c r="AJ1226" s="80"/>
      <c r="AK1226" s="80" t="s">
        <v>10048</v>
      </c>
      <c r="AL1226" s="80" t="s">
        <v>10713</v>
      </c>
      <c r="AM1226" s="87" t="str">
        <f>HYPERLINK("https://t.co/GoTDUrVYVZ")</f>
        <v>https://t.co/GoTDUrVYVZ</v>
      </c>
      <c r="AN1226" s="80"/>
      <c r="AO1226" s="82">
        <v>43161.136956018519</v>
      </c>
      <c r="AP1226" s="87" t="str">
        <f>HYPERLINK("https://pbs.twimg.com/profile_banners/969411275393400834/1620097643")</f>
        <v>https://pbs.twimg.com/profile_banners/969411275393400834/1620097643</v>
      </c>
      <c r="AQ1226" s="80" t="b">
        <v>1</v>
      </c>
      <c r="AR1226" s="80" t="b">
        <v>0</v>
      </c>
      <c r="AS1226" s="80" t="b">
        <v>1</v>
      </c>
      <c r="AT1226" s="80"/>
      <c r="AU1226" s="80">
        <v>1</v>
      </c>
      <c r="AV1226" s="80"/>
      <c r="AW1226" s="80" t="b">
        <v>0</v>
      </c>
      <c r="AX1226" s="80" t="s">
        <v>10746</v>
      </c>
      <c r="AY1226" s="87" t="str">
        <f>HYPERLINK("https://twitter.com/kantahkabsragen")</f>
        <v>https://twitter.com/kantahkabsragen</v>
      </c>
      <c r="AZ1226" s="80" t="s">
        <v>66</v>
      </c>
      <c r="BA1226" s="2"/>
      <c r="BB1226" s="3"/>
      <c r="BC1226" s="3"/>
      <c r="BD1226" s="3"/>
      <c r="BE1226" s="3"/>
    </row>
    <row r="1227" spans="1:57" x14ac:dyDescent="0.35">
      <c r="A1227" s="66" t="s">
        <v>1195</v>
      </c>
      <c r="B1227" s="67"/>
      <c r="C1227" s="67"/>
      <c r="D1227" s="68"/>
      <c r="E1227" s="70"/>
      <c r="F1227" s="109" t="str">
        <f>HYPERLINK("https://pbs.twimg.com/profile_images/1417855706900799493/IXa_5t56_normal.jpg")</f>
        <v>https://pbs.twimg.com/profile_images/1417855706900799493/IXa_5t56_normal.jpg</v>
      </c>
      <c r="G1227" s="67"/>
      <c r="H1227" s="71"/>
      <c r="I1227" s="72"/>
      <c r="J1227" s="72"/>
      <c r="K1227" s="71" t="s">
        <v>11970</v>
      </c>
      <c r="L1227" s="75"/>
      <c r="M1227" s="76"/>
      <c r="N1227" s="76"/>
      <c r="O1227" s="77"/>
      <c r="P1227" s="78"/>
      <c r="Q1227" s="78"/>
      <c r="R1227" s="92"/>
      <c r="S1227" s="92"/>
      <c r="T1227" s="92"/>
      <c r="U1227" s="92"/>
      <c r="V1227" s="52"/>
      <c r="W1227" s="52"/>
      <c r="X1227" s="52"/>
      <c r="Y1227" s="52"/>
      <c r="Z1227" s="51"/>
      <c r="AA1227" s="73"/>
      <c r="AB1227" s="73"/>
      <c r="AC1227" s="74"/>
      <c r="AD1227" s="80" t="s">
        <v>7783</v>
      </c>
      <c r="AE1227" s="85" t="s">
        <v>8883</v>
      </c>
      <c r="AF1227" s="80">
        <v>130</v>
      </c>
      <c r="AG1227" s="80">
        <v>158</v>
      </c>
      <c r="AH1227" s="80">
        <v>5625</v>
      </c>
      <c r="AI1227" s="80">
        <v>176</v>
      </c>
      <c r="AJ1227" s="80"/>
      <c r="AK1227" s="80">
        <v>200</v>
      </c>
      <c r="AL1227" s="80" t="s">
        <v>10147</v>
      </c>
      <c r="AM1227" s="80"/>
      <c r="AN1227" s="80"/>
      <c r="AO1227" s="82">
        <v>43900.614050925928</v>
      </c>
      <c r="AP1227" s="87" t="str">
        <f>HYPERLINK("https://pbs.twimg.com/profile_banners/1237388705012187140/1621787245")</f>
        <v>https://pbs.twimg.com/profile_banners/1237388705012187140/1621787245</v>
      </c>
      <c r="AQ1227" s="80" t="b">
        <v>1</v>
      </c>
      <c r="AR1227" s="80" t="b">
        <v>0</v>
      </c>
      <c r="AS1227" s="80" t="b">
        <v>0</v>
      </c>
      <c r="AT1227" s="80"/>
      <c r="AU1227" s="80">
        <v>0</v>
      </c>
      <c r="AV1227" s="80"/>
      <c r="AW1227" s="80" t="b">
        <v>0</v>
      </c>
      <c r="AX1227" s="80" t="s">
        <v>10746</v>
      </c>
      <c r="AY1227" s="87" t="str">
        <f>HYPERLINK("https://twitter.com/hahakimiiiiii")</f>
        <v>https://twitter.com/hahakimiiiiii</v>
      </c>
      <c r="AZ1227" s="80" t="s">
        <v>66</v>
      </c>
      <c r="BA1227" s="2"/>
      <c r="BB1227" s="3"/>
      <c r="BC1227" s="3"/>
      <c r="BD1227" s="3"/>
      <c r="BE1227" s="3"/>
    </row>
    <row r="1228" spans="1:57" x14ac:dyDescent="0.35">
      <c r="A1228" s="66" t="s">
        <v>1204</v>
      </c>
      <c r="B1228" s="67"/>
      <c r="C1228" s="67"/>
      <c r="D1228" s="68"/>
      <c r="E1228" s="70"/>
      <c r="F1228" s="109" t="str">
        <f>HYPERLINK("https://pbs.twimg.com/profile_images/1414295278312583173/H_eTP6Mq_normal.jpg")</f>
        <v>https://pbs.twimg.com/profile_images/1414295278312583173/H_eTP6Mq_normal.jpg</v>
      </c>
      <c r="G1228" s="67"/>
      <c r="H1228" s="71"/>
      <c r="I1228" s="72"/>
      <c r="J1228" s="72"/>
      <c r="K1228" s="71" t="s">
        <v>11971</v>
      </c>
      <c r="L1228" s="75"/>
      <c r="M1228" s="76"/>
      <c r="N1228" s="76"/>
      <c r="O1228" s="77"/>
      <c r="P1228" s="78"/>
      <c r="Q1228" s="78"/>
      <c r="R1228" s="92"/>
      <c r="S1228" s="92"/>
      <c r="T1228" s="92"/>
      <c r="U1228" s="92"/>
      <c r="V1228" s="52"/>
      <c r="W1228" s="52"/>
      <c r="X1228" s="52"/>
      <c r="Y1228" s="52"/>
      <c r="Z1228" s="51"/>
      <c r="AA1228" s="73"/>
      <c r="AB1228" s="73"/>
      <c r="AC1228" s="74"/>
      <c r="AD1228" s="80" t="s">
        <v>7784</v>
      </c>
      <c r="AE1228" s="85" t="s">
        <v>8884</v>
      </c>
      <c r="AF1228" s="80">
        <v>418</v>
      </c>
      <c r="AG1228" s="80">
        <v>667</v>
      </c>
      <c r="AH1228" s="80">
        <v>26928</v>
      </c>
      <c r="AI1228" s="80">
        <v>2747</v>
      </c>
      <c r="AJ1228" s="80"/>
      <c r="AK1228" s="80" t="s">
        <v>10049</v>
      </c>
      <c r="AL1228" s="80" t="s">
        <v>10714</v>
      </c>
      <c r="AM1228" s="80"/>
      <c r="AN1228" s="80"/>
      <c r="AO1228" s="82">
        <v>41030.738240740742</v>
      </c>
      <c r="AP1228" s="87" t="str">
        <f>HYPERLINK("https://pbs.twimg.com/profile_banners/568393913/1574339679")</f>
        <v>https://pbs.twimg.com/profile_banners/568393913/1574339679</v>
      </c>
      <c r="AQ1228" s="80" t="b">
        <v>1</v>
      </c>
      <c r="AR1228" s="80" t="b">
        <v>0</v>
      </c>
      <c r="AS1228" s="80" t="b">
        <v>1</v>
      </c>
      <c r="AT1228" s="80"/>
      <c r="AU1228" s="80">
        <v>0</v>
      </c>
      <c r="AV1228" s="87" t="str">
        <f>HYPERLINK("https://abs.twimg.com/images/themes/theme1/bg.png")</f>
        <v>https://abs.twimg.com/images/themes/theme1/bg.png</v>
      </c>
      <c r="AW1228" s="80" t="b">
        <v>0</v>
      </c>
      <c r="AX1228" s="80" t="s">
        <v>10746</v>
      </c>
      <c r="AY1228" s="87" t="str">
        <f>HYPERLINK("https://twitter.com/anwarkhairi")</f>
        <v>https://twitter.com/anwarkhairi</v>
      </c>
      <c r="AZ1228" s="80" t="s">
        <v>66</v>
      </c>
      <c r="BA1228" s="2"/>
      <c r="BB1228" s="3"/>
      <c r="BC1228" s="3"/>
      <c r="BD1228" s="3"/>
      <c r="BE1228" s="3"/>
    </row>
    <row r="1229" spans="1:57" x14ac:dyDescent="0.35">
      <c r="A1229" s="66" t="s">
        <v>1196</v>
      </c>
      <c r="B1229" s="67"/>
      <c r="C1229" s="67"/>
      <c r="D1229" s="68"/>
      <c r="E1229" s="70"/>
      <c r="F1229" s="109" t="str">
        <f>HYPERLINK("https://pbs.twimg.com/profile_images/772475817699926016/5svqQnN__normal.jpg")</f>
        <v>https://pbs.twimg.com/profile_images/772475817699926016/5svqQnN__normal.jpg</v>
      </c>
      <c r="G1229" s="67"/>
      <c r="H1229" s="71"/>
      <c r="I1229" s="72"/>
      <c r="J1229" s="72"/>
      <c r="K1229" s="71" t="s">
        <v>11972</v>
      </c>
      <c r="L1229" s="75"/>
      <c r="M1229" s="76"/>
      <c r="N1229" s="76"/>
      <c r="O1229" s="77"/>
      <c r="P1229" s="78"/>
      <c r="Q1229" s="78"/>
      <c r="R1229" s="92"/>
      <c r="S1229" s="92"/>
      <c r="T1229" s="92"/>
      <c r="U1229" s="92"/>
      <c r="V1229" s="52"/>
      <c r="W1229" s="52"/>
      <c r="X1229" s="52"/>
      <c r="Y1229" s="52"/>
      <c r="Z1229" s="51"/>
      <c r="AA1229" s="73"/>
      <c r="AB1229" s="73"/>
      <c r="AC1229" s="74"/>
      <c r="AD1229" s="80" t="s">
        <v>1196</v>
      </c>
      <c r="AE1229" s="85" t="s">
        <v>8885</v>
      </c>
      <c r="AF1229" s="80">
        <v>204</v>
      </c>
      <c r="AG1229" s="80">
        <v>270</v>
      </c>
      <c r="AH1229" s="80">
        <v>21918</v>
      </c>
      <c r="AI1229" s="80">
        <v>234</v>
      </c>
      <c r="AJ1229" s="80"/>
      <c r="AK1229" s="80" t="s">
        <v>10050</v>
      </c>
      <c r="AL1229" s="80" t="s">
        <v>10715</v>
      </c>
      <c r="AM1229" s="87" t="str">
        <f>HYPERLINK("https://t.co/QGnay7oTsZ")</f>
        <v>https://t.co/QGnay7oTsZ</v>
      </c>
      <c r="AN1229" s="80"/>
      <c r="AO1229" s="82">
        <v>40299.35125</v>
      </c>
      <c r="AP1229" s="87" t="str">
        <f>HYPERLINK("https://pbs.twimg.com/profile_banners/139012242/1473007705")</f>
        <v>https://pbs.twimg.com/profile_banners/139012242/1473007705</v>
      </c>
      <c r="AQ1229" s="80" t="b">
        <v>0</v>
      </c>
      <c r="AR1229" s="80" t="b">
        <v>0</v>
      </c>
      <c r="AS1229" s="80" t="b">
        <v>1</v>
      </c>
      <c r="AT1229" s="80"/>
      <c r="AU1229" s="80">
        <v>2</v>
      </c>
      <c r="AV1229" s="87" t="str">
        <f>HYPERLINK("https://abs.twimg.com/images/themes/theme14/bg.gif")</f>
        <v>https://abs.twimg.com/images/themes/theme14/bg.gif</v>
      </c>
      <c r="AW1229" s="80" t="b">
        <v>0</v>
      </c>
      <c r="AX1229" s="80" t="s">
        <v>10746</v>
      </c>
      <c r="AY1229" s="87" t="str">
        <f>HYPERLINK("https://twitter.com/lokershareinone")</f>
        <v>https://twitter.com/lokershareinone</v>
      </c>
      <c r="AZ1229" s="80" t="s">
        <v>66</v>
      </c>
      <c r="BA1229" s="2"/>
      <c r="BB1229" s="3"/>
      <c r="BC1229" s="3"/>
      <c r="BD1229" s="3"/>
      <c r="BE1229" s="3"/>
    </row>
    <row r="1230" spans="1:57" x14ac:dyDescent="0.35">
      <c r="A1230" s="66" t="s">
        <v>1197</v>
      </c>
      <c r="B1230" s="67"/>
      <c r="C1230" s="67"/>
      <c r="D1230" s="68"/>
      <c r="E1230" s="70"/>
      <c r="F1230" s="109" t="str">
        <f>HYPERLINK("https://pbs.twimg.com/profile_images/1442355053730226176/M8__PYPO_normal.jpg")</f>
        <v>https://pbs.twimg.com/profile_images/1442355053730226176/M8__PYPO_normal.jpg</v>
      </c>
      <c r="G1230" s="67"/>
      <c r="H1230" s="71"/>
      <c r="I1230" s="72"/>
      <c r="J1230" s="72"/>
      <c r="K1230" s="71" t="s">
        <v>11973</v>
      </c>
      <c r="L1230" s="75"/>
      <c r="M1230" s="76"/>
      <c r="N1230" s="76"/>
      <c r="O1230" s="77"/>
      <c r="P1230" s="78"/>
      <c r="Q1230" s="78"/>
      <c r="R1230" s="92"/>
      <c r="S1230" s="92"/>
      <c r="T1230" s="92"/>
      <c r="U1230" s="92"/>
      <c r="V1230" s="52"/>
      <c r="W1230" s="52"/>
      <c r="X1230" s="52"/>
      <c r="Y1230" s="52"/>
      <c r="Z1230" s="51"/>
      <c r="AA1230" s="73"/>
      <c r="AB1230" s="73"/>
      <c r="AC1230" s="74"/>
      <c r="AD1230" s="80" t="s">
        <v>7785</v>
      </c>
      <c r="AE1230" s="85" t="s">
        <v>8886</v>
      </c>
      <c r="AF1230" s="80">
        <v>4275</v>
      </c>
      <c r="AG1230" s="80">
        <v>3714</v>
      </c>
      <c r="AH1230" s="80">
        <v>25242</v>
      </c>
      <c r="AI1230" s="80">
        <v>20963</v>
      </c>
      <c r="AJ1230" s="80"/>
      <c r="AK1230" s="80" t="s">
        <v>10051</v>
      </c>
      <c r="AL1230" s="80" t="s">
        <v>10716</v>
      </c>
      <c r="AM1230" s="80"/>
      <c r="AN1230" s="80"/>
      <c r="AO1230" s="82">
        <v>43321.434155092589</v>
      </c>
      <c r="AP1230" s="87" t="str">
        <f>HYPERLINK("https://pbs.twimg.com/profile_banners/1027501035353337857/1598679767")</f>
        <v>https://pbs.twimg.com/profile_banners/1027501035353337857/1598679767</v>
      </c>
      <c r="AQ1230" s="80" t="b">
        <v>1</v>
      </c>
      <c r="AR1230" s="80" t="b">
        <v>0</v>
      </c>
      <c r="AS1230" s="80" t="b">
        <v>0</v>
      </c>
      <c r="AT1230" s="80"/>
      <c r="AU1230" s="80">
        <v>1</v>
      </c>
      <c r="AV1230" s="80"/>
      <c r="AW1230" s="80" t="b">
        <v>0</v>
      </c>
      <c r="AX1230" s="80" t="s">
        <v>10746</v>
      </c>
      <c r="AY1230" s="87" t="str">
        <f>HYPERLINK("https://twitter.com/b4esuzypuji")</f>
        <v>https://twitter.com/b4esuzypuji</v>
      </c>
      <c r="AZ1230" s="80" t="s">
        <v>66</v>
      </c>
      <c r="BA1230" s="2"/>
      <c r="BB1230" s="3"/>
      <c r="BC1230" s="3"/>
      <c r="BD1230" s="3"/>
      <c r="BE1230" s="3"/>
    </row>
    <row r="1231" spans="1:57" x14ac:dyDescent="0.35">
      <c r="A1231" s="66" t="s">
        <v>1198</v>
      </c>
      <c r="B1231" s="67"/>
      <c r="C1231" s="67"/>
      <c r="D1231" s="68"/>
      <c r="E1231" s="70"/>
      <c r="F1231" s="109" t="str">
        <f>HYPERLINK("https://pbs.twimg.com/profile_images/1381996153596604417/DEglrE2s_normal.jpg")</f>
        <v>https://pbs.twimg.com/profile_images/1381996153596604417/DEglrE2s_normal.jpg</v>
      </c>
      <c r="G1231" s="67"/>
      <c r="H1231" s="71"/>
      <c r="I1231" s="72"/>
      <c r="J1231" s="72"/>
      <c r="K1231" s="71" t="s">
        <v>11974</v>
      </c>
      <c r="L1231" s="75"/>
      <c r="M1231" s="76"/>
      <c r="N1231" s="76"/>
      <c r="O1231" s="77"/>
      <c r="P1231" s="78"/>
      <c r="Q1231" s="78"/>
      <c r="R1231" s="92"/>
      <c r="S1231" s="92"/>
      <c r="T1231" s="92"/>
      <c r="U1231" s="92"/>
      <c r="V1231" s="52"/>
      <c r="W1231" s="52"/>
      <c r="X1231" s="52"/>
      <c r="Y1231" s="52"/>
      <c r="Z1231" s="51"/>
      <c r="AA1231" s="73"/>
      <c r="AB1231" s="73"/>
      <c r="AC1231" s="74"/>
      <c r="AD1231" s="80" t="s">
        <v>7786</v>
      </c>
      <c r="AE1231" s="85" t="s">
        <v>8887</v>
      </c>
      <c r="AF1231" s="80">
        <v>580</v>
      </c>
      <c r="AG1231" s="80">
        <v>391</v>
      </c>
      <c r="AH1231" s="80">
        <v>19251</v>
      </c>
      <c r="AI1231" s="80">
        <v>2398</v>
      </c>
      <c r="AJ1231" s="80"/>
      <c r="AK1231" s="80" t="s">
        <v>10052</v>
      </c>
      <c r="AL1231" s="80" t="s">
        <v>10182</v>
      </c>
      <c r="AM1231" s="80"/>
      <c r="AN1231" s="80"/>
      <c r="AO1231" s="82">
        <v>43026.179814814815</v>
      </c>
      <c r="AP1231" s="87" t="str">
        <f>HYPERLINK("https://pbs.twimg.com/profile_banners/920504443799572480/1620663878")</f>
        <v>https://pbs.twimg.com/profile_banners/920504443799572480/1620663878</v>
      </c>
      <c r="AQ1231" s="80" t="b">
        <v>1</v>
      </c>
      <c r="AR1231" s="80" t="b">
        <v>0</v>
      </c>
      <c r="AS1231" s="80" t="b">
        <v>1</v>
      </c>
      <c r="AT1231" s="80"/>
      <c r="AU1231" s="80">
        <v>1</v>
      </c>
      <c r="AV1231" s="80"/>
      <c r="AW1231" s="80" t="b">
        <v>0</v>
      </c>
      <c r="AX1231" s="80" t="s">
        <v>10746</v>
      </c>
      <c r="AY1231" s="87" t="str">
        <f>HYPERLINK("https://twitter.com/adarndresser")</f>
        <v>https://twitter.com/adarndresser</v>
      </c>
      <c r="AZ1231" s="80" t="s">
        <v>66</v>
      </c>
      <c r="BA1231" s="2"/>
      <c r="BB1231" s="3"/>
      <c r="BC1231" s="3"/>
      <c r="BD1231" s="3"/>
      <c r="BE1231" s="3"/>
    </row>
    <row r="1232" spans="1:57" x14ac:dyDescent="0.35">
      <c r="A1232" s="66" t="s">
        <v>1199</v>
      </c>
      <c r="B1232" s="67"/>
      <c r="C1232" s="67"/>
      <c r="D1232" s="68"/>
      <c r="E1232" s="70"/>
      <c r="F1232" s="109" t="str">
        <f>HYPERLINK("https://pbs.twimg.com/profile_images/1405138706256699393/e9YJeydz_normal.jpg")</f>
        <v>https://pbs.twimg.com/profile_images/1405138706256699393/e9YJeydz_normal.jpg</v>
      </c>
      <c r="G1232" s="67"/>
      <c r="H1232" s="71"/>
      <c r="I1232" s="72"/>
      <c r="J1232" s="72"/>
      <c r="K1232" s="71" t="s">
        <v>11975</v>
      </c>
      <c r="L1232" s="75"/>
      <c r="M1232" s="76"/>
      <c r="N1232" s="76"/>
      <c r="O1232" s="77"/>
      <c r="P1232" s="78"/>
      <c r="Q1232" s="78"/>
      <c r="R1232" s="92"/>
      <c r="S1232" s="92"/>
      <c r="T1232" s="92"/>
      <c r="U1232" s="92"/>
      <c r="V1232" s="52"/>
      <c r="W1232" s="52"/>
      <c r="X1232" s="52"/>
      <c r="Y1232" s="52"/>
      <c r="Z1232" s="51"/>
      <c r="AA1232" s="73"/>
      <c r="AB1232" s="73"/>
      <c r="AC1232" s="74"/>
      <c r="AD1232" s="80" t="s">
        <v>7787</v>
      </c>
      <c r="AE1232" s="85" t="s">
        <v>8888</v>
      </c>
      <c r="AF1232" s="80">
        <v>1932</v>
      </c>
      <c r="AG1232" s="80">
        <v>820</v>
      </c>
      <c r="AH1232" s="80">
        <v>28939</v>
      </c>
      <c r="AI1232" s="80">
        <v>15142</v>
      </c>
      <c r="AJ1232" s="80"/>
      <c r="AK1232" s="80" t="s">
        <v>10053</v>
      </c>
      <c r="AL1232" s="80"/>
      <c r="AM1232" s="80"/>
      <c r="AN1232" s="80"/>
      <c r="AO1232" s="82">
        <v>44332.09202546296</v>
      </c>
      <c r="AP1232" s="87" t="str">
        <f>HYPERLINK("https://pbs.twimg.com/profile_banners/1393751130983698435/1623469159")</f>
        <v>https://pbs.twimg.com/profile_banners/1393751130983698435/1623469159</v>
      </c>
      <c r="AQ1232" s="80" t="b">
        <v>1</v>
      </c>
      <c r="AR1232" s="80" t="b">
        <v>0</v>
      </c>
      <c r="AS1232" s="80" t="b">
        <v>0</v>
      </c>
      <c r="AT1232" s="80"/>
      <c r="AU1232" s="80">
        <v>0</v>
      </c>
      <c r="AV1232" s="80"/>
      <c r="AW1232" s="80" t="b">
        <v>0</v>
      </c>
      <c r="AX1232" s="80" t="s">
        <v>10746</v>
      </c>
      <c r="AY1232" s="87" t="str">
        <f>HYPERLINK("https://twitter.com/3andalas")</f>
        <v>https://twitter.com/3andalas</v>
      </c>
      <c r="AZ1232" s="80" t="s">
        <v>66</v>
      </c>
      <c r="BA1232" s="2"/>
      <c r="BB1232" s="3"/>
      <c r="BC1232" s="3"/>
      <c r="BD1232" s="3"/>
      <c r="BE1232" s="3"/>
    </row>
    <row r="1233" spans="1:57" x14ac:dyDescent="0.35">
      <c r="A1233" s="66" t="s">
        <v>1200</v>
      </c>
      <c r="B1233" s="67"/>
      <c r="C1233" s="67"/>
      <c r="D1233" s="68"/>
      <c r="E1233" s="70"/>
      <c r="F1233" s="109" t="str">
        <f>HYPERLINK("https://pbs.twimg.com/profile_images/1435255940261945345/8cWLDflm_normal.jpg")</f>
        <v>https://pbs.twimg.com/profile_images/1435255940261945345/8cWLDflm_normal.jpg</v>
      </c>
      <c r="G1233" s="67"/>
      <c r="H1233" s="71"/>
      <c r="I1233" s="72"/>
      <c r="J1233" s="72"/>
      <c r="K1233" s="71" t="s">
        <v>11976</v>
      </c>
      <c r="L1233" s="75"/>
      <c r="M1233" s="76"/>
      <c r="N1233" s="76"/>
      <c r="O1233" s="77"/>
      <c r="P1233" s="78"/>
      <c r="Q1233" s="78"/>
      <c r="R1233" s="92"/>
      <c r="S1233" s="92"/>
      <c r="T1233" s="92"/>
      <c r="U1233" s="92"/>
      <c r="V1233" s="52"/>
      <c r="W1233" s="52"/>
      <c r="X1233" s="52"/>
      <c r="Y1233" s="52"/>
      <c r="Z1233" s="51"/>
      <c r="AA1233" s="73"/>
      <c r="AB1233" s="73"/>
      <c r="AC1233" s="74"/>
      <c r="AD1233" s="80" t="s">
        <v>7788</v>
      </c>
      <c r="AE1233" s="85" t="s">
        <v>8889</v>
      </c>
      <c r="AF1233" s="80">
        <v>578</v>
      </c>
      <c r="AG1233" s="80">
        <v>7577</v>
      </c>
      <c r="AH1233" s="80">
        <v>72981</v>
      </c>
      <c r="AI1233" s="80">
        <v>1698</v>
      </c>
      <c r="AJ1233" s="80"/>
      <c r="AK1233" s="80" t="s">
        <v>10054</v>
      </c>
      <c r="AL1233" s="80" t="s">
        <v>10664</v>
      </c>
      <c r="AM1233" s="80"/>
      <c r="AN1233" s="80"/>
      <c r="AO1233" s="82">
        <v>41543.042233796295</v>
      </c>
      <c r="AP1233" s="87" t="str">
        <f>HYPERLINK("https://pbs.twimg.com/profile_banners/1905983730/1622392419")</f>
        <v>https://pbs.twimg.com/profile_banners/1905983730/1622392419</v>
      </c>
      <c r="AQ1233" s="80" t="b">
        <v>0</v>
      </c>
      <c r="AR1233" s="80" t="b">
        <v>0</v>
      </c>
      <c r="AS1233" s="80" t="b">
        <v>1</v>
      </c>
      <c r="AT1233" s="80"/>
      <c r="AU1233" s="80">
        <v>16</v>
      </c>
      <c r="AV1233" s="87" t="str">
        <f>HYPERLINK("https://abs.twimg.com/images/themes/theme11/bg.gif")</f>
        <v>https://abs.twimg.com/images/themes/theme11/bg.gif</v>
      </c>
      <c r="AW1233" s="80" t="b">
        <v>0</v>
      </c>
      <c r="AX1233" s="80" t="s">
        <v>10746</v>
      </c>
      <c r="AY1233" s="87" t="str">
        <f>HYPERLINK("https://twitter.com/astritriast")</f>
        <v>https://twitter.com/astritriast</v>
      </c>
      <c r="AZ1233" s="80" t="s">
        <v>66</v>
      </c>
      <c r="BA1233" s="2"/>
      <c r="BB1233" s="3"/>
      <c r="BC1233" s="3"/>
      <c r="BD1233" s="3"/>
      <c r="BE1233" s="3"/>
    </row>
    <row r="1234" spans="1:57" x14ac:dyDescent="0.35">
      <c r="A1234" s="66" t="s">
        <v>1202</v>
      </c>
      <c r="B1234" s="67"/>
      <c r="C1234" s="67"/>
      <c r="D1234" s="68"/>
      <c r="E1234" s="70"/>
      <c r="F1234" s="109" t="str">
        <f>HYPERLINK("https://pbs.twimg.com/profile_images/1438105833003388930/JZDCM4xt_normal.jpg")</f>
        <v>https://pbs.twimg.com/profile_images/1438105833003388930/JZDCM4xt_normal.jpg</v>
      </c>
      <c r="G1234" s="67"/>
      <c r="H1234" s="71"/>
      <c r="I1234" s="72"/>
      <c r="J1234" s="72"/>
      <c r="K1234" s="71" t="s">
        <v>11977</v>
      </c>
      <c r="L1234" s="75"/>
      <c r="M1234" s="76"/>
      <c r="N1234" s="76"/>
      <c r="O1234" s="77"/>
      <c r="P1234" s="78"/>
      <c r="Q1234" s="78"/>
      <c r="R1234" s="92"/>
      <c r="S1234" s="92"/>
      <c r="T1234" s="92"/>
      <c r="U1234" s="92"/>
      <c r="V1234" s="52"/>
      <c r="W1234" s="52"/>
      <c r="X1234" s="52"/>
      <c r="Y1234" s="52"/>
      <c r="Z1234" s="51"/>
      <c r="AA1234" s="73"/>
      <c r="AB1234" s="73"/>
      <c r="AC1234" s="74"/>
      <c r="AD1234" s="80" t="s">
        <v>7789</v>
      </c>
      <c r="AE1234" s="85" t="s">
        <v>8890</v>
      </c>
      <c r="AF1234" s="80">
        <v>170</v>
      </c>
      <c r="AG1234" s="80">
        <v>114</v>
      </c>
      <c r="AH1234" s="80">
        <v>24922</v>
      </c>
      <c r="AI1234" s="80">
        <v>43713</v>
      </c>
      <c r="AJ1234" s="80"/>
      <c r="AK1234" s="80" t="s">
        <v>10055</v>
      </c>
      <c r="AL1234" s="80" t="s">
        <v>10717</v>
      </c>
      <c r="AM1234" s="80"/>
      <c r="AN1234" s="80"/>
      <c r="AO1234" s="82">
        <v>43506.197372685187</v>
      </c>
      <c r="AP1234" s="87" t="str">
        <f>HYPERLINK("https://pbs.twimg.com/profile_banners/1094456984101826560/1631706053")</f>
        <v>https://pbs.twimg.com/profile_banners/1094456984101826560/1631706053</v>
      </c>
      <c r="AQ1234" s="80" t="b">
        <v>1</v>
      </c>
      <c r="AR1234" s="80" t="b">
        <v>0</v>
      </c>
      <c r="AS1234" s="80" t="b">
        <v>0</v>
      </c>
      <c r="AT1234" s="80"/>
      <c r="AU1234" s="80">
        <v>0</v>
      </c>
      <c r="AV1234" s="80"/>
      <c r="AW1234" s="80" t="b">
        <v>0</v>
      </c>
      <c r="AX1234" s="80" t="s">
        <v>10746</v>
      </c>
      <c r="AY1234" s="87" t="str">
        <f>HYPERLINK("https://twitter.com/littleboozi")</f>
        <v>https://twitter.com/littleboozi</v>
      </c>
      <c r="AZ1234" s="80" t="s">
        <v>66</v>
      </c>
      <c r="BA1234" s="2"/>
      <c r="BB1234" s="3"/>
      <c r="BC1234" s="3"/>
      <c r="BD1234" s="3"/>
      <c r="BE1234" s="3"/>
    </row>
    <row r="1235" spans="1:57" x14ac:dyDescent="0.35">
      <c r="A1235" s="66" t="s">
        <v>1203</v>
      </c>
      <c r="B1235" s="67"/>
      <c r="C1235" s="67"/>
      <c r="D1235" s="68"/>
      <c r="E1235" s="70"/>
      <c r="F1235" s="109" t="str">
        <f>HYPERLINK("https://pbs.twimg.com/profile_images/1442525822468845570/JCnn5yKS_normal.jpg")</f>
        <v>https://pbs.twimg.com/profile_images/1442525822468845570/JCnn5yKS_normal.jpg</v>
      </c>
      <c r="G1235" s="67"/>
      <c r="H1235" s="71"/>
      <c r="I1235" s="72"/>
      <c r="J1235" s="72"/>
      <c r="K1235" s="71" t="s">
        <v>11978</v>
      </c>
      <c r="L1235" s="75"/>
      <c r="M1235" s="76"/>
      <c r="N1235" s="76"/>
      <c r="O1235" s="77"/>
      <c r="P1235" s="78"/>
      <c r="Q1235" s="78"/>
      <c r="R1235" s="92"/>
      <c r="S1235" s="92"/>
      <c r="T1235" s="92"/>
      <c r="U1235" s="92"/>
      <c r="V1235" s="52"/>
      <c r="W1235" s="52"/>
      <c r="X1235" s="52"/>
      <c r="Y1235" s="52"/>
      <c r="Z1235" s="51"/>
      <c r="AA1235" s="73"/>
      <c r="AB1235" s="73"/>
      <c r="AC1235" s="74"/>
      <c r="AD1235" s="80" t="s">
        <v>7790</v>
      </c>
      <c r="AE1235" s="85" t="s">
        <v>8891</v>
      </c>
      <c r="AF1235" s="80">
        <v>76</v>
      </c>
      <c r="AG1235" s="80">
        <v>67</v>
      </c>
      <c r="AH1235" s="80">
        <v>42</v>
      </c>
      <c r="AI1235" s="80">
        <v>9</v>
      </c>
      <c r="AJ1235" s="80"/>
      <c r="AK1235" s="80" t="s">
        <v>10056</v>
      </c>
      <c r="AL1235" s="80" t="s">
        <v>6543</v>
      </c>
      <c r="AM1235" s="80"/>
      <c r="AN1235" s="80"/>
      <c r="AO1235" s="82">
        <v>41458.523796296293</v>
      </c>
      <c r="AP1235" s="80"/>
      <c r="AQ1235" s="80" t="b">
        <v>1</v>
      </c>
      <c r="AR1235" s="80" t="b">
        <v>0</v>
      </c>
      <c r="AS1235" s="80" t="b">
        <v>0</v>
      </c>
      <c r="AT1235" s="80"/>
      <c r="AU1235" s="80">
        <v>0</v>
      </c>
      <c r="AV1235" s="87" t="str">
        <f>HYPERLINK("https://abs.twimg.com/images/themes/theme1/bg.png")</f>
        <v>https://abs.twimg.com/images/themes/theme1/bg.png</v>
      </c>
      <c r="AW1235" s="80" t="b">
        <v>0</v>
      </c>
      <c r="AX1235" s="80" t="s">
        <v>10746</v>
      </c>
      <c r="AY1235" s="87" t="str">
        <f>HYPERLINK("https://twitter.com/cherlyalviani")</f>
        <v>https://twitter.com/cherlyalviani</v>
      </c>
      <c r="AZ1235" s="80" t="s">
        <v>66</v>
      </c>
      <c r="BA1235" s="2"/>
      <c r="BB1235" s="3"/>
      <c r="BC1235" s="3"/>
      <c r="BD1235" s="3"/>
      <c r="BE1235" s="3"/>
    </row>
    <row r="1236" spans="1:57" x14ac:dyDescent="0.35">
      <c r="A1236" s="66" t="s">
        <v>1205</v>
      </c>
      <c r="B1236" s="67"/>
      <c r="C1236" s="67"/>
      <c r="D1236" s="68"/>
      <c r="E1236" s="70"/>
      <c r="F1236" s="109" t="str">
        <f>HYPERLINK("https://pbs.twimg.com/profile_images/1420000807534030855/FqO_nP8Y_normal.jpg")</f>
        <v>https://pbs.twimg.com/profile_images/1420000807534030855/FqO_nP8Y_normal.jpg</v>
      </c>
      <c r="G1236" s="67"/>
      <c r="H1236" s="71"/>
      <c r="I1236" s="72"/>
      <c r="J1236" s="72"/>
      <c r="K1236" s="71" t="s">
        <v>11979</v>
      </c>
      <c r="L1236" s="75"/>
      <c r="M1236" s="76"/>
      <c r="N1236" s="76"/>
      <c r="O1236" s="77"/>
      <c r="P1236" s="78"/>
      <c r="Q1236" s="78"/>
      <c r="R1236" s="92"/>
      <c r="S1236" s="92"/>
      <c r="T1236" s="92"/>
      <c r="U1236" s="92"/>
      <c r="V1236" s="52"/>
      <c r="W1236" s="52"/>
      <c r="X1236" s="52"/>
      <c r="Y1236" s="52"/>
      <c r="Z1236" s="51"/>
      <c r="AA1236" s="73"/>
      <c r="AB1236" s="73"/>
      <c r="AC1236" s="74"/>
      <c r="AD1236" s="80" t="s">
        <v>7791</v>
      </c>
      <c r="AE1236" s="85" t="s">
        <v>8892</v>
      </c>
      <c r="AF1236" s="80">
        <v>922</v>
      </c>
      <c r="AG1236" s="80">
        <v>1061</v>
      </c>
      <c r="AH1236" s="80">
        <v>38596</v>
      </c>
      <c r="AI1236" s="80">
        <v>11566</v>
      </c>
      <c r="AJ1236" s="80"/>
      <c r="AK1236" s="80" t="s">
        <v>10057</v>
      </c>
      <c r="AL1236" s="80" t="s">
        <v>10718</v>
      </c>
      <c r="AM1236" s="80"/>
      <c r="AN1236" s="80"/>
      <c r="AO1236" s="82">
        <v>40224.583148148151</v>
      </c>
      <c r="AP1236" s="87" t="str">
        <f>HYPERLINK("https://pbs.twimg.com/profile_banners/114461725/1603200389")</f>
        <v>https://pbs.twimg.com/profile_banners/114461725/1603200389</v>
      </c>
      <c r="AQ1236" s="80" t="b">
        <v>0</v>
      </c>
      <c r="AR1236" s="80" t="b">
        <v>0</v>
      </c>
      <c r="AS1236" s="80" t="b">
        <v>1</v>
      </c>
      <c r="AT1236" s="80"/>
      <c r="AU1236" s="80">
        <v>3</v>
      </c>
      <c r="AV1236" s="87" t="str">
        <f>HYPERLINK("https://abs.twimg.com/images/themes/theme19/bg.gif")</f>
        <v>https://abs.twimg.com/images/themes/theme19/bg.gif</v>
      </c>
      <c r="AW1236" s="80" t="b">
        <v>0</v>
      </c>
      <c r="AX1236" s="80" t="s">
        <v>10746</v>
      </c>
      <c r="AY1236" s="87" t="str">
        <f>HYPERLINK("https://twitter.com/nasruddinharon")</f>
        <v>https://twitter.com/nasruddinharon</v>
      </c>
      <c r="AZ1236" s="80" t="s">
        <v>66</v>
      </c>
      <c r="BA1236" s="2"/>
      <c r="BB1236" s="3"/>
      <c r="BC1236" s="3"/>
      <c r="BD1236" s="3"/>
      <c r="BE1236" s="3"/>
    </row>
    <row r="1237" spans="1:57" x14ac:dyDescent="0.35">
      <c r="A1237" s="66" t="s">
        <v>1206</v>
      </c>
      <c r="B1237" s="67"/>
      <c r="C1237" s="67"/>
      <c r="D1237" s="68"/>
      <c r="E1237" s="70"/>
      <c r="F1237" s="109" t="str">
        <f>HYPERLINK("https://pbs.twimg.com/profile_images/1372840156772724744/MFPpvakq_normal.jpg")</f>
        <v>https://pbs.twimg.com/profile_images/1372840156772724744/MFPpvakq_normal.jpg</v>
      </c>
      <c r="G1237" s="67"/>
      <c r="H1237" s="71"/>
      <c r="I1237" s="72"/>
      <c r="J1237" s="72"/>
      <c r="K1237" s="71" t="s">
        <v>11980</v>
      </c>
      <c r="L1237" s="75"/>
      <c r="M1237" s="76"/>
      <c r="N1237" s="76"/>
      <c r="O1237" s="77"/>
      <c r="P1237" s="78"/>
      <c r="Q1237" s="78"/>
      <c r="R1237" s="92"/>
      <c r="S1237" s="92"/>
      <c r="T1237" s="92"/>
      <c r="U1237" s="92"/>
      <c r="V1237" s="52"/>
      <c r="W1237" s="52"/>
      <c r="X1237" s="52"/>
      <c r="Y1237" s="52"/>
      <c r="Z1237" s="51"/>
      <c r="AA1237" s="73"/>
      <c r="AB1237" s="73"/>
      <c r="AC1237" s="74"/>
      <c r="AD1237" s="80" t="s">
        <v>7792</v>
      </c>
      <c r="AE1237" s="85" t="s">
        <v>8893</v>
      </c>
      <c r="AF1237" s="80">
        <v>1003</v>
      </c>
      <c r="AG1237" s="80">
        <v>331</v>
      </c>
      <c r="AH1237" s="80">
        <v>59016</v>
      </c>
      <c r="AI1237" s="80">
        <v>2313</v>
      </c>
      <c r="AJ1237" s="80"/>
      <c r="AK1237" s="80" t="s">
        <v>10058</v>
      </c>
      <c r="AL1237" s="80" t="s">
        <v>10615</v>
      </c>
      <c r="AM1237" s="80"/>
      <c r="AN1237" s="80"/>
      <c r="AO1237" s="82">
        <v>41241.04184027778</v>
      </c>
      <c r="AP1237" s="87" t="str">
        <f>HYPERLINK("https://pbs.twimg.com/profile_banners/975087757/1455193061")</f>
        <v>https://pbs.twimg.com/profile_banners/975087757/1455193061</v>
      </c>
      <c r="AQ1237" s="80" t="b">
        <v>0</v>
      </c>
      <c r="AR1237" s="80" t="b">
        <v>0</v>
      </c>
      <c r="AS1237" s="80" t="b">
        <v>0</v>
      </c>
      <c r="AT1237" s="80"/>
      <c r="AU1237" s="80">
        <v>2</v>
      </c>
      <c r="AV1237" s="87" t="str">
        <f>HYPERLINK("https://abs.twimg.com/images/themes/theme1/bg.png")</f>
        <v>https://abs.twimg.com/images/themes/theme1/bg.png</v>
      </c>
      <c r="AW1237" s="80" t="b">
        <v>0</v>
      </c>
      <c r="AX1237" s="80" t="s">
        <v>10746</v>
      </c>
      <c r="AY1237" s="87" t="str">
        <f>HYPERLINK("https://twitter.com/mpo_ani")</f>
        <v>https://twitter.com/mpo_ani</v>
      </c>
      <c r="AZ1237" s="80" t="s">
        <v>66</v>
      </c>
      <c r="BA1237" s="2"/>
      <c r="BB1237" s="3"/>
      <c r="BC1237" s="3"/>
      <c r="BD1237" s="3"/>
      <c r="BE1237" s="3"/>
    </row>
    <row r="1238" spans="1:57" x14ac:dyDescent="0.35">
      <c r="A1238" s="66" t="s">
        <v>1207</v>
      </c>
      <c r="B1238" s="67"/>
      <c r="C1238" s="67"/>
      <c r="D1238" s="68"/>
      <c r="E1238" s="70"/>
      <c r="F1238" s="109" t="str">
        <f>HYPERLINK("https://pbs.twimg.com/profile_images/1428009614474301440/eUhd8Mhe_normal.jpg")</f>
        <v>https://pbs.twimg.com/profile_images/1428009614474301440/eUhd8Mhe_normal.jpg</v>
      </c>
      <c r="G1238" s="67"/>
      <c r="H1238" s="71"/>
      <c r="I1238" s="72"/>
      <c r="J1238" s="72"/>
      <c r="K1238" s="71" t="s">
        <v>11981</v>
      </c>
      <c r="L1238" s="75"/>
      <c r="M1238" s="76"/>
      <c r="N1238" s="76"/>
      <c r="O1238" s="77"/>
      <c r="P1238" s="78"/>
      <c r="Q1238" s="78"/>
      <c r="R1238" s="92"/>
      <c r="S1238" s="92"/>
      <c r="T1238" s="92"/>
      <c r="U1238" s="92"/>
      <c r="V1238" s="52"/>
      <c r="W1238" s="52"/>
      <c r="X1238" s="52"/>
      <c r="Y1238" s="52"/>
      <c r="Z1238" s="51"/>
      <c r="AA1238" s="73"/>
      <c r="AB1238" s="73"/>
      <c r="AC1238" s="74"/>
      <c r="AD1238" s="80" t="s">
        <v>7793</v>
      </c>
      <c r="AE1238" s="85" t="s">
        <v>8894</v>
      </c>
      <c r="AF1238" s="80">
        <v>3026</v>
      </c>
      <c r="AG1238" s="80">
        <v>2870</v>
      </c>
      <c r="AH1238" s="80">
        <v>11083</v>
      </c>
      <c r="AI1238" s="80">
        <v>18223</v>
      </c>
      <c r="AJ1238" s="80"/>
      <c r="AK1238" s="80" t="s">
        <v>10059</v>
      </c>
      <c r="AL1238" s="80"/>
      <c r="AM1238" s="80"/>
      <c r="AN1238" s="80"/>
      <c r="AO1238" s="82">
        <v>44346.162152777775</v>
      </c>
      <c r="AP1238" s="87" t="str">
        <f>HYPERLINK("https://pbs.twimg.com/profile_banners/1398849952881668099/1627746664")</f>
        <v>https://pbs.twimg.com/profile_banners/1398849952881668099/1627746664</v>
      </c>
      <c r="AQ1238" s="80" t="b">
        <v>1</v>
      </c>
      <c r="AR1238" s="80" t="b">
        <v>0</v>
      </c>
      <c r="AS1238" s="80" t="b">
        <v>1</v>
      </c>
      <c r="AT1238" s="80"/>
      <c r="AU1238" s="80">
        <v>0</v>
      </c>
      <c r="AV1238" s="80"/>
      <c r="AW1238" s="80" t="b">
        <v>0</v>
      </c>
      <c r="AX1238" s="80" t="s">
        <v>10746</v>
      </c>
      <c r="AY1238" s="87" t="str">
        <f>HYPERLINK("https://twitter.com/alkecilsaja")</f>
        <v>https://twitter.com/alkecilsaja</v>
      </c>
      <c r="AZ1238" s="80" t="s">
        <v>66</v>
      </c>
      <c r="BA1238" s="2"/>
      <c r="BB1238" s="3"/>
      <c r="BC1238" s="3"/>
      <c r="BD1238" s="3"/>
      <c r="BE1238" s="3"/>
    </row>
    <row r="1239" spans="1:57" x14ac:dyDescent="0.35">
      <c r="A1239" s="66" t="s">
        <v>1208</v>
      </c>
      <c r="B1239" s="67"/>
      <c r="C1239" s="67"/>
      <c r="D1239" s="68"/>
      <c r="E1239" s="70"/>
      <c r="F1239" s="109" t="str">
        <f>HYPERLINK("https://pbs.twimg.com/profile_images/1432063690627448835/jHPVXIcO_normal.jpg")</f>
        <v>https://pbs.twimg.com/profile_images/1432063690627448835/jHPVXIcO_normal.jpg</v>
      </c>
      <c r="G1239" s="67"/>
      <c r="H1239" s="71"/>
      <c r="I1239" s="72"/>
      <c r="J1239" s="72"/>
      <c r="K1239" s="71" t="s">
        <v>11982</v>
      </c>
      <c r="L1239" s="75"/>
      <c r="M1239" s="76"/>
      <c r="N1239" s="76"/>
      <c r="O1239" s="77"/>
      <c r="P1239" s="78"/>
      <c r="Q1239" s="78"/>
      <c r="R1239" s="92"/>
      <c r="S1239" s="92"/>
      <c r="T1239" s="92"/>
      <c r="U1239" s="92"/>
      <c r="V1239" s="52"/>
      <c r="W1239" s="52"/>
      <c r="X1239" s="52"/>
      <c r="Y1239" s="52"/>
      <c r="Z1239" s="51"/>
      <c r="AA1239" s="73"/>
      <c r="AB1239" s="73"/>
      <c r="AC1239" s="74"/>
      <c r="AD1239" s="80" t="s">
        <v>7794</v>
      </c>
      <c r="AE1239" s="85" t="s">
        <v>8895</v>
      </c>
      <c r="AF1239" s="80">
        <v>2104</v>
      </c>
      <c r="AG1239" s="80">
        <v>2977</v>
      </c>
      <c r="AH1239" s="80">
        <v>21018</v>
      </c>
      <c r="AI1239" s="80">
        <v>24523</v>
      </c>
      <c r="AJ1239" s="80"/>
      <c r="AK1239" s="80"/>
      <c r="AL1239" s="80"/>
      <c r="AM1239" s="80"/>
      <c r="AN1239" s="80"/>
      <c r="AO1239" s="82">
        <v>43352.758437500001</v>
      </c>
      <c r="AP1239" s="87" t="str">
        <f>HYPERLINK("https://pbs.twimg.com/profile_banners/1038852574378582017/1619336275")</f>
        <v>https://pbs.twimg.com/profile_banners/1038852574378582017/1619336275</v>
      </c>
      <c r="AQ1239" s="80" t="b">
        <v>1</v>
      </c>
      <c r="AR1239" s="80" t="b">
        <v>0</v>
      </c>
      <c r="AS1239" s="80" t="b">
        <v>1</v>
      </c>
      <c r="AT1239" s="80"/>
      <c r="AU1239" s="80">
        <v>1</v>
      </c>
      <c r="AV1239" s="80"/>
      <c r="AW1239" s="80" t="b">
        <v>0</v>
      </c>
      <c r="AX1239" s="80" t="s">
        <v>10746</v>
      </c>
      <c r="AY1239" s="87" t="str">
        <f>HYPERLINK("https://twitter.com/yanguning2")</f>
        <v>https://twitter.com/yanguning2</v>
      </c>
      <c r="AZ1239" s="80" t="s">
        <v>66</v>
      </c>
      <c r="BA1239" s="2"/>
      <c r="BB1239" s="3"/>
      <c r="BC1239" s="3"/>
      <c r="BD1239" s="3"/>
      <c r="BE1239" s="3"/>
    </row>
    <row r="1240" spans="1:57" x14ac:dyDescent="0.35">
      <c r="A1240" s="66" t="s">
        <v>1509</v>
      </c>
      <c r="B1240" s="67"/>
      <c r="C1240" s="67"/>
      <c r="D1240" s="68"/>
      <c r="E1240" s="70"/>
      <c r="F1240" s="109" t="str">
        <f>HYPERLINK("https://pbs.twimg.com/profile_images/1441537146410524680/zMguAtYS_normal.jpg")</f>
        <v>https://pbs.twimg.com/profile_images/1441537146410524680/zMguAtYS_normal.jpg</v>
      </c>
      <c r="G1240" s="67"/>
      <c r="H1240" s="71"/>
      <c r="I1240" s="72"/>
      <c r="J1240" s="72"/>
      <c r="K1240" s="71" t="s">
        <v>11983</v>
      </c>
      <c r="L1240" s="75"/>
      <c r="M1240" s="76"/>
      <c r="N1240" s="76"/>
      <c r="O1240" s="77"/>
      <c r="P1240" s="78"/>
      <c r="Q1240" s="78"/>
      <c r="R1240" s="92"/>
      <c r="S1240" s="92"/>
      <c r="T1240" s="92"/>
      <c r="U1240" s="92"/>
      <c r="V1240" s="52"/>
      <c r="W1240" s="52"/>
      <c r="X1240" s="52"/>
      <c r="Y1240" s="52"/>
      <c r="Z1240" s="51"/>
      <c r="AA1240" s="73"/>
      <c r="AB1240" s="73"/>
      <c r="AC1240" s="74"/>
      <c r="AD1240" s="80" t="s">
        <v>7795</v>
      </c>
      <c r="AE1240" s="85" t="s">
        <v>8896</v>
      </c>
      <c r="AF1240" s="80">
        <v>10936</v>
      </c>
      <c r="AG1240" s="80">
        <v>40006</v>
      </c>
      <c r="AH1240" s="80">
        <v>157328</v>
      </c>
      <c r="AI1240" s="80">
        <v>148533</v>
      </c>
      <c r="AJ1240" s="80"/>
      <c r="AK1240" s="80" t="s">
        <v>10060</v>
      </c>
      <c r="AL1240" s="80" t="s">
        <v>10719</v>
      </c>
      <c r="AM1240" s="87" t="str">
        <f>HYPERLINK("https://t.co/IjXcLYvrSb")</f>
        <v>https://t.co/IjXcLYvrSb</v>
      </c>
      <c r="AN1240" s="80"/>
      <c r="AO1240" s="82">
        <v>43022.141562500001</v>
      </c>
      <c r="AP1240" s="87" t="str">
        <f>HYPERLINK("https://pbs.twimg.com/profile_banners/919041029214429184/1631724356")</f>
        <v>https://pbs.twimg.com/profile_banners/919041029214429184/1631724356</v>
      </c>
      <c r="AQ1240" s="80" t="b">
        <v>1</v>
      </c>
      <c r="AR1240" s="80" t="b">
        <v>0</v>
      </c>
      <c r="AS1240" s="80" t="b">
        <v>1</v>
      </c>
      <c r="AT1240" s="80"/>
      <c r="AU1240" s="80">
        <v>9</v>
      </c>
      <c r="AV1240" s="80"/>
      <c r="AW1240" s="80" t="b">
        <v>0</v>
      </c>
      <c r="AX1240" s="80" t="s">
        <v>10746</v>
      </c>
      <c r="AY1240" s="87" t="str">
        <f>HYPERLINK("https://twitter.com/nitarose38")</f>
        <v>https://twitter.com/nitarose38</v>
      </c>
      <c r="AZ1240" s="80" t="s">
        <v>65</v>
      </c>
      <c r="BA1240" s="2"/>
      <c r="BB1240" s="3"/>
      <c r="BC1240" s="3"/>
      <c r="BD1240" s="3"/>
      <c r="BE1240" s="3"/>
    </row>
    <row r="1241" spans="1:57" x14ac:dyDescent="0.35">
      <c r="A1241" s="66" t="s">
        <v>1510</v>
      </c>
      <c r="B1241" s="67"/>
      <c r="C1241" s="67"/>
      <c r="D1241" s="68"/>
      <c r="E1241" s="70"/>
      <c r="F1241" s="109" t="str">
        <f>HYPERLINK("https://pbs.twimg.com/profile_images/1439985373187215364/iiwwyQb2_normal.jpg")</f>
        <v>https://pbs.twimg.com/profile_images/1439985373187215364/iiwwyQb2_normal.jpg</v>
      </c>
      <c r="G1241" s="67"/>
      <c r="H1241" s="71"/>
      <c r="I1241" s="72"/>
      <c r="J1241" s="72"/>
      <c r="K1241" s="71" t="s">
        <v>11984</v>
      </c>
      <c r="L1241" s="75"/>
      <c r="M1241" s="76"/>
      <c r="N1241" s="76"/>
      <c r="O1241" s="77"/>
      <c r="P1241" s="78"/>
      <c r="Q1241" s="78"/>
      <c r="R1241" s="92"/>
      <c r="S1241" s="92"/>
      <c r="T1241" s="92"/>
      <c r="U1241" s="92"/>
      <c r="V1241" s="52"/>
      <c r="W1241" s="52"/>
      <c r="X1241" s="52"/>
      <c r="Y1241" s="52"/>
      <c r="Z1241" s="51"/>
      <c r="AA1241" s="73"/>
      <c r="AB1241" s="73"/>
      <c r="AC1241" s="74"/>
      <c r="AD1241" s="80" t="s">
        <v>7796</v>
      </c>
      <c r="AE1241" s="85" t="s">
        <v>8897</v>
      </c>
      <c r="AF1241" s="80">
        <v>2290</v>
      </c>
      <c r="AG1241" s="80">
        <v>3096</v>
      </c>
      <c r="AH1241" s="80">
        <v>15477</v>
      </c>
      <c r="AI1241" s="80">
        <v>13210</v>
      </c>
      <c r="AJ1241" s="80"/>
      <c r="AK1241" s="80" t="s">
        <v>10061</v>
      </c>
      <c r="AL1241" s="80"/>
      <c r="AM1241" s="80"/>
      <c r="AN1241" s="80"/>
      <c r="AO1241" s="82">
        <v>44226.309756944444</v>
      </c>
      <c r="AP1241" s="87" t="str">
        <f>HYPERLINK("https://pbs.twimg.com/profile_banners/1355416500157333505/1627716115")</f>
        <v>https://pbs.twimg.com/profile_banners/1355416500157333505/1627716115</v>
      </c>
      <c r="AQ1241" s="80" t="b">
        <v>1</v>
      </c>
      <c r="AR1241" s="80" t="b">
        <v>0</v>
      </c>
      <c r="AS1241" s="80" t="b">
        <v>0</v>
      </c>
      <c r="AT1241" s="80"/>
      <c r="AU1241" s="80">
        <v>0</v>
      </c>
      <c r="AV1241" s="80"/>
      <c r="AW1241" s="80" t="b">
        <v>0</v>
      </c>
      <c r="AX1241" s="80" t="s">
        <v>10746</v>
      </c>
      <c r="AY1241" s="87" t="str">
        <f>HYPERLINK("https://twitter.com/queen__lagi")</f>
        <v>https://twitter.com/queen__lagi</v>
      </c>
      <c r="AZ1241" s="80" t="s">
        <v>65</v>
      </c>
      <c r="BA1241" s="2"/>
      <c r="BB1241" s="3"/>
      <c r="BC1241" s="3"/>
      <c r="BD1241" s="3"/>
      <c r="BE1241" s="3"/>
    </row>
    <row r="1242" spans="1:57" x14ac:dyDescent="0.35">
      <c r="A1242" s="66" t="s">
        <v>1511</v>
      </c>
      <c r="B1242" s="67"/>
      <c r="C1242" s="67"/>
      <c r="D1242" s="68"/>
      <c r="E1242" s="70"/>
      <c r="F1242" s="109" t="str">
        <f>HYPERLINK("https://pbs.twimg.com/profile_images/1438790117993304067/SMZgkMMx_normal.jpg")</f>
        <v>https://pbs.twimg.com/profile_images/1438790117993304067/SMZgkMMx_normal.jpg</v>
      </c>
      <c r="G1242" s="67"/>
      <c r="H1242" s="71"/>
      <c r="I1242" s="72"/>
      <c r="J1242" s="72"/>
      <c r="K1242" s="71" t="s">
        <v>11985</v>
      </c>
      <c r="L1242" s="75"/>
      <c r="M1242" s="76"/>
      <c r="N1242" s="76"/>
      <c r="O1242" s="77"/>
      <c r="P1242" s="78"/>
      <c r="Q1242" s="78"/>
      <c r="R1242" s="92"/>
      <c r="S1242" s="92"/>
      <c r="T1242" s="92"/>
      <c r="U1242" s="92"/>
      <c r="V1242" s="52"/>
      <c r="W1242" s="52"/>
      <c r="X1242" s="52"/>
      <c r="Y1242" s="52"/>
      <c r="Z1242" s="51"/>
      <c r="AA1242" s="73"/>
      <c r="AB1242" s="73"/>
      <c r="AC1242" s="74"/>
      <c r="AD1242" s="80" t="s">
        <v>7797</v>
      </c>
      <c r="AE1242" s="85" t="s">
        <v>6454</v>
      </c>
      <c r="AF1242" s="80">
        <v>9428</v>
      </c>
      <c r="AG1242" s="80">
        <v>19487</v>
      </c>
      <c r="AH1242" s="80">
        <v>79043</v>
      </c>
      <c r="AI1242" s="80">
        <v>185297</v>
      </c>
      <c r="AJ1242" s="80"/>
      <c r="AK1242" s="80" t="s">
        <v>10062</v>
      </c>
      <c r="AL1242" s="80" t="s">
        <v>10720</v>
      </c>
      <c r="AM1242" s="80"/>
      <c r="AN1242" s="80"/>
      <c r="AO1242" s="82">
        <v>43737.078032407408</v>
      </c>
      <c r="AP1242" s="87" t="str">
        <f>HYPERLINK("https://pbs.twimg.com/profile_banners/1178125294219091968/1625646082")</f>
        <v>https://pbs.twimg.com/profile_banners/1178125294219091968/1625646082</v>
      </c>
      <c r="AQ1242" s="80" t="b">
        <v>1</v>
      </c>
      <c r="AR1242" s="80" t="b">
        <v>0</v>
      </c>
      <c r="AS1242" s="80" t="b">
        <v>1</v>
      </c>
      <c r="AT1242" s="80"/>
      <c r="AU1242" s="80">
        <v>4</v>
      </c>
      <c r="AV1242" s="80"/>
      <c r="AW1242" s="80" t="b">
        <v>0</v>
      </c>
      <c r="AX1242" s="80" t="s">
        <v>10746</v>
      </c>
      <c r="AY1242" s="87" t="str">
        <f>HYPERLINK("https://twitter.com/_mrs_cemploooon")</f>
        <v>https://twitter.com/_mrs_cemploooon</v>
      </c>
      <c r="AZ1242" s="80" t="s">
        <v>65</v>
      </c>
      <c r="BA1242" s="2"/>
      <c r="BB1242" s="3"/>
      <c r="BC1242" s="3"/>
      <c r="BD1242" s="3"/>
      <c r="BE1242" s="3"/>
    </row>
    <row r="1243" spans="1:57" x14ac:dyDescent="0.35">
      <c r="A1243" s="66" t="s">
        <v>1209</v>
      </c>
      <c r="B1243" s="67"/>
      <c r="C1243" s="67"/>
      <c r="D1243" s="68"/>
      <c r="E1243" s="70"/>
      <c r="F1243" s="109" t="str">
        <f>HYPERLINK("https://pbs.twimg.com/profile_images/1371054343017795584/xcr1EY2r_normal.jpg")</f>
        <v>https://pbs.twimg.com/profile_images/1371054343017795584/xcr1EY2r_normal.jpg</v>
      </c>
      <c r="G1243" s="67"/>
      <c r="H1243" s="71"/>
      <c r="I1243" s="72"/>
      <c r="J1243" s="72"/>
      <c r="K1243" s="71" t="s">
        <v>11986</v>
      </c>
      <c r="L1243" s="75"/>
      <c r="M1243" s="76"/>
      <c r="N1243" s="76"/>
      <c r="O1243" s="77"/>
      <c r="P1243" s="78"/>
      <c r="Q1243" s="78"/>
      <c r="R1243" s="92"/>
      <c r="S1243" s="92"/>
      <c r="T1243" s="92"/>
      <c r="U1243" s="92"/>
      <c r="V1243" s="52"/>
      <c r="W1243" s="52"/>
      <c r="X1243" s="52"/>
      <c r="Y1243" s="52"/>
      <c r="Z1243" s="51"/>
      <c r="AA1243" s="73"/>
      <c r="AB1243" s="73"/>
      <c r="AC1243" s="74"/>
      <c r="AD1243" s="80" t="s">
        <v>7798</v>
      </c>
      <c r="AE1243" s="85" t="s">
        <v>8898</v>
      </c>
      <c r="AF1243" s="80">
        <v>585</v>
      </c>
      <c r="AG1243" s="80">
        <v>373</v>
      </c>
      <c r="AH1243" s="80">
        <v>18748</v>
      </c>
      <c r="AI1243" s="80">
        <v>4395</v>
      </c>
      <c r="AJ1243" s="80"/>
      <c r="AK1243" s="80" t="s">
        <v>10063</v>
      </c>
      <c r="AL1243" s="80"/>
      <c r="AM1243" s="87" t="str">
        <f>HYPERLINK("https://t.co/dklr51Lamj")</f>
        <v>https://t.co/dklr51Lamj</v>
      </c>
      <c r="AN1243" s="80"/>
      <c r="AO1243" s="82">
        <v>40186.548298611109</v>
      </c>
      <c r="AP1243" s="87" t="str">
        <f>HYPERLINK("https://pbs.twimg.com/profile_banners/102978388/1588434138")</f>
        <v>https://pbs.twimg.com/profile_banners/102978388/1588434138</v>
      </c>
      <c r="AQ1243" s="80" t="b">
        <v>0</v>
      </c>
      <c r="AR1243" s="80" t="b">
        <v>0</v>
      </c>
      <c r="AS1243" s="80" t="b">
        <v>0</v>
      </c>
      <c r="AT1243" s="80"/>
      <c r="AU1243" s="80">
        <v>0</v>
      </c>
      <c r="AV1243" s="87" t="str">
        <f>HYPERLINK("https://abs.twimg.com/images/themes/theme1/bg.png")</f>
        <v>https://abs.twimg.com/images/themes/theme1/bg.png</v>
      </c>
      <c r="AW1243" s="80" t="b">
        <v>0</v>
      </c>
      <c r="AX1243" s="80" t="s">
        <v>10746</v>
      </c>
      <c r="AY1243" s="87" t="str">
        <f>HYPERLINK("https://twitter.com/danicdanic")</f>
        <v>https://twitter.com/danicdanic</v>
      </c>
      <c r="AZ1243" s="80" t="s">
        <v>66</v>
      </c>
      <c r="BA1243" s="2"/>
      <c r="BB1243" s="3"/>
      <c r="BC1243" s="3"/>
      <c r="BD1243" s="3"/>
      <c r="BE1243" s="3"/>
    </row>
    <row r="1244" spans="1:57" x14ac:dyDescent="0.35">
      <c r="A1244" s="66" t="s">
        <v>1210</v>
      </c>
      <c r="B1244" s="67"/>
      <c r="C1244" s="67"/>
      <c r="D1244" s="68"/>
      <c r="E1244" s="70"/>
      <c r="F1244" s="109" t="str">
        <f>HYPERLINK("https://pbs.twimg.com/profile_images/1431619875605073920/NM_gdRDN_normal.jpg")</f>
        <v>https://pbs.twimg.com/profile_images/1431619875605073920/NM_gdRDN_normal.jpg</v>
      </c>
      <c r="G1244" s="67"/>
      <c r="H1244" s="71"/>
      <c r="I1244" s="72"/>
      <c r="J1244" s="72"/>
      <c r="K1244" s="71" t="s">
        <v>11987</v>
      </c>
      <c r="L1244" s="75"/>
      <c r="M1244" s="76"/>
      <c r="N1244" s="76"/>
      <c r="O1244" s="77"/>
      <c r="P1244" s="78"/>
      <c r="Q1244" s="78"/>
      <c r="R1244" s="92"/>
      <c r="S1244" s="92"/>
      <c r="T1244" s="92"/>
      <c r="U1244" s="92"/>
      <c r="V1244" s="52"/>
      <c r="W1244" s="52"/>
      <c r="X1244" s="52"/>
      <c r="Y1244" s="52"/>
      <c r="Z1244" s="51"/>
      <c r="AA1244" s="73"/>
      <c r="AB1244" s="73"/>
      <c r="AC1244" s="74"/>
      <c r="AD1244" s="80" t="s">
        <v>7799</v>
      </c>
      <c r="AE1244" s="85" t="s">
        <v>8899</v>
      </c>
      <c r="AF1244" s="80">
        <v>14</v>
      </c>
      <c r="AG1244" s="80">
        <v>3969</v>
      </c>
      <c r="AH1244" s="80">
        <v>25216</v>
      </c>
      <c r="AI1244" s="80">
        <v>10101</v>
      </c>
      <c r="AJ1244" s="80"/>
      <c r="AK1244" s="80" t="s">
        <v>10064</v>
      </c>
      <c r="AL1244" s="80" t="s">
        <v>10182</v>
      </c>
      <c r="AM1244" s="80"/>
      <c r="AN1244" s="80"/>
      <c r="AO1244" s="82">
        <v>44289.606956018521</v>
      </c>
      <c r="AP1244" s="87" t="str">
        <f>HYPERLINK("https://pbs.twimg.com/profile_banners/1378355050729197573/1630164430")</f>
        <v>https://pbs.twimg.com/profile_banners/1378355050729197573/1630164430</v>
      </c>
      <c r="AQ1244" s="80" t="b">
        <v>1</v>
      </c>
      <c r="AR1244" s="80" t="b">
        <v>0</v>
      </c>
      <c r="AS1244" s="80" t="b">
        <v>0</v>
      </c>
      <c r="AT1244" s="80"/>
      <c r="AU1244" s="80">
        <v>5</v>
      </c>
      <c r="AV1244" s="80"/>
      <c r="AW1244" s="80" t="b">
        <v>0</v>
      </c>
      <c r="AX1244" s="80" t="s">
        <v>10746</v>
      </c>
      <c r="AY1244" s="87" t="str">
        <f>HYPERLINK("https://twitter.com/btsmarketmy")</f>
        <v>https://twitter.com/btsmarketmy</v>
      </c>
      <c r="AZ1244" s="80" t="s">
        <v>66</v>
      </c>
      <c r="BA1244" s="2"/>
      <c r="BB1244" s="3"/>
      <c r="BC1244" s="3"/>
      <c r="BD1244" s="3"/>
      <c r="BE1244" s="3"/>
    </row>
    <row r="1245" spans="1:57" x14ac:dyDescent="0.35">
      <c r="A1245" s="66" t="s">
        <v>1211</v>
      </c>
      <c r="B1245" s="67"/>
      <c r="C1245" s="67"/>
      <c r="D1245" s="68"/>
      <c r="E1245" s="70"/>
      <c r="F1245" s="109" t="str">
        <f>HYPERLINK("https://pbs.twimg.com/profile_images/1440534219957043200/2lklqiAO_normal.jpg")</f>
        <v>https://pbs.twimg.com/profile_images/1440534219957043200/2lklqiAO_normal.jpg</v>
      </c>
      <c r="G1245" s="67"/>
      <c r="H1245" s="71"/>
      <c r="I1245" s="72"/>
      <c r="J1245" s="72"/>
      <c r="K1245" s="71" t="s">
        <v>11988</v>
      </c>
      <c r="L1245" s="75"/>
      <c r="M1245" s="76"/>
      <c r="N1245" s="76"/>
      <c r="O1245" s="77"/>
      <c r="P1245" s="78"/>
      <c r="Q1245" s="78"/>
      <c r="R1245" s="92"/>
      <c r="S1245" s="92"/>
      <c r="T1245" s="92"/>
      <c r="U1245" s="92"/>
      <c r="V1245" s="52"/>
      <c r="W1245" s="52"/>
      <c r="X1245" s="52"/>
      <c r="Y1245" s="52"/>
      <c r="Z1245" s="51"/>
      <c r="AA1245" s="73"/>
      <c r="AB1245" s="73"/>
      <c r="AC1245" s="74"/>
      <c r="AD1245" s="80" t="s">
        <v>7800</v>
      </c>
      <c r="AE1245" s="85" t="s">
        <v>8900</v>
      </c>
      <c r="AF1245" s="80">
        <v>70</v>
      </c>
      <c r="AG1245" s="80">
        <v>5</v>
      </c>
      <c r="AH1245" s="80">
        <v>396</v>
      </c>
      <c r="AI1245" s="80">
        <v>442</v>
      </c>
      <c r="AJ1245" s="80"/>
      <c r="AK1245" s="80" t="s">
        <v>10065</v>
      </c>
      <c r="AL1245" s="80"/>
      <c r="AM1245" s="87" t="str">
        <f>HYPERLINK("https://t.co/qk4OhP9YPw")</f>
        <v>https://t.co/qk4OhP9YPw</v>
      </c>
      <c r="AN1245" s="80"/>
      <c r="AO1245" s="82">
        <v>44195.714583333334</v>
      </c>
      <c r="AP1245" s="87" t="str">
        <f>HYPERLINK("https://pbs.twimg.com/profile_banners/1344329608859009024/1632559713")</f>
        <v>https://pbs.twimg.com/profile_banners/1344329608859009024/1632559713</v>
      </c>
      <c r="AQ1245" s="80" t="b">
        <v>1</v>
      </c>
      <c r="AR1245" s="80" t="b">
        <v>0</v>
      </c>
      <c r="AS1245" s="80" t="b">
        <v>1</v>
      </c>
      <c r="AT1245" s="80"/>
      <c r="AU1245" s="80">
        <v>0</v>
      </c>
      <c r="AV1245" s="80"/>
      <c r="AW1245" s="80" t="b">
        <v>0</v>
      </c>
      <c r="AX1245" s="80" t="s">
        <v>10746</v>
      </c>
      <c r="AY1245" s="87" t="str">
        <f>HYPERLINK("https://twitter.com/blinkuelilies")</f>
        <v>https://twitter.com/blinkuelilies</v>
      </c>
      <c r="AZ1245" s="80" t="s">
        <v>66</v>
      </c>
      <c r="BA1245" s="2"/>
      <c r="BB1245" s="3"/>
      <c r="BC1245" s="3"/>
      <c r="BD1245" s="3"/>
      <c r="BE1245" s="3"/>
    </row>
    <row r="1246" spans="1:57" x14ac:dyDescent="0.35">
      <c r="A1246" s="66" t="s">
        <v>1212</v>
      </c>
      <c r="B1246" s="67"/>
      <c r="C1246" s="67"/>
      <c r="D1246" s="68"/>
      <c r="E1246" s="70"/>
      <c r="F1246" s="109" t="str">
        <f>HYPERLINK("https://pbs.twimg.com/profile_images/1309370845752512513/uiSxkpnG_normal.jpg")</f>
        <v>https://pbs.twimg.com/profile_images/1309370845752512513/uiSxkpnG_normal.jpg</v>
      </c>
      <c r="G1246" s="67"/>
      <c r="H1246" s="71"/>
      <c r="I1246" s="72"/>
      <c r="J1246" s="72"/>
      <c r="K1246" s="71" t="s">
        <v>11989</v>
      </c>
      <c r="L1246" s="75"/>
      <c r="M1246" s="76"/>
      <c r="N1246" s="76"/>
      <c r="O1246" s="77"/>
      <c r="P1246" s="78"/>
      <c r="Q1246" s="78"/>
      <c r="R1246" s="92"/>
      <c r="S1246" s="92"/>
      <c r="T1246" s="92"/>
      <c r="U1246" s="92"/>
      <c r="V1246" s="52"/>
      <c r="W1246" s="52"/>
      <c r="X1246" s="52"/>
      <c r="Y1246" s="52"/>
      <c r="Z1246" s="51"/>
      <c r="AA1246" s="73"/>
      <c r="AB1246" s="73"/>
      <c r="AC1246" s="74"/>
      <c r="AD1246" s="80" t="s">
        <v>7801</v>
      </c>
      <c r="AE1246" s="85" t="s">
        <v>8901</v>
      </c>
      <c r="AF1246" s="80">
        <v>13</v>
      </c>
      <c r="AG1246" s="80">
        <v>1</v>
      </c>
      <c r="AH1246" s="80">
        <v>163</v>
      </c>
      <c r="AI1246" s="80">
        <v>165</v>
      </c>
      <c r="AJ1246" s="80"/>
      <c r="AK1246" s="80" t="s">
        <v>10066</v>
      </c>
      <c r="AL1246" s="80"/>
      <c r="AM1246" s="80"/>
      <c r="AN1246" s="80"/>
      <c r="AO1246" s="82">
        <v>44099.246064814812</v>
      </c>
      <c r="AP1246" s="80"/>
      <c r="AQ1246" s="80" t="b">
        <v>1</v>
      </c>
      <c r="AR1246" s="80" t="b">
        <v>0</v>
      </c>
      <c r="AS1246" s="80" t="b">
        <v>0</v>
      </c>
      <c r="AT1246" s="80"/>
      <c r="AU1246" s="80">
        <v>0</v>
      </c>
      <c r="AV1246" s="80"/>
      <c r="AW1246" s="80" t="b">
        <v>0</v>
      </c>
      <c r="AX1246" s="80" t="s">
        <v>10746</v>
      </c>
      <c r="AY1246" s="87" t="str">
        <f>HYPERLINK("https://twitter.com/bonno35583659")</f>
        <v>https://twitter.com/bonno35583659</v>
      </c>
      <c r="AZ1246" s="80" t="s">
        <v>66</v>
      </c>
      <c r="BA1246" s="2"/>
      <c r="BB1246" s="3"/>
      <c r="BC1246" s="3"/>
      <c r="BD1246" s="3"/>
      <c r="BE1246" s="3"/>
    </row>
    <row r="1247" spans="1:57" x14ac:dyDescent="0.35">
      <c r="A1247" s="66" t="s">
        <v>1213</v>
      </c>
      <c r="B1247" s="67"/>
      <c r="C1247" s="67"/>
      <c r="D1247" s="68"/>
      <c r="E1247" s="70"/>
      <c r="F1247" s="109" t="str">
        <f>HYPERLINK("https://pbs.twimg.com/profile_images/1433931127551500294/V23lIJmy_normal.jpg")</f>
        <v>https://pbs.twimg.com/profile_images/1433931127551500294/V23lIJmy_normal.jpg</v>
      </c>
      <c r="G1247" s="67"/>
      <c r="H1247" s="71"/>
      <c r="I1247" s="72"/>
      <c r="J1247" s="72"/>
      <c r="K1247" s="71" t="s">
        <v>11990</v>
      </c>
      <c r="L1247" s="75"/>
      <c r="M1247" s="76"/>
      <c r="N1247" s="76"/>
      <c r="O1247" s="77"/>
      <c r="P1247" s="78"/>
      <c r="Q1247" s="78"/>
      <c r="R1247" s="92"/>
      <c r="S1247" s="92"/>
      <c r="T1247" s="92"/>
      <c r="U1247" s="92"/>
      <c r="V1247" s="52"/>
      <c r="W1247" s="52"/>
      <c r="X1247" s="52"/>
      <c r="Y1247" s="52"/>
      <c r="Z1247" s="51"/>
      <c r="AA1247" s="73"/>
      <c r="AB1247" s="73"/>
      <c r="AC1247" s="74"/>
      <c r="AD1247" s="80" t="s">
        <v>7802</v>
      </c>
      <c r="AE1247" s="85" t="s">
        <v>8902</v>
      </c>
      <c r="AF1247" s="80">
        <v>6</v>
      </c>
      <c r="AG1247" s="80">
        <v>0</v>
      </c>
      <c r="AH1247" s="80">
        <v>73</v>
      </c>
      <c r="AI1247" s="80">
        <v>1</v>
      </c>
      <c r="AJ1247" s="80"/>
      <c r="AK1247" s="80"/>
      <c r="AL1247" s="80" t="s">
        <v>10184</v>
      </c>
      <c r="AM1247" s="80"/>
      <c r="AN1247" s="80"/>
      <c r="AO1247" s="82">
        <v>44442.96266203704</v>
      </c>
      <c r="AP1247" s="80"/>
      <c r="AQ1247" s="80" t="b">
        <v>1</v>
      </c>
      <c r="AR1247" s="80" t="b">
        <v>0</v>
      </c>
      <c r="AS1247" s="80" t="b">
        <v>0</v>
      </c>
      <c r="AT1247" s="80"/>
      <c r="AU1247" s="80">
        <v>0</v>
      </c>
      <c r="AV1247" s="80"/>
      <c r="AW1247" s="80" t="b">
        <v>0</v>
      </c>
      <c r="AX1247" s="80" t="s">
        <v>10746</v>
      </c>
      <c r="AY1247" s="87" t="str">
        <f>HYPERLINK("https://twitter.com/inisial_jj")</f>
        <v>https://twitter.com/inisial_jj</v>
      </c>
      <c r="AZ1247" s="80" t="s">
        <v>66</v>
      </c>
      <c r="BA1247" s="2"/>
      <c r="BB1247" s="3"/>
      <c r="BC1247" s="3"/>
      <c r="BD1247" s="3"/>
      <c r="BE1247" s="3"/>
    </row>
    <row r="1248" spans="1:57" x14ac:dyDescent="0.35">
      <c r="A1248" s="66" t="s">
        <v>1214</v>
      </c>
      <c r="B1248" s="67"/>
      <c r="C1248" s="67"/>
      <c r="D1248" s="68"/>
      <c r="E1248" s="70"/>
      <c r="F1248" s="109" t="str">
        <f>HYPERLINK("https://pbs.twimg.com/profile_images/1442407893102252034/l_4kv21s_normal.jpg")</f>
        <v>https://pbs.twimg.com/profile_images/1442407893102252034/l_4kv21s_normal.jpg</v>
      </c>
      <c r="G1248" s="67"/>
      <c r="H1248" s="71"/>
      <c r="I1248" s="72"/>
      <c r="J1248" s="72"/>
      <c r="K1248" s="71" t="s">
        <v>11991</v>
      </c>
      <c r="L1248" s="75"/>
      <c r="M1248" s="76"/>
      <c r="N1248" s="76"/>
      <c r="O1248" s="77"/>
      <c r="P1248" s="78"/>
      <c r="Q1248" s="78"/>
      <c r="R1248" s="92"/>
      <c r="S1248" s="92"/>
      <c r="T1248" s="92"/>
      <c r="U1248" s="92"/>
      <c r="V1248" s="52"/>
      <c r="W1248" s="52"/>
      <c r="X1248" s="52"/>
      <c r="Y1248" s="52"/>
      <c r="Z1248" s="51"/>
      <c r="AA1248" s="73"/>
      <c r="AB1248" s="73"/>
      <c r="AC1248" s="74"/>
      <c r="AD1248" s="80" t="s">
        <v>7803</v>
      </c>
      <c r="AE1248" s="85" t="s">
        <v>8903</v>
      </c>
      <c r="AF1248" s="80">
        <v>2046</v>
      </c>
      <c r="AG1248" s="80">
        <v>99</v>
      </c>
      <c r="AH1248" s="80">
        <v>13641</v>
      </c>
      <c r="AI1248" s="80">
        <v>10686</v>
      </c>
      <c r="AJ1248" s="80"/>
      <c r="AK1248" s="80" t="s">
        <v>10067</v>
      </c>
      <c r="AL1248" s="80" t="s">
        <v>10721</v>
      </c>
      <c r="AM1248" s="80"/>
      <c r="AN1248" s="80"/>
      <c r="AO1248" s="82">
        <v>43986.379120370373</v>
      </c>
      <c r="AP1248" s="87" t="str">
        <f>HYPERLINK("https://pbs.twimg.com/profile_banners/1268468946123939840/1631033149")</f>
        <v>https://pbs.twimg.com/profile_banners/1268468946123939840/1631033149</v>
      </c>
      <c r="AQ1248" s="80" t="b">
        <v>1</v>
      </c>
      <c r="AR1248" s="80" t="b">
        <v>0</v>
      </c>
      <c r="AS1248" s="80" t="b">
        <v>0</v>
      </c>
      <c r="AT1248" s="80"/>
      <c r="AU1248" s="80">
        <v>0</v>
      </c>
      <c r="AV1248" s="80"/>
      <c r="AW1248" s="80" t="b">
        <v>0</v>
      </c>
      <c r="AX1248" s="80" t="s">
        <v>10746</v>
      </c>
      <c r="AY1248" s="87" t="str">
        <f>HYPERLINK("https://twitter.com/inagobes26")</f>
        <v>https://twitter.com/inagobes26</v>
      </c>
      <c r="AZ1248" s="80" t="s">
        <v>66</v>
      </c>
      <c r="BA1248" s="2"/>
      <c r="BB1248" s="3"/>
      <c r="BC1248" s="3"/>
      <c r="BD1248" s="3"/>
      <c r="BE1248" s="3"/>
    </row>
    <row r="1249" spans="1:57" x14ac:dyDescent="0.35">
      <c r="A1249" s="66" t="s">
        <v>1216</v>
      </c>
      <c r="B1249" s="67"/>
      <c r="C1249" s="67"/>
      <c r="D1249" s="68"/>
      <c r="E1249" s="70"/>
      <c r="F1249" s="109" t="str">
        <f>HYPERLINK("https://pbs.twimg.com/profile_images/1369087031788281856/SHFfO1Ey_normal.jpg")</f>
        <v>https://pbs.twimg.com/profile_images/1369087031788281856/SHFfO1Ey_normal.jpg</v>
      </c>
      <c r="G1249" s="67"/>
      <c r="H1249" s="71"/>
      <c r="I1249" s="72"/>
      <c r="J1249" s="72"/>
      <c r="K1249" s="71" t="s">
        <v>11992</v>
      </c>
      <c r="L1249" s="75"/>
      <c r="M1249" s="76"/>
      <c r="N1249" s="76"/>
      <c r="O1249" s="77"/>
      <c r="P1249" s="78"/>
      <c r="Q1249" s="78"/>
      <c r="R1249" s="92"/>
      <c r="S1249" s="92"/>
      <c r="T1249" s="92"/>
      <c r="U1249" s="92"/>
      <c r="V1249" s="52"/>
      <c r="W1249" s="52"/>
      <c r="X1249" s="52"/>
      <c r="Y1249" s="52"/>
      <c r="Z1249" s="51"/>
      <c r="AA1249" s="73"/>
      <c r="AB1249" s="73"/>
      <c r="AC1249" s="74"/>
      <c r="AD1249" s="80" t="s">
        <v>7804</v>
      </c>
      <c r="AE1249" s="85" t="s">
        <v>8904</v>
      </c>
      <c r="AF1249" s="80">
        <v>3982</v>
      </c>
      <c r="AG1249" s="80">
        <v>2799</v>
      </c>
      <c r="AH1249" s="80">
        <v>42452</v>
      </c>
      <c r="AI1249" s="80">
        <v>63058</v>
      </c>
      <c r="AJ1249" s="80"/>
      <c r="AK1249" s="80" t="s">
        <v>10068</v>
      </c>
      <c r="AL1249" s="80"/>
      <c r="AM1249" s="80"/>
      <c r="AN1249" s="80"/>
      <c r="AO1249" s="82">
        <v>44242.529479166667</v>
      </c>
      <c r="AP1249" s="87" t="str">
        <f>HYPERLINK("https://pbs.twimg.com/profile_banners/1361294716172525569/1615250759")</f>
        <v>https://pbs.twimg.com/profile_banners/1361294716172525569/1615250759</v>
      </c>
      <c r="AQ1249" s="80" t="b">
        <v>1</v>
      </c>
      <c r="AR1249" s="80" t="b">
        <v>0</v>
      </c>
      <c r="AS1249" s="80" t="b">
        <v>1</v>
      </c>
      <c r="AT1249" s="80"/>
      <c r="AU1249" s="80">
        <v>0</v>
      </c>
      <c r="AV1249" s="80"/>
      <c r="AW1249" s="80" t="b">
        <v>0</v>
      </c>
      <c r="AX1249" s="80" t="s">
        <v>10746</v>
      </c>
      <c r="AY1249" s="87" t="str">
        <f>HYPERLINK("https://twitter.com/camelaila1")</f>
        <v>https://twitter.com/camelaila1</v>
      </c>
      <c r="AZ1249" s="80" t="s">
        <v>66</v>
      </c>
      <c r="BA1249" s="2"/>
      <c r="BB1249" s="3"/>
      <c r="BC1249" s="3"/>
      <c r="BD1249" s="3"/>
      <c r="BE1249" s="3"/>
    </row>
    <row r="1250" spans="1:57" x14ac:dyDescent="0.35">
      <c r="A1250" s="66" t="s">
        <v>1217</v>
      </c>
      <c r="B1250" s="67"/>
      <c r="C1250" s="67"/>
      <c r="D1250" s="68"/>
      <c r="E1250" s="70"/>
      <c r="F1250" s="109" t="str">
        <f>HYPERLINK("https://pbs.twimg.com/profile_images/1087846749320826880/L4SYNKV7_normal.jpg")</f>
        <v>https://pbs.twimg.com/profile_images/1087846749320826880/L4SYNKV7_normal.jpg</v>
      </c>
      <c r="G1250" s="67"/>
      <c r="H1250" s="71"/>
      <c r="I1250" s="72"/>
      <c r="J1250" s="72"/>
      <c r="K1250" s="71" t="s">
        <v>11993</v>
      </c>
      <c r="L1250" s="75"/>
      <c r="M1250" s="76"/>
      <c r="N1250" s="76"/>
      <c r="O1250" s="77"/>
      <c r="P1250" s="78"/>
      <c r="Q1250" s="78"/>
      <c r="R1250" s="92"/>
      <c r="S1250" s="92"/>
      <c r="T1250" s="92"/>
      <c r="U1250" s="92"/>
      <c r="V1250" s="52"/>
      <c r="W1250" s="52"/>
      <c r="X1250" s="52"/>
      <c r="Y1250" s="52"/>
      <c r="Z1250" s="51"/>
      <c r="AA1250" s="73"/>
      <c r="AB1250" s="73"/>
      <c r="AC1250" s="74"/>
      <c r="AD1250" s="80" t="s">
        <v>7805</v>
      </c>
      <c r="AE1250" s="85" t="s">
        <v>8905</v>
      </c>
      <c r="AF1250" s="80">
        <v>1572</v>
      </c>
      <c r="AG1250" s="80">
        <v>690</v>
      </c>
      <c r="AH1250" s="80">
        <v>48857</v>
      </c>
      <c r="AI1250" s="80">
        <v>16087</v>
      </c>
      <c r="AJ1250" s="80"/>
      <c r="AK1250" s="80" t="s">
        <v>10069</v>
      </c>
      <c r="AL1250" s="80"/>
      <c r="AM1250" s="80"/>
      <c r="AN1250" s="80"/>
      <c r="AO1250" s="82">
        <v>40896.413738425923</v>
      </c>
      <c r="AP1250" s="87" t="str">
        <f>HYPERLINK("https://pbs.twimg.com/profile_banners/440710947/1546395989")</f>
        <v>https://pbs.twimg.com/profile_banners/440710947/1546395989</v>
      </c>
      <c r="AQ1250" s="80" t="b">
        <v>0</v>
      </c>
      <c r="AR1250" s="80" t="b">
        <v>0</v>
      </c>
      <c r="AS1250" s="80" t="b">
        <v>1</v>
      </c>
      <c r="AT1250" s="80"/>
      <c r="AU1250" s="80">
        <v>23</v>
      </c>
      <c r="AV1250" s="87" t="str">
        <f>HYPERLINK("https://abs.twimg.com/images/themes/theme15/bg.png")</f>
        <v>https://abs.twimg.com/images/themes/theme15/bg.png</v>
      </c>
      <c r="AW1250" s="80" t="b">
        <v>0</v>
      </c>
      <c r="AX1250" s="80" t="s">
        <v>10746</v>
      </c>
      <c r="AY1250" s="87" t="str">
        <f>HYPERLINK("https://twitter.com/ryuzaky46")</f>
        <v>https://twitter.com/ryuzaky46</v>
      </c>
      <c r="AZ1250" s="80" t="s">
        <v>66</v>
      </c>
      <c r="BA1250" s="2"/>
      <c r="BB1250" s="3"/>
      <c r="BC1250" s="3"/>
      <c r="BD1250" s="3"/>
      <c r="BE1250" s="3"/>
    </row>
    <row r="1251" spans="1:57" x14ac:dyDescent="0.35">
      <c r="A1251" s="66" t="s">
        <v>1512</v>
      </c>
      <c r="B1251" s="67"/>
      <c r="C1251" s="67"/>
      <c r="D1251" s="68"/>
      <c r="E1251" s="70"/>
      <c r="F1251" s="109" t="str">
        <f>HYPERLINK("https://pbs.twimg.com/profile_images/1132252507160268800/ntrxivDq_normal.jpg")</f>
        <v>https://pbs.twimg.com/profile_images/1132252507160268800/ntrxivDq_normal.jpg</v>
      </c>
      <c r="G1251" s="67"/>
      <c r="H1251" s="71"/>
      <c r="I1251" s="72"/>
      <c r="J1251" s="72"/>
      <c r="K1251" s="71" t="s">
        <v>11994</v>
      </c>
      <c r="L1251" s="75"/>
      <c r="M1251" s="76"/>
      <c r="N1251" s="76"/>
      <c r="O1251" s="77"/>
      <c r="P1251" s="78"/>
      <c r="Q1251" s="78"/>
      <c r="R1251" s="92"/>
      <c r="S1251" s="92"/>
      <c r="T1251" s="92"/>
      <c r="U1251" s="92"/>
      <c r="V1251" s="52"/>
      <c r="W1251" s="52"/>
      <c r="X1251" s="52"/>
      <c r="Y1251" s="52"/>
      <c r="Z1251" s="51"/>
      <c r="AA1251" s="73"/>
      <c r="AB1251" s="73"/>
      <c r="AC1251" s="74"/>
      <c r="AD1251" s="80" t="s">
        <v>7806</v>
      </c>
      <c r="AE1251" s="85" t="s">
        <v>8906</v>
      </c>
      <c r="AF1251" s="80">
        <v>262</v>
      </c>
      <c r="AG1251" s="80">
        <v>7047</v>
      </c>
      <c r="AH1251" s="80">
        <v>9030</v>
      </c>
      <c r="AI1251" s="80">
        <v>1970</v>
      </c>
      <c r="AJ1251" s="80"/>
      <c r="AK1251" s="80" t="s">
        <v>10070</v>
      </c>
      <c r="AL1251" s="80" t="s">
        <v>10696</v>
      </c>
      <c r="AM1251" s="87" t="str">
        <f>HYPERLINK("https://t.co/hyT08ZPLAk")</f>
        <v>https://t.co/hyT08ZPLAk</v>
      </c>
      <c r="AN1251" s="80"/>
      <c r="AO1251" s="82">
        <v>40948.107303240744</v>
      </c>
      <c r="AP1251" s="87" t="str">
        <f>HYPERLINK("https://pbs.twimg.com/profile_banners/487168097/1404964995")</f>
        <v>https://pbs.twimg.com/profile_banners/487168097/1404964995</v>
      </c>
      <c r="AQ1251" s="80" t="b">
        <v>0</v>
      </c>
      <c r="AR1251" s="80" t="b">
        <v>0</v>
      </c>
      <c r="AS1251" s="80" t="b">
        <v>1</v>
      </c>
      <c r="AT1251" s="80"/>
      <c r="AU1251" s="80">
        <v>13</v>
      </c>
      <c r="AV1251" s="87" t="str">
        <f>HYPERLINK("https://abs.twimg.com/images/themes/theme1/bg.png")</f>
        <v>https://abs.twimg.com/images/themes/theme1/bg.png</v>
      </c>
      <c r="AW1251" s="80" t="b">
        <v>0</v>
      </c>
      <c r="AX1251" s="80" t="s">
        <v>10746</v>
      </c>
      <c r="AY1251" s="87" t="str">
        <f>HYPERLINK("https://twitter.com/infoungaran")</f>
        <v>https://twitter.com/infoungaran</v>
      </c>
      <c r="AZ1251" s="80" t="s">
        <v>65</v>
      </c>
      <c r="BA1251" s="2"/>
      <c r="BB1251" s="3"/>
      <c r="BC1251" s="3"/>
      <c r="BD1251" s="3"/>
      <c r="BE1251" s="3"/>
    </row>
    <row r="1252" spans="1:57" x14ac:dyDescent="0.35">
      <c r="A1252" s="66" t="s">
        <v>1513</v>
      </c>
      <c r="B1252" s="67"/>
      <c r="C1252" s="67"/>
      <c r="D1252" s="68"/>
      <c r="E1252" s="70"/>
      <c r="F1252" s="109" t="str">
        <f>HYPERLINK("https://pbs.twimg.com/profile_images/1321755019817836544/QezTu_2J_normal.jpg")</f>
        <v>https://pbs.twimg.com/profile_images/1321755019817836544/QezTu_2J_normal.jpg</v>
      </c>
      <c r="G1252" s="67"/>
      <c r="H1252" s="71"/>
      <c r="I1252" s="72"/>
      <c r="J1252" s="72"/>
      <c r="K1252" s="71" t="s">
        <v>11995</v>
      </c>
      <c r="L1252" s="75"/>
      <c r="M1252" s="76"/>
      <c r="N1252" s="76"/>
      <c r="O1252" s="77"/>
      <c r="P1252" s="78"/>
      <c r="Q1252" s="78"/>
      <c r="R1252" s="92"/>
      <c r="S1252" s="92"/>
      <c r="T1252" s="92"/>
      <c r="U1252" s="92"/>
      <c r="V1252" s="52"/>
      <c r="W1252" s="52"/>
      <c r="X1252" s="52"/>
      <c r="Y1252" s="52"/>
      <c r="Z1252" s="51"/>
      <c r="AA1252" s="73"/>
      <c r="AB1252" s="73"/>
      <c r="AC1252" s="74"/>
      <c r="AD1252" s="80" t="s">
        <v>7807</v>
      </c>
      <c r="AE1252" s="85" t="s">
        <v>8907</v>
      </c>
      <c r="AF1252" s="80">
        <v>1226</v>
      </c>
      <c r="AG1252" s="80">
        <v>1032183</v>
      </c>
      <c r="AH1252" s="80">
        <v>53630</v>
      </c>
      <c r="AI1252" s="80">
        <v>2243</v>
      </c>
      <c r="AJ1252" s="80"/>
      <c r="AK1252" s="80" t="s">
        <v>10071</v>
      </c>
      <c r="AL1252" s="80"/>
      <c r="AM1252" s="87" t="str">
        <f>HYPERLINK("https://t.co/mx3e3UYXPi")</f>
        <v>https://t.co/mx3e3UYXPi</v>
      </c>
      <c r="AN1252" s="80"/>
      <c r="AO1252" s="82">
        <v>40001.550729166665</v>
      </c>
      <c r="AP1252" s="87" t="str">
        <f>HYPERLINK("https://pbs.twimg.com/profile_banners/54541128/1631796894")</f>
        <v>https://pbs.twimg.com/profile_banners/54541128/1631796894</v>
      </c>
      <c r="AQ1252" s="80" t="b">
        <v>0</v>
      </c>
      <c r="AR1252" s="80" t="b">
        <v>0</v>
      </c>
      <c r="AS1252" s="80" t="b">
        <v>1</v>
      </c>
      <c r="AT1252" s="80"/>
      <c r="AU1252" s="80">
        <v>855</v>
      </c>
      <c r="AV1252" s="87" t="str">
        <f>HYPERLINK("https://abs.twimg.com/images/themes/theme6/bg.gif")</f>
        <v>https://abs.twimg.com/images/themes/theme6/bg.gif</v>
      </c>
      <c r="AW1252" s="80" t="b">
        <v>1</v>
      </c>
      <c r="AX1252" s="80" t="s">
        <v>10746</v>
      </c>
      <c r="AY1252" s="87" t="str">
        <f>HYPERLINK("https://twitter.com/palangmerah")</f>
        <v>https://twitter.com/palangmerah</v>
      </c>
      <c r="AZ1252" s="80" t="s">
        <v>65</v>
      </c>
      <c r="BA1252" s="2"/>
      <c r="BB1252" s="3"/>
      <c r="BC1252" s="3"/>
      <c r="BD1252" s="3"/>
      <c r="BE1252" s="3"/>
    </row>
    <row r="1253" spans="1:57" x14ac:dyDescent="0.35">
      <c r="A1253" s="66" t="s">
        <v>1514</v>
      </c>
      <c r="B1253" s="67"/>
      <c r="C1253" s="67"/>
      <c r="D1253" s="68"/>
      <c r="E1253" s="70"/>
      <c r="F1253" s="109" t="str">
        <f>HYPERLINK("https://pbs.twimg.com/profile_images/1259125618853150722/muaYxVEp_normal.jpg")</f>
        <v>https://pbs.twimg.com/profile_images/1259125618853150722/muaYxVEp_normal.jpg</v>
      </c>
      <c r="G1253" s="67"/>
      <c r="H1253" s="71"/>
      <c r="I1253" s="72"/>
      <c r="J1253" s="72"/>
      <c r="K1253" s="71" t="s">
        <v>11996</v>
      </c>
      <c r="L1253" s="75"/>
      <c r="M1253" s="76"/>
      <c r="N1253" s="76"/>
      <c r="O1253" s="77"/>
      <c r="P1253" s="78"/>
      <c r="Q1253" s="78"/>
      <c r="R1253" s="92"/>
      <c r="S1253" s="92"/>
      <c r="T1253" s="92"/>
      <c r="U1253" s="92"/>
      <c r="V1253" s="52"/>
      <c r="W1253" s="52"/>
      <c r="X1253" s="52"/>
      <c r="Y1253" s="52"/>
      <c r="Z1253" s="51"/>
      <c r="AA1253" s="73"/>
      <c r="AB1253" s="73"/>
      <c r="AC1253" s="74"/>
      <c r="AD1253" s="80" t="s">
        <v>7808</v>
      </c>
      <c r="AE1253" s="85" t="s">
        <v>8908</v>
      </c>
      <c r="AF1253" s="80">
        <v>65</v>
      </c>
      <c r="AG1253" s="80">
        <v>5667</v>
      </c>
      <c r="AH1253" s="80">
        <v>4920</v>
      </c>
      <c r="AI1253" s="80">
        <v>1031</v>
      </c>
      <c r="AJ1253" s="80"/>
      <c r="AK1253" s="80" t="s">
        <v>10072</v>
      </c>
      <c r="AL1253" s="80" t="s">
        <v>10446</v>
      </c>
      <c r="AM1253" s="87" t="str">
        <f>HYPERLINK("https://t.co/0FC1op26N5")</f>
        <v>https://t.co/0FC1op26N5</v>
      </c>
      <c r="AN1253" s="80"/>
      <c r="AO1253" s="82">
        <v>40752.483726851853</v>
      </c>
      <c r="AP1253" s="87" t="str">
        <f>HYPERLINK("https://pbs.twimg.com/profile_banners/343993435/1628850603")</f>
        <v>https://pbs.twimg.com/profile_banners/343993435/1628850603</v>
      </c>
      <c r="AQ1253" s="80" t="b">
        <v>1</v>
      </c>
      <c r="AR1253" s="80" t="b">
        <v>0</v>
      </c>
      <c r="AS1253" s="80" t="b">
        <v>1</v>
      </c>
      <c r="AT1253" s="80"/>
      <c r="AU1253" s="80">
        <v>8</v>
      </c>
      <c r="AV1253" s="87" t="str">
        <f>HYPERLINK("https://abs.twimg.com/images/themes/theme1/bg.png")</f>
        <v>https://abs.twimg.com/images/themes/theme1/bg.png</v>
      </c>
      <c r="AW1253" s="80" t="b">
        <v>1</v>
      </c>
      <c r="AX1253" s="80" t="s">
        <v>10746</v>
      </c>
      <c r="AY1253" s="87" t="str">
        <f>HYPERLINK("https://twitter.com/pmijawatengah")</f>
        <v>https://twitter.com/pmijawatengah</v>
      </c>
      <c r="AZ1253" s="80" t="s">
        <v>65</v>
      </c>
      <c r="BA1253" s="2"/>
      <c r="BB1253" s="3"/>
      <c r="BC1253" s="3"/>
      <c r="BD1253" s="3"/>
      <c r="BE1253" s="3"/>
    </row>
    <row r="1254" spans="1:57" x14ac:dyDescent="0.35">
      <c r="A1254" s="66" t="s">
        <v>1219</v>
      </c>
      <c r="B1254" s="67"/>
      <c r="C1254" s="67"/>
      <c r="D1254" s="68"/>
      <c r="E1254" s="70"/>
      <c r="F1254" s="109" t="str">
        <f>HYPERLINK("https://pbs.twimg.com/profile_images/1415848837944512513/UNtCXbBQ_normal.jpg")</f>
        <v>https://pbs.twimg.com/profile_images/1415848837944512513/UNtCXbBQ_normal.jpg</v>
      </c>
      <c r="G1254" s="67"/>
      <c r="H1254" s="71"/>
      <c r="I1254" s="72"/>
      <c r="J1254" s="72"/>
      <c r="K1254" s="71" t="s">
        <v>11997</v>
      </c>
      <c r="L1254" s="75"/>
      <c r="M1254" s="76"/>
      <c r="N1254" s="76"/>
      <c r="O1254" s="77"/>
      <c r="P1254" s="78"/>
      <c r="Q1254" s="78"/>
      <c r="R1254" s="92"/>
      <c r="S1254" s="92"/>
      <c r="T1254" s="92"/>
      <c r="U1254" s="92"/>
      <c r="V1254" s="52"/>
      <c r="W1254" s="52"/>
      <c r="X1254" s="52"/>
      <c r="Y1254" s="52"/>
      <c r="Z1254" s="51"/>
      <c r="AA1254" s="73"/>
      <c r="AB1254" s="73"/>
      <c r="AC1254" s="74"/>
      <c r="AD1254" s="80" t="s">
        <v>7809</v>
      </c>
      <c r="AE1254" s="85" t="s">
        <v>8909</v>
      </c>
      <c r="AF1254" s="80">
        <v>700</v>
      </c>
      <c r="AG1254" s="80">
        <v>742</v>
      </c>
      <c r="AH1254" s="80">
        <v>21470</v>
      </c>
      <c r="AI1254" s="80">
        <v>31126</v>
      </c>
      <c r="AJ1254" s="80"/>
      <c r="AK1254" s="80" t="s">
        <v>10073</v>
      </c>
      <c r="AL1254" s="80"/>
      <c r="AM1254" s="80"/>
      <c r="AN1254" s="80"/>
      <c r="AO1254" s="82">
        <v>43546.074236111112</v>
      </c>
      <c r="AP1254" s="80"/>
      <c r="AQ1254" s="80" t="b">
        <v>0</v>
      </c>
      <c r="AR1254" s="80" t="b">
        <v>0</v>
      </c>
      <c r="AS1254" s="80" t="b">
        <v>0</v>
      </c>
      <c r="AT1254" s="80"/>
      <c r="AU1254" s="80">
        <v>0</v>
      </c>
      <c r="AV1254" s="87" t="str">
        <f>HYPERLINK("https://abs.twimg.com/images/themes/theme1/bg.png")</f>
        <v>https://abs.twimg.com/images/themes/theme1/bg.png</v>
      </c>
      <c r="AW1254" s="80" t="b">
        <v>0</v>
      </c>
      <c r="AX1254" s="80" t="s">
        <v>10746</v>
      </c>
      <c r="AY1254" s="87" t="str">
        <f>HYPERLINK("https://twitter.com/yoesfat")</f>
        <v>https://twitter.com/yoesfat</v>
      </c>
      <c r="AZ1254" s="80" t="s">
        <v>66</v>
      </c>
      <c r="BA1254" s="2"/>
      <c r="BB1254" s="3"/>
      <c r="BC1254" s="3"/>
      <c r="BD1254" s="3"/>
      <c r="BE1254" s="3"/>
    </row>
    <row r="1255" spans="1:57" x14ac:dyDescent="0.35">
      <c r="A1255" s="66" t="s">
        <v>1220</v>
      </c>
      <c r="B1255" s="67"/>
      <c r="C1255" s="67"/>
      <c r="D1255" s="68"/>
      <c r="E1255" s="70"/>
      <c r="F1255" s="109" t="str">
        <f>HYPERLINK("https://pbs.twimg.com/profile_images/1398523535413284868/9JzBBvwM_normal.jpg")</f>
        <v>https://pbs.twimg.com/profile_images/1398523535413284868/9JzBBvwM_normal.jpg</v>
      </c>
      <c r="G1255" s="67"/>
      <c r="H1255" s="71"/>
      <c r="I1255" s="72"/>
      <c r="J1255" s="72"/>
      <c r="K1255" s="71" t="s">
        <v>11998</v>
      </c>
      <c r="L1255" s="75"/>
      <c r="M1255" s="76"/>
      <c r="N1255" s="76"/>
      <c r="O1255" s="77"/>
      <c r="P1255" s="78"/>
      <c r="Q1255" s="78"/>
      <c r="R1255" s="92"/>
      <c r="S1255" s="92"/>
      <c r="T1255" s="92"/>
      <c r="U1255" s="92"/>
      <c r="V1255" s="52"/>
      <c r="W1255" s="52"/>
      <c r="X1255" s="52"/>
      <c r="Y1255" s="52"/>
      <c r="Z1255" s="51"/>
      <c r="AA1255" s="73"/>
      <c r="AB1255" s="73"/>
      <c r="AC1255" s="74"/>
      <c r="AD1255" s="80" t="s">
        <v>7810</v>
      </c>
      <c r="AE1255" s="85" t="s">
        <v>8910</v>
      </c>
      <c r="AF1255" s="80">
        <v>98</v>
      </c>
      <c r="AG1255" s="80">
        <v>100</v>
      </c>
      <c r="AH1255" s="80">
        <v>206</v>
      </c>
      <c r="AI1255" s="80">
        <v>60</v>
      </c>
      <c r="AJ1255" s="80"/>
      <c r="AK1255" s="80"/>
      <c r="AL1255" s="80"/>
      <c r="AM1255" s="80"/>
      <c r="AN1255" s="80"/>
      <c r="AO1255" s="82">
        <v>40986.134618055556</v>
      </c>
      <c r="AP1255" s="80"/>
      <c r="AQ1255" s="80" t="b">
        <v>1</v>
      </c>
      <c r="AR1255" s="80" t="b">
        <v>0</v>
      </c>
      <c r="AS1255" s="80" t="b">
        <v>1</v>
      </c>
      <c r="AT1255" s="80"/>
      <c r="AU1255" s="80">
        <v>0</v>
      </c>
      <c r="AV1255" s="87" t="str">
        <f>HYPERLINK("https://abs.twimg.com/images/themes/theme1/bg.png")</f>
        <v>https://abs.twimg.com/images/themes/theme1/bg.png</v>
      </c>
      <c r="AW1255" s="80" t="b">
        <v>0</v>
      </c>
      <c r="AX1255" s="80" t="s">
        <v>10746</v>
      </c>
      <c r="AY1255" s="87" t="str">
        <f>HYPERLINK("https://twitter.com/lulusyukk")</f>
        <v>https://twitter.com/lulusyukk</v>
      </c>
      <c r="AZ1255" s="80" t="s">
        <v>66</v>
      </c>
      <c r="BA1255" s="2"/>
      <c r="BB1255" s="3"/>
      <c r="BC1255" s="3"/>
      <c r="BD1255" s="3"/>
      <c r="BE1255" s="3"/>
    </row>
    <row r="1256" spans="1:57" x14ac:dyDescent="0.35">
      <c r="A1256" s="66" t="s">
        <v>1515</v>
      </c>
      <c r="B1256" s="67"/>
      <c r="C1256" s="67"/>
      <c r="D1256" s="68"/>
      <c r="E1256" s="70"/>
      <c r="F1256" s="109" t="str">
        <f>HYPERLINK("https://pbs.twimg.com/profile_images/1439192391567622155/IlWPo2sS_normal.jpg")</f>
        <v>https://pbs.twimg.com/profile_images/1439192391567622155/IlWPo2sS_normal.jpg</v>
      </c>
      <c r="G1256" s="67"/>
      <c r="H1256" s="71"/>
      <c r="I1256" s="72"/>
      <c r="J1256" s="72"/>
      <c r="K1256" s="71" t="s">
        <v>11999</v>
      </c>
      <c r="L1256" s="75"/>
      <c r="M1256" s="76"/>
      <c r="N1256" s="76"/>
      <c r="O1256" s="77"/>
      <c r="P1256" s="78"/>
      <c r="Q1256" s="78"/>
      <c r="R1256" s="92"/>
      <c r="S1256" s="92"/>
      <c r="T1256" s="92"/>
      <c r="U1256" s="92"/>
      <c r="V1256" s="52"/>
      <c r="W1256" s="52"/>
      <c r="X1256" s="52"/>
      <c r="Y1256" s="52"/>
      <c r="Z1256" s="51"/>
      <c r="AA1256" s="73"/>
      <c r="AB1256" s="73"/>
      <c r="AC1256" s="74"/>
      <c r="AD1256" s="80" t="s">
        <v>7811</v>
      </c>
      <c r="AE1256" s="85" t="s">
        <v>6455</v>
      </c>
      <c r="AF1256" s="80">
        <v>226</v>
      </c>
      <c r="AG1256" s="80">
        <v>329</v>
      </c>
      <c r="AH1256" s="80">
        <v>43682</v>
      </c>
      <c r="AI1256" s="80">
        <v>1145</v>
      </c>
      <c r="AJ1256" s="80"/>
      <c r="AK1256" s="80" t="s">
        <v>10074</v>
      </c>
      <c r="AL1256" s="80" t="s">
        <v>10174</v>
      </c>
      <c r="AM1256" s="80"/>
      <c r="AN1256" s="80"/>
      <c r="AO1256" s="82">
        <v>41883.238726851851</v>
      </c>
      <c r="AP1256" s="87" t="str">
        <f>HYPERLINK("https://pbs.twimg.com/profile_banners/2783589385/1570633524")</f>
        <v>https://pbs.twimg.com/profile_banners/2783589385/1570633524</v>
      </c>
      <c r="AQ1256" s="80" t="b">
        <v>0</v>
      </c>
      <c r="AR1256" s="80" t="b">
        <v>0</v>
      </c>
      <c r="AS1256" s="80" t="b">
        <v>0</v>
      </c>
      <c r="AT1256" s="80"/>
      <c r="AU1256" s="80">
        <v>0</v>
      </c>
      <c r="AV1256" s="87" t="str">
        <f>HYPERLINK("https://abs.twimg.com/images/themes/theme9/bg.gif")</f>
        <v>https://abs.twimg.com/images/themes/theme9/bg.gif</v>
      </c>
      <c r="AW1256" s="80" t="b">
        <v>0</v>
      </c>
      <c r="AX1256" s="80" t="s">
        <v>10746</v>
      </c>
      <c r="AY1256" s="87" t="str">
        <f>HYPERLINK("https://twitter.com/jaywones")</f>
        <v>https://twitter.com/jaywones</v>
      </c>
      <c r="AZ1256" s="80" t="s">
        <v>65</v>
      </c>
      <c r="BA1256" s="2"/>
      <c r="BB1256" s="3"/>
      <c r="BC1256" s="3"/>
      <c r="BD1256" s="3"/>
      <c r="BE1256" s="3"/>
    </row>
    <row r="1257" spans="1:57" x14ac:dyDescent="0.35">
      <c r="A1257" s="66" t="s">
        <v>1516</v>
      </c>
      <c r="B1257" s="67"/>
      <c r="C1257" s="67"/>
      <c r="D1257" s="68"/>
      <c r="E1257" s="70"/>
      <c r="F1257" s="109" t="str">
        <f>HYPERLINK("https://pbs.twimg.com/profile_images/1279068560581513217/1LmMIuoA_normal.jpg")</f>
        <v>https://pbs.twimg.com/profile_images/1279068560581513217/1LmMIuoA_normal.jpg</v>
      </c>
      <c r="G1257" s="67"/>
      <c r="H1257" s="71"/>
      <c r="I1257" s="72"/>
      <c r="J1257" s="72"/>
      <c r="K1257" s="71" t="s">
        <v>12000</v>
      </c>
      <c r="L1257" s="75"/>
      <c r="M1257" s="76"/>
      <c r="N1257" s="76"/>
      <c r="O1257" s="77"/>
      <c r="P1257" s="78"/>
      <c r="Q1257" s="78"/>
      <c r="R1257" s="92"/>
      <c r="S1257" s="92"/>
      <c r="T1257" s="92"/>
      <c r="U1257" s="92"/>
      <c r="V1257" s="52"/>
      <c r="W1257" s="52"/>
      <c r="X1257" s="52"/>
      <c r="Y1257" s="52"/>
      <c r="Z1257" s="51"/>
      <c r="AA1257" s="73"/>
      <c r="AB1257" s="73"/>
      <c r="AC1257" s="74"/>
      <c r="AD1257" s="80" t="s">
        <v>7812</v>
      </c>
      <c r="AE1257" s="85" t="s">
        <v>6456</v>
      </c>
      <c r="AF1257" s="80">
        <v>634</v>
      </c>
      <c r="AG1257" s="80">
        <v>56420</v>
      </c>
      <c r="AH1257" s="80">
        <v>340234</v>
      </c>
      <c r="AI1257" s="80">
        <v>53</v>
      </c>
      <c r="AJ1257" s="80"/>
      <c r="AK1257" s="80" t="s">
        <v>10075</v>
      </c>
      <c r="AL1257" s="80" t="s">
        <v>10722</v>
      </c>
      <c r="AM1257" s="87" t="str">
        <f>HYPERLINK("https://t.co/Q2lsWKInHs")</f>
        <v>https://t.co/Q2lsWKInHs</v>
      </c>
      <c r="AN1257" s="80"/>
      <c r="AO1257" s="82">
        <v>44015.55773148148</v>
      </c>
      <c r="AP1257" s="87" t="str">
        <f>HYPERLINK("https://pbs.twimg.com/profile_banners/1279042914711003137/1596161570")</f>
        <v>https://pbs.twimg.com/profile_banners/1279042914711003137/1596161570</v>
      </c>
      <c r="AQ1257" s="80" t="b">
        <v>1</v>
      </c>
      <c r="AR1257" s="80" t="b">
        <v>0</v>
      </c>
      <c r="AS1257" s="80" t="b">
        <v>0</v>
      </c>
      <c r="AT1257" s="80"/>
      <c r="AU1257" s="80">
        <v>2393</v>
      </c>
      <c r="AV1257" s="80"/>
      <c r="AW1257" s="80" t="b">
        <v>0</v>
      </c>
      <c r="AX1257" s="80" t="s">
        <v>10746</v>
      </c>
      <c r="AY1257" s="87" t="str">
        <f>HYPERLINK("https://twitter.com/lariesmanis")</f>
        <v>https://twitter.com/lariesmanis</v>
      </c>
      <c r="AZ1257" s="80" t="s">
        <v>65</v>
      </c>
      <c r="BA1257" s="2"/>
      <c r="BB1257" s="3"/>
      <c r="BC1257" s="3"/>
      <c r="BD1257" s="3"/>
      <c r="BE1257" s="3"/>
    </row>
    <row r="1258" spans="1:57" x14ac:dyDescent="0.35">
      <c r="A1258" s="66" t="s">
        <v>1517</v>
      </c>
      <c r="B1258" s="67"/>
      <c r="C1258" s="67"/>
      <c r="D1258" s="68"/>
      <c r="E1258" s="70"/>
      <c r="F1258" s="109" t="str">
        <f>HYPERLINK("https://pbs.twimg.com/profile_images/1441432610421440527/VsuP33cB_normal.jpg")</f>
        <v>https://pbs.twimg.com/profile_images/1441432610421440527/VsuP33cB_normal.jpg</v>
      </c>
      <c r="G1258" s="67"/>
      <c r="H1258" s="71"/>
      <c r="I1258" s="72"/>
      <c r="J1258" s="72"/>
      <c r="K1258" s="71" t="s">
        <v>12001</v>
      </c>
      <c r="L1258" s="75"/>
      <c r="M1258" s="76"/>
      <c r="N1258" s="76"/>
      <c r="O1258" s="77"/>
      <c r="P1258" s="78"/>
      <c r="Q1258" s="78"/>
      <c r="R1258" s="92"/>
      <c r="S1258" s="92"/>
      <c r="T1258" s="92"/>
      <c r="U1258" s="92"/>
      <c r="V1258" s="52"/>
      <c r="W1258" s="52"/>
      <c r="X1258" s="52"/>
      <c r="Y1258" s="52"/>
      <c r="Z1258" s="51"/>
      <c r="AA1258" s="73"/>
      <c r="AB1258" s="73"/>
      <c r="AC1258" s="74"/>
      <c r="AD1258" s="80" t="s">
        <v>7813</v>
      </c>
      <c r="AE1258" s="85" t="s">
        <v>6457</v>
      </c>
      <c r="AF1258" s="80">
        <v>3</v>
      </c>
      <c r="AG1258" s="80">
        <v>1</v>
      </c>
      <c r="AH1258" s="80">
        <v>9</v>
      </c>
      <c r="AI1258" s="80">
        <v>0</v>
      </c>
      <c r="AJ1258" s="80"/>
      <c r="AK1258" s="80" t="s">
        <v>10076</v>
      </c>
      <c r="AL1258" s="80" t="s">
        <v>10228</v>
      </c>
      <c r="AM1258" s="87" t="str">
        <f>HYPERLINK("https://t.co/F4vqEgpEfX")</f>
        <v>https://t.co/F4vqEgpEfX</v>
      </c>
      <c r="AN1258" s="80"/>
      <c r="AO1258" s="82">
        <v>44463.187268518515</v>
      </c>
      <c r="AP1258" s="80"/>
      <c r="AQ1258" s="80" t="b">
        <v>1</v>
      </c>
      <c r="AR1258" s="80" t="b">
        <v>0</v>
      </c>
      <c r="AS1258" s="80" t="b">
        <v>0</v>
      </c>
      <c r="AT1258" s="80"/>
      <c r="AU1258" s="80">
        <v>0</v>
      </c>
      <c r="AV1258" s="80"/>
      <c r="AW1258" s="80" t="b">
        <v>0</v>
      </c>
      <c r="AX1258" s="80" t="s">
        <v>10746</v>
      </c>
      <c r="AY1258" s="87" t="str">
        <f>HYPERLINK("https://twitter.com/wh_nini")</f>
        <v>https://twitter.com/wh_nini</v>
      </c>
      <c r="AZ1258" s="80" t="s">
        <v>65</v>
      </c>
      <c r="BA1258" s="2"/>
      <c r="BB1258" s="3"/>
      <c r="BC1258" s="3"/>
      <c r="BD1258" s="3"/>
      <c r="BE1258" s="3"/>
    </row>
    <row r="1259" spans="1:57" x14ac:dyDescent="0.35">
      <c r="A1259" s="66" t="s">
        <v>1518</v>
      </c>
      <c r="B1259" s="67"/>
      <c r="C1259" s="67"/>
      <c r="D1259" s="68"/>
      <c r="E1259" s="70"/>
      <c r="F1259" s="109" t="str">
        <f>HYPERLINK("https://pbs.twimg.com/profile_images/1436239506974253057/xAc0Cb_i_normal.jpg")</f>
        <v>https://pbs.twimg.com/profile_images/1436239506974253057/xAc0Cb_i_normal.jpg</v>
      </c>
      <c r="G1259" s="67"/>
      <c r="H1259" s="71"/>
      <c r="I1259" s="72"/>
      <c r="J1259" s="72"/>
      <c r="K1259" s="71" t="s">
        <v>12002</v>
      </c>
      <c r="L1259" s="75"/>
      <c r="M1259" s="76"/>
      <c r="N1259" s="76"/>
      <c r="O1259" s="77"/>
      <c r="P1259" s="78"/>
      <c r="Q1259" s="78"/>
      <c r="R1259" s="92"/>
      <c r="S1259" s="92"/>
      <c r="T1259" s="92"/>
      <c r="U1259" s="92"/>
      <c r="V1259" s="52"/>
      <c r="W1259" s="52"/>
      <c r="X1259" s="52"/>
      <c r="Y1259" s="52"/>
      <c r="Z1259" s="51"/>
      <c r="AA1259" s="73"/>
      <c r="AB1259" s="73"/>
      <c r="AC1259" s="74"/>
      <c r="AD1259" s="80" t="s">
        <v>7814</v>
      </c>
      <c r="AE1259" s="85" t="s">
        <v>6458</v>
      </c>
      <c r="AF1259" s="80">
        <v>996</v>
      </c>
      <c r="AG1259" s="80">
        <v>506</v>
      </c>
      <c r="AH1259" s="80">
        <v>11920</v>
      </c>
      <c r="AI1259" s="80">
        <v>5308</v>
      </c>
      <c r="AJ1259" s="80"/>
      <c r="AK1259" s="80" t="s">
        <v>10077</v>
      </c>
      <c r="AL1259" s="80" t="s">
        <v>10157</v>
      </c>
      <c r="AM1259" s="87" t="str">
        <f>HYPERLINK("https://t.co/STt8DrTniN")</f>
        <v>https://t.co/STt8DrTniN</v>
      </c>
      <c r="AN1259" s="80"/>
      <c r="AO1259" s="82">
        <v>43820.610810185186</v>
      </c>
      <c r="AP1259" s="87" t="str">
        <f>HYPERLINK("https://pbs.twimg.com/profile_banners/1208396563808235525/1631261158")</f>
        <v>https://pbs.twimg.com/profile_banners/1208396563808235525/1631261158</v>
      </c>
      <c r="AQ1259" s="80" t="b">
        <v>1</v>
      </c>
      <c r="AR1259" s="80" t="b">
        <v>0</v>
      </c>
      <c r="AS1259" s="80" t="b">
        <v>1</v>
      </c>
      <c r="AT1259" s="80"/>
      <c r="AU1259" s="80">
        <v>1</v>
      </c>
      <c r="AV1259" s="80"/>
      <c r="AW1259" s="80" t="b">
        <v>0</v>
      </c>
      <c r="AX1259" s="80" t="s">
        <v>10746</v>
      </c>
      <c r="AY1259" s="87" t="str">
        <f>HYPERLINK("https://twitter.com/myxiaodejun")</f>
        <v>https://twitter.com/myxiaodejun</v>
      </c>
      <c r="AZ1259" s="80" t="s">
        <v>65</v>
      </c>
      <c r="BA1259" s="2"/>
      <c r="BB1259" s="3"/>
      <c r="BC1259" s="3"/>
      <c r="BD1259" s="3"/>
      <c r="BE1259" s="3"/>
    </row>
    <row r="1260" spans="1:57" x14ac:dyDescent="0.35">
      <c r="A1260" s="66" t="s">
        <v>1519</v>
      </c>
      <c r="B1260" s="67"/>
      <c r="C1260" s="67"/>
      <c r="D1260" s="68"/>
      <c r="E1260" s="70"/>
      <c r="F1260" s="109" t="str">
        <f>HYPERLINK("https://pbs.twimg.com/profile_images/1442404686770806795/KEoXgh7Z_normal.jpg")</f>
        <v>https://pbs.twimg.com/profile_images/1442404686770806795/KEoXgh7Z_normal.jpg</v>
      </c>
      <c r="G1260" s="67"/>
      <c r="H1260" s="71"/>
      <c r="I1260" s="72"/>
      <c r="J1260" s="72"/>
      <c r="K1260" s="71" t="s">
        <v>12003</v>
      </c>
      <c r="L1260" s="75"/>
      <c r="M1260" s="76"/>
      <c r="N1260" s="76"/>
      <c r="O1260" s="77"/>
      <c r="P1260" s="78"/>
      <c r="Q1260" s="78"/>
      <c r="R1260" s="92"/>
      <c r="S1260" s="92"/>
      <c r="T1260" s="92"/>
      <c r="U1260" s="92"/>
      <c r="V1260" s="52"/>
      <c r="W1260" s="52"/>
      <c r="X1260" s="52"/>
      <c r="Y1260" s="52"/>
      <c r="Z1260" s="51"/>
      <c r="AA1260" s="73"/>
      <c r="AB1260" s="73"/>
      <c r="AC1260" s="74"/>
      <c r="AD1260" s="80" t="s">
        <v>7815</v>
      </c>
      <c r="AE1260" s="85" t="s">
        <v>6459</v>
      </c>
      <c r="AF1260" s="80">
        <v>600</v>
      </c>
      <c r="AG1260" s="80">
        <v>551</v>
      </c>
      <c r="AH1260" s="80">
        <v>7320</v>
      </c>
      <c r="AI1260" s="80">
        <v>2653</v>
      </c>
      <c r="AJ1260" s="80"/>
      <c r="AK1260" s="80" t="s">
        <v>10078</v>
      </c>
      <c r="AL1260" s="80" t="s">
        <v>10157</v>
      </c>
      <c r="AM1260" s="87" t="str">
        <f>HYPERLINK("https://t.co/Z9XoeB9Zhw")</f>
        <v>https://t.co/Z9XoeB9Zhw</v>
      </c>
      <c r="AN1260" s="80"/>
      <c r="AO1260" s="82">
        <v>44076.332291666666</v>
      </c>
      <c r="AP1260" s="87" t="str">
        <f>HYPERLINK("https://pbs.twimg.com/profile_banners/1301066921526177792/1629307370")</f>
        <v>https://pbs.twimg.com/profile_banners/1301066921526177792/1629307370</v>
      </c>
      <c r="AQ1260" s="80" t="b">
        <v>1</v>
      </c>
      <c r="AR1260" s="80" t="b">
        <v>0</v>
      </c>
      <c r="AS1260" s="80" t="b">
        <v>0</v>
      </c>
      <c r="AT1260" s="80"/>
      <c r="AU1260" s="80">
        <v>0</v>
      </c>
      <c r="AV1260" s="80"/>
      <c r="AW1260" s="80" t="b">
        <v>0</v>
      </c>
      <c r="AX1260" s="80" t="s">
        <v>10746</v>
      </c>
      <c r="AY1260" s="87" t="str">
        <f>HYPERLINK("https://twitter.com/whdksskosh")</f>
        <v>https://twitter.com/whdksskosh</v>
      </c>
      <c r="AZ1260" s="80" t="s">
        <v>65</v>
      </c>
      <c r="BA1260" s="2"/>
      <c r="BB1260" s="3"/>
      <c r="BC1260" s="3"/>
      <c r="BD1260" s="3"/>
      <c r="BE1260" s="3"/>
    </row>
    <row r="1261" spans="1:57" x14ac:dyDescent="0.35">
      <c r="A1261" s="66" t="s">
        <v>1520</v>
      </c>
      <c r="B1261" s="67"/>
      <c r="C1261" s="67"/>
      <c r="D1261" s="68"/>
      <c r="E1261" s="70"/>
      <c r="F1261" s="109" t="str">
        <f>HYPERLINK("https://pbs.twimg.com/profile_images/1370958902456504320/U_ZZHMDX_normal.png")</f>
        <v>https://pbs.twimg.com/profile_images/1370958902456504320/U_ZZHMDX_normal.png</v>
      </c>
      <c r="G1261" s="67"/>
      <c r="H1261" s="71"/>
      <c r="I1261" s="72"/>
      <c r="J1261" s="72"/>
      <c r="K1261" s="71" t="s">
        <v>12004</v>
      </c>
      <c r="L1261" s="75"/>
      <c r="M1261" s="76"/>
      <c r="N1261" s="76"/>
      <c r="O1261" s="77"/>
      <c r="P1261" s="78"/>
      <c r="Q1261" s="78"/>
      <c r="R1261" s="92"/>
      <c r="S1261" s="92"/>
      <c r="T1261" s="92"/>
      <c r="U1261" s="92"/>
      <c r="V1261" s="52"/>
      <c r="W1261" s="52"/>
      <c r="X1261" s="52"/>
      <c r="Y1261" s="52"/>
      <c r="Z1261" s="51"/>
      <c r="AA1261" s="73"/>
      <c r="AB1261" s="73"/>
      <c r="AC1261" s="74"/>
      <c r="AD1261" s="80" t="s">
        <v>7816</v>
      </c>
      <c r="AE1261" s="85" t="s">
        <v>6460</v>
      </c>
      <c r="AF1261" s="80">
        <v>3974</v>
      </c>
      <c r="AG1261" s="80">
        <v>28790</v>
      </c>
      <c r="AH1261" s="80">
        <v>322057</v>
      </c>
      <c r="AI1261" s="80">
        <v>40</v>
      </c>
      <c r="AJ1261" s="80"/>
      <c r="AK1261" s="80" t="s">
        <v>10079</v>
      </c>
      <c r="AL1261" s="80" t="s">
        <v>10723</v>
      </c>
      <c r="AM1261" s="87" t="str">
        <f>HYPERLINK("https://t.co/pR9y2iPre0")</f>
        <v>https://t.co/pR9y2iPre0</v>
      </c>
      <c r="AN1261" s="80"/>
      <c r="AO1261" s="82">
        <v>43662.530428240738</v>
      </c>
      <c r="AP1261" s="87" t="str">
        <f>HYPERLINK("https://pbs.twimg.com/profile_banners/1151110183319289857/1611293980")</f>
        <v>https://pbs.twimg.com/profile_banners/1151110183319289857/1611293980</v>
      </c>
      <c r="AQ1261" s="80" t="b">
        <v>1</v>
      </c>
      <c r="AR1261" s="80" t="b">
        <v>0</v>
      </c>
      <c r="AS1261" s="80" t="b">
        <v>0</v>
      </c>
      <c r="AT1261" s="80"/>
      <c r="AU1261" s="80">
        <v>483</v>
      </c>
      <c r="AV1261" s="80"/>
      <c r="AW1261" s="80" t="b">
        <v>0</v>
      </c>
      <c r="AX1261" s="80" t="s">
        <v>10746</v>
      </c>
      <c r="AY1261" s="87" t="str">
        <f>HYPERLINK("https://twitter.com/kpopstorefess")</f>
        <v>https://twitter.com/kpopstorefess</v>
      </c>
      <c r="AZ1261" s="80" t="s">
        <v>65</v>
      </c>
      <c r="BA1261" s="2"/>
      <c r="BB1261" s="3"/>
      <c r="BC1261" s="3"/>
      <c r="BD1261" s="3"/>
      <c r="BE1261" s="3"/>
    </row>
    <row r="1262" spans="1:57" x14ac:dyDescent="0.35">
      <c r="A1262" s="66" t="s">
        <v>1222</v>
      </c>
      <c r="B1262" s="67"/>
      <c r="C1262" s="67"/>
      <c r="D1262" s="68"/>
      <c r="E1262" s="70"/>
      <c r="F1262" s="109" t="str">
        <f>HYPERLINK("https://pbs.twimg.com/profile_images/1437068613802872840/0fkUSEvW_normal.jpg")</f>
        <v>https://pbs.twimg.com/profile_images/1437068613802872840/0fkUSEvW_normal.jpg</v>
      </c>
      <c r="G1262" s="67"/>
      <c r="H1262" s="71"/>
      <c r="I1262" s="72"/>
      <c r="J1262" s="72"/>
      <c r="K1262" s="71" t="s">
        <v>12005</v>
      </c>
      <c r="L1262" s="75"/>
      <c r="M1262" s="76"/>
      <c r="N1262" s="76"/>
      <c r="O1262" s="77"/>
      <c r="P1262" s="78"/>
      <c r="Q1262" s="78"/>
      <c r="R1262" s="92"/>
      <c r="S1262" s="92"/>
      <c r="T1262" s="92"/>
      <c r="U1262" s="92"/>
      <c r="V1262" s="52"/>
      <c r="W1262" s="52"/>
      <c r="X1262" s="52"/>
      <c r="Y1262" s="52"/>
      <c r="Z1262" s="51"/>
      <c r="AA1262" s="73"/>
      <c r="AB1262" s="73"/>
      <c r="AC1262" s="74"/>
      <c r="AD1262" s="80" t="s">
        <v>7817</v>
      </c>
      <c r="AE1262" s="85" t="s">
        <v>6463</v>
      </c>
      <c r="AF1262" s="80">
        <v>1506</v>
      </c>
      <c r="AG1262" s="80">
        <v>3475</v>
      </c>
      <c r="AH1262" s="80">
        <v>65898</v>
      </c>
      <c r="AI1262" s="80">
        <v>35526</v>
      </c>
      <c r="AJ1262" s="80"/>
      <c r="AK1262" s="80" t="s">
        <v>10080</v>
      </c>
      <c r="AL1262" s="80"/>
      <c r="AM1262" s="87" t="str">
        <f>HYPERLINK("https://t.co/F6YVHYjKqG")</f>
        <v>https://t.co/F6YVHYjKqG</v>
      </c>
      <c r="AN1262" s="80"/>
      <c r="AO1262" s="82">
        <v>43598.648668981485</v>
      </c>
      <c r="AP1262" s="87" t="str">
        <f>HYPERLINK("https://pbs.twimg.com/profile_banners/1127960211015122945/1631458829")</f>
        <v>https://pbs.twimg.com/profile_banners/1127960211015122945/1631458829</v>
      </c>
      <c r="AQ1262" s="80" t="b">
        <v>1</v>
      </c>
      <c r="AR1262" s="80" t="b">
        <v>0</v>
      </c>
      <c r="AS1262" s="80" t="b">
        <v>0</v>
      </c>
      <c r="AT1262" s="80"/>
      <c r="AU1262" s="80">
        <v>24</v>
      </c>
      <c r="AV1262" s="80"/>
      <c r="AW1262" s="80" t="b">
        <v>0</v>
      </c>
      <c r="AX1262" s="80" t="s">
        <v>10746</v>
      </c>
      <c r="AY1262" s="87" t="str">
        <f>HYPERLINK("https://twitter.com/gldenvnte")</f>
        <v>https://twitter.com/gldenvnte</v>
      </c>
      <c r="AZ1262" s="80" t="s">
        <v>66</v>
      </c>
      <c r="BA1262" s="2"/>
      <c r="BB1262" s="3"/>
      <c r="BC1262" s="3"/>
      <c r="BD1262" s="3"/>
      <c r="BE1262" s="3"/>
    </row>
    <row r="1263" spans="1:57" x14ac:dyDescent="0.35">
      <c r="A1263" s="66" t="s">
        <v>1521</v>
      </c>
      <c r="B1263" s="67"/>
      <c r="C1263" s="67"/>
      <c r="D1263" s="68"/>
      <c r="E1263" s="70"/>
      <c r="F1263" s="109" t="str">
        <f>HYPERLINK("https://pbs.twimg.com/profile_images/1441931569829068802/Lk17rhD5_normal.jpg")</f>
        <v>https://pbs.twimg.com/profile_images/1441931569829068802/Lk17rhD5_normal.jpg</v>
      </c>
      <c r="G1263" s="67"/>
      <c r="H1263" s="71"/>
      <c r="I1263" s="72"/>
      <c r="J1263" s="72"/>
      <c r="K1263" s="71" t="s">
        <v>12006</v>
      </c>
      <c r="L1263" s="75"/>
      <c r="M1263" s="76"/>
      <c r="N1263" s="76"/>
      <c r="O1263" s="77"/>
      <c r="P1263" s="78"/>
      <c r="Q1263" s="78"/>
      <c r="R1263" s="92"/>
      <c r="S1263" s="92"/>
      <c r="T1263" s="92"/>
      <c r="U1263" s="92"/>
      <c r="V1263" s="52"/>
      <c r="W1263" s="52"/>
      <c r="X1263" s="52"/>
      <c r="Y1263" s="52"/>
      <c r="Z1263" s="51"/>
      <c r="AA1263" s="73"/>
      <c r="AB1263" s="73"/>
      <c r="AC1263" s="74"/>
      <c r="AD1263" s="80" t="s">
        <v>7818</v>
      </c>
      <c r="AE1263" s="85" t="s">
        <v>6462</v>
      </c>
      <c r="AF1263" s="80">
        <v>3272</v>
      </c>
      <c r="AG1263" s="80">
        <v>2885</v>
      </c>
      <c r="AH1263" s="80">
        <v>39460</v>
      </c>
      <c r="AI1263" s="80">
        <v>28756</v>
      </c>
      <c r="AJ1263" s="80"/>
      <c r="AK1263" s="80" t="s">
        <v>10081</v>
      </c>
      <c r="AL1263" s="80" t="s">
        <v>10157</v>
      </c>
      <c r="AM1263" s="87" t="str">
        <f>HYPERLINK("https://t.co/QcHdLzwEGa")</f>
        <v>https://t.co/QcHdLzwEGa</v>
      </c>
      <c r="AN1263" s="80"/>
      <c r="AO1263" s="82">
        <v>43891.581435185188</v>
      </c>
      <c r="AP1263" s="87" t="str">
        <f>HYPERLINK("https://pbs.twimg.com/profile_banners/1234115406505205761/1632617766")</f>
        <v>https://pbs.twimg.com/profile_banners/1234115406505205761/1632617766</v>
      </c>
      <c r="AQ1263" s="80" t="b">
        <v>1</v>
      </c>
      <c r="AR1263" s="80" t="b">
        <v>0</v>
      </c>
      <c r="AS1263" s="80" t="b">
        <v>0</v>
      </c>
      <c r="AT1263" s="80"/>
      <c r="AU1263" s="80">
        <v>8</v>
      </c>
      <c r="AV1263" s="80"/>
      <c r="AW1263" s="80" t="b">
        <v>0</v>
      </c>
      <c r="AX1263" s="80" t="s">
        <v>10746</v>
      </c>
      <c r="AY1263" s="87" t="str">
        <f>HYPERLINK("https://twitter.com/taetaelvly")</f>
        <v>https://twitter.com/taetaelvly</v>
      </c>
      <c r="AZ1263" s="80" t="s">
        <v>65</v>
      </c>
      <c r="BA1263" s="2"/>
      <c r="BB1263" s="3"/>
      <c r="BC1263" s="3"/>
      <c r="BD1263" s="3"/>
      <c r="BE1263" s="3"/>
    </row>
    <row r="1264" spans="1:57" x14ac:dyDescent="0.35">
      <c r="A1264" s="66" t="s">
        <v>1223</v>
      </c>
      <c r="B1264" s="67"/>
      <c r="C1264" s="67"/>
      <c r="D1264" s="68"/>
      <c r="E1264" s="70"/>
      <c r="F1264" s="109" t="str">
        <f>HYPERLINK("https://pbs.twimg.com/profile_images/1045532153419685888/tI5IrzoY_normal.jpg")</f>
        <v>https://pbs.twimg.com/profile_images/1045532153419685888/tI5IrzoY_normal.jpg</v>
      </c>
      <c r="G1264" s="67"/>
      <c r="H1264" s="71"/>
      <c r="I1264" s="72"/>
      <c r="J1264" s="72"/>
      <c r="K1264" s="71" t="s">
        <v>12007</v>
      </c>
      <c r="L1264" s="75"/>
      <c r="M1264" s="76"/>
      <c r="N1264" s="76"/>
      <c r="O1264" s="77"/>
      <c r="P1264" s="78"/>
      <c r="Q1264" s="78"/>
      <c r="R1264" s="92"/>
      <c r="S1264" s="92"/>
      <c r="T1264" s="92"/>
      <c r="U1264" s="92"/>
      <c r="V1264" s="52"/>
      <c r="W1264" s="52"/>
      <c r="X1264" s="52"/>
      <c r="Y1264" s="52"/>
      <c r="Z1264" s="51"/>
      <c r="AA1264" s="73"/>
      <c r="AB1264" s="73"/>
      <c r="AC1264" s="74"/>
      <c r="AD1264" s="80" t="s">
        <v>7325</v>
      </c>
      <c r="AE1264" s="85" t="s">
        <v>8911</v>
      </c>
      <c r="AF1264" s="80">
        <v>50</v>
      </c>
      <c r="AG1264" s="80">
        <v>6423</v>
      </c>
      <c r="AH1264" s="80">
        <v>9021</v>
      </c>
      <c r="AI1264" s="80">
        <v>63</v>
      </c>
      <c r="AJ1264" s="80"/>
      <c r="AK1264" s="80" t="s">
        <v>10082</v>
      </c>
      <c r="AL1264" s="80" t="s">
        <v>6543</v>
      </c>
      <c r="AM1264" s="87" t="str">
        <f>HYPERLINK("https://t.co/QifpQfWrKs")</f>
        <v>https://t.co/QifpQfWrKs</v>
      </c>
      <c r="AN1264" s="80"/>
      <c r="AO1264" s="82">
        <v>41872.933506944442</v>
      </c>
      <c r="AP1264" s="87" t="str">
        <f>HYPERLINK("https://pbs.twimg.com/profile_banners/2753228456/1533602801")</f>
        <v>https://pbs.twimg.com/profile_banners/2753228456/1533602801</v>
      </c>
      <c r="AQ1264" s="80" t="b">
        <v>0</v>
      </c>
      <c r="AR1264" s="80" t="b">
        <v>0</v>
      </c>
      <c r="AS1264" s="80" t="b">
        <v>1</v>
      </c>
      <c r="AT1264" s="80"/>
      <c r="AU1264" s="80">
        <v>15</v>
      </c>
      <c r="AV1264" s="87" t="str">
        <f>HYPERLINK("https://abs.twimg.com/images/themes/theme1/bg.png")</f>
        <v>https://abs.twimg.com/images/themes/theme1/bg.png</v>
      </c>
      <c r="AW1264" s="80" t="b">
        <v>0</v>
      </c>
      <c r="AX1264" s="80" t="s">
        <v>10746</v>
      </c>
      <c r="AY1264" s="87" t="str">
        <f>HYPERLINK("https://twitter.com/openkerja")</f>
        <v>https://twitter.com/openkerja</v>
      </c>
      <c r="AZ1264" s="80" t="s">
        <v>66</v>
      </c>
      <c r="BA1264" s="2"/>
      <c r="BB1264" s="3"/>
      <c r="BC1264" s="3"/>
      <c r="BD1264" s="3"/>
      <c r="BE1264" s="3"/>
    </row>
    <row r="1265" spans="1:57" x14ac:dyDescent="0.35">
      <c r="A1265" s="66" t="s">
        <v>1224</v>
      </c>
      <c r="B1265" s="67"/>
      <c r="C1265" s="67"/>
      <c r="D1265" s="68"/>
      <c r="E1265" s="70"/>
      <c r="F1265" s="109" t="str">
        <f>HYPERLINK("https://pbs.twimg.com/profile_images/1442720524602265601/AOqkOkR1_normal.jpg")</f>
        <v>https://pbs.twimg.com/profile_images/1442720524602265601/AOqkOkR1_normal.jpg</v>
      </c>
      <c r="G1265" s="67"/>
      <c r="H1265" s="71"/>
      <c r="I1265" s="72"/>
      <c r="J1265" s="72"/>
      <c r="K1265" s="71" t="s">
        <v>12008</v>
      </c>
      <c r="L1265" s="75"/>
      <c r="M1265" s="76"/>
      <c r="N1265" s="76"/>
      <c r="O1265" s="77"/>
      <c r="P1265" s="78"/>
      <c r="Q1265" s="78"/>
      <c r="R1265" s="92"/>
      <c r="S1265" s="92"/>
      <c r="T1265" s="92"/>
      <c r="U1265" s="92"/>
      <c r="V1265" s="52"/>
      <c r="W1265" s="52"/>
      <c r="X1265" s="52"/>
      <c r="Y1265" s="52"/>
      <c r="Z1265" s="51"/>
      <c r="AA1265" s="73"/>
      <c r="AB1265" s="73"/>
      <c r="AC1265" s="74"/>
      <c r="AD1265" s="80" t="s">
        <v>7819</v>
      </c>
      <c r="AE1265" s="85" t="s">
        <v>8912</v>
      </c>
      <c r="AF1265" s="80">
        <v>1367</v>
      </c>
      <c r="AG1265" s="80">
        <v>1441</v>
      </c>
      <c r="AH1265" s="80">
        <v>27439</v>
      </c>
      <c r="AI1265" s="80">
        <v>45127</v>
      </c>
      <c r="AJ1265" s="80"/>
      <c r="AK1265" s="80" t="s">
        <v>10083</v>
      </c>
      <c r="AL1265" s="80" t="s">
        <v>10724</v>
      </c>
      <c r="AM1265" s="80"/>
      <c r="AN1265" s="80"/>
      <c r="AO1265" s="82">
        <v>42727.199618055558</v>
      </c>
      <c r="AP1265" s="87" t="str">
        <f>HYPERLINK("https://pbs.twimg.com/profile_banners/812157647184986112/1632403503")</f>
        <v>https://pbs.twimg.com/profile_banners/812157647184986112/1632403503</v>
      </c>
      <c r="AQ1265" s="80" t="b">
        <v>0</v>
      </c>
      <c r="AR1265" s="80" t="b">
        <v>0</v>
      </c>
      <c r="AS1265" s="80" t="b">
        <v>0</v>
      </c>
      <c r="AT1265" s="80"/>
      <c r="AU1265" s="80">
        <v>16</v>
      </c>
      <c r="AV1265" s="87" t="str">
        <f>HYPERLINK("https://abs.twimg.com/images/themes/theme1/bg.png")</f>
        <v>https://abs.twimg.com/images/themes/theme1/bg.png</v>
      </c>
      <c r="AW1265" s="80" t="b">
        <v>0</v>
      </c>
      <c r="AX1265" s="80" t="s">
        <v>10746</v>
      </c>
      <c r="AY1265" s="87" t="str">
        <f>HYPERLINK("https://twitter.com/winterpeachyy")</f>
        <v>https://twitter.com/winterpeachyy</v>
      </c>
      <c r="AZ1265" s="80" t="s">
        <v>66</v>
      </c>
      <c r="BA1265" s="2"/>
      <c r="BB1265" s="3"/>
      <c r="BC1265" s="3"/>
      <c r="BD1265" s="3"/>
      <c r="BE1265" s="3"/>
    </row>
    <row r="1266" spans="1:57" x14ac:dyDescent="0.35">
      <c r="A1266" s="66" t="s">
        <v>1225</v>
      </c>
      <c r="B1266" s="67"/>
      <c r="C1266" s="67"/>
      <c r="D1266" s="68"/>
      <c r="E1266" s="70"/>
      <c r="F1266" s="109" t="str">
        <f>HYPERLINK("https://pbs.twimg.com/profile_images/1156431153143808001/WoOH3eF6_normal.jpg")</f>
        <v>https://pbs.twimg.com/profile_images/1156431153143808001/WoOH3eF6_normal.jpg</v>
      </c>
      <c r="G1266" s="67"/>
      <c r="H1266" s="71"/>
      <c r="I1266" s="72"/>
      <c r="J1266" s="72"/>
      <c r="K1266" s="71" t="s">
        <v>12009</v>
      </c>
      <c r="L1266" s="75"/>
      <c r="M1266" s="76"/>
      <c r="N1266" s="76"/>
      <c r="O1266" s="77"/>
      <c r="P1266" s="78"/>
      <c r="Q1266" s="78"/>
      <c r="R1266" s="92"/>
      <c r="S1266" s="92"/>
      <c r="T1266" s="92"/>
      <c r="U1266" s="92"/>
      <c r="V1266" s="52"/>
      <c r="W1266" s="52"/>
      <c r="X1266" s="52"/>
      <c r="Y1266" s="52"/>
      <c r="Z1266" s="51"/>
      <c r="AA1266" s="73"/>
      <c r="AB1266" s="73"/>
      <c r="AC1266" s="74"/>
      <c r="AD1266" s="80" t="s">
        <v>7820</v>
      </c>
      <c r="AE1266" s="85" t="s">
        <v>8913</v>
      </c>
      <c r="AF1266" s="80">
        <v>6</v>
      </c>
      <c r="AG1266" s="80">
        <v>6</v>
      </c>
      <c r="AH1266" s="80">
        <v>828</v>
      </c>
      <c r="AI1266" s="80">
        <v>1</v>
      </c>
      <c r="AJ1266" s="80"/>
      <c r="AK1266" s="80" t="s">
        <v>10084</v>
      </c>
      <c r="AL1266" s="80" t="s">
        <v>6543</v>
      </c>
      <c r="AM1266" s="80"/>
      <c r="AN1266" s="80"/>
      <c r="AO1266" s="82">
        <v>42529.412222222221</v>
      </c>
      <c r="AP1266" s="87" t="str">
        <f>HYPERLINK("https://pbs.twimg.com/profile_banners/740481894756683777/1467692249")</f>
        <v>https://pbs.twimg.com/profile_banners/740481894756683777/1467692249</v>
      </c>
      <c r="AQ1266" s="80" t="b">
        <v>1</v>
      </c>
      <c r="AR1266" s="80" t="b">
        <v>0</v>
      </c>
      <c r="AS1266" s="80" t="b">
        <v>1</v>
      </c>
      <c r="AT1266" s="80"/>
      <c r="AU1266" s="80">
        <v>0</v>
      </c>
      <c r="AV1266" s="80"/>
      <c r="AW1266" s="80" t="b">
        <v>0</v>
      </c>
      <c r="AX1266" s="80" t="s">
        <v>10746</v>
      </c>
      <c r="AY1266" s="87" t="str">
        <f>HYPERLINK("https://twitter.com/tbssouvenir")</f>
        <v>https://twitter.com/tbssouvenir</v>
      </c>
      <c r="AZ1266" s="80" t="s">
        <v>66</v>
      </c>
      <c r="BA1266" s="2"/>
      <c r="BB1266" s="3"/>
      <c r="BC1266" s="3"/>
      <c r="BD1266" s="3"/>
      <c r="BE1266" s="3"/>
    </row>
    <row r="1267" spans="1:57" x14ac:dyDescent="0.35">
      <c r="A1267" s="66" t="s">
        <v>1226</v>
      </c>
      <c r="B1267" s="67"/>
      <c r="C1267" s="67"/>
      <c r="D1267" s="68"/>
      <c r="E1267" s="70"/>
      <c r="F1267" s="109" t="str">
        <f>HYPERLINK("https://pbs.twimg.com/profile_images/1430405087218651140/ZAZyyHCR_normal.jpg")</f>
        <v>https://pbs.twimg.com/profile_images/1430405087218651140/ZAZyyHCR_normal.jpg</v>
      </c>
      <c r="G1267" s="67"/>
      <c r="H1267" s="71"/>
      <c r="I1267" s="72"/>
      <c r="J1267" s="72"/>
      <c r="K1267" s="71" t="s">
        <v>12010</v>
      </c>
      <c r="L1267" s="75"/>
      <c r="M1267" s="76"/>
      <c r="N1267" s="76"/>
      <c r="O1267" s="77"/>
      <c r="P1267" s="78"/>
      <c r="Q1267" s="78"/>
      <c r="R1267" s="92"/>
      <c r="S1267" s="92"/>
      <c r="T1267" s="92"/>
      <c r="U1267" s="92"/>
      <c r="V1267" s="52"/>
      <c r="W1267" s="52"/>
      <c r="X1267" s="52"/>
      <c r="Y1267" s="52"/>
      <c r="Z1267" s="51"/>
      <c r="AA1267" s="73"/>
      <c r="AB1267" s="73"/>
      <c r="AC1267" s="74"/>
      <c r="AD1267" s="80" t="s">
        <v>7821</v>
      </c>
      <c r="AE1267" s="85" t="s">
        <v>8914</v>
      </c>
      <c r="AF1267" s="80">
        <v>87</v>
      </c>
      <c r="AG1267" s="80">
        <v>5</v>
      </c>
      <c r="AH1267" s="80">
        <v>31</v>
      </c>
      <c r="AI1267" s="80">
        <v>31</v>
      </c>
      <c r="AJ1267" s="80"/>
      <c r="AK1267" s="80" t="s">
        <v>10085</v>
      </c>
      <c r="AL1267" s="80"/>
      <c r="AM1267" s="80"/>
      <c r="AN1267" s="80"/>
      <c r="AO1267" s="82">
        <v>44433.236956018518</v>
      </c>
      <c r="AP1267" s="80"/>
      <c r="AQ1267" s="80" t="b">
        <v>1</v>
      </c>
      <c r="AR1267" s="80" t="b">
        <v>0</v>
      </c>
      <c r="AS1267" s="80" t="b">
        <v>0</v>
      </c>
      <c r="AT1267" s="80"/>
      <c r="AU1267" s="80">
        <v>0</v>
      </c>
      <c r="AV1267" s="80"/>
      <c r="AW1267" s="80" t="b">
        <v>0</v>
      </c>
      <c r="AX1267" s="80" t="s">
        <v>10746</v>
      </c>
      <c r="AY1267" s="87" t="str">
        <f>HYPERLINK("https://twitter.com/datel7190")</f>
        <v>https://twitter.com/datel7190</v>
      </c>
      <c r="AZ1267" s="80" t="s">
        <v>66</v>
      </c>
      <c r="BA1267" s="2"/>
      <c r="BB1267" s="3"/>
      <c r="BC1267" s="3"/>
      <c r="BD1267" s="3"/>
      <c r="BE1267" s="3"/>
    </row>
    <row r="1268" spans="1:57" x14ac:dyDescent="0.35">
      <c r="A1268" s="66" t="s">
        <v>1227</v>
      </c>
      <c r="B1268" s="67"/>
      <c r="C1268" s="67"/>
      <c r="D1268" s="68"/>
      <c r="E1268" s="70"/>
      <c r="F1268" s="109" t="str">
        <f>HYPERLINK("https://pbs.twimg.com/profile_images/818558770900922369/N7x61JHW_normal.jpg")</f>
        <v>https://pbs.twimg.com/profile_images/818558770900922369/N7x61JHW_normal.jpg</v>
      </c>
      <c r="G1268" s="67"/>
      <c r="H1268" s="71"/>
      <c r="I1268" s="72"/>
      <c r="J1268" s="72"/>
      <c r="K1268" s="71" t="s">
        <v>12011</v>
      </c>
      <c r="L1268" s="75"/>
      <c r="M1268" s="76"/>
      <c r="N1268" s="76"/>
      <c r="O1268" s="77"/>
      <c r="P1268" s="78"/>
      <c r="Q1268" s="78"/>
      <c r="R1268" s="92"/>
      <c r="S1268" s="92"/>
      <c r="T1268" s="92"/>
      <c r="U1268" s="92"/>
      <c r="V1268" s="52"/>
      <c r="W1268" s="52"/>
      <c r="X1268" s="52"/>
      <c r="Y1268" s="52"/>
      <c r="Z1268" s="51"/>
      <c r="AA1268" s="73"/>
      <c r="AB1268" s="73"/>
      <c r="AC1268" s="74"/>
      <c r="AD1268" s="80" t="s">
        <v>7325</v>
      </c>
      <c r="AE1268" s="85" t="s">
        <v>8915</v>
      </c>
      <c r="AF1268" s="80">
        <v>6</v>
      </c>
      <c r="AG1268" s="80">
        <v>382</v>
      </c>
      <c r="AH1268" s="80">
        <v>6792</v>
      </c>
      <c r="AI1268" s="80">
        <v>0</v>
      </c>
      <c r="AJ1268" s="80"/>
      <c r="AK1268" s="80" t="s">
        <v>10086</v>
      </c>
      <c r="AL1268" s="80" t="s">
        <v>6543</v>
      </c>
      <c r="AM1268" s="80"/>
      <c r="AN1268" s="80"/>
      <c r="AO1268" s="82">
        <v>42744.853020833332</v>
      </c>
      <c r="AP1268" s="87" t="str">
        <f>HYPERLINK("https://pbs.twimg.com/profile_banners/818555029917315072/1483994614")</f>
        <v>https://pbs.twimg.com/profile_banners/818555029917315072/1483994614</v>
      </c>
      <c r="AQ1268" s="80" t="b">
        <v>1</v>
      </c>
      <c r="AR1268" s="80" t="b">
        <v>0</v>
      </c>
      <c r="AS1268" s="80" t="b">
        <v>0</v>
      </c>
      <c r="AT1268" s="80"/>
      <c r="AU1268" s="80">
        <v>0</v>
      </c>
      <c r="AV1268" s="80"/>
      <c r="AW1268" s="80" t="b">
        <v>0</v>
      </c>
      <c r="AX1268" s="80" t="s">
        <v>10746</v>
      </c>
      <c r="AY1268" s="87" t="str">
        <f>HYPERLINK("https://twitter.com/lowongankerja07")</f>
        <v>https://twitter.com/lowongankerja07</v>
      </c>
      <c r="AZ1268" s="80" t="s">
        <v>66</v>
      </c>
      <c r="BA1268" s="2"/>
      <c r="BB1268" s="3"/>
      <c r="BC1268" s="3"/>
      <c r="BD1268" s="3"/>
      <c r="BE1268" s="3"/>
    </row>
    <row r="1269" spans="1:57" x14ac:dyDescent="0.35">
      <c r="A1269" s="66" t="s">
        <v>1228</v>
      </c>
      <c r="B1269" s="67"/>
      <c r="C1269" s="67"/>
      <c r="D1269" s="68"/>
      <c r="E1269" s="70"/>
      <c r="F1269" s="109" t="str">
        <f>HYPERLINK("https://pbs.twimg.com/profile_images/666486550046183425/O6sqRn5i_normal.jpg")</f>
        <v>https://pbs.twimg.com/profile_images/666486550046183425/O6sqRn5i_normal.jpg</v>
      </c>
      <c r="G1269" s="67"/>
      <c r="H1269" s="71"/>
      <c r="I1269" s="72"/>
      <c r="J1269" s="72"/>
      <c r="K1269" s="71" t="s">
        <v>12012</v>
      </c>
      <c r="L1269" s="75"/>
      <c r="M1269" s="76"/>
      <c r="N1269" s="76"/>
      <c r="O1269" s="77"/>
      <c r="P1269" s="78"/>
      <c r="Q1269" s="78"/>
      <c r="R1269" s="92"/>
      <c r="S1269" s="92"/>
      <c r="T1269" s="92"/>
      <c r="U1269" s="92"/>
      <c r="V1269" s="52"/>
      <c r="W1269" s="52"/>
      <c r="X1269" s="52"/>
      <c r="Y1269" s="52"/>
      <c r="Z1269" s="51"/>
      <c r="AA1269" s="73"/>
      <c r="AB1269" s="73"/>
      <c r="AC1269" s="74"/>
      <c r="AD1269" s="80" t="s">
        <v>7822</v>
      </c>
      <c r="AE1269" s="85" t="s">
        <v>8916</v>
      </c>
      <c r="AF1269" s="80">
        <v>548</v>
      </c>
      <c r="AG1269" s="80">
        <v>253</v>
      </c>
      <c r="AH1269" s="80">
        <v>10402</v>
      </c>
      <c r="AI1269" s="80">
        <v>20</v>
      </c>
      <c r="AJ1269" s="80"/>
      <c r="AK1269" s="80" t="s">
        <v>10087</v>
      </c>
      <c r="AL1269" s="80"/>
      <c r="AM1269" s="80"/>
      <c r="AN1269" s="80"/>
      <c r="AO1269" s="82">
        <v>42301.200115740743</v>
      </c>
      <c r="AP1269" s="87" t="str">
        <f>HYPERLINK("https://pbs.twimg.com/profile_banners/3998664380/1446970880")</f>
        <v>https://pbs.twimg.com/profile_banners/3998664380/1446970880</v>
      </c>
      <c r="AQ1269" s="80" t="b">
        <v>0</v>
      </c>
      <c r="AR1269" s="80" t="b">
        <v>0</v>
      </c>
      <c r="AS1269" s="80" t="b">
        <v>0</v>
      </c>
      <c r="AT1269" s="80"/>
      <c r="AU1269" s="80">
        <v>7</v>
      </c>
      <c r="AV1269" s="87" t="str">
        <f>HYPERLINK("https://abs.twimg.com/images/themes/theme16/bg.gif")</f>
        <v>https://abs.twimg.com/images/themes/theme16/bg.gif</v>
      </c>
      <c r="AW1269" s="80" t="b">
        <v>0</v>
      </c>
      <c r="AX1269" s="80" t="s">
        <v>10746</v>
      </c>
      <c r="AY1269" s="87" t="str">
        <f>HYPERLINK("https://twitter.com/roistorez")</f>
        <v>https://twitter.com/roistorez</v>
      </c>
      <c r="AZ1269" s="80" t="s">
        <v>66</v>
      </c>
      <c r="BA1269" s="2"/>
      <c r="BB1269" s="3"/>
      <c r="BC1269" s="3"/>
      <c r="BD1269" s="3"/>
      <c r="BE1269" s="3"/>
    </row>
    <row r="1270" spans="1:57" x14ac:dyDescent="0.35">
      <c r="A1270" s="66" t="s">
        <v>1229</v>
      </c>
      <c r="B1270" s="67"/>
      <c r="C1270" s="67"/>
      <c r="D1270" s="68"/>
      <c r="E1270" s="70"/>
      <c r="F1270" s="109" t="str">
        <f>HYPERLINK("https://pbs.twimg.com/profile_images/1412733479624712195/jiQH6e15_normal.jpg")</f>
        <v>https://pbs.twimg.com/profile_images/1412733479624712195/jiQH6e15_normal.jpg</v>
      </c>
      <c r="G1270" s="67"/>
      <c r="H1270" s="71"/>
      <c r="I1270" s="72"/>
      <c r="J1270" s="72"/>
      <c r="K1270" s="71" t="s">
        <v>12013</v>
      </c>
      <c r="L1270" s="75"/>
      <c r="M1270" s="76"/>
      <c r="N1270" s="76"/>
      <c r="O1270" s="77"/>
      <c r="P1270" s="78"/>
      <c r="Q1270" s="78"/>
      <c r="R1270" s="92"/>
      <c r="S1270" s="92"/>
      <c r="T1270" s="92"/>
      <c r="U1270" s="92"/>
      <c r="V1270" s="52"/>
      <c r="W1270" s="52"/>
      <c r="X1270" s="52"/>
      <c r="Y1270" s="52"/>
      <c r="Z1270" s="51"/>
      <c r="AA1270" s="73"/>
      <c r="AB1270" s="73"/>
      <c r="AC1270" s="74"/>
      <c r="AD1270" s="80" t="s">
        <v>7823</v>
      </c>
      <c r="AE1270" s="85" t="s">
        <v>8917</v>
      </c>
      <c r="AF1270" s="80">
        <v>21</v>
      </c>
      <c r="AG1270" s="80">
        <v>0</v>
      </c>
      <c r="AH1270" s="80">
        <v>1</v>
      </c>
      <c r="AI1270" s="80">
        <v>3</v>
      </c>
      <c r="AJ1270" s="80"/>
      <c r="AK1270" s="80">
        <v>0</v>
      </c>
      <c r="AL1270" s="80"/>
      <c r="AM1270" s="80"/>
      <c r="AN1270" s="80"/>
      <c r="AO1270" s="82">
        <v>44383.197048611109</v>
      </c>
      <c r="AP1270" s="87" t="str">
        <f>HYPERLINK("https://pbs.twimg.com/profile_banners/1412270968337092611/1625656907")</f>
        <v>https://pbs.twimg.com/profile_banners/1412270968337092611/1625656907</v>
      </c>
      <c r="AQ1270" s="80" t="b">
        <v>1</v>
      </c>
      <c r="AR1270" s="80" t="b">
        <v>0</v>
      </c>
      <c r="AS1270" s="80" t="b">
        <v>0</v>
      </c>
      <c r="AT1270" s="80"/>
      <c r="AU1270" s="80">
        <v>0</v>
      </c>
      <c r="AV1270" s="80"/>
      <c r="AW1270" s="80" t="b">
        <v>0</v>
      </c>
      <c r="AX1270" s="80" t="s">
        <v>10746</v>
      </c>
      <c r="AY1270" s="87" t="str">
        <f>HYPERLINK("https://twitter.com/lim_pato")</f>
        <v>https://twitter.com/lim_pato</v>
      </c>
      <c r="AZ1270" s="80" t="s">
        <v>66</v>
      </c>
      <c r="BA1270" s="2"/>
      <c r="BB1270" s="3"/>
      <c r="BC1270" s="3"/>
      <c r="BD1270" s="3"/>
      <c r="BE1270" s="3"/>
    </row>
    <row r="1271" spans="1:57" x14ac:dyDescent="0.35">
      <c r="A1271" s="66" t="s">
        <v>1522</v>
      </c>
      <c r="B1271" s="67"/>
      <c r="C1271" s="67"/>
      <c r="D1271" s="68"/>
      <c r="E1271" s="70"/>
      <c r="F1271" s="109" t="str">
        <f>HYPERLINK("https://pbs.twimg.com/profile_images/1387617002496290817/cI5jRFlY_normal.jpg")</f>
        <v>https://pbs.twimg.com/profile_images/1387617002496290817/cI5jRFlY_normal.jpg</v>
      </c>
      <c r="G1271" s="67"/>
      <c r="H1271" s="71"/>
      <c r="I1271" s="72"/>
      <c r="J1271" s="72"/>
      <c r="K1271" s="71" t="s">
        <v>12014</v>
      </c>
      <c r="L1271" s="75"/>
      <c r="M1271" s="76"/>
      <c r="N1271" s="76"/>
      <c r="O1271" s="77"/>
      <c r="P1271" s="78"/>
      <c r="Q1271" s="78"/>
      <c r="R1271" s="92"/>
      <c r="S1271" s="92"/>
      <c r="T1271" s="92"/>
      <c r="U1271" s="92"/>
      <c r="V1271" s="52"/>
      <c r="W1271" s="52"/>
      <c r="X1271" s="52"/>
      <c r="Y1271" s="52"/>
      <c r="Z1271" s="51"/>
      <c r="AA1271" s="73"/>
      <c r="AB1271" s="73"/>
      <c r="AC1271" s="74"/>
      <c r="AD1271" s="80" t="s">
        <v>7824</v>
      </c>
      <c r="AE1271" s="85" t="s">
        <v>8918</v>
      </c>
      <c r="AF1271" s="80">
        <v>0</v>
      </c>
      <c r="AG1271" s="80">
        <v>913</v>
      </c>
      <c r="AH1271" s="80">
        <v>511</v>
      </c>
      <c r="AI1271" s="80">
        <v>2</v>
      </c>
      <c r="AJ1271" s="80"/>
      <c r="AK1271" s="80" t="s">
        <v>10088</v>
      </c>
      <c r="AL1271" s="80" t="s">
        <v>6543</v>
      </c>
      <c r="AM1271" s="87" t="str">
        <f>HYPERLINK("https://t.co/aWU2PYiVAx")</f>
        <v>https://t.co/aWU2PYiVAx</v>
      </c>
      <c r="AN1271" s="80"/>
      <c r="AO1271" s="82">
        <v>44256.515625</v>
      </c>
      <c r="AP1271" s="87" t="str">
        <f>HYPERLINK("https://pbs.twimg.com/profile_banners/1366363173406658560/1625739832")</f>
        <v>https://pbs.twimg.com/profile_banners/1366363173406658560/1625739832</v>
      </c>
      <c r="AQ1271" s="80" t="b">
        <v>1</v>
      </c>
      <c r="AR1271" s="80" t="b">
        <v>0</v>
      </c>
      <c r="AS1271" s="80" t="b">
        <v>0</v>
      </c>
      <c r="AT1271" s="80"/>
      <c r="AU1271" s="80">
        <v>0</v>
      </c>
      <c r="AV1271" s="80"/>
      <c r="AW1271" s="80" t="b">
        <v>0</v>
      </c>
      <c r="AX1271" s="80" t="s">
        <v>10746</v>
      </c>
      <c r="AY1271" s="87" t="str">
        <f>HYPERLINK("https://twitter.com/korlantasid")</f>
        <v>https://twitter.com/korlantasid</v>
      </c>
      <c r="AZ1271" s="80" t="s">
        <v>65</v>
      </c>
      <c r="BA1271" s="2"/>
      <c r="BB1271" s="3"/>
      <c r="BC1271" s="3"/>
      <c r="BD1271" s="3"/>
      <c r="BE1271" s="3"/>
    </row>
    <row r="1272" spans="1:57" x14ac:dyDescent="0.35">
      <c r="A1272" s="66" t="s">
        <v>1230</v>
      </c>
      <c r="B1272" s="67"/>
      <c r="C1272" s="67"/>
      <c r="D1272" s="68"/>
      <c r="E1272" s="70"/>
      <c r="F1272" s="109" t="str">
        <f>HYPERLINK("https://pbs.twimg.com/profile_images/1438789709950447626/u-yDOld__normal.jpg")</f>
        <v>https://pbs.twimg.com/profile_images/1438789709950447626/u-yDOld__normal.jpg</v>
      </c>
      <c r="G1272" s="67"/>
      <c r="H1272" s="71"/>
      <c r="I1272" s="72"/>
      <c r="J1272" s="72"/>
      <c r="K1272" s="71" t="s">
        <v>12015</v>
      </c>
      <c r="L1272" s="75"/>
      <c r="M1272" s="76"/>
      <c r="N1272" s="76"/>
      <c r="O1272" s="77"/>
      <c r="P1272" s="78"/>
      <c r="Q1272" s="78"/>
      <c r="R1272" s="92"/>
      <c r="S1272" s="92"/>
      <c r="T1272" s="92"/>
      <c r="U1272" s="92"/>
      <c r="V1272" s="52"/>
      <c r="W1272" s="52"/>
      <c r="X1272" s="52"/>
      <c r="Y1272" s="52"/>
      <c r="Z1272" s="51"/>
      <c r="AA1272" s="73"/>
      <c r="AB1272" s="73"/>
      <c r="AC1272" s="74"/>
      <c r="AD1272" s="80" t="s">
        <v>7825</v>
      </c>
      <c r="AE1272" s="85" t="s">
        <v>8919</v>
      </c>
      <c r="AF1272" s="80">
        <v>102</v>
      </c>
      <c r="AG1272" s="80">
        <v>105</v>
      </c>
      <c r="AH1272" s="80">
        <v>302</v>
      </c>
      <c r="AI1272" s="80">
        <v>149</v>
      </c>
      <c r="AJ1272" s="80"/>
      <c r="AK1272" s="80" t="s">
        <v>10089</v>
      </c>
      <c r="AL1272" s="80" t="s">
        <v>10725</v>
      </c>
      <c r="AM1272" s="80"/>
      <c r="AN1272" s="80"/>
      <c r="AO1272" s="82">
        <v>44123.222013888888</v>
      </c>
      <c r="AP1272" s="87" t="str">
        <f>HYPERLINK("https://pbs.twimg.com/profile_banners/1318059180289265665/1631871156")</f>
        <v>https://pbs.twimg.com/profile_banners/1318059180289265665/1631871156</v>
      </c>
      <c r="AQ1272" s="80" t="b">
        <v>1</v>
      </c>
      <c r="AR1272" s="80" t="b">
        <v>0</v>
      </c>
      <c r="AS1272" s="80" t="b">
        <v>0</v>
      </c>
      <c r="AT1272" s="80"/>
      <c r="AU1272" s="80">
        <v>0</v>
      </c>
      <c r="AV1272" s="80"/>
      <c r="AW1272" s="80" t="b">
        <v>0</v>
      </c>
      <c r="AX1272" s="80" t="s">
        <v>10746</v>
      </c>
      <c r="AY1272" s="87" t="str">
        <f>HYPERLINK("https://twitter.com/kyufiies")</f>
        <v>https://twitter.com/kyufiies</v>
      </c>
      <c r="AZ1272" s="80" t="s">
        <v>66</v>
      </c>
      <c r="BA1272" s="2"/>
      <c r="BB1272" s="3"/>
      <c r="BC1272" s="3"/>
      <c r="BD1272" s="3"/>
      <c r="BE1272" s="3"/>
    </row>
    <row r="1273" spans="1:57" x14ac:dyDescent="0.35">
      <c r="A1273" s="66" t="s">
        <v>1231</v>
      </c>
      <c r="B1273" s="67"/>
      <c r="C1273" s="67"/>
      <c r="D1273" s="68"/>
      <c r="E1273" s="70"/>
      <c r="F1273" s="109" t="str">
        <f>HYPERLINK("https://pbs.twimg.com/profile_images/1042435038560677892/HLzD_dKu_normal.jpg")</f>
        <v>https://pbs.twimg.com/profile_images/1042435038560677892/HLzD_dKu_normal.jpg</v>
      </c>
      <c r="G1273" s="67"/>
      <c r="H1273" s="71"/>
      <c r="I1273" s="72"/>
      <c r="J1273" s="72"/>
      <c r="K1273" s="71" t="s">
        <v>12016</v>
      </c>
      <c r="L1273" s="75"/>
      <c r="M1273" s="76"/>
      <c r="N1273" s="76"/>
      <c r="O1273" s="77"/>
      <c r="P1273" s="78"/>
      <c r="Q1273" s="78"/>
      <c r="R1273" s="92"/>
      <c r="S1273" s="92"/>
      <c r="T1273" s="92"/>
      <c r="U1273" s="92"/>
      <c r="V1273" s="52"/>
      <c r="W1273" s="52"/>
      <c r="X1273" s="52"/>
      <c r="Y1273" s="52"/>
      <c r="Z1273" s="51"/>
      <c r="AA1273" s="73"/>
      <c r="AB1273" s="73"/>
      <c r="AC1273" s="74"/>
      <c r="AD1273" s="80" t="s">
        <v>7826</v>
      </c>
      <c r="AE1273" s="85" t="s">
        <v>6464</v>
      </c>
      <c r="AF1273" s="80">
        <v>266</v>
      </c>
      <c r="AG1273" s="80">
        <v>482</v>
      </c>
      <c r="AH1273" s="80">
        <v>31969</v>
      </c>
      <c r="AI1273" s="80">
        <v>1133</v>
      </c>
      <c r="AJ1273" s="80"/>
      <c r="AK1273" s="80" t="s">
        <v>10090</v>
      </c>
      <c r="AL1273" s="80"/>
      <c r="AM1273" s="87" t="str">
        <f>HYPERLINK("https://t.co/wceJ8oAs8I")</f>
        <v>https://t.co/wceJ8oAs8I</v>
      </c>
      <c r="AN1273" s="80"/>
      <c r="AO1273" s="82">
        <v>40904.967141203706</v>
      </c>
      <c r="AP1273" s="87" t="str">
        <f>HYPERLINK("https://pbs.twimg.com/profile_banners/448381612/1537370834")</f>
        <v>https://pbs.twimg.com/profile_banners/448381612/1537370834</v>
      </c>
      <c r="AQ1273" s="80" t="b">
        <v>0</v>
      </c>
      <c r="AR1273" s="80" t="b">
        <v>0</v>
      </c>
      <c r="AS1273" s="80" t="b">
        <v>1</v>
      </c>
      <c r="AT1273" s="80"/>
      <c r="AU1273" s="80">
        <v>0</v>
      </c>
      <c r="AV1273" s="87" t="str">
        <f>HYPERLINK("https://abs.twimg.com/images/themes/theme1/bg.png")</f>
        <v>https://abs.twimg.com/images/themes/theme1/bg.png</v>
      </c>
      <c r="AW1273" s="80" t="b">
        <v>0</v>
      </c>
      <c r="AX1273" s="80" t="s">
        <v>10746</v>
      </c>
      <c r="AY1273" s="87" t="str">
        <f>HYPERLINK("https://twitter.com/sitimaharani39")</f>
        <v>https://twitter.com/sitimaharani39</v>
      </c>
      <c r="AZ1273" s="80" t="s">
        <v>66</v>
      </c>
      <c r="BA1273" s="2"/>
      <c r="BB1273" s="3"/>
      <c r="BC1273" s="3"/>
      <c r="BD1273" s="3"/>
      <c r="BE1273" s="3"/>
    </row>
    <row r="1274" spans="1:57" x14ac:dyDescent="0.35">
      <c r="A1274" s="66" t="s">
        <v>1523</v>
      </c>
      <c r="B1274" s="67"/>
      <c r="C1274" s="67"/>
      <c r="D1274" s="68"/>
      <c r="E1274" s="70"/>
      <c r="F1274" s="109" t="str">
        <f>HYPERLINK("https://pbs.twimg.com/profile_images/1523365653/profil_pic_fb_normal.jpg")</f>
        <v>https://pbs.twimg.com/profile_images/1523365653/profil_pic_fb_normal.jpg</v>
      </c>
      <c r="G1274" s="67"/>
      <c r="H1274" s="71"/>
      <c r="I1274" s="72"/>
      <c r="J1274" s="72"/>
      <c r="K1274" s="71" t="s">
        <v>12017</v>
      </c>
      <c r="L1274" s="75"/>
      <c r="M1274" s="76"/>
      <c r="N1274" s="76"/>
      <c r="O1274" s="77"/>
      <c r="P1274" s="78"/>
      <c r="Q1274" s="78"/>
      <c r="R1274" s="92"/>
      <c r="S1274" s="92"/>
      <c r="T1274" s="92"/>
      <c r="U1274" s="92"/>
      <c r="V1274" s="52"/>
      <c r="W1274" s="52"/>
      <c r="X1274" s="52"/>
      <c r="Y1274" s="52"/>
      <c r="Z1274" s="51"/>
      <c r="AA1274" s="73"/>
      <c r="AB1274" s="73"/>
      <c r="AC1274" s="74"/>
      <c r="AD1274" s="80" t="s">
        <v>7827</v>
      </c>
      <c r="AE1274" s="85" t="s">
        <v>6465</v>
      </c>
      <c r="AF1274" s="80">
        <v>991</v>
      </c>
      <c r="AG1274" s="80">
        <v>631</v>
      </c>
      <c r="AH1274" s="80">
        <v>946</v>
      </c>
      <c r="AI1274" s="80">
        <v>6</v>
      </c>
      <c r="AJ1274" s="80"/>
      <c r="AK1274" s="80" t="s">
        <v>10091</v>
      </c>
      <c r="AL1274" s="80" t="s">
        <v>6543</v>
      </c>
      <c r="AM1274" s="87" t="str">
        <f>HYPERLINK("http://t.co/ezlC6YW35X")</f>
        <v>http://t.co/ezlC6YW35X</v>
      </c>
      <c r="AN1274" s="80"/>
      <c r="AO1274" s="82">
        <v>40252.674629629626</v>
      </c>
      <c r="AP1274" s="80"/>
      <c r="AQ1274" s="80" t="b">
        <v>1</v>
      </c>
      <c r="AR1274" s="80" t="b">
        <v>0</v>
      </c>
      <c r="AS1274" s="80" t="b">
        <v>1</v>
      </c>
      <c r="AT1274" s="80"/>
      <c r="AU1274" s="80">
        <v>8</v>
      </c>
      <c r="AV1274" s="87" t="str">
        <f>HYPERLINK("https://abs.twimg.com/images/themes/theme1/bg.png")</f>
        <v>https://abs.twimg.com/images/themes/theme1/bg.png</v>
      </c>
      <c r="AW1274" s="80" t="b">
        <v>0</v>
      </c>
      <c r="AX1274" s="80" t="s">
        <v>10746</v>
      </c>
      <c r="AY1274" s="87" t="str">
        <f>HYPERLINK("https://twitter.com/stephanus168")</f>
        <v>https://twitter.com/stephanus168</v>
      </c>
      <c r="AZ1274" s="80" t="s">
        <v>65</v>
      </c>
      <c r="BA1274" s="2"/>
      <c r="BB1274" s="3"/>
      <c r="BC1274" s="3"/>
      <c r="BD1274" s="3"/>
      <c r="BE1274" s="3"/>
    </row>
    <row r="1275" spans="1:57" x14ac:dyDescent="0.35">
      <c r="A1275" s="66" t="s">
        <v>1524</v>
      </c>
      <c r="B1275" s="67"/>
      <c r="C1275" s="67"/>
      <c r="D1275" s="68"/>
      <c r="E1275" s="70"/>
      <c r="F1275" s="109" t="str">
        <f>HYPERLINK("https://pbs.twimg.com/profile_images/1440971112947486720/9qlGF_9q_normal.jpg")</f>
        <v>https://pbs.twimg.com/profile_images/1440971112947486720/9qlGF_9q_normal.jpg</v>
      </c>
      <c r="G1275" s="67"/>
      <c r="H1275" s="71"/>
      <c r="I1275" s="72"/>
      <c r="J1275" s="72"/>
      <c r="K1275" s="71" t="s">
        <v>12018</v>
      </c>
      <c r="L1275" s="75"/>
      <c r="M1275" s="76"/>
      <c r="N1275" s="76"/>
      <c r="O1275" s="77"/>
      <c r="P1275" s="78"/>
      <c r="Q1275" s="78"/>
      <c r="R1275" s="92"/>
      <c r="S1275" s="92"/>
      <c r="T1275" s="92"/>
      <c r="U1275" s="92"/>
      <c r="V1275" s="52"/>
      <c r="W1275" s="52"/>
      <c r="X1275" s="52"/>
      <c r="Y1275" s="52"/>
      <c r="Z1275" s="51"/>
      <c r="AA1275" s="73"/>
      <c r="AB1275" s="73"/>
      <c r="AC1275" s="74"/>
      <c r="AD1275" s="80" t="s">
        <v>7828</v>
      </c>
      <c r="AE1275" s="85" t="s">
        <v>6466</v>
      </c>
      <c r="AF1275" s="80">
        <v>485</v>
      </c>
      <c r="AG1275" s="80">
        <v>340</v>
      </c>
      <c r="AH1275" s="80">
        <v>27475</v>
      </c>
      <c r="AI1275" s="80">
        <v>33145</v>
      </c>
      <c r="AJ1275" s="80"/>
      <c r="AK1275" s="80" t="s">
        <v>10092</v>
      </c>
      <c r="AL1275" s="80" t="s">
        <v>10726</v>
      </c>
      <c r="AM1275" s="87" t="str">
        <f>HYPERLINK("https://t.co/RkwBptDCua")</f>
        <v>https://t.co/RkwBptDCua</v>
      </c>
      <c r="AN1275" s="80"/>
      <c r="AO1275" s="82">
        <v>40656.254027777781</v>
      </c>
      <c r="AP1275" s="87" t="str">
        <f>HYPERLINK("https://pbs.twimg.com/profile_banners/286541504/1610427837")</f>
        <v>https://pbs.twimg.com/profile_banners/286541504/1610427837</v>
      </c>
      <c r="AQ1275" s="80" t="b">
        <v>0</v>
      </c>
      <c r="AR1275" s="80" t="b">
        <v>0</v>
      </c>
      <c r="AS1275" s="80" t="b">
        <v>1</v>
      </c>
      <c r="AT1275" s="80"/>
      <c r="AU1275" s="80">
        <v>0</v>
      </c>
      <c r="AV1275" s="87" t="str">
        <f>HYPERLINK("https://abs.twimg.com/images/themes/theme13/bg.gif")</f>
        <v>https://abs.twimg.com/images/themes/theme13/bg.gif</v>
      </c>
      <c r="AW1275" s="80" t="b">
        <v>0</v>
      </c>
      <c r="AX1275" s="80" t="s">
        <v>10746</v>
      </c>
      <c r="AY1275" s="87" t="str">
        <f>HYPERLINK("https://twitter.com/ichihoony")</f>
        <v>https://twitter.com/ichihoony</v>
      </c>
      <c r="AZ1275" s="80" t="s">
        <v>65</v>
      </c>
      <c r="BA1275" s="2"/>
      <c r="BB1275" s="3"/>
      <c r="BC1275" s="3"/>
      <c r="BD1275" s="3"/>
      <c r="BE1275" s="3"/>
    </row>
    <row r="1276" spans="1:57" x14ac:dyDescent="0.35">
      <c r="A1276" s="66" t="s">
        <v>1525</v>
      </c>
      <c r="B1276" s="67"/>
      <c r="C1276" s="67"/>
      <c r="D1276" s="68"/>
      <c r="E1276" s="70"/>
      <c r="F1276" s="109" t="str">
        <f>HYPERLINK("https://pbs.twimg.com/profile_images/585438758268313601/RhvuFs2u_normal.jpg")</f>
        <v>https://pbs.twimg.com/profile_images/585438758268313601/RhvuFs2u_normal.jpg</v>
      </c>
      <c r="G1276" s="67"/>
      <c r="H1276" s="71"/>
      <c r="I1276" s="72"/>
      <c r="J1276" s="72"/>
      <c r="K1276" s="71" t="s">
        <v>12019</v>
      </c>
      <c r="L1276" s="75"/>
      <c r="M1276" s="76"/>
      <c r="N1276" s="76"/>
      <c r="O1276" s="77"/>
      <c r="P1276" s="78"/>
      <c r="Q1276" s="78"/>
      <c r="R1276" s="92"/>
      <c r="S1276" s="92"/>
      <c r="T1276" s="92"/>
      <c r="U1276" s="92"/>
      <c r="V1276" s="52"/>
      <c r="W1276" s="52"/>
      <c r="X1276" s="52"/>
      <c r="Y1276" s="52"/>
      <c r="Z1276" s="51"/>
      <c r="AA1276" s="73"/>
      <c r="AB1276" s="73"/>
      <c r="AC1276" s="74"/>
      <c r="AD1276" s="80" t="s">
        <v>7829</v>
      </c>
      <c r="AE1276" s="85" t="s">
        <v>6467</v>
      </c>
      <c r="AF1276" s="80">
        <v>140</v>
      </c>
      <c r="AG1276" s="80">
        <v>232</v>
      </c>
      <c r="AH1276" s="80">
        <v>5689</v>
      </c>
      <c r="AI1276" s="80">
        <v>64</v>
      </c>
      <c r="AJ1276" s="80"/>
      <c r="AK1276" s="80" t="s">
        <v>10093</v>
      </c>
      <c r="AL1276" s="80"/>
      <c r="AM1276" s="80"/>
      <c r="AN1276" s="80"/>
      <c r="AO1276" s="82">
        <v>40895.459513888891</v>
      </c>
      <c r="AP1276" s="87" t="str">
        <f>HYPERLINK("https://pbs.twimg.com/profile_banners/439932960/1428414450")</f>
        <v>https://pbs.twimg.com/profile_banners/439932960/1428414450</v>
      </c>
      <c r="AQ1276" s="80" t="b">
        <v>1</v>
      </c>
      <c r="AR1276" s="80" t="b">
        <v>0</v>
      </c>
      <c r="AS1276" s="80" t="b">
        <v>0</v>
      </c>
      <c r="AT1276" s="80"/>
      <c r="AU1276" s="80">
        <v>0</v>
      </c>
      <c r="AV1276" s="87" t="str">
        <f>HYPERLINK("https://abs.twimg.com/images/themes/theme1/bg.png")</f>
        <v>https://abs.twimg.com/images/themes/theme1/bg.png</v>
      </c>
      <c r="AW1276" s="80" t="b">
        <v>0</v>
      </c>
      <c r="AX1276" s="80" t="s">
        <v>10746</v>
      </c>
      <c r="AY1276" s="87" t="str">
        <f>HYPERLINK("https://twitter.com/alphinside")</f>
        <v>https://twitter.com/alphinside</v>
      </c>
      <c r="AZ1276" s="80" t="s">
        <v>65</v>
      </c>
      <c r="BA1276" s="2"/>
      <c r="BB1276" s="3"/>
      <c r="BC1276" s="3"/>
      <c r="BD1276" s="3"/>
      <c r="BE1276" s="3"/>
    </row>
    <row r="1277" spans="1:57" x14ac:dyDescent="0.35">
      <c r="A1277" s="66" t="s">
        <v>1526</v>
      </c>
      <c r="B1277" s="67"/>
      <c r="C1277" s="67"/>
      <c r="D1277" s="68"/>
      <c r="E1277" s="70"/>
      <c r="F1277" s="109" t="str">
        <f>HYPERLINK("https://pbs.twimg.com/profile_images/1268476303352557568/vg0CcsW2_normal.jpg")</f>
        <v>https://pbs.twimg.com/profile_images/1268476303352557568/vg0CcsW2_normal.jpg</v>
      </c>
      <c r="G1277" s="67"/>
      <c r="H1277" s="71"/>
      <c r="I1277" s="72"/>
      <c r="J1277" s="72"/>
      <c r="K1277" s="71" t="s">
        <v>12020</v>
      </c>
      <c r="L1277" s="75"/>
      <c r="M1277" s="76"/>
      <c r="N1277" s="76"/>
      <c r="O1277" s="77"/>
      <c r="P1277" s="78"/>
      <c r="Q1277" s="78"/>
      <c r="R1277" s="92"/>
      <c r="S1277" s="92"/>
      <c r="T1277" s="92"/>
      <c r="U1277" s="92"/>
      <c r="V1277" s="52"/>
      <c r="W1277" s="52"/>
      <c r="X1277" s="52"/>
      <c r="Y1277" s="52"/>
      <c r="Z1277" s="51"/>
      <c r="AA1277" s="73"/>
      <c r="AB1277" s="73"/>
      <c r="AC1277" s="74"/>
      <c r="AD1277" s="80" t="s">
        <v>7830</v>
      </c>
      <c r="AE1277" s="85" t="s">
        <v>6468</v>
      </c>
      <c r="AF1277" s="80">
        <v>212</v>
      </c>
      <c r="AG1277" s="80">
        <v>265</v>
      </c>
      <c r="AH1277" s="80">
        <v>13985</v>
      </c>
      <c r="AI1277" s="80">
        <v>1844</v>
      </c>
      <c r="AJ1277" s="80"/>
      <c r="AK1277" s="80" t="s">
        <v>10094</v>
      </c>
      <c r="AL1277" s="80" t="s">
        <v>6543</v>
      </c>
      <c r="AM1277" s="80"/>
      <c r="AN1277" s="80"/>
      <c r="AO1277" s="82">
        <v>40750.671481481484</v>
      </c>
      <c r="AP1277" s="87" t="str">
        <f>HYPERLINK("https://pbs.twimg.com/profile_banners/342799190/1590295859")</f>
        <v>https://pbs.twimg.com/profile_banners/342799190/1590295859</v>
      </c>
      <c r="AQ1277" s="80" t="b">
        <v>0</v>
      </c>
      <c r="AR1277" s="80" t="b">
        <v>0</v>
      </c>
      <c r="AS1277" s="80" t="b">
        <v>0</v>
      </c>
      <c r="AT1277" s="80"/>
      <c r="AU1277" s="80">
        <v>0</v>
      </c>
      <c r="AV1277" s="87" t="str">
        <f>HYPERLINK("https://abs.twimg.com/images/themes/theme1/bg.png")</f>
        <v>https://abs.twimg.com/images/themes/theme1/bg.png</v>
      </c>
      <c r="AW1277" s="80" t="b">
        <v>0</v>
      </c>
      <c r="AX1277" s="80" t="s">
        <v>10746</v>
      </c>
      <c r="AY1277" s="87" t="str">
        <f>HYPERLINK("https://twitter.com/meily1106")</f>
        <v>https://twitter.com/meily1106</v>
      </c>
      <c r="AZ1277" s="80" t="s">
        <v>65</v>
      </c>
      <c r="BA1277" s="2"/>
      <c r="BB1277" s="3"/>
      <c r="BC1277" s="3"/>
      <c r="BD1277" s="3"/>
      <c r="BE1277" s="3"/>
    </row>
    <row r="1278" spans="1:57" x14ac:dyDescent="0.35">
      <c r="A1278" s="66" t="s">
        <v>1527</v>
      </c>
      <c r="B1278" s="67"/>
      <c r="C1278" s="67"/>
      <c r="D1278" s="68"/>
      <c r="E1278" s="70"/>
      <c r="F1278" s="109" t="str">
        <f>HYPERLINK("https://pbs.twimg.com/profile_images/1440728638370959362/t6lbkuQu_normal.jpg")</f>
        <v>https://pbs.twimg.com/profile_images/1440728638370959362/t6lbkuQu_normal.jpg</v>
      </c>
      <c r="G1278" s="67"/>
      <c r="H1278" s="71"/>
      <c r="I1278" s="72"/>
      <c r="J1278" s="72"/>
      <c r="K1278" s="71" t="s">
        <v>12021</v>
      </c>
      <c r="L1278" s="75"/>
      <c r="M1278" s="76"/>
      <c r="N1278" s="76"/>
      <c r="O1278" s="77"/>
      <c r="P1278" s="78"/>
      <c r="Q1278" s="78"/>
      <c r="R1278" s="92"/>
      <c r="S1278" s="92"/>
      <c r="T1278" s="92"/>
      <c r="U1278" s="92"/>
      <c r="V1278" s="52"/>
      <c r="W1278" s="52"/>
      <c r="X1278" s="52"/>
      <c r="Y1278" s="52"/>
      <c r="Z1278" s="51"/>
      <c r="AA1278" s="73"/>
      <c r="AB1278" s="73"/>
      <c r="AC1278" s="74"/>
      <c r="AD1278" s="80" t="s">
        <v>7831</v>
      </c>
      <c r="AE1278" s="85" t="s">
        <v>6469</v>
      </c>
      <c r="AF1278" s="80">
        <v>161</v>
      </c>
      <c r="AG1278" s="80">
        <v>6</v>
      </c>
      <c r="AH1278" s="80">
        <v>1676</v>
      </c>
      <c r="AI1278" s="80">
        <v>3473</v>
      </c>
      <c r="AJ1278" s="80"/>
      <c r="AK1278" s="80"/>
      <c r="AL1278" s="80"/>
      <c r="AM1278" s="80"/>
      <c r="AN1278" s="80"/>
      <c r="AO1278" s="82">
        <v>43944.229432870372</v>
      </c>
      <c r="AP1278" s="87" t="str">
        <f>HYPERLINK("https://pbs.twimg.com/profile_banners/1253194426676985856/1613706708")</f>
        <v>https://pbs.twimg.com/profile_banners/1253194426676985856/1613706708</v>
      </c>
      <c r="AQ1278" s="80" t="b">
        <v>1</v>
      </c>
      <c r="AR1278" s="80" t="b">
        <v>0</v>
      </c>
      <c r="AS1278" s="80" t="b">
        <v>0</v>
      </c>
      <c r="AT1278" s="80"/>
      <c r="AU1278" s="80">
        <v>0</v>
      </c>
      <c r="AV1278" s="80"/>
      <c r="AW1278" s="80" t="b">
        <v>0</v>
      </c>
      <c r="AX1278" s="80" t="s">
        <v>10746</v>
      </c>
      <c r="AY1278" s="87" t="str">
        <f>HYPERLINK("https://twitter.com/for__dy")</f>
        <v>https://twitter.com/for__dy</v>
      </c>
      <c r="AZ1278" s="80" t="s">
        <v>65</v>
      </c>
      <c r="BA1278" s="2"/>
      <c r="BB1278" s="3"/>
      <c r="BC1278" s="3"/>
      <c r="BD1278" s="3"/>
      <c r="BE1278" s="3"/>
    </row>
    <row r="1279" spans="1:57" x14ac:dyDescent="0.35">
      <c r="A1279" s="66" t="s">
        <v>1233</v>
      </c>
      <c r="B1279" s="67"/>
      <c r="C1279" s="67"/>
      <c r="D1279" s="68"/>
      <c r="E1279" s="70"/>
      <c r="F1279" s="109" t="str">
        <f>HYPERLINK("https://pbs.twimg.com/profile_images/1426340269234921480/BnCIqB6F_normal.jpg")</f>
        <v>https://pbs.twimg.com/profile_images/1426340269234921480/BnCIqB6F_normal.jpg</v>
      </c>
      <c r="G1279" s="67"/>
      <c r="H1279" s="71"/>
      <c r="I1279" s="72"/>
      <c r="J1279" s="72"/>
      <c r="K1279" s="71" t="s">
        <v>12022</v>
      </c>
      <c r="L1279" s="75"/>
      <c r="M1279" s="76"/>
      <c r="N1279" s="76"/>
      <c r="O1279" s="77"/>
      <c r="P1279" s="78"/>
      <c r="Q1279" s="78"/>
      <c r="R1279" s="92"/>
      <c r="S1279" s="92"/>
      <c r="T1279" s="92"/>
      <c r="U1279" s="92"/>
      <c r="V1279" s="52"/>
      <c r="W1279" s="52"/>
      <c r="X1279" s="52"/>
      <c r="Y1279" s="52"/>
      <c r="Z1279" s="51"/>
      <c r="AA1279" s="73"/>
      <c r="AB1279" s="73"/>
      <c r="AC1279" s="74"/>
      <c r="AD1279" s="80" t="s">
        <v>7832</v>
      </c>
      <c r="AE1279" s="85" t="s">
        <v>8920</v>
      </c>
      <c r="AF1279" s="80">
        <v>77</v>
      </c>
      <c r="AG1279" s="80">
        <v>28</v>
      </c>
      <c r="AH1279" s="80">
        <v>200</v>
      </c>
      <c r="AI1279" s="80">
        <v>213</v>
      </c>
      <c r="AJ1279" s="80"/>
      <c r="AK1279" s="80" t="s">
        <v>10095</v>
      </c>
      <c r="AL1279" s="80" t="s">
        <v>10727</v>
      </c>
      <c r="AM1279" s="87" t="str">
        <f>HYPERLINK("https://t.co/O557r2Nd9O")</f>
        <v>https://t.co/O557r2Nd9O</v>
      </c>
      <c r="AN1279" s="80"/>
      <c r="AO1279" s="82">
        <v>44243.518692129626</v>
      </c>
      <c r="AP1279" s="87" t="str">
        <f>HYPERLINK("https://pbs.twimg.com/profile_banners/1361653184653979652/1628901100")</f>
        <v>https://pbs.twimg.com/profile_banners/1361653184653979652/1628901100</v>
      </c>
      <c r="AQ1279" s="80" t="b">
        <v>1</v>
      </c>
      <c r="AR1279" s="80" t="b">
        <v>0</v>
      </c>
      <c r="AS1279" s="80" t="b">
        <v>0</v>
      </c>
      <c r="AT1279" s="80"/>
      <c r="AU1279" s="80">
        <v>0</v>
      </c>
      <c r="AV1279" s="80"/>
      <c r="AW1279" s="80" t="b">
        <v>0</v>
      </c>
      <c r="AX1279" s="80" t="s">
        <v>10746</v>
      </c>
      <c r="AY1279" s="87" t="str">
        <f>HYPERLINK("https://twitter.com/euisnurhalimah6")</f>
        <v>https://twitter.com/euisnurhalimah6</v>
      </c>
      <c r="AZ1279" s="80" t="s">
        <v>66</v>
      </c>
      <c r="BA1279" s="2"/>
      <c r="BB1279" s="3"/>
      <c r="BC1279" s="3"/>
      <c r="BD1279" s="3"/>
      <c r="BE1279" s="3"/>
    </row>
    <row r="1280" spans="1:57" x14ac:dyDescent="0.35">
      <c r="A1280" s="66" t="s">
        <v>1234</v>
      </c>
      <c r="B1280" s="67"/>
      <c r="C1280" s="67"/>
      <c r="D1280" s="68"/>
      <c r="E1280" s="70"/>
      <c r="F1280" s="109" t="str">
        <f>HYPERLINK("https://pbs.twimg.com/profile_images/1418495014095577095/a15Zncbb_normal.jpg")</f>
        <v>https://pbs.twimg.com/profile_images/1418495014095577095/a15Zncbb_normal.jpg</v>
      </c>
      <c r="G1280" s="67"/>
      <c r="H1280" s="71"/>
      <c r="I1280" s="72"/>
      <c r="J1280" s="72"/>
      <c r="K1280" s="71" t="s">
        <v>12023</v>
      </c>
      <c r="L1280" s="75"/>
      <c r="M1280" s="76"/>
      <c r="N1280" s="76"/>
      <c r="O1280" s="77"/>
      <c r="P1280" s="78"/>
      <c r="Q1280" s="78"/>
      <c r="R1280" s="92"/>
      <c r="S1280" s="92"/>
      <c r="T1280" s="92"/>
      <c r="U1280" s="92"/>
      <c r="V1280" s="52"/>
      <c r="W1280" s="52"/>
      <c r="X1280" s="52"/>
      <c r="Y1280" s="52"/>
      <c r="Z1280" s="51"/>
      <c r="AA1280" s="73"/>
      <c r="AB1280" s="73"/>
      <c r="AC1280" s="74"/>
      <c r="AD1280" s="80" t="s">
        <v>7833</v>
      </c>
      <c r="AE1280" s="85" t="s">
        <v>8921</v>
      </c>
      <c r="AF1280" s="80">
        <v>266</v>
      </c>
      <c r="AG1280" s="80">
        <v>348533</v>
      </c>
      <c r="AH1280" s="80">
        <v>745276</v>
      </c>
      <c r="AI1280" s="80">
        <v>272</v>
      </c>
      <c r="AJ1280" s="80"/>
      <c r="AK1280" s="80" t="s">
        <v>10096</v>
      </c>
      <c r="AL1280" s="80" t="s">
        <v>10728</v>
      </c>
      <c r="AM1280" s="87" t="str">
        <f>HYPERLINK("https://t.co/zQIlbGPP2B")</f>
        <v>https://t.co/zQIlbGPP2B</v>
      </c>
      <c r="AN1280" s="80"/>
      <c r="AO1280" s="82">
        <v>41714.417395833334</v>
      </c>
      <c r="AP1280" s="87" t="str">
        <f>HYPERLINK("https://pbs.twimg.com/profile_banners/2392460208/1543553556")</f>
        <v>https://pbs.twimg.com/profile_banners/2392460208/1543553556</v>
      </c>
      <c r="AQ1280" s="80" t="b">
        <v>0</v>
      </c>
      <c r="AR1280" s="80" t="b">
        <v>0</v>
      </c>
      <c r="AS1280" s="80" t="b">
        <v>1</v>
      </c>
      <c r="AT1280" s="80"/>
      <c r="AU1280" s="80">
        <v>380</v>
      </c>
      <c r="AV1280" s="87" t="str">
        <f>HYPERLINK("https://abs.twimg.com/images/themes/theme16/bg.gif")</f>
        <v>https://abs.twimg.com/images/themes/theme16/bg.gif</v>
      </c>
      <c r="AW1280" s="80" t="b">
        <v>1</v>
      </c>
      <c r="AX1280" s="80" t="s">
        <v>10746</v>
      </c>
      <c r="AY1280" s="87" t="str">
        <f>HYPERLINK("https://twitter.com/jawapos")</f>
        <v>https://twitter.com/jawapos</v>
      </c>
      <c r="AZ1280" s="80" t="s">
        <v>66</v>
      </c>
      <c r="BA1280" s="2"/>
      <c r="BB1280" s="3"/>
      <c r="BC1280" s="3"/>
      <c r="BD1280" s="3"/>
      <c r="BE1280" s="3"/>
    </row>
    <row r="1281" spans="1:57" x14ac:dyDescent="0.35">
      <c r="A1281" s="66" t="s">
        <v>1235</v>
      </c>
      <c r="B1281" s="67"/>
      <c r="C1281" s="67"/>
      <c r="D1281" s="68"/>
      <c r="E1281" s="70"/>
      <c r="F1281" s="109" t="str">
        <f>HYPERLINK("https://pbs.twimg.com/profile_images/1437269851723079680/aLz3GiH9_normal.jpg")</f>
        <v>https://pbs.twimg.com/profile_images/1437269851723079680/aLz3GiH9_normal.jpg</v>
      </c>
      <c r="G1281" s="67"/>
      <c r="H1281" s="71"/>
      <c r="I1281" s="72"/>
      <c r="J1281" s="72"/>
      <c r="K1281" s="71" t="s">
        <v>12024</v>
      </c>
      <c r="L1281" s="75"/>
      <c r="M1281" s="76"/>
      <c r="N1281" s="76"/>
      <c r="O1281" s="77"/>
      <c r="P1281" s="78"/>
      <c r="Q1281" s="78"/>
      <c r="R1281" s="92"/>
      <c r="S1281" s="92"/>
      <c r="T1281" s="92"/>
      <c r="U1281" s="92"/>
      <c r="V1281" s="52"/>
      <c r="W1281" s="52"/>
      <c r="X1281" s="52"/>
      <c r="Y1281" s="52"/>
      <c r="Z1281" s="51"/>
      <c r="AA1281" s="73"/>
      <c r="AB1281" s="73"/>
      <c r="AC1281" s="74"/>
      <c r="AD1281" s="80" t="s">
        <v>7834</v>
      </c>
      <c r="AE1281" s="85" t="s">
        <v>8922</v>
      </c>
      <c r="AF1281" s="80">
        <v>13</v>
      </c>
      <c r="AG1281" s="80">
        <v>1</v>
      </c>
      <c r="AH1281" s="80">
        <v>172</v>
      </c>
      <c r="AI1281" s="80">
        <v>1</v>
      </c>
      <c r="AJ1281" s="80"/>
      <c r="AK1281" s="80" t="s">
        <v>10097</v>
      </c>
      <c r="AL1281" s="80" t="s">
        <v>10729</v>
      </c>
      <c r="AM1281" s="87" t="str">
        <f>HYPERLINK("https://t.co/SsYPJsNWGG")</f>
        <v>https://t.co/SsYPJsNWGG</v>
      </c>
      <c r="AN1281" s="80"/>
      <c r="AO1281" s="82">
        <v>44285.184039351851</v>
      </c>
      <c r="AP1281" s="87" t="str">
        <f>HYPERLINK("https://pbs.twimg.com/profile_banners/1376752161137197056/1631506811")</f>
        <v>https://pbs.twimg.com/profile_banners/1376752161137197056/1631506811</v>
      </c>
      <c r="AQ1281" s="80" t="b">
        <v>1</v>
      </c>
      <c r="AR1281" s="80" t="b">
        <v>0</v>
      </c>
      <c r="AS1281" s="80" t="b">
        <v>0</v>
      </c>
      <c r="AT1281" s="80"/>
      <c r="AU1281" s="80">
        <v>0</v>
      </c>
      <c r="AV1281" s="80"/>
      <c r="AW1281" s="80" t="b">
        <v>0</v>
      </c>
      <c r="AX1281" s="80" t="s">
        <v>10746</v>
      </c>
      <c r="AY1281" s="87" t="str">
        <f>HYPERLINK("https://twitter.com/karangpos")</f>
        <v>https://twitter.com/karangpos</v>
      </c>
      <c r="AZ1281" s="80" t="s">
        <v>66</v>
      </c>
      <c r="BA1281" s="2"/>
      <c r="BB1281" s="3"/>
      <c r="BC1281" s="3"/>
      <c r="BD1281" s="3"/>
      <c r="BE1281" s="3"/>
    </row>
    <row r="1282" spans="1:57" x14ac:dyDescent="0.35">
      <c r="A1282" s="66" t="s">
        <v>1236</v>
      </c>
      <c r="B1282" s="67"/>
      <c r="C1282" s="67"/>
      <c r="D1282" s="68"/>
      <c r="E1282" s="70"/>
      <c r="F1282" s="109" t="str">
        <f>HYPERLINK("https://pbs.twimg.com/profile_images/1436870725101506569/-SRAWO1m_normal.jpg")</f>
        <v>https://pbs.twimg.com/profile_images/1436870725101506569/-SRAWO1m_normal.jpg</v>
      </c>
      <c r="G1282" s="67"/>
      <c r="H1282" s="71"/>
      <c r="I1282" s="72"/>
      <c r="J1282" s="72"/>
      <c r="K1282" s="71" t="s">
        <v>12025</v>
      </c>
      <c r="L1282" s="75"/>
      <c r="M1282" s="76"/>
      <c r="N1282" s="76"/>
      <c r="O1282" s="77"/>
      <c r="P1282" s="78"/>
      <c r="Q1282" s="78"/>
      <c r="R1282" s="92"/>
      <c r="S1282" s="92"/>
      <c r="T1282" s="92"/>
      <c r="U1282" s="92"/>
      <c r="V1282" s="52"/>
      <c r="W1282" s="52"/>
      <c r="X1282" s="52"/>
      <c r="Y1282" s="52"/>
      <c r="Z1282" s="51"/>
      <c r="AA1282" s="73"/>
      <c r="AB1282" s="73"/>
      <c r="AC1282" s="74"/>
      <c r="AD1282" s="80" t="s">
        <v>7835</v>
      </c>
      <c r="AE1282" s="85" t="s">
        <v>8923</v>
      </c>
      <c r="AF1282" s="80">
        <v>204</v>
      </c>
      <c r="AG1282" s="80">
        <v>434</v>
      </c>
      <c r="AH1282" s="80">
        <v>38614</v>
      </c>
      <c r="AI1282" s="80">
        <v>20712</v>
      </c>
      <c r="AJ1282" s="80"/>
      <c r="AK1282" s="80" t="s">
        <v>10098</v>
      </c>
      <c r="AL1282" s="80" t="s">
        <v>10218</v>
      </c>
      <c r="AM1282" s="80"/>
      <c r="AN1282" s="80"/>
      <c r="AO1282" s="82">
        <v>40116.029976851853</v>
      </c>
      <c r="AP1282" s="87" t="str">
        <f>HYPERLINK("https://pbs.twimg.com/profile_banners/86204665/1592240340")</f>
        <v>https://pbs.twimg.com/profile_banners/86204665/1592240340</v>
      </c>
      <c r="AQ1282" s="80" t="b">
        <v>0</v>
      </c>
      <c r="AR1282" s="80" t="b">
        <v>0</v>
      </c>
      <c r="AS1282" s="80" t="b">
        <v>1</v>
      </c>
      <c r="AT1282" s="80"/>
      <c r="AU1282" s="80">
        <v>2</v>
      </c>
      <c r="AV1282" s="87" t="str">
        <f>HYPERLINK("https://abs.twimg.com/images/themes/theme14/bg.gif")</f>
        <v>https://abs.twimg.com/images/themes/theme14/bg.gif</v>
      </c>
      <c r="AW1282" s="80" t="b">
        <v>0</v>
      </c>
      <c r="AX1282" s="80" t="s">
        <v>10746</v>
      </c>
      <c r="AY1282" s="87" t="str">
        <f>HYPERLINK("https://twitter.com/gdlks12")</f>
        <v>https://twitter.com/gdlks12</v>
      </c>
      <c r="AZ1282" s="80" t="s">
        <v>66</v>
      </c>
      <c r="BA1282" s="2"/>
      <c r="BB1282" s="3"/>
      <c r="BC1282" s="3"/>
      <c r="BD1282" s="3"/>
      <c r="BE1282" s="3"/>
    </row>
    <row r="1283" spans="1:57" x14ac:dyDescent="0.35">
      <c r="A1283" s="66" t="s">
        <v>1237</v>
      </c>
      <c r="B1283" s="67"/>
      <c r="C1283" s="67"/>
      <c r="D1283" s="68"/>
      <c r="E1283" s="70"/>
      <c r="F1283" s="109" t="str">
        <f>HYPERLINK("https://pbs.twimg.com/profile_images/889154525164183554/7nL8Q0de_normal.jpg")</f>
        <v>https://pbs.twimg.com/profile_images/889154525164183554/7nL8Q0de_normal.jpg</v>
      </c>
      <c r="G1283" s="67"/>
      <c r="H1283" s="71"/>
      <c r="I1283" s="72"/>
      <c r="J1283" s="72"/>
      <c r="K1283" s="71" t="s">
        <v>12026</v>
      </c>
      <c r="L1283" s="75"/>
      <c r="M1283" s="76"/>
      <c r="N1283" s="76"/>
      <c r="O1283" s="77"/>
      <c r="P1283" s="78"/>
      <c r="Q1283" s="78"/>
      <c r="R1283" s="92"/>
      <c r="S1283" s="92"/>
      <c r="T1283" s="92"/>
      <c r="U1283" s="92"/>
      <c r="V1283" s="52"/>
      <c r="W1283" s="52"/>
      <c r="X1283" s="52"/>
      <c r="Y1283" s="52"/>
      <c r="Z1283" s="51"/>
      <c r="AA1283" s="73"/>
      <c r="AB1283" s="73"/>
      <c r="AC1283" s="74"/>
      <c r="AD1283" s="80" t="s">
        <v>7836</v>
      </c>
      <c r="AE1283" s="85" t="s">
        <v>8924</v>
      </c>
      <c r="AF1283" s="80">
        <v>135</v>
      </c>
      <c r="AG1283" s="80">
        <v>127</v>
      </c>
      <c r="AH1283" s="80">
        <v>4851</v>
      </c>
      <c r="AI1283" s="80">
        <v>78</v>
      </c>
      <c r="AJ1283" s="80"/>
      <c r="AK1283" s="80" t="s">
        <v>10099</v>
      </c>
      <c r="AL1283" s="80" t="s">
        <v>10730</v>
      </c>
      <c r="AM1283" s="80"/>
      <c r="AN1283" s="80"/>
      <c r="AO1283" s="82">
        <v>40743.286226851851</v>
      </c>
      <c r="AP1283" s="87" t="str">
        <f>HYPERLINK("https://pbs.twimg.com/profile_banners/338203810/1500825846")</f>
        <v>https://pbs.twimg.com/profile_banners/338203810/1500825846</v>
      </c>
      <c r="AQ1283" s="80" t="b">
        <v>0</v>
      </c>
      <c r="AR1283" s="80" t="b">
        <v>0</v>
      </c>
      <c r="AS1283" s="80" t="b">
        <v>1</v>
      </c>
      <c r="AT1283" s="80"/>
      <c r="AU1283" s="80">
        <v>0</v>
      </c>
      <c r="AV1283" s="87" t="str">
        <f>HYPERLINK("https://abs.twimg.com/images/themes/theme1/bg.png")</f>
        <v>https://abs.twimg.com/images/themes/theme1/bg.png</v>
      </c>
      <c r="AW1283" s="80" t="b">
        <v>0</v>
      </c>
      <c r="AX1283" s="80" t="s">
        <v>10746</v>
      </c>
      <c r="AY1283" s="87" t="str">
        <f>HYPERLINK("https://twitter.com/ardhobani")</f>
        <v>https://twitter.com/ardhobani</v>
      </c>
      <c r="AZ1283" s="80" t="s">
        <v>66</v>
      </c>
      <c r="BA1283" s="2"/>
      <c r="BB1283" s="3"/>
      <c r="BC1283" s="3"/>
      <c r="BD1283" s="3"/>
      <c r="BE1283" s="3"/>
    </row>
    <row r="1284" spans="1:57" x14ac:dyDescent="0.35">
      <c r="A1284" s="66" t="s">
        <v>1238</v>
      </c>
      <c r="B1284" s="67"/>
      <c r="C1284" s="67"/>
      <c r="D1284" s="68"/>
      <c r="E1284" s="70"/>
      <c r="F1284" s="109" t="str">
        <f>HYPERLINK("https://pbs.twimg.com/profile_images/1415147796798136322/Di8Oli06_normal.jpg")</f>
        <v>https://pbs.twimg.com/profile_images/1415147796798136322/Di8Oli06_normal.jpg</v>
      </c>
      <c r="G1284" s="67"/>
      <c r="H1284" s="71"/>
      <c r="I1284" s="72"/>
      <c r="J1284" s="72"/>
      <c r="K1284" s="71" t="s">
        <v>12027</v>
      </c>
      <c r="L1284" s="75"/>
      <c r="M1284" s="76"/>
      <c r="N1284" s="76"/>
      <c r="O1284" s="77"/>
      <c r="P1284" s="78"/>
      <c r="Q1284" s="78"/>
      <c r="R1284" s="92"/>
      <c r="S1284" s="92"/>
      <c r="T1284" s="92"/>
      <c r="U1284" s="92"/>
      <c r="V1284" s="52"/>
      <c r="W1284" s="52"/>
      <c r="X1284" s="52"/>
      <c r="Y1284" s="52"/>
      <c r="Z1284" s="51"/>
      <c r="AA1284" s="73"/>
      <c r="AB1284" s="73"/>
      <c r="AC1284" s="74"/>
      <c r="AD1284" s="80" t="s">
        <v>7837</v>
      </c>
      <c r="AE1284" s="85" t="s">
        <v>6470</v>
      </c>
      <c r="AF1284" s="80">
        <v>465</v>
      </c>
      <c r="AG1284" s="80">
        <v>349</v>
      </c>
      <c r="AH1284" s="80">
        <v>5613</v>
      </c>
      <c r="AI1284" s="80">
        <v>9259</v>
      </c>
      <c r="AJ1284" s="80"/>
      <c r="AK1284" s="80" t="s">
        <v>10100</v>
      </c>
      <c r="AL1284" s="80"/>
      <c r="AM1284" s="80"/>
      <c r="AN1284" s="80"/>
      <c r="AO1284" s="82">
        <v>44004.210844907408</v>
      </c>
      <c r="AP1284" s="87" t="str">
        <f>HYPERLINK("https://pbs.twimg.com/profile_banners/1274930949340315648/1626232820")</f>
        <v>https://pbs.twimg.com/profile_banners/1274930949340315648/1626232820</v>
      </c>
      <c r="AQ1284" s="80" t="b">
        <v>1</v>
      </c>
      <c r="AR1284" s="80" t="b">
        <v>0</v>
      </c>
      <c r="AS1284" s="80" t="b">
        <v>0</v>
      </c>
      <c r="AT1284" s="80"/>
      <c r="AU1284" s="80">
        <v>2</v>
      </c>
      <c r="AV1284" s="80"/>
      <c r="AW1284" s="80" t="b">
        <v>0</v>
      </c>
      <c r="AX1284" s="80" t="s">
        <v>10746</v>
      </c>
      <c r="AY1284" s="87" t="str">
        <f>HYPERLINK("https://twitter.com/bbamwin")</f>
        <v>https://twitter.com/bbamwin</v>
      </c>
      <c r="AZ1284" s="80" t="s">
        <v>66</v>
      </c>
      <c r="BA1284" s="2"/>
      <c r="BB1284" s="3"/>
      <c r="BC1284" s="3"/>
      <c r="BD1284" s="3"/>
      <c r="BE1284" s="3"/>
    </row>
    <row r="1285" spans="1:57" x14ac:dyDescent="0.35">
      <c r="A1285" s="66" t="s">
        <v>1239</v>
      </c>
      <c r="B1285" s="67"/>
      <c r="C1285" s="67"/>
      <c r="D1285" s="68"/>
      <c r="E1285" s="70"/>
      <c r="F1285" s="109" t="str">
        <f>HYPERLINK("https://pbs.twimg.com/profile_images/1324520344187629568/RG2RMm1w_normal.jpg")</f>
        <v>https://pbs.twimg.com/profile_images/1324520344187629568/RG2RMm1w_normal.jpg</v>
      </c>
      <c r="G1285" s="67"/>
      <c r="H1285" s="71"/>
      <c r="I1285" s="72"/>
      <c r="J1285" s="72"/>
      <c r="K1285" s="71" t="s">
        <v>12028</v>
      </c>
      <c r="L1285" s="75"/>
      <c r="M1285" s="76"/>
      <c r="N1285" s="76"/>
      <c r="O1285" s="77"/>
      <c r="P1285" s="78"/>
      <c r="Q1285" s="78"/>
      <c r="R1285" s="92"/>
      <c r="S1285" s="92"/>
      <c r="T1285" s="92"/>
      <c r="U1285" s="92"/>
      <c r="V1285" s="52"/>
      <c r="W1285" s="52"/>
      <c r="X1285" s="52"/>
      <c r="Y1285" s="52"/>
      <c r="Z1285" s="51"/>
      <c r="AA1285" s="73"/>
      <c r="AB1285" s="73"/>
      <c r="AC1285" s="74"/>
      <c r="AD1285" s="80" t="s">
        <v>7838</v>
      </c>
      <c r="AE1285" s="85" t="s">
        <v>8925</v>
      </c>
      <c r="AF1285" s="80">
        <v>263</v>
      </c>
      <c r="AG1285" s="80">
        <v>74</v>
      </c>
      <c r="AH1285" s="80">
        <v>17020</v>
      </c>
      <c r="AI1285" s="80">
        <v>454</v>
      </c>
      <c r="AJ1285" s="80"/>
      <c r="AK1285" s="80" t="s">
        <v>10101</v>
      </c>
      <c r="AL1285" s="80" t="s">
        <v>10731</v>
      </c>
      <c r="AM1285" s="80"/>
      <c r="AN1285" s="80"/>
      <c r="AO1285" s="82">
        <v>43843.153240740743</v>
      </c>
      <c r="AP1285" s="87" t="str">
        <f>HYPERLINK("https://pbs.twimg.com/profile_banners/1216565629051760641/1586673095")</f>
        <v>https://pbs.twimg.com/profile_banners/1216565629051760641/1586673095</v>
      </c>
      <c r="AQ1285" s="80" t="b">
        <v>1</v>
      </c>
      <c r="AR1285" s="80" t="b">
        <v>0</v>
      </c>
      <c r="AS1285" s="80" t="b">
        <v>0</v>
      </c>
      <c r="AT1285" s="80"/>
      <c r="AU1285" s="80">
        <v>0</v>
      </c>
      <c r="AV1285" s="80"/>
      <c r="AW1285" s="80" t="b">
        <v>0</v>
      </c>
      <c r="AX1285" s="80" t="s">
        <v>10746</v>
      </c>
      <c r="AY1285" s="87" t="str">
        <f>HYPERLINK("https://twitter.com/pelangii_senja")</f>
        <v>https://twitter.com/pelangii_senja</v>
      </c>
      <c r="AZ1285" s="80" t="s">
        <v>66</v>
      </c>
      <c r="BA1285" s="2"/>
      <c r="BB1285" s="3"/>
      <c r="BC1285" s="3"/>
      <c r="BD1285" s="3"/>
      <c r="BE1285" s="3"/>
    </row>
    <row r="1286" spans="1:57" x14ac:dyDescent="0.35">
      <c r="A1286" s="66" t="s">
        <v>1240</v>
      </c>
      <c r="B1286" s="67"/>
      <c r="C1286" s="67"/>
      <c r="D1286" s="68"/>
      <c r="E1286" s="70"/>
      <c r="F1286" s="109" t="str">
        <f>HYPERLINK("https://pbs.twimg.com/profile_images/1219388666465796096/JjjAaWkq_normal.jpg")</f>
        <v>https://pbs.twimg.com/profile_images/1219388666465796096/JjjAaWkq_normal.jpg</v>
      </c>
      <c r="G1286" s="67"/>
      <c r="H1286" s="71"/>
      <c r="I1286" s="72"/>
      <c r="J1286" s="72"/>
      <c r="K1286" s="71" t="s">
        <v>12029</v>
      </c>
      <c r="L1286" s="75"/>
      <c r="M1286" s="76"/>
      <c r="N1286" s="76"/>
      <c r="O1286" s="77"/>
      <c r="P1286" s="78"/>
      <c r="Q1286" s="78"/>
      <c r="R1286" s="92"/>
      <c r="S1286" s="92"/>
      <c r="T1286" s="92"/>
      <c r="U1286" s="92"/>
      <c r="V1286" s="52"/>
      <c r="W1286" s="52"/>
      <c r="X1286" s="52"/>
      <c r="Y1286" s="52"/>
      <c r="Z1286" s="51"/>
      <c r="AA1286" s="73"/>
      <c r="AB1286" s="73"/>
      <c r="AC1286" s="74"/>
      <c r="AD1286" s="80" t="s">
        <v>7839</v>
      </c>
      <c r="AE1286" s="85" t="s">
        <v>8926</v>
      </c>
      <c r="AF1286" s="80">
        <v>2113</v>
      </c>
      <c r="AG1286" s="80">
        <v>2973</v>
      </c>
      <c r="AH1286" s="80">
        <v>16911</v>
      </c>
      <c r="AI1286" s="80">
        <v>10838</v>
      </c>
      <c r="AJ1286" s="80"/>
      <c r="AK1286" s="80" t="s">
        <v>10102</v>
      </c>
      <c r="AL1286" s="80"/>
      <c r="AM1286" s="80"/>
      <c r="AN1286" s="80"/>
      <c r="AO1286" s="82">
        <v>43670.304305555554</v>
      </c>
      <c r="AP1286" s="87" t="str">
        <f>HYPERLINK("https://pbs.twimg.com/profile_banners/1153927344924418048/1593811566")</f>
        <v>https://pbs.twimg.com/profile_banners/1153927344924418048/1593811566</v>
      </c>
      <c r="AQ1286" s="80" t="b">
        <v>1</v>
      </c>
      <c r="AR1286" s="80" t="b">
        <v>0</v>
      </c>
      <c r="AS1286" s="80" t="b">
        <v>0</v>
      </c>
      <c r="AT1286" s="80"/>
      <c r="AU1286" s="80">
        <v>2</v>
      </c>
      <c r="AV1286" s="80"/>
      <c r="AW1286" s="80" t="b">
        <v>0</v>
      </c>
      <c r="AX1286" s="80" t="s">
        <v>10746</v>
      </c>
      <c r="AY1286" s="87" t="str">
        <f>HYPERLINK("https://twitter.com/infosebelah")</f>
        <v>https://twitter.com/infosebelah</v>
      </c>
      <c r="AZ1286" s="80" t="s">
        <v>66</v>
      </c>
      <c r="BA1286" s="2"/>
      <c r="BB1286" s="3"/>
      <c r="BC1286" s="3"/>
      <c r="BD1286" s="3"/>
      <c r="BE1286" s="3"/>
    </row>
    <row r="1287" spans="1:57" x14ac:dyDescent="0.35">
      <c r="A1287" s="66" t="s">
        <v>1241</v>
      </c>
      <c r="B1287" s="67"/>
      <c r="C1287" s="67"/>
      <c r="D1287" s="68"/>
      <c r="E1287" s="70"/>
      <c r="F1287" s="109" t="str">
        <f>HYPERLINK("https://pbs.twimg.com/profile_images/850250585102209024/JinIFasJ_normal.jpg")</f>
        <v>https://pbs.twimg.com/profile_images/850250585102209024/JinIFasJ_normal.jpg</v>
      </c>
      <c r="G1287" s="67"/>
      <c r="H1287" s="71"/>
      <c r="I1287" s="72"/>
      <c r="J1287" s="72"/>
      <c r="K1287" s="71" t="s">
        <v>12030</v>
      </c>
      <c r="L1287" s="75"/>
      <c r="M1287" s="76"/>
      <c r="N1287" s="76"/>
      <c r="O1287" s="77"/>
      <c r="P1287" s="78"/>
      <c r="Q1287" s="78"/>
      <c r="R1287" s="92"/>
      <c r="S1287" s="92"/>
      <c r="T1287" s="92"/>
      <c r="U1287" s="92"/>
      <c r="V1287" s="52"/>
      <c r="W1287" s="52"/>
      <c r="X1287" s="52"/>
      <c r="Y1287" s="52"/>
      <c r="Z1287" s="51"/>
      <c r="AA1287" s="73"/>
      <c r="AB1287" s="73"/>
      <c r="AC1287" s="74"/>
      <c r="AD1287" s="80" t="s">
        <v>7840</v>
      </c>
      <c r="AE1287" s="85" t="s">
        <v>8927</v>
      </c>
      <c r="AF1287" s="80">
        <v>8321</v>
      </c>
      <c r="AG1287" s="80">
        <v>9862</v>
      </c>
      <c r="AH1287" s="80">
        <v>70056</v>
      </c>
      <c r="AI1287" s="80">
        <v>0</v>
      </c>
      <c r="AJ1287" s="80"/>
      <c r="AK1287" s="80" t="s">
        <v>10103</v>
      </c>
      <c r="AL1287" s="80" t="s">
        <v>10325</v>
      </c>
      <c r="AM1287" s="87" t="str">
        <f>HYPERLINK("https://t.co/7YhgqZtV7z")</f>
        <v>https://t.co/7YhgqZtV7z</v>
      </c>
      <c r="AN1287" s="80"/>
      <c r="AO1287" s="82">
        <v>41614.646608796298</v>
      </c>
      <c r="AP1287" s="87" t="str">
        <f>HYPERLINK("https://pbs.twimg.com/profile_banners/2233154352/1491550498")</f>
        <v>https://pbs.twimg.com/profile_banners/2233154352/1491550498</v>
      </c>
      <c r="AQ1287" s="80" t="b">
        <v>0</v>
      </c>
      <c r="AR1287" s="80" t="b">
        <v>0</v>
      </c>
      <c r="AS1287" s="80" t="b">
        <v>0</v>
      </c>
      <c r="AT1287" s="80"/>
      <c r="AU1287" s="80">
        <v>7</v>
      </c>
      <c r="AV1287" s="87" t="str">
        <f>HYPERLINK("https://abs.twimg.com/images/themes/theme1/bg.png")</f>
        <v>https://abs.twimg.com/images/themes/theme1/bg.png</v>
      </c>
      <c r="AW1287" s="80" t="b">
        <v>0</v>
      </c>
      <c r="AX1287" s="80" t="s">
        <v>10746</v>
      </c>
      <c r="AY1287" s="87" t="str">
        <f>HYPERLINK("https://twitter.com/tinggibdnalami")</f>
        <v>https://twitter.com/tinggibdnalami</v>
      </c>
      <c r="AZ1287" s="80" t="s">
        <v>66</v>
      </c>
      <c r="BA1287" s="2"/>
      <c r="BB1287" s="3"/>
      <c r="BC1287" s="3"/>
      <c r="BD1287" s="3"/>
      <c r="BE1287" s="3"/>
    </row>
    <row r="1288" spans="1:57" x14ac:dyDescent="0.35">
      <c r="A1288" s="66" t="s">
        <v>1242</v>
      </c>
      <c r="B1288" s="67"/>
      <c r="C1288" s="67"/>
      <c r="D1288" s="68"/>
      <c r="E1288" s="70"/>
      <c r="F1288" s="109" t="str">
        <f>HYPERLINK("https://pbs.twimg.com/profile_images/468189764227588096/bPK2k9BJ_normal.jpeg")</f>
        <v>https://pbs.twimg.com/profile_images/468189764227588096/bPK2k9BJ_normal.jpeg</v>
      </c>
      <c r="G1288" s="67"/>
      <c r="H1288" s="71"/>
      <c r="I1288" s="72"/>
      <c r="J1288" s="72"/>
      <c r="K1288" s="71" t="s">
        <v>12031</v>
      </c>
      <c r="L1288" s="75"/>
      <c r="M1288" s="76"/>
      <c r="N1288" s="76"/>
      <c r="O1288" s="77"/>
      <c r="P1288" s="78"/>
      <c r="Q1288" s="78"/>
      <c r="R1288" s="92"/>
      <c r="S1288" s="92"/>
      <c r="T1288" s="92"/>
      <c r="U1288" s="92"/>
      <c r="V1288" s="52"/>
      <c r="W1288" s="52"/>
      <c r="X1288" s="52"/>
      <c r="Y1288" s="52"/>
      <c r="Z1288" s="51"/>
      <c r="AA1288" s="73"/>
      <c r="AB1288" s="73"/>
      <c r="AC1288" s="74"/>
      <c r="AD1288" s="80" t="s">
        <v>7841</v>
      </c>
      <c r="AE1288" s="85" t="s">
        <v>8928</v>
      </c>
      <c r="AF1288" s="80">
        <v>28</v>
      </c>
      <c r="AG1288" s="80">
        <v>19462</v>
      </c>
      <c r="AH1288" s="80">
        <v>277085</v>
      </c>
      <c r="AI1288" s="80">
        <v>3</v>
      </c>
      <c r="AJ1288" s="80"/>
      <c r="AK1288" s="80" t="s">
        <v>10104</v>
      </c>
      <c r="AL1288" s="80" t="s">
        <v>6543</v>
      </c>
      <c r="AM1288" s="87" t="str">
        <f>HYPERLINK("https://t.co/IBJmBDKe5U")</f>
        <v>https://t.co/IBJmBDKe5U</v>
      </c>
      <c r="AN1288" s="80"/>
      <c r="AO1288" s="82">
        <v>41041.565381944441</v>
      </c>
      <c r="AP1288" s="87" t="str">
        <f>HYPERLINK("https://pbs.twimg.com/profile_banners/578059643/1439974857")</f>
        <v>https://pbs.twimg.com/profile_banners/578059643/1439974857</v>
      </c>
      <c r="AQ1288" s="80" t="b">
        <v>0</v>
      </c>
      <c r="AR1288" s="80" t="b">
        <v>0</v>
      </c>
      <c r="AS1288" s="80" t="b">
        <v>0</v>
      </c>
      <c r="AT1288" s="80"/>
      <c r="AU1288" s="80">
        <v>27</v>
      </c>
      <c r="AV1288" s="87" t="str">
        <f>HYPERLINK("https://abs.twimg.com/images/themes/theme16/bg.gif")</f>
        <v>https://abs.twimg.com/images/themes/theme16/bg.gif</v>
      </c>
      <c r="AW1288" s="80" t="b">
        <v>0</v>
      </c>
      <c r="AX1288" s="80" t="s">
        <v>10746</v>
      </c>
      <c r="AY1288" s="87" t="str">
        <f>HYPERLINK("https://twitter.com/rakyatsulsel")</f>
        <v>https://twitter.com/rakyatsulsel</v>
      </c>
      <c r="AZ1288" s="80" t="s">
        <v>66</v>
      </c>
      <c r="BA1288" s="2"/>
      <c r="BB1288" s="3"/>
      <c r="BC1288" s="3"/>
      <c r="BD1288" s="3"/>
      <c r="BE1288" s="3"/>
    </row>
    <row r="1289" spans="1:57" x14ac:dyDescent="0.35">
      <c r="A1289" s="66" t="s">
        <v>1243</v>
      </c>
      <c r="B1289" s="67"/>
      <c r="C1289" s="67"/>
      <c r="D1289" s="68"/>
      <c r="E1289" s="70"/>
      <c r="F1289" s="109" t="str">
        <f>HYPERLINK("https://pbs.twimg.com/profile_images/1431491655207579648/Xy9UhXHH_normal.jpg")</f>
        <v>https://pbs.twimg.com/profile_images/1431491655207579648/Xy9UhXHH_normal.jpg</v>
      </c>
      <c r="G1289" s="67"/>
      <c r="H1289" s="71"/>
      <c r="I1289" s="72"/>
      <c r="J1289" s="72"/>
      <c r="K1289" s="71" t="s">
        <v>12032</v>
      </c>
      <c r="L1289" s="75"/>
      <c r="M1289" s="76"/>
      <c r="N1289" s="76"/>
      <c r="O1289" s="77"/>
      <c r="P1289" s="78"/>
      <c r="Q1289" s="78"/>
      <c r="R1289" s="92"/>
      <c r="S1289" s="92"/>
      <c r="T1289" s="92"/>
      <c r="U1289" s="92"/>
      <c r="V1289" s="52"/>
      <c r="W1289" s="52"/>
      <c r="X1289" s="52"/>
      <c r="Y1289" s="52"/>
      <c r="Z1289" s="51"/>
      <c r="AA1289" s="73"/>
      <c r="AB1289" s="73"/>
      <c r="AC1289" s="74"/>
      <c r="AD1289" s="80" t="s">
        <v>7842</v>
      </c>
      <c r="AE1289" s="85" t="s">
        <v>8929</v>
      </c>
      <c r="AF1289" s="80">
        <v>522</v>
      </c>
      <c r="AG1289" s="80">
        <v>567</v>
      </c>
      <c r="AH1289" s="80">
        <v>35140</v>
      </c>
      <c r="AI1289" s="80">
        <v>8107</v>
      </c>
      <c r="AJ1289" s="80"/>
      <c r="AK1289" s="80" t="s">
        <v>10105</v>
      </c>
      <c r="AL1289" s="80" t="s">
        <v>10732</v>
      </c>
      <c r="AM1289" s="80"/>
      <c r="AN1289" s="80"/>
      <c r="AO1289" s="82">
        <v>40562.280532407407</v>
      </c>
      <c r="AP1289" s="87" t="str">
        <f>HYPERLINK("https://pbs.twimg.com/profile_banners/240132244/1626892991")</f>
        <v>https://pbs.twimg.com/profile_banners/240132244/1626892991</v>
      </c>
      <c r="AQ1289" s="80" t="b">
        <v>1</v>
      </c>
      <c r="AR1289" s="80" t="b">
        <v>0</v>
      </c>
      <c r="AS1289" s="80" t="b">
        <v>0</v>
      </c>
      <c r="AT1289" s="80"/>
      <c r="AU1289" s="80">
        <v>0</v>
      </c>
      <c r="AV1289" s="87" t="str">
        <f>HYPERLINK("https://abs.twimg.com/images/themes/theme1/bg.png")</f>
        <v>https://abs.twimg.com/images/themes/theme1/bg.png</v>
      </c>
      <c r="AW1289" s="80" t="b">
        <v>0</v>
      </c>
      <c r="AX1289" s="80" t="s">
        <v>10746</v>
      </c>
      <c r="AY1289" s="87" t="str">
        <f>HYPERLINK("https://twitter.com/pacarminbin")</f>
        <v>https://twitter.com/pacarminbin</v>
      </c>
      <c r="AZ1289" s="80" t="s">
        <v>66</v>
      </c>
      <c r="BA1289" s="2"/>
      <c r="BB1289" s="3"/>
      <c r="BC1289" s="3"/>
      <c r="BD1289" s="3"/>
      <c r="BE1289" s="3"/>
    </row>
    <row r="1290" spans="1:57" x14ac:dyDescent="0.35">
      <c r="A1290" s="66" t="s">
        <v>1244</v>
      </c>
      <c r="B1290" s="67"/>
      <c r="C1290" s="67"/>
      <c r="D1290" s="68"/>
      <c r="E1290" s="70"/>
      <c r="F1290" s="109" t="str">
        <f>HYPERLINK("https://pbs.twimg.com/profile_images/1442546100880113667/C1sfwWQy_normal.jpg")</f>
        <v>https://pbs.twimg.com/profile_images/1442546100880113667/C1sfwWQy_normal.jpg</v>
      </c>
      <c r="G1290" s="67"/>
      <c r="H1290" s="71"/>
      <c r="I1290" s="72"/>
      <c r="J1290" s="72"/>
      <c r="K1290" s="71" t="s">
        <v>12033</v>
      </c>
      <c r="L1290" s="75"/>
      <c r="M1290" s="76"/>
      <c r="N1290" s="76"/>
      <c r="O1290" s="77"/>
      <c r="P1290" s="78"/>
      <c r="Q1290" s="78"/>
      <c r="R1290" s="92"/>
      <c r="S1290" s="92"/>
      <c r="T1290" s="92"/>
      <c r="U1290" s="92"/>
      <c r="V1290" s="52"/>
      <c r="W1290" s="52"/>
      <c r="X1290" s="52"/>
      <c r="Y1290" s="52"/>
      <c r="Z1290" s="51"/>
      <c r="AA1290" s="73"/>
      <c r="AB1290" s="73"/>
      <c r="AC1290" s="74"/>
      <c r="AD1290" s="80" t="s">
        <v>7843</v>
      </c>
      <c r="AE1290" s="85" t="s">
        <v>8930</v>
      </c>
      <c r="AF1290" s="80">
        <v>174</v>
      </c>
      <c r="AG1290" s="80">
        <v>165</v>
      </c>
      <c r="AH1290" s="80">
        <v>3467</v>
      </c>
      <c r="AI1290" s="80">
        <v>2835</v>
      </c>
      <c r="AJ1290" s="80"/>
      <c r="AK1290" s="80" t="s">
        <v>10106</v>
      </c>
      <c r="AL1290" s="80"/>
      <c r="AM1290" s="80"/>
      <c r="AN1290" s="80"/>
      <c r="AO1290" s="82">
        <v>44420.246134259258</v>
      </c>
      <c r="AP1290" s="80"/>
      <c r="AQ1290" s="80" t="b">
        <v>1</v>
      </c>
      <c r="AR1290" s="80" t="b">
        <v>0</v>
      </c>
      <c r="AS1290" s="80" t="b">
        <v>0</v>
      </c>
      <c r="AT1290" s="80"/>
      <c r="AU1290" s="80">
        <v>0</v>
      </c>
      <c r="AV1290" s="80"/>
      <c r="AW1290" s="80" t="b">
        <v>0</v>
      </c>
      <c r="AX1290" s="80" t="s">
        <v>10746</v>
      </c>
      <c r="AY1290" s="87" t="str">
        <f>HYPERLINK("https://twitter.com/berjakey")</f>
        <v>https://twitter.com/berjakey</v>
      </c>
      <c r="AZ1290" s="80" t="s">
        <v>66</v>
      </c>
      <c r="BA1290" s="2"/>
      <c r="BB1290" s="3"/>
      <c r="BC1290" s="3"/>
      <c r="BD1290" s="3"/>
      <c r="BE1290" s="3"/>
    </row>
    <row r="1291" spans="1:57" x14ac:dyDescent="0.35">
      <c r="A1291" s="66" t="s">
        <v>1245</v>
      </c>
      <c r="B1291" s="67"/>
      <c r="C1291" s="67"/>
      <c r="D1291" s="68"/>
      <c r="E1291" s="70"/>
      <c r="F1291" s="109" t="str">
        <f>HYPERLINK("https://pbs.twimg.com/profile_images/1359473911398682626/s5GpQdYs_normal.jpg")</f>
        <v>https://pbs.twimg.com/profile_images/1359473911398682626/s5GpQdYs_normal.jpg</v>
      </c>
      <c r="G1291" s="67"/>
      <c r="H1291" s="71"/>
      <c r="I1291" s="72"/>
      <c r="J1291" s="72"/>
      <c r="K1291" s="71" t="s">
        <v>12034</v>
      </c>
      <c r="L1291" s="75"/>
      <c r="M1291" s="76"/>
      <c r="N1291" s="76"/>
      <c r="O1291" s="77"/>
      <c r="P1291" s="78"/>
      <c r="Q1291" s="78"/>
      <c r="R1291" s="92"/>
      <c r="S1291" s="92"/>
      <c r="T1291" s="92"/>
      <c r="U1291" s="92"/>
      <c r="V1291" s="52"/>
      <c r="W1291" s="52"/>
      <c r="X1291" s="52"/>
      <c r="Y1291" s="52"/>
      <c r="Z1291" s="51"/>
      <c r="AA1291" s="73"/>
      <c r="AB1291" s="73"/>
      <c r="AC1291" s="74"/>
      <c r="AD1291" s="80" t="s">
        <v>7844</v>
      </c>
      <c r="AE1291" s="85" t="s">
        <v>8931</v>
      </c>
      <c r="AF1291" s="80">
        <v>1748</v>
      </c>
      <c r="AG1291" s="80">
        <v>1690</v>
      </c>
      <c r="AH1291" s="80">
        <v>10127</v>
      </c>
      <c r="AI1291" s="80">
        <v>12228</v>
      </c>
      <c r="AJ1291" s="80"/>
      <c r="AK1291" s="80" t="s">
        <v>10107</v>
      </c>
      <c r="AL1291" s="80" t="s">
        <v>10733</v>
      </c>
      <c r="AM1291" s="87" t="str">
        <f>HYPERLINK("https://t.co/kjqAeRSdsf")</f>
        <v>https://t.co/kjqAeRSdsf</v>
      </c>
      <c r="AN1291" s="80"/>
      <c r="AO1291" s="82">
        <v>43903.574479166666</v>
      </c>
      <c r="AP1291" s="87" t="str">
        <f>HYPERLINK("https://pbs.twimg.com/profile_banners/1238461589117779969/1612428228")</f>
        <v>https://pbs.twimg.com/profile_banners/1238461589117779969/1612428228</v>
      </c>
      <c r="AQ1291" s="80" t="b">
        <v>1</v>
      </c>
      <c r="AR1291" s="80" t="b">
        <v>0</v>
      </c>
      <c r="AS1291" s="80" t="b">
        <v>0</v>
      </c>
      <c r="AT1291" s="80"/>
      <c r="AU1291" s="80">
        <v>7</v>
      </c>
      <c r="AV1291" s="80"/>
      <c r="AW1291" s="80" t="b">
        <v>0</v>
      </c>
      <c r="AX1291" s="80" t="s">
        <v>10746</v>
      </c>
      <c r="AY1291" s="87" t="str">
        <f>HYPERLINK("https://twitter.com/matchxlouds")</f>
        <v>https://twitter.com/matchxlouds</v>
      </c>
      <c r="AZ1291" s="80" t="s">
        <v>66</v>
      </c>
      <c r="BA1291" s="2"/>
      <c r="BB1291" s="3"/>
      <c r="BC1291" s="3"/>
      <c r="BD1291" s="3"/>
      <c r="BE1291" s="3"/>
    </row>
    <row r="1292" spans="1:57" x14ac:dyDescent="0.35">
      <c r="A1292" s="66" t="s">
        <v>1246</v>
      </c>
      <c r="B1292" s="67"/>
      <c r="C1292" s="67"/>
      <c r="D1292" s="68"/>
      <c r="E1292" s="70"/>
      <c r="F1292" s="109" t="str">
        <f>HYPERLINK("https://pbs.twimg.com/profile_images/1429628226612043779/Vx-FKabZ_normal.jpg")</f>
        <v>https://pbs.twimg.com/profile_images/1429628226612043779/Vx-FKabZ_normal.jpg</v>
      </c>
      <c r="G1292" s="67"/>
      <c r="H1292" s="71"/>
      <c r="I1292" s="72"/>
      <c r="J1292" s="72"/>
      <c r="K1292" s="71" t="s">
        <v>12035</v>
      </c>
      <c r="L1292" s="75"/>
      <c r="M1292" s="76"/>
      <c r="N1292" s="76"/>
      <c r="O1292" s="77"/>
      <c r="P1292" s="78"/>
      <c r="Q1292" s="78"/>
      <c r="R1292" s="92"/>
      <c r="S1292" s="92"/>
      <c r="T1292" s="92"/>
      <c r="U1292" s="92"/>
      <c r="V1292" s="52"/>
      <c r="W1292" s="52"/>
      <c r="X1292" s="52"/>
      <c r="Y1292" s="52"/>
      <c r="Z1292" s="51"/>
      <c r="AA1292" s="73"/>
      <c r="AB1292" s="73"/>
      <c r="AC1292" s="74"/>
      <c r="AD1292" s="80" t="s">
        <v>7845</v>
      </c>
      <c r="AE1292" s="85" t="s">
        <v>8932</v>
      </c>
      <c r="AF1292" s="80">
        <v>737</v>
      </c>
      <c r="AG1292" s="80">
        <v>1002</v>
      </c>
      <c r="AH1292" s="80">
        <v>20068</v>
      </c>
      <c r="AI1292" s="80">
        <v>728</v>
      </c>
      <c r="AJ1292" s="80"/>
      <c r="AK1292" s="80" t="s">
        <v>10108</v>
      </c>
      <c r="AL1292" s="80" t="s">
        <v>10734</v>
      </c>
      <c r="AM1292" s="80"/>
      <c r="AN1292" s="80"/>
      <c r="AO1292" s="82">
        <v>43469.017129629632</v>
      </c>
      <c r="AP1292" s="87" t="str">
        <f>HYPERLINK("https://pbs.twimg.com/profile_banners/1080983315455176705/1567130341")</f>
        <v>https://pbs.twimg.com/profile_banners/1080983315455176705/1567130341</v>
      </c>
      <c r="AQ1292" s="80" t="b">
        <v>1</v>
      </c>
      <c r="AR1292" s="80" t="b">
        <v>0</v>
      </c>
      <c r="AS1292" s="80" t="b">
        <v>1</v>
      </c>
      <c r="AT1292" s="80"/>
      <c r="AU1292" s="80">
        <v>1</v>
      </c>
      <c r="AV1292" s="80"/>
      <c r="AW1292" s="80" t="b">
        <v>0</v>
      </c>
      <c r="AX1292" s="80" t="s">
        <v>10746</v>
      </c>
      <c r="AY1292" s="87" t="str">
        <f>HYPERLINK("https://twitter.com/sandaranscoups")</f>
        <v>https://twitter.com/sandaranscoups</v>
      </c>
      <c r="AZ1292" s="80" t="s">
        <v>66</v>
      </c>
      <c r="BA1292" s="2"/>
      <c r="BB1292" s="3"/>
      <c r="BC1292" s="3"/>
      <c r="BD1292" s="3"/>
      <c r="BE1292" s="3"/>
    </row>
    <row r="1293" spans="1:57" x14ac:dyDescent="0.35">
      <c r="A1293" s="66" t="s">
        <v>1248</v>
      </c>
      <c r="B1293" s="67"/>
      <c r="C1293" s="67"/>
      <c r="D1293" s="68"/>
      <c r="E1293" s="70"/>
      <c r="F1293" s="109" t="str">
        <f>HYPERLINK("https://pbs.twimg.com/profile_images/1367043691706126336/RGdtA1ci_normal.jpg")</f>
        <v>https://pbs.twimg.com/profile_images/1367043691706126336/RGdtA1ci_normal.jpg</v>
      </c>
      <c r="G1293" s="67"/>
      <c r="H1293" s="71"/>
      <c r="I1293" s="72"/>
      <c r="J1293" s="72"/>
      <c r="K1293" s="71" t="s">
        <v>12036</v>
      </c>
      <c r="L1293" s="75"/>
      <c r="M1293" s="76"/>
      <c r="N1293" s="76"/>
      <c r="O1293" s="77"/>
      <c r="P1293" s="78"/>
      <c r="Q1293" s="78"/>
      <c r="R1293" s="92"/>
      <c r="S1293" s="92"/>
      <c r="T1293" s="92"/>
      <c r="U1293" s="92"/>
      <c r="V1293" s="52"/>
      <c r="W1293" s="52"/>
      <c r="X1293" s="52"/>
      <c r="Y1293" s="52"/>
      <c r="Z1293" s="51"/>
      <c r="AA1293" s="73"/>
      <c r="AB1293" s="73"/>
      <c r="AC1293" s="74"/>
      <c r="AD1293" s="80" t="s">
        <v>7846</v>
      </c>
      <c r="AE1293" s="85" t="s">
        <v>8933</v>
      </c>
      <c r="AF1293" s="80">
        <v>1105</v>
      </c>
      <c r="AG1293" s="80">
        <v>2451</v>
      </c>
      <c r="AH1293" s="80">
        <v>28414</v>
      </c>
      <c r="AI1293" s="80">
        <v>2518</v>
      </c>
      <c r="AJ1293" s="80"/>
      <c r="AK1293" s="80" t="s">
        <v>10109</v>
      </c>
      <c r="AL1293" s="80" t="s">
        <v>10208</v>
      </c>
      <c r="AM1293" s="87" t="str">
        <f>HYPERLINK("https://t.co/qYdNrkzjQq")</f>
        <v>https://t.co/qYdNrkzjQq</v>
      </c>
      <c r="AN1293" s="80"/>
      <c r="AO1293" s="82">
        <v>43852.232245370367</v>
      </c>
      <c r="AP1293" s="87" t="str">
        <f>HYPERLINK("https://pbs.twimg.com/profile_banners/1219855761104195584/1614764052")</f>
        <v>https://pbs.twimg.com/profile_banners/1219855761104195584/1614764052</v>
      </c>
      <c r="AQ1293" s="80" t="b">
        <v>1</v>
      </c>
      <c r="AR1293" s="80" t="b">
        <v>0</v>
      </c>
      <c r="AS1293" s="80" t="b">
        <v>0</v>
      </c>
      <c r="AT1293" s="80"/>
      <c r="AU1293" s="80">
        <v>7</v>
      </c>
      <c r="AV1293" s="80"/>
      <c r="AW1293" s="80" t="b">
        <v>0</v>
      </c>
      <c r="AX1293" s="80" t="s">
        <v>10746</v>
      </c>
      <c r="AY1293" s="87" t="str">
        <f>HYPERLINK("https://twitter.com/shiningstar0606")</f>
        <v>https://twitter.com/shiningstar0606</v>
      </c>
      <c r="AZ1293" s="80" t="s">
        <v>66</v>
      </c>
      <c r="BA1293" s="2"/>
      <c r="BB1293" s="3"/>
      <c r="BC1293" s="3"/>
      <c r="BD1293" s="3"/>
      <c r="BE1293" s="3"/>
    </row>
    <row r="1294" spans="1:57" x14ac:dyDescent="0.35">
      <c r="A1294" s="66" t="s">
        <v>1249</v>
      </c>
      <c r="B1294" s="67"/>
      <c r="C1294" s="67"/>
      <c r="D1294" s="68"/>
      <c r="E1294" s="70"/>
      <c r="F1294" s="109" t="str">
        <f>HYPERLINK("https://pbs.twimg.com/profile_images/1442462284534587392/Tm5zY5N4_normal.png")</f>
        <v>https://pbs.twimg.com/profile_images/1442462284534587392/Tm5zY5N4_normal.png</v>
      </c>
      <c r="G1294" s="67"/>
      <c r="H1294" s="71"/>
      <c r="I1294" s="72"/>
      <c r="J1294" s="72"/>
      <c r="K1294" s="71" t="s">
        <v>12037</v>
      </c>
      <c r="L1294" s="75"/>
      <c r="M1294" s="76"/>
      <c r="N1294" s="76"/>
      <c r="O1294" s="77"/>
      <c r="P1294" s="78"/>
      <c r="Q1294" s="78"/>
      <c r="R1294" s="92"/>
      <c r="S1294" s="92"/>
      <c r="T1294" s="92"/>
      <c r="U1294" s="92"/>
      <c r="V1294" s="52"/>
      <c r="W1294" s="52"/>
      <c r="X1294" s="52"/>
      <c r="Y1294" s="52"/>
      <c r="Z1294" s="51"/>
      <c r="AA1294" s="73"/>
      <c r="AB1294" s="73"/>
      <c r="AC1294" s="74"/>
      <c r="AD1294" s="80" t="s">
        <v>7847</v>
      </c>
      <c r="AE1294" s="85" t="s">
        <v>8934</v>
      </c>
      <c r="AF1294" s="80">
        <v>108</v>
      </c>
      <c r="AG1294" s="80">
        <v>421</v>
      </c>
      <c r="AH1294" s="80">
        <v>6182</v>
      </c>
      <c r="AI1294" s="80">
        <v>4713</v>
      </c>
      <c r="AJ1294" s="80"/>
      <c r="AK1294" s="80" t="s">
        <v>10110</v>
      </c>
      <c r="AL1294" s="80" t="s">
        <v>10735</v>
      </c>
      <c r="AM1294" s="87" t="str">
        <f>HYPERLINK("https://t.co/kJ5waLWVCo")</f>
        <v>https://t.co/kJ5waLWVCo</v>
      </c>
      <c r="AN1294" s="80"/>
      <c r="AO1294" s="82">
        <v>44383.423009259262</v>
      </c>
      <c r="AP1294" s="87" t="str">
        <f>HYPERLINK("https://pbs.twimg.com/profile_banners/1412352874458206208/1632744788")</f>
        <v>https://pbs.twimg.com/profile_banners/1412352874458206208/1632744788</v>
      </c>
      <c r="AQ1294" s="80" t="b">
        <v>1</v>
      </c>
      <c r="AR1294" s="80" t="b">
        <v>0</v>
      </c>
      <c r="AS1294" s="80" t="b">
        <v>0</v>
      </c>
      <c r="AT1294" s="80"/>
      <c r="AU1294" s="80">
        <v>2</v>
      </c>
      <c r="AV1294" s="80"/>
      <c r="AW1294" s="80" t="b">
        <v>0</v>
      </c>
      <c r="AX1294" s="80" t="s">
        <v>10746</v>
      </c>
      <c r="AY1294" s="87" t="str">
        <f>HYPERLINK("https://twitter.com/kiwlunaa")</f>
        <v>https://twitter.com/kiwlunaa</v>
      </c>
      <c r="AZ1294" s="80" t="s">
        <v>66</v>
      </c>
      <c r="BA1294" s="2"/>
      <c r="BB1294" s="3"/>
      <c r="BC1294" s="3"/>
      <c r="BD1294" s="3"/>
      <c r="BE1294" s="3"/>
    </row>
    <row r="1295" spans="1:57" x14ac:dyDescent="0.35">
      <c r="A1295" s="66" t="s">
        <v>1250</v>
      </c>
      <c r="B1295" s="67"/>
      <c r="C1295" s="67"/>
      <c r="D1295" s="68"/>
      <c r="E1295" s="70"/>
      <c r="F1295" s="109" t="str">
        <f>HYPERLINK("https://pbs.twimg.com/profile_images/1441997351992774666/dI-ghhYl_normal.jpg")</f>
        <v>https://pbs.twimg.com/profile_images/1441997351992774666/dI-ghhYl_normal.jpg</v>
      </c>
      <c r="G1295" s="67"/>
      <c r="H1295" s="71"/>
      <c r="I1295" s="72"/>
      <c r="J1295" s="72"/>
      <c r="K1295" s="71" t="s">
        <v>12038</v>
      </c>
      <c r="L1295" s="75"/>
      <c r="M1295" s="76"/>
      <c r="N1295" s="76"/>
      <c r="O1295" s="77"/>
      <c r="P1295" s="78"/>
      <c r="Q1295" s="78"/>
      <c r="R1295" s="92"/>
      <c r="S1295" s="92"/>
      <c r="T1295" s="92"/>
      <c r="U1295" s="92"/>
      <c r="V1295" s="52"/>
      <c r="W1295" s="52"/>
      <c r="X1295" s="52"/>
      <c r="Y1295" s="52"/>
      <c r="Z1295" s="51"/>
      <c r="AA1295" s="73"/>
      <c r="AB1295" s="73"/>
      <c r="AC1295" s="74"/>
      <c r="AD1295" s="80" t="s">
        <v>7848</v>
      </c>
      <c r="AE1295" s="85" t="s">
        <v>8935</v>
      </c>
      <c r="AF1295" s="80">
        <v>98</v>
      </c>
      <c r="AG1295" s="80">
        <v>197</v>
      </c>
      <c r="AH1295" s="80">
        <v>15335</v>
      </c>
      <c r="AI1295" s="80">
        <v>2064</v>
      </c>
      <c r="AJ1295" s="80"/>
      <c r="AK1295" s="80" t="s">
        <v>10111</v>
      </c>
      <c r="AL1295" s="80"/>
      <c r="AM1295" s="80"/>
      <c r="AN1295" s="80"/>
      <c r="AO1295" s="82">
        <v>42533.216539351852</v>
      </c>
      <c r="AP1295" s="87" t="str">
        <f>HYPERLINK("https://pbs.twimg.com/profile_banners/741860536141238272/1627654695")</f>
        <v>https://pbs.twimg.com/profile_banners/741860536141238272/1627654695</v>
      </c>
      <c r="AQ1295" s="80" t="b">
        <v>1</v>
      </c>
      <c r="AR1295" s="80" t="b">
        <v>0</v>
      </c>
      <c r="AS1295" s="80" t="b">
        <v>0</v>
      </c>
      <c r="AT1295" s="80"/>
      <c r="AU1295" s="80">
        <v>0</v>
      </c>
      <c r="AV1295" s="80"/>
      <c r="AW1295" s="80" t="b">
        <v>0</v>
      </c>
      <c r="AX1295" s="80" t="s">
        <v>10746</v>
      </c>
      <c r="AY1295" s="87" t="str">
        <f>HYPERLINK("https://twitter.com/junxoala")</f>
        <v>https://twitter.com/junxoala</v>
      </c>
      <c r="AZ1295" s="80" t="s">
        <v>66</v>
      </c>
      <c r="BA1295" s="2"/>
      <c r="BB1295" s="3"/>
      <c r="BC1295" s="3"/>
      <c r="BD1295" s="3"/>
      <c r="BE1295" s="3"/>
    </row>
    <row r="1296" spans="1:57" x14ac:dyDescent="0.35">
      <c r="A1296" s="66" t="s">
        <v>1251</v>
      </c>
      <c r="B1296" s="67"/>
      <c r="C1296" s="67"/>
      <c r="D1296" s="68"/>
      <c r="E1296" s="70"/>
      <c r="F1296" s="109" t="str">
        <f>HYPERLINK("https://pbs.twimg.com/profile_images/1423099162371903492/MghPO-fT_normal.jpg")</f>
        <v>https://pbs.twimg.com/profile_images/1423099162371903492/MghPO-fT_normal.jpg</v>
      </c>
      <c r="G1296" s="67"/>
      <c r="H1296" s="71"/>
      <c r="I1296" s="72"/>
      <c r="J1296" s="72"/>
      <c r="K1296" s="71" t="s">
        <v>12039</v>
      </c>
      <c r="L1296" s="75"/>
      <c r="M1296" s="76"/>
      <c r="N1296" s="76"/>
      <c r="O1296" s="77"/>
      <c r="P1296" s="78"/>
      <c r="Q1296" s="78"/>
      <c r="R1296" s="92"/>
      <c r="S1296" s="92"/>
      <c r="T1296" s="92"/>
      <c r="U1296" s="92"/>
      <c r="V1296" s="52"/>
      <c r="W1296" s="52"/>
      <c r="X1296" s="52"/>
      <c r="Y1296" s="52"/>
      <c r="Z1296" s="51"/>
      <c r="AA1296" s="73"/>
      <c r="AB1296" s="73"/>
      <c r="AC1296" s="74"/>
      <c r="AD1296" s="80" t="s">
        <v>7849</v>
      </c>
      <c r="AE1296" s="85" t="s">
        <v>8936</v>
      </c>
      <c r="AF1296" s="80">
        <v>178</v>
      </c>
      <c r="AG1296" s="80">
        <v>46</v>
      </c>
      <c r="AH1296" s="80">
        <v>918</v>
      </c>
      <c r="AI1296" s="80">
        <v>4068</v>
      </c>
      <c r="AJ1296" s="80"/>
      <c r="AK1296" s="80" t="s">
        <v>10112</v>
      </c>
      <c r="AL1296" s="80"/>
      <c r="AM1296" s="80"/>
      <c r="AN1296" s="80"/>
      <c r="AO1296" s="82">
        <v>43824.247314814813</v>
      </c>
      <c r="AP1296" s="87" t="str">
        <f>HYPERLINK("https://pbs.twimg.com/profile_banners/1209714214769528832/1628128255")</f>
        <v>https://pbs.twimg.com/profile_banners/1209714214769528832/1628128255</v>
      </c>
      <c r="AQ1296" s="80" t="b">
        <v>1</v>
      </c>
      <c r="AR1296" s="80" t="b">
        <v>0</v>
      </c>
      <c r="AS1296" s="80" t="b">
        <v>0</v>
      </c>
      <c r="AT1296" s="80"/>
      <c r="AU1296" s="80">
        <v>0</v>
      </c>
      <c r="AV1296" s="80"/>
      <c r="AW1296" s="80" t="b">
        <v>0</v>
      </c>
      <c r="AX1296" s="80" t="s">
        <v>10746</v>
      </c>
      <c r="AY1296" s="87" t="str">
        <f>HYPERLINK("https://twitter.com/captainllama_")</f>
        <v>https://twitter.com/captainllama_</v>
      </c>
      <c r="AZ1296" s="80" t="s">
        <v>66</v>
      </c>
      <c r="BA1296" s="2"/>
      <c r="BB1296" s="3"/>
      <c r="BC1296" s="3"/>
      <c r="BD1296" s="3"/>
      <c r="BE1296" s="3"/>
    </row>
    <row r="1297" spans="1:57" x14ac:dyDescent="0.35">
      <c r="A1297" s="66" t="s">
        <v>1252</v>
      </c>
      <c r="B1297" s="67"/>
      <c r="C1297" s="67"/>
      <c r="D1297" s="68"/>
      <c r="E1297" s="70"/>
      <c r="F1297" s="109" t="str">
        <f>HYPERLINK("https://pbs.twimg.com/profile_images/1437434413042724872/XEdu5aep_normal.jpg")</f>
        <v>https://pbs.twimg.com/profile_images/1437434413042724872/XEdu5aep_normal.jpg</v>
      </c>
      <c r="G1297" s="67"/>
      <c r="H1297" s="71"/>
      <c r="I1297" s="72"/>
      <c r="J1297" s="72"/>
      <c r="K1297" s="71" t="s">
        <v>12040</v>
      </c>
      <c r="L1297" s="75"/>
      <c r="M1297" s="76"/>
      <c r="N1297" s="76"/>
      <c r="O1297" s="77"/>
      <c r="P1297" s="78"/>
      <c r="Q1297" s="78"/>
      <c r="R1297" s="92"/>
      <c r="S1297" s="92"/>
      <c r="T1297" s="92"/>
      <c r="U1297" s="92"/>
      <c r="V1297" s="52"/>
      <c r="W1297" s="52"/>
      <c r="X1297" s="52"/>
      <c r="Y1297" s="52"/>
      <c r="Z1297" s="51"/>
      <c r="AA1297" s="73"/>
      <c r="AB1297" s="73"/>
      <c r="AC1297" s="74"/>
      <c r="AD1297" s="80" t="s">
        <v>7850</v>
      </c>
      <c r="AE1297" s="85" t="s">
        <v>8937</v>
      </c>
      <c r="AF1297" s="80">
        <v>562</v>
      </c>
      <c r="AG1297" s="80">
        <v>87</v>
      </c>
      <c r="AH1297" s="80">
        <v>1795</v>
      </c>
      <c r="AI1297" s="80">
        <v>107</v>
      </c>
      <c r="AJ1297" s="80"/>
      <c r="AK1297" s="80" t="s">
        <v>10113</v>
      </c>
      <c r="AL1297" s="80" t="s">
        <v>10736</v>
      </c>
      <c r="AM1297" s="80"/>
      <c r="AN1297" s="80"/>
      <c r="AO1297" s="82">
        <v>44452.510844907411</v>
      </c>
      <c r="AP1297" s="87" t="str">
        <f>HYPERLINK("https://pbs.twimg.com/profile_banners/1437389401424740354/1631536186")</f>
        <v>https://pbs.twimg.com/profile_banners/1437389401424740354/1631536186</v>
      </c>
      <c r="AQ1297" s="80" t="b">
        <v>1</v>
      </c>
      <c r="AR1297" s="80" t="b">
        <v>0</v>
      </c>
      <c r="AS1297" s="80" t="b">
        <v>0</v>
      </c>
      <c r="AT1297" s="80"/>
      <c r="AU1297" s="80">
        <v>0</v>
      </c>
      <c r="AV1297" s="80"/>
      <c r="AW1297" s="80" t="b">
        <v>0</v>
      </c>
      <c r="AX1297" s="80" t="s">
        <v>10746</v>
      </c>
      <c r="AY1297" s="87" t="str">
        <f>HYPERLINK("https://twitter.com/ibigwintday")</f>
        <v>https://twitter.com/ibigwintday</v>
      </c>
      <c r="AZ1297" s="80" t="s">
        <v>66</v>
      </c>
      <c r="BA1297" s="2"/>
      <c r="BB1297" s="3"/>
      <c r="BC1297" s="3"/>
      <c r="BD1297" s="3"/>
      <c r="BE1297" s="3"/>
    </row>
    <row r="1298" spans="1:57" x14ac:dyDescent="0.35">
      <c r="A1298" s="66" t="s">
        <v>1528</v>
      </c>
      <c r="B1298" s="67"/>
      <c r="C1298" s="67"/>
      <c r="D1298" s="68"/>
      <c r="E1298" s="70"/>
      <c r="F1298" s="109" t="str">
        <f>HYPERLINK("https://pbs.twimg.com/profile_images/1441196465351643137/8WZGdJR2_normal.jpg")</f>
        <v>https://pbs.twimg.com/profile_images/1441196465351643137/8WZGdJR2_normal.jpg</v>
      </c>
      <c r="G1298" s="67"/>
      <c r="H1298" s="71"/>
      <c r="I1298" s="72"/>
      <c r="J1298" s="72"/>
      <c r="K1298" s="71" t="s">
        <v>12041</v>
      </c>
      <c r="L1298" s="75"/>
      <c r="M1298" s="76"/>
      <c r="N1298" s="76"/>
      <c r="O1298" s="77"/>
      <c r="P1298" s="78"/>
      <c r="Q1298" s="78"/>
      <c r="R1298" s="92"/>
      <c r="S1298" s="92"/>
      <c r="T1298" s="92"/>
      <c r="U1298" s="92"/>
      <c r="V1298" s="52"/>
      <c r="W1298" s="52"/>
      <c r="X1298" s="52"/>
      <c r="Y1298" s="52"/>
      <c r="Z1298" s="51"/>
      <c r="AA1298" s="73"/>
      <c r="AB1298" s="73"/>
      <c r="AC1298" s="74"/>
      <c r="AD1298" s="80" t="s">
        <v>7851</v>
      </c>
      <c r="AE1298" s="85" t="s">
        <v>6472</v>
      </c>
      <c r="AF1298" s="80">
        <v>170</v>
      </c>
      <c r="AG1298" s="80">
        <v>43</v>
      </c>
      <c r="AH1298" s="80">
        <v>246</v>
      </c>
      <c r="AI1298" s="80">
        <v>53</v>
      </c>
      <c r="AJ1298" s="80"/>
      <c r="AK1298" s="80" t="s">
        <v>10114</v>
      </c>
      <c r="AL1298" s="80" t="s">
        <v>10737</v>
      </c>
      <c r="AM1298" s="80"/>
      <c r="AN1298" s="80"/>
      <c r="AO1298" s="82">
        <v>44396.110648148147</v>
      </c>
      <c r="AP1298" s="87" t="str">
        <f>HYPERLINK("https://pbs.twimg.com/profile_banners/1416950714299928576/1632442987")</f>
        <v>https://pbs.twimg.com/profile_banners/1416950714299928576/1632442987</v>
      </c>
      <c r="AQ1298" s="80" t="b">
        <v>1</v>
      </c>
      <c r="AR1298" s="80" t="b">
        <v>0</v>
      </c>
      <c r="AS1298" s="80" t="b">
        <v>0</v>
      </c>
      <c r="AT1298" s="80"/>
      <c r="AU1298" s="80">
        <v>0</v>
      </c>
      <c r="AV1298" s="80"/>
      <c r="AW1298" s="80" t="b">
        <v>0</v>
      </c>
      <c r="AX1298" s="80" t="s">
        <v>10746</v>
      </c>
      <c r="AY1298" s="87" t="str">
        <f>HYPERLINK("https://twitter.com/sobatmkji")</f>
        <v>https://twitter.com/sobatmkji</v>
      </c>
      <c r="AZ1298" s="80" t="s">
        <v>65</v>
      </c>
      <c r="BA1298" s="2"/>
      <c r="BB1298" s="3"/>
      <c r="BC1298" s="3"/>
      <c r="BD1298" s="3"/>
      <c r="BE1298" s="3"/>
    </row>
    <row r="1299" spans="1:57" x14ac:dyDescent="0.35">
      <c r="A1299" s="66" t="s">
        <v>1253</v>
      </c>
      <c r="B1299" s="67"/>
      <c r="C1299" s="67"/>
      <c r="D1299" s="68"/>
      <c r="E1299" s="70"/>
      <c r="F1299" s="109" t="str">
        <f>HYPERLINK("https://pbs.twimg.com/profile_images/1435619073354723332/ReJVHv6H_normal.jpg")</f>
        <v>https://pbs.twimg.com/profile_images/1435619073354723332/ReJVHv6H_normal.jpg</v>
      </c>
      <c r="G1299" s="67"/>
      <c r="H1299" s="71"/>
      <c r="I1299" s="72"/>
      <c r="J1299" s="72"/>
      <c r="K1299" s="71" t="s">
        <v>12042</v>
      </c>
      <c r="L1299" s="75"/>
      <c r="M1299" s="76"/>
      <c r="N1299" s="76"/>
      <c r="O1299" s="77"/>
      <c r="P1299" s="78"/>
      <c r="Q1299" s="78"/>
      <c r="R1299" s="92"/>
      <c r="S1299" s="92"/>
      <c r="T1299" s="92"/>
      <c r="U1299" s="92"/>
      <c r="V1299" s="52"/>
      <c r="W1299" s="52"/>
      <c r="X1299" s="52"/>
      <c r="Y1299" s="52"/>
      <c r="Z1299" s="51"/>
      <c r="AA1299" s="73"/>
      <c r="AB1299" s="73"/>
      <c r="AC1299" s="74"/>
      <c r="AD1299" s="80" t="s">
        <v>7852</v>
      </c>
      <c r="AE1299" s="85" t="s">
        <v>8938</v>
      </c>
      <c r="AF1299" s="80">
        <v>363</v>
      </c>
      <c r="AG1299" s="80">
        <v>115</v>
      </c>
      <c r="AH1299" s="80">
        <v>10527</v>
      </c>
      <c r="AI1299" s="80">
        <v>65621</v>
      </c>
      <c r="AJ1299" s="80"/>
      <c r="AK1299" s="80" t="s">
        <v>10115</v>
      </c>
      <c r="AL1299" s="80"/>
      <c r="AM1299" s="87" t="str">
        <f>HYPERLINK("https://t.co/kzkDwisePD")</f>
        <v>https://t.co/kzkDwisePD</v>
      </c>
      <c r="AN1299" s="80"/>
      <c r="AO1299" s="82">
        <v>44039.651250000003</v>
      </c>
      <c r="AP1299" s="87" t="str">
        <f>HYPERLINK("https://pbs.twimg.com/profile_banners/1287774138283638796/1628312844")</f>
        <v>https://pbs.twimg.com/profile_banners/1287774138283638796/1628312844</v>
      </c>
      <c r="AQ1299" s="80" t="b">
        <v>1</v>
      </c>
      <c r="AR1299" s="80" t="b">
        <v>0</v>
      </c>
      <c r="AS1299" s="80" t="b">
        <v>0</v>
      </c>
      <c r="AT1299" s="80"/>
      <c r="AU1299" s="80">
        <v>0</v>
      </c>
      <c r="AV1299" s="80"/>
      <c r="AW1299" s="80" t="b">
        <v>0</v>
      </c>
      <c r="AX1299" s="80" t="s">
        <v>10746</v>
      </c>
      <c r="AY1299" s="87" t="str">
        <f>HYPERLINK("https://twitter.com/dwuagg")</f>
        <v>https://twitter.com/dwuagg</v>
      </c>
      <c r="AZ1299" s="80" t="s">
        <v>66</v>
      </c>
      <c r="BA1299" s="2"/>
      <c r="BB1299" s="3"/>
      <c r="BC1299" s="3"/>
      <c r="BD1299" s="3"/>
      <c r="BE1299" s="3"/>
    </row>
    <row r="1300" spans="1:57" x14ac:dyDescent="0.35">
      <c r="A1300" s="66" t="s">
        <v>1254</v>
      </c>
      <c r="B1300" s="67"/>
      <c r="C1300" s="67"/>
      <c r="D1300" s="68"/>
      <c r="E1300" s="70"/>
      <c r="F1300" s="109" t="str">
        <f>HYPERLINK("https://pbs.twimg.com/profile_images/1436300681044914176/TOg2QFRZ_normal.jpg")</f>
        <v>https://pbs.twimg.com/profile_images/1436300681044914176/TOg2QFRZ_normal.jpg</v>
      </c>
      <c r="G1300" s="67"/>
      <c r="H1300" s="71"/>
      <c r="I1300" s="72"/>
      <c r="J1300" s="72"/>
      <c r="K1300" s="71" t="s">
        <v>12043</v>
      </c>
      <c r="L1300" s="75"/>
      <c r="M1300" s="76"/>
      <c r="N1300" s="76"/>
      <c r="O1300" s="77"/>
      <c r="P1300" s="78"/>
      <c r="Q1300" s="78"/>
      <c r="R1300" s="92"/>
      <c r="S1300" s="92"/>
      <c r="T1300" s="92"/>
      <c r="U1300" s="92"/>
      <c r="V1300" s="52"/>
      <c r="W1300" s="52"/>
      <c r="X1300" s="52"/>
      <c r="Y1300" s="52"/>
      <c r="Z1300" s="51"/>
      <c r="AA1300" s="73"/>
      <c r="AB1300" s="73"/>
      <c r="AC1300" s="74"/>
      <c r="AD1300" s="80" t="s">
        <v>7853</v>
      </c>
      <c r="AE1300" s="85" t="s">
        <v>6474</v>
      </c>
      <c r="AF1300" s="80">
        <v>2057</v>
      </c>
      <c r="AG1300" s="80">
        <v>1982</v>
      </c>
      <c r="AH1300" s="80">
        <v>35218</v>
      </c>
      <c r="AI1300" s="80">
        <v>16672</v>
      </c>
      <c r="AJ1300" s="80"/>
      <c r="AK1300" s="80" t="s">
        <v>10116</v>
      </c>
      <c r="AL1300" s="80" t="s">
        <v>10738</v>
      </c>
      <c r="AM1300" s="87" t="str">
        <f>HYPERLINK("https://t.co/qebCDnOFze")</f>
        <v>https://t.co/qebCDnOFze</v>
      </c>
      <c r="AN1300" s="80"/>
      <c r="AO1300" s="82">
        <v>43191.265543981484</v>
      </c>
      <c r="AP1300" s="87" t="str">
        <f>HYPERLINK("https://pbs.twimg.com/profile_banners/980329507742629888/1631275741")</f>
        <v>https://pbs.twimg.com/profile_banners/980329507742629888/1631275741</v>
      </c>
      <c r="AQ1300" s="80" t="b">
        <v>1</v>
      </c>
      <c r="AR1300" s="80" t="b">
        <v>0</v>
      </c>
      <c r="AS1300" s="80" t="b">
        <v>0</v>
      </c>
      <c r="AT1300" s="80"/>
      <c r="AU1300" s="80">
        <v>11</v>
      </c>
      <c r="AV1300" s="80"/>
      <c r="AW1300" s="80" t="b">
        <v>0</v>
      </c>
      <c r="AX1300" s="80" t="s">
        <v>10746</v>
      </c>
      <c r="AY1300" s="87" t="str">
        <f>HYPERLINK("https://twitter.com/seelaaa_")</f>
        <v>https://twitter.com/seelaaa_</v>
      </c>
      <c r="AZ1300" s="80" t="s">
        <v>66</v>
      </c>
      <c r="BA1300" s="2"/>
      <c r="BB1300" s="3"/>
      <c r="BC1300" s="3"/>
      <c r="BD1300" s="3"/>
      <c r="BE1300" s="3"/>
    </row>
    <row r="1301" spans="1:57" x14ac:dyDescent="0.35">
      <c r="A1301" s="66" t="s">
        <v>1529</v>
      </c>
      <c r="B1301" s="67"/>
      <c r="C1301" s="67"/>
      <c r="D1301" s="68"/>
      <c r="E1301" s="70"/>
      <c r="F1301" s="109" t="str">
        <f>HYPERLINK("https://pbs.twimg.com/profile_images/1438293857821773825/uXt8pbTR_normal.jpg")</f>
        <v>https://pbs.twimg.com/profile_images/1438293857821773825/uXt8pbTR_normal.jpg</v>
      </c>
      <c r="G1301" s="67"/>
      <c r="H1301" s="71"/>
      <c r="I1301" s="72"/>
      <c r="J1301" s="72"/>
      <c r="K1301" s="71" t="s">
        <v>12044</v>
      </c>
      <c r="L1301" s="75"/>
      <c r="M1301" s="76"/>
      <c r="N1301" s="76"/>
      <c r="O1301" s="77"/>
      <c r="P1301" s="78"/>
      <c r="Q1301" s="78"/>
      <c r="R1301" s="92"/>
      <c r="S1301" s="92"/>
      <c r="T1301" s="92"/>
      <c r="U1301" s="92"/>
      <c r="V1301" s="52"/>
      <c r="W1301" s="52"/>
      <c r="X1301" s="52"/>
      <c r="Y1301" s="52"/>
      <c r="Z1301" s="51"/>
      <c r="AA1301" s="73"/>
      <c r="AB1301" s="73"/>
      <c r="AC1301" s="74"/>
      <c r="AD1301" s="80" t="s">
        <v>7854</v>
      </c>
      <c r="AE1301" s="85" t="s">
        <v>6473</v>
      </c>
      <c r="AF1301" s="80">
        <v>5057</v>
      </c>
      <c r="AG1301" s="80">
        <v>7995</v>
      </c>
      <c r="AH1301" s="80">
        <v>37741</v>
      </c>
      <c r="AI1301" s="80">
        <v>8480</v>
      </c>
      <c r="AJ1301" s="80"/>
      <c r="AK1301" s="80" t="s">
        <v>10117</v>
      </c>
      <c r="AL1301" s="80" t="s">
        <v>10739</v>
      </c>
      <c r="AM1301" s="80"/>
      <c r="AN1301" s="80"/>
      <c r="AO1301" s="82">
        <v>43916.122164351851</v>
      </c>
      <c r="AP1301" s="87" t="str">
        <f>HYPERLINK("https://pbs.twimg.com/profile_banners/1243008724395933698/1631751125")</f>
        <v>https://pbs.twimg.com/profile_banners/1243008724395933698/1631751125</v>
      </c>
      <c r="AQ1301" s="80" t="b">
        <v>1</v>
      </c>
      <c r="AR1301" s="80" t="b">
        <v>0</v>
      </c>
      <c r="AS1301" s="80" t="b">
        <v>0</v>
      </c>
      <c r="AT1301" s="80"/>
      <c r="AU1301" s="80">
        <v>43</v>
      </c>
      <c r="AV1301" s="80"/>
      <c r="AW1301" s="80" t="b">
        <v>0</v>
      </c>
      <c r="AX1301" s="80" t="s">
        <v>10746</v>
      </c>
      <c r="AY1301" s="87" t="str">
        <f>HYPERLINK("https://twitter.com/skizfm")</f>
        <v>https://twitter.com/skizfm</v>
      </c>
      <c r="AZ1301" s="80" t="s">
        <v>65</v>
      </c>
      <c r="BA1301" s="2"/>
      <c r="BB1301" s="3"/>
      <c r="BC1301" s="3"/>
      <c r="BD1301" s="3"/>
      <c r="BE1301" s="3"/>
    </row>
    <row r="1302" spans="1:57" x14ac:dyDescent="0.35">
      <c r="A1302" s="66" t="s">
        <v>1255</v>
      </c>
      <c r="B1302" s="67"/>
      <c r="C1302" s="67"/>
      <c r="D1302" s="68"/>
      <c r="E1302" s="70"/>
      <c r="F1302" s="109" t="str">
        <f>HYPERLINK("https://pbs.twimg.com/profile_images/1440871770009997315/vIJFf9IU_normal.jpg")</f>
        <v>https://pbs.twimg.com/profile_images/1440871770009997315/vIJFf9IU_normal.jpg</v>
      </c>
      <c r="G1302" s="67"/>
      <c r="H1302" s="71"/>
      <c r="I1302" s="72"/>
      <c r="J1302" s="72"/>
      <c r="K1302" s="71" t="s">
        <v>12045</v>
      </c>
      <c r="L1302" s="75"/>
      <c r="M1302" s="76"/>
      <c r="N1302" s="76"/>
      <c r="O1302" s="77"/>
      <c r="P1302" s="78"/>
      <c r="Q1302" s="78"/>
      <c r="R1302" s="92"/>
      <c r="S1302" s="92"/>
      <c r="T1302" s="92"/>
      <c r="U1302" s="92"/>
      <c r="V1302" s="52"/>
      <c r="W1302" s="52"/>
      <c r="X1302" s="52"/>
      <c r="Y1302" s="52"/>
      <c r="Z1302" s="51"/>
      <c r="AA1302" s="73"/>
      <c r="AB1302" s="73"/>
      <c r="AC1302" s="74"/>
      <c r="AD1302" s="80" t="s">
        <v>7855</v>
      </c>
      <c r="AE1302" s="85" t="s">
        <v>6475</v>
      </c>
      <c r="AF1302" s="80">
        <v>3188</v>
      </c>
      <c r="AG1302" s="80">
        <v>3731</v>
      </c>
      <c r="AH1302" s="80">
        <v>67649</v>
      </c>
      <c r="AI1302" s="80">
        <v>12861</v>
      </c>
      <c r="AJ1302" s="80"/>
      <c r="AK1302" s="80" t="s">
        <v>10118</v>
      </c>
      <c r="AL1302" s="80" t="s">
        <v>10740</v>
      </c>
      <c r="AM1302" s="80"/>
      <c r="AN1302" s="80"/>
      <c r="AO1302" s="82">
        <v>44116.989710648151</v>
      </c>
      <c r="AP1302" s="87" t="str">
        <f>HYPERLINK("https://pbs.twimg.com/profile_banners/1315800638924570624/1631795157")</f>
        <v>https://pbs.twimg.com/profile_banners/1315800638924570624/1631795157</v>
      </c>
      <c r="AQ1302" s="80" t="b">
        <v>1</v>
      </c>
      <c r="AR1302" s="80" t="b">
        <v>0</v>
      </c>
      <c r="AS1302" s="80" t="b">
        <v>1</v>
      </c>
      <c r="AT1302" s="80"/>
      <c r="AU1302" s="80">
        <v>27</v>
      </c>
      <c r="AV1302" s="80"/>
      <c r="AW1302" s="80" t="b">
        <v>0</v>
      </c>
      <c r="AX1302" s="80" t="s">
        <v>10746</v>
      </c>
      <c r="AY1302" s="87" t="str">
        <f>HYPERLINK("https://twitter.com/yvelixie_bang28")</f>
        <v>https://twitter.com/yvelixie_bang28</v>
      </c>
      <c r="AZ1302" s="80" t="s">
        <v>66</v>
      </c>
      <c r="BA1302" s="2"/>
      <c r="BB1302" s="3"/>
      <c r="BC1302" s="3"/>
      <c r="BD1302" s="3"/>
      <c r="BE1302" s="3"/>
    </row>
    <row r="1303" spans="1:57" x14ac:dyDescent="0.35">
      <c r="A1303" s="66" t="s">
        <v>1256</v>
      </c>
      <c r="B1303" s="67"/>
      <c r="C1303" s="67"/>
      <c r="D1303" s="68"/>
      <c r="E1303" s="70"/>
      <c r="F1303" s="109" t="str">
        <f>HYPERLINK("https://pbs.twimg.com/profile_images/1439426635787169793/xfnYFplD_normal.jpg")</f>
        <v>https://pbs.twimg.com/profile_images/1439426635787169793/xfnYFplD_normal.jpg</v>
      </c>
      <c r="G1303" s="67"/>
      <c r="H1303" s="71"/>
      <c r="I1303" s="72"/>
      <c r="J1303" s="72"/>
      <c r="K1303" s="71" t="s">
        <v>12046</v>
      </c>
      <c r="L1303" s="75"/>
      <c r="M1303" s="76"/>
      <c r="N1303" s="76"/>
      <c r="O1303" s="77"/>
      <c r="P1303" s="78"/>
      <c r="Q1303" s="78"/>
      <c r="R1303" s="92"/>
      <c r="S1303" s="92"/>
      <c r="T1303" s="92"/>
      <c r="U1303" s="92"/>
      <c r="V1303" s="52"/>
      <c r="W1303" s="52"/>
      <c r="X1303" s="52"/>
      <c r="Y1303" s="52"/>
      <c r="Z1303" s="51"/>
      <c r="AA1303" s="73"/>
      <c r="AB1303" s="73"/>
      <c r="AC1303" s="74"/>
      <c r="AD1303" s="80" t="s">
        <v>7856</v>
      </c>
      <c r="AE1303" s="85" t="s">
        <v>8939</v>
      </c>
      <c r="AF1303" s="80">
        <v>540</v>
      </c>
      <c r="AG1303" s="80">
        <v>599</v>
      </c>
      <c r="AH1303" s="80">
        <v>15329</v>
      </c>
      <c r="AI1303" s="80">
        <v>3393</v>
      </c>
      <c r="AJ1303" s="80"/>
      <c r="AK1303" s="80" t="s">
        <v>10119</v>
      </c>
      <c r="AL1303" s="80" t="s">
        <v>6547</v>
      </c>
      <c r="AM1303" s="87" t="str">
        <f>HYPERLINK("https://t.co/i1dheIE3i2")</f>
        <v>https://t.co/i1dheIE3i2</v>
      </c>
      <c r="AN1303" s="80"/>
      <c r="AO1303" s="82">
        <v>41544.081423611111</v>
      </c>
      <c r="AP1303" s="87" t="str">
        <f>HYPERLINK("https://pbs.twimg.com/profile_banners/1909796108/1510064046")</f>
        <v>https://pbs.twimg.com/profile_banners/1909796108/1510064046</v>
      </c>
      <c r="AQ1303" s="80" t="b">
        <v>0</v>
      </c>
      <c r="AR1303" s="80" t="b">
        <v>0</v>
      </c>
      <c r="AS1303" s="80" t="b">
        <v>0</v>
      </c>
      <c r="AT1303" s="80"/>
      <c r="AU1303" s="80">
        <v>0</v>
      </c>
      <c r="AV1303" s="87" t="str">
        <f>HYPERLINK("https://abs.twimg.com/images/themes/theme1/bg.png")</f>
        <v>https://abs.twimg.com/images/themes/theme1/bg.png</v>
      </c>
      <c r="AW1303" s="80" t="b">
        <v>0</v>
      </c>
      <c r="AX1303" s="80" t="s">
        <v>10746</v>
      </c>
      <c r="AY1303" s="87" t="str">
        <f>HYPERLINK("https://twitter.com/je_ariff")</f>
        <v>https://twitter.com/je_ariff</v>
      </c>
      <c r="AZ1303" s="80" t="s">
        <v>66</v>
      </c>
      <c r="BA1303" s="2"/>
      <c r="BB1303" s="3"/>
      <c r="BC1303" s="3"/>
      <c r="BD1303" s="3"/>
      <c r="BE1303" s="3"/>
    </row>
    <row r="1304" spans="1:57" x14ac:dyDescent="0.35">
      <c r="A1304" s="66" t="s">
        <v>1257</v>
      </c>
      <c r="B1304" s="67"/>
      <c r="C1304" s="67"/>
      <c r="D1304" s="68"/>
      <c r="E1304" s="70"/>
      <c r="F1304" s="109" t="str">
        <f>HYPERLINK("https://pbs.twimg.com/profile_images/1076392555414077441/WQav5fb3_normal.jpg")</f>
        <v>https://pbs.twimg.com/profile_images/1076392555414077441/WQav5fb3_normal.jpg</v>
      </c>
      <c r="G1304" s="67"/>
      <c r="H1304" s="71"/>
      <c r="I1304" s="72"/>
      <c r="J1304" s="72"/>
      <c r="K1304" s="71" t="s">
        <v>12047</v>
      </c>
      <c r="L1304" s="75"/>
      <c r="M1304" s="76"/>
      <c r="N1304" s="76"/>
      <c r="O1304" s="77"/>
      <c r="P1304" s="78"/>
      <c r="Q1304" s="78"/>
      <c r="R1304" s="92"/>
      <c r="S1304" s="92"/>
      <c r="T1304" s="92"/>
      <c r="U1304" s="92"/>
      <c r="V1304" s="52"/>
      <c r="W1304" s="52"/>
      <c r="X1304" s="52"/>
      <c r="Y1304" s="52"/>
      <c r="Z1304" s="51"/>
      <c r="AA1304" s="73"/>
      <c r="AB1304" s="73"/>
      <c r="AC1304" s="74"/>
      <c r="AD1304" s="80" t="s">
        <v>7857</v>
      </c>
      <c r="AE1304" s="85" t="s">
        <v>8940</v>
      </c>
      <c r="AF1304" s="80">
        <v>4335</v>
      </c>
      <c r="AG1304" s="80">
        <v>9242</v>
      </c>
      <c r="AH1304" s="80">
        <v>175369</v>
      </c>
      <c r="AI1304" s="80">
        <v>17</v>
      </c>
      <c r="AJ1304" s="80"/>
      <c r="AK1304" s="80" t="s">
        <v>10120</v>
      </c>
      <c r="AL1304" s="80" t="s">
        <v>10741</v>
      </c>
      <c r="AM1304" s="87" t="str">
        <f>HYPERLINK("https://t.co/4qBPm3flCc")</f>
        <v>https://t.co/4qBPm3flCc</v>
      </c>
      <c r="AN1304" s="80"/>
      <c r="AO1304" s="82">
        <v>40990.18</v>
      </c>
      <c r="AP1304" s="87" t="str">
        <f>HYPERLINK("https://pbs.twimg.com/profile_banners/532818331/1349417071")</f>
        <v>https://pbs.twimg.com/profile_banners/532818331/1349417071</v>
      </c>
      <c r="AQ1304" s="80" t="b">
        <v>0</v>
      </c>
      <c r="AR1304" s="80" t="b">
        <v>0</v>
      </c>
      <c r="AS1304" s="80" t="b">
        <v>0</v>
      </c>
      <c r="AT1304" s="80"/>
      <c r="AU1304" s="80">
        <v>167</v>
      </c>
      <c r="AV1304" s="87" t="str">
        <f>HYPERLINK("https://abs.twimg.com/images/themes/theme1/bg.png")</f>
        <v>https://abs.twimg.com/images/themes/theme1/bg.png</v>
      </c>
      <c r="AW1304" s="80" t="b">
        <v>0</v>
      </c>
      <c r="AX1304" s="80" t="s">
        <v>10746</v>
      </c>
      <c r="AY1304" s="87" t="str">
        <f>HYPERLINK("https://twitter.com/truplapng")</f>
        <v>https://twitter.com/truplapng</v>
      </c>
      <c r="AZ1304" s="80" t="s">
        <v>66</v>
      </c>
      <c r="BA1304" s="2"/>
      <c r="BB1304" s="3"/>
      <c r="BC1304" s="3"/>
      <c r="BD1304" s="3"/>
      <c r="BE1304" s="3"/>
    </row>
    <row r="1305" spans="1:57" x14ac:dyDescent="0.35">
      <c r="A1305" s="66" t="s">
        <v>1530</v>
      </c>
      <c r="B1305" s="67"/>
      <c r="C1305" s="67"/>
      <c r="D1305" s="68"/>
      <c r="E1305" s="70"/>
      <c r="F1305" s="109" t="str">
        <f>HYPERLINK("https://pbs.twimg.com/profile_images/3198762616/2aebb19d68f419343ca2f394529612d7_normal.png")</f>
        <v>https://pbs.twimg.com/profile_images/3198762616/2aebb19d68f419343ca2f394529612d7_normal.png</v>
      </c>
      <c r="G1305" s="67"/>
      <c r="H1305" s="71"/>
      <c r="I1305" s="72"/>
      <c r="J1305" s="72"/>
      <c r="K1305" s="71" t="s">
        <v>12048</v>
      </c>
      <c r="L1305" s="75"/>
      <c r="M1305" s="76"/>
      <c r="N1305" s="76"/>
      <c r="O1305" s="77"/>
      <c r="P1305" s="78"/>
      <c r="Q1305" s="78"/>
      <c r="R1305" s="92"/>
      <c r="S1305" s="92"/>
      <c r="T1305" s="92"/>
      <c r="U1305" s="92"/>
      <c r="V1305" s="52"/>
      <c r="W1305" s="52"/>
      <c r="X1305" s="52"/>
      <c r="Y1305" s="52"/>
      <c r="Z1305" s="51"/>
      <c r="AA1305" s="73"/>
      <c r="AB1305" s="73"/>
      <c r="AC1305" s="74"/>
      <c r="AD1305" s="80" t="s">
        <v>7858</v>
      </c>
      <c r="AE1305" s="85" t="s">
        <v>8941</v>
      </c>
      <c r="AF1305" s="80">
        <v>52</v>
      </c>
      <c r="AG1305" s="80">
        <v>189</v>
      </c>
      <c r="AH1305" s="80">
        <v>23</v>
      </c>
      <c r="AI1305" s="80">
        <v>0</v>
      </c>
      <c r="AJ1305" s="80"/>
      <c r="AK1305" s="80" t="s">
        <v>10121</v>
      </c>
      <c r="AL1305" s="80"/>
      <c r="AM1305" s="80"/>
      <c r="AN1305" s="80"/>
      <c r="AO1305" s="82">
        <v>41307.701041666667</v>
      </c>
      <c r="AP1305" s="87" t="str">
        <f>HYPERLINK("https://pbs.twimg.com/profile_banners/1142893645/1380395844")</f>
        <v>https://pbs.twimg.com/profile_banners/1142893645/1380395844</v>
      </c>
      <c r="AQ1305" s="80" t="b">
        <v>1</v>
      </c>
      <c r="AR1305" s="80" t="b">
        <v>0</v>
      </c>
      <c r="AS1305" s="80" t="b">
        <v>0</v>
      </c>
      <c r="AT1305" s="80"/>
      <c r="AU1305" s="80">
        <v>1</v>
      </c>
      <c r="AV1305" s="87" t="str">
        <f>HYPERLINK("https://abs.twimg.com/images/themes/theme1/bg.png")</f>
        <v>https://abs.twimg.com/images/themes/theme1/bg.png</v>
      </c>
      <c r="AW1305" s="80" t="b">
        <v>0</v>
      </c>
      <c r="AX1305" s="80" t="s">
        <v>10746</v>
      </c>
      <c r="AY1305" s="87" t="str">
        <f>HYPERLINK("https://twitter.com/free_west_papua")</f>
        <v>https://twitter.com/free_west_papua</v>
      </c>
      <c r="AZ1305" s="80" t="s">
        <v>65</v>
      </c>
      <c r="BA1305" s="2"/>
      <c r="BB1305" s="3"/>
      <c r="BC1305" s="3"/>
      <c r="BD1305" s="3"/>
      <c r="BE1305" s="3"/>
    </row>
    <row r="1306" spans="1:57" x14ac:dyDescent="0.35">
      <c r="A1306" s="66" t="s">
        <v>1258</v>
      </c>
      <c r="B1306" s="67"/>
      <c r="C1306" s="67"/>
      <c r="D1306" s="68"/>
      <c r="E1306" s="70"/>
      <c r="F1306" s="109" t="str">
        <f>HYPERLINK("https://pbs.twimg.com/profile_images/950922159957753856/2siyffDJ_normal.jpg")</f>
        <v>https://pbs.twimg.com/profile_images/950922159957753856/2siyffDJ_normal.jpg</v>
      </c>
      <c r="G1306" s="67"/>
      <c r="H1306" s="71"/>
      <c r="I1306" s="72"/>
      <c r="J1306" s="72"/>
      <c r="K1306" s="71" t="s">
        <v>12049</v>
      </c>
      <c r="L1306" s="75"/>
      <c r="M1306" s="76"/>
      <c r="N1306" s="76"/>
      <c r="O1306" s="77"/>
      <c r="P1306" s="78"/>
      <c r="Q1306" s="78"/>
      <c r="R1306" s="92"/>
      <c r="S1306" s="92"/>
      <c r="T1306" s="92"/>
      <c r="U1306" s="92"/>
      <c r="V1306" s="52"/>
      <c r="W1306" s="52"/>
      <c r="X1306" s="52"/>
      <c r="Y1306" s="52"/>
      <c r="Z1306" s="51"/>
      <c r="AA1306" s="73"/>
      <c r="AB1306" s="73"/>
      <c r="AC1306" s="74"/>
      <c r="AD1306" s="80" t="s">
        <v>7859</v>
      </c>
      <c r="AE1306" s="85" t="s">
        <v>6476</v>
      </c>
      <c r="AF1306" s="80">
        <v>82</v>
      </c>
      <c r="AG1306" s="80">
        <v>1204</v>
      </c>
      <c r="AH1306" s="80">
        <v>3815</v>
      </c>
      <c r="AI1306" s="80">
        <v>139</v>
      </c>
      <c r="AJ1306" s="80"/>
      <c r="AK1306" s="80" t="s">
        <v>10122</v>
      </c>
      <c r="AL1306" s="80" t="s">
        <v>10583</v>
      </c>
      <c r="AM1306" s="87" t="str">
        <f>HYPERLINK("https://t.co/Mhnmm8qxjg")</f>
        <v>https://t.co/Mhnmm8qxjg</v>
      </c>
      <c r="AN1306" s="80"/>
      <c r="AO1306" s="82">
        <v>42893.034212962964</v>
      </c>
      <c r="AP1306" s="87" t="str">
        <f>HYPERLINK("https://pbs.twimg.com/profile_banners/872254095410642944/1581561640")</f>
        <v>https://pbs.twimg.com/profile_banners/872254095410642944/1581561640</v>
      </c>
      <c r="AQ1306" s="80" t="b">
        <v>1</v>
      </c>
      <c r="AR1306" s="80" t="b">
        <v>0</v>
      </c>
      <c r="AS1306" s="80" t="b">
        <v>0</v>
      </c>
      <c r="AT1306" s="80"/>
      <c r="AU1306" s="80">
        <v>0</v>
      </c>
      <c r="AV1306" s="80"/>
      <c r="AW1306" s="80" t="b">
        <v>0</v>
      </c>
      <c r="AX1306" s="80" t="s">
        <v>10746</v>
      </c>
      <c r="AY1306" s="87" t="str">
        <f>HYPERLINK("https://twitter.com/asabri_official")</f>
        <v>https://twitter.com/asabri_official</v>
      </c>
      <c r="AZ1306" s="80" t="s">
        <v>66</v>
      </c>
      <c r="BA1306" s="2"/>
      <c r="BB1306" s="3"/>
      <c r="BC1306" s="3"/>
      <c r="BD1306" s="3"/>
      <c r="BE1306" s="3"/>
    </row>
    <row r="1307" spans="1:57" x14ac:dyDescent="0.35">
      <c r="A1307" s="66" t="s">
        <v>1259</v>
      </c>
      <c r="B1307" s="67"/>
      <c r="C1307" s="67"/>
      <c r="D1307" s="68"/>
      <c r="E1307" s="70"/>
      <c r="F1307" s="109" t="str">
        <f>HYPERLINK("https://pbs.twimg.com/profile_images/1436374668756148230/9Nn5_3TQ_normal.jpg")</f>
        <v>https://pbs.twimg.com/profile_images/1436374668756148230/9Nn5_3TQ_normal.jpg</v>
      </c>
      <c r="G1307" s="67"/>
      <c r="H1307" s="71"/>
      <c r="I1307" s="72"/>
      <c r="J1307" s="72"/>
      <c r="K1307" s="71" t="s">
        <v>12050</v>
      </c>
      <c r="L1307" s="75"/>
      <c r="M1307" s="76"/>
      <c r="N1307" s="76"/>
      <c r="O1307" s="77"/>
      <c r="P1307" s="78"/>
      <c r="Q1307" s="78"/>
      <c r="R1307" s="92"/>
      <c r="S1307" s="92"/>
      <c r="T1307" s="92"/>
      <c r="U1307" s="92"/>
      <c r="V1307" s="52"/>
      <c r="W1307" s="52"/>
      <c r="X1307" s="52"/>
      <c r="Y1307" s="52"/>
      <c r="Z1307" s="51"/>
      <c r="AA1307" s="73"/>
      <c r="AB1307" s="73"/>
      <c r="AC1307" s="74"/>
      <c r="AD1307" s="80" t="s">
        <v>7860</v>
      </c>
      <c r="AE1307" s="85" t="s">
        <v>8942</v>
      </c>
      <c r="AF1307" s="80">
        <v>23</v>
      </c>
      <c r="AG1307" s="80">
        <v>5</v>
      </c>
      <c r="AH1307" s="80">
        <v>337</v>
      </c>
      <c r="AI1307" s="80">
        <v>826</v>
      </c>
      <c r="AJ1307" s="80"/>
      <c r="AK1307" s="80" t="s">
        <v>10123</v>
      </c>
      <c r="AL1307" s="80" t="s">
        <v>6543</v>
      </c>
      <c r="AM1307" s="80"/>
      <c r="AN1307" s="80"/>
      <c r="AO1307" s="82">
        <v>44257.631597222222</v>
      </c>
      <c r="AP1307" s="87" t="str">
        <f>HYPERLINK("https://pbs.twimg.com/profile_banners/1366767575300939777/1628580297")</f>
        <v>https://pbs.twimg.com/profile_banners/1366767575300939777/1628580297</v>
      </c>
      <c r="AQ1307" s="80" t="b">
        <v>1</v>
      </c>
      <c r="AR1307" s="80" t="b">
        <v>0</v>
      </c>
      <c r="AS1307" s="80" t="b">
        <v>0</v>
      </c>
      <c r="AT1307" s="80"/>
      <c r="AU1307" s="80">
        <v>0</v>
      </c>
      <c r="AV1307" s="80"/>
      <c r="AW1307" s="80" t="b">
        <v>0</v>
      </c>
      <c r="AX1307" s="80" t="s">
        <v>10746</v>
      </c>
      <c r="AY1307" s="87" t="str">
        <f>HYPERLINK("https://twitter.com/bvttercupp")</f>
        <v>https://twitter.com/bvttercupp</v>
      </c>
      <c r="AZ1307" s="80" t="s">
        <v>66</v>
      </c>
      <c r="BA1307" s="2"/>
      <c r="BB1307" s="3"/>
      <c r="BC1307" s="3"/>
      <c r="BD1307" s="3"/>
      <c r="BE1307" s="3"/>
    </row>
    <row r="1308" spans="1:57" x14ac:dyDescent="0.35">
      <c r="A1308" s="66" t="s">
        <v>1260</v>
      </c>
      <c r="B1308" s="67"/>
      <c r="C1308" s="67"/>
      <c r="D1308" s="68"/>
      <c r="E1308" s="70"/>
      <c r="F1308" s="109" t="str">
        <f>HYPERLINK("https://pbs.twimg.com/profile_images/1346600224089923585/Wmf5zBAz_normal.jpg")</f>
        <v>https://pbs.twimg.com/profile_images/1346600224089923585/Wmf5zBAz_normal.jpg</v>
      </c>
      <c r="G1308" s="67"/>
      <c r="H1308" s="71"/>
      <c r="I1308" s="72"/>
      <c r="J1308" s="72"/>
      <c r="K1308" s="71" t="s">
        <v>12051</v>
      </c>
      <c r="L1308" s="75"/>
      <c r="M1308" s="76"/>
      <c r="N1308" s="76"/>
      <c r="O1308" s="77"/>
      <c r="P1308" s="78"/>
      <c r="Q1308" s="78"/>
      <c r="R1308" s="92"/>
      <c r="S1308" s="92"/>
      <c r="T1308" s="92"/>
      <c r="U1308" s="92"/>
      <c r="V1308" s="52"/>
      <c r="W1308" s="52"/>
      <c r="X1308" s="52"/>
      <c r="Y1308" s="52"/>
      <c r="Z1308" s="51"/>
      <c r="AA1308" s="73"/>
      <c r="AB1308" s="73"/>
      <c r="AC1308" s="74"/>
      <c r="AD1308" s="80" t="s">
        <v>1260</v>
      </c>
      <c r="AE1308" s="85" t="s">
        <v>8943</v>
      </c>
      <c r="AF1308" s="80">
        <v>992</v>
      </c>
      <c r="AG1308" s="80">
        <v>187</v>
      </c>
      <c r="AH1308" s="80">
        <v>5528</v>
      </c>
      <c r="AI1308" s="80">
        <v>821</v>
      </c>
      <c r="AJ1308" s="80"/>
      <c r="AK1308" s="80"/>
      <c r="AL1308" s="80" t="s">
        <v>10159</v>
      </c>
      <c r="AM1308" s="80"/>
      <c r="AN1308" s="80"/>
      <c r="AO1308" s="82">
        <v>43868.018194444441</v>
      </c>
      <c r="AP1308" s="87" t="str">
        <f>HYPERLINK("https://pbs.twimg.com/profile_banners/1225576398011666432/1591918027")</f>
        <v>https://pbs.twimg.com/profile_banners/1225576398011666432/1591918027</v>
      </c>
      <c r="AQ1308" s="80" t="b">
        <v>1</v>
      </c>
      <c r="AR1308" s="80" t="b">
        <v>0</v>
      </c>
      <c r="AS1308" s="80" t="b">
        <v>0</v>
      </c>
      <c r="AT1308" s="80"/>
      <c r="AU1308" s="80">
        <v>0</v>
      </c>
      <c r="AV1308" s="80"/>
      <c r="AW1308" s="80" t="b">
        <v>0</v>
      </c>
      <c r="AX1308" s="80" t="s">
        <v>10746</v>
      </c>
      <c r="AY1308" s="87" t="str">
        <f>HYPERLINK("https://twitter.com/rhutiyyy")</f>
        <v>https://twitter.com/rhutiyyy</v>
      </c>
      <c r="AZ1308" s="80" t="s">
        <v>66</v>
      </c>
      <c r="BA1308" s="2"/>
      <c r="BB1308" s="3"/>
      <c r="BC1308" s="3"/>
      <c r="BD1308" s="3"/>
      <c r="BE1308" s="3"/>
    </row>
    <row r="1309" spans="1:57" x14ac:dyDescent="0.35">
      <c r="A1309" s="66" t="s">
        <v>1262</v>
      </c>
      <c r="B1309" s="67"/>
      <c r="C1309" s="67"/>
      <c r="D1309" s="68"/>
      <c r="E1309" s="70"/>
      <c r="F1309" s="109" t="str">
        <f>HYPERLINK("https://pbs.twimg.com/profile_images/785419016797949952/En_z9898_normal.jpg")</f>
        <v>https://pbs.twimg.com/profile_images/785419016797949952/En_z9898_normal.jpg</v>
      </c>
      <c r="G1309" s="67"/>
      <c r="H1309" s="71"/>
      <c r="I1309" s="72"/>
      <c r="J1309" s="72"/>
      <c r="K1309" s="71" t="s">
        <v>12052</v>
      </c>
      <c r="L1309" s="75"/>
      <c r="M1309" s="76"/>
      <c r="N1309" s="76"/>
      <c r="O1309" s="77"/>
      <c r="P1309" s="78"/>
      <c r="Q1309" s="78"/>
      <c r="R1309" s="92"/>
      <c r="S1309" s="92"/>
      <c r="T1309" s="92"/>
      <c r="U1309" s="92"/>
      <c r="V1309" s="52"/>
      <c r="W1309" s="52"/>
      <c r="X1309" s="52"/>
      <c r="Y1309" s="52"/>
      <c r="Z1309" s="51"/>
      <c r="AA1309" s="73"/>
      <c r="AB1309" s="73"/>
      <c r="AC1309" s="74"/>
      <c r="AD1309" s="80" t="s">
        <v>7861</v>
      </c>
      <c r="AE1309" s="85" t="s">
        <v>8944</v>
      </c>
      <c r="AF1309" s="80">
        <v>140</v>
      </c>
      <c r="AG1309" s="80">
        <v>100</v>
      </c>
      <c r="AH1309" s="80">
        <v>3528</v>
      </c>
      <c r="AI1309" s="80">
        <v>781</v>
      </c>
      <c r="AJ1309" s="80"/>
      <c r="AK1309" s="80" t="s">
        <v>10124</v>
      </c>
      <c r="AL1309" s="80" t="s">
        <v>10165</v>
      </c>
      <c r="AM1309" s="80"/>
      <c r="AN1309" s="80"/>
      <c r="AO1309" s="82">
        <v>40638.27884259259</v>
      </c>
      <c r="AP1309" s="87" t="str">
        <f>HYPERLINK("https://pbs.twimg.com/profile_banners/277366959/1476093475")</f>
        <v>https://pbs.twimg.com/profile_banners/277366959/1476093475</v>
      </c>
      <c r="AQ1309" s="80" t="b">
        <v>1</v>
      </c>
      <c r="AR1309" s="80" t="b">
        <v>0</v>
      </c>
      <c r="AS1309" s="80" t="b">
        <v>0</v>
      </c>
      <c r="AT1309" s="80"/>
      <c r="AU1309" s="80">
        <v>1</v>
      </c>
      <c r="AV1309" s="87" t="str">
        <f>HYPERLINK("https://abs.twimg.com/images/themes/theme1/bg.png")</f>
        <v>https://abs.twimg.com/images/themes/theme1/bg.png</v>
      </c>
      <c r="AW1309" s="80" t="b">
        <v>0</v>
      </c>
      <c r="AX1309" s="80" t="s">
        <v>10746</v>
      </c>
      <c r="AY1309" s="87" t="str">
        <f>HYPERLINK("https://twitter.com/_gita05")</f>
        <v>https://twitter.com/_gita05</v>
      </c>
      <c r="AZ1309" s="80" t="s">
        <v>66</v>
      </c>
      <c r="BA1309" s="2"/>
      <c r="BB1309" s="3"/>
      <c r="BC1309" s="3"/>
      <c r="BD1309" s="3"/>
      <c r="BE1309" s="3"/>
    </row>
    <row r="1310" spans="1:57" x14ac:dyDescent="0.35">
      <c r="A1310" s="66" t="s">
        <v>1263</v>
      </c>
      <c r="B1310" s="67"/>
      <c r="C1310" s="67"/>
      <c r="D1310" s="68"/>
      <c r="E1310" s="70"/>
      <c r="F1310" s="109" t="str">
        <f>HYPERLINK("https://pbs.twimg.com/profile_images/1438470101129261060/qw3iKfyc_normal.jpg")</f>
        <v>https://pbs.twimg.com/profile_images/1438470101129261060/qw3iKfyc_normal.jpg</v>
      </c>
      <c r="G1310" s="67"/>
      <c r="H1310" s="71"/>
      <c r="I1310" s="72"/>
      <c r="J1310" s="72"/>
      <c r="K1310" s="71" t="s">
        <v>12053</v>
      </c>
      <c r="L1310" s="75"/>
      <c r="M1310" s="76"/>
      <c r="N1310" s="76"/>
      <c r="O1310" s="77"/>
      <c r="P1310" s="78"/>
      <c r="Q1310" s="78"/>
      <c r="R1310" s="92"/>
      <c r="S1310" s="92"/>
      <c r="T1310" s="92"/>
      <c r="U1310" s="92"/>
      <c r="V1310" s="52"/>
      <c r="W1310" s="52"/>
      <c r="X1310" s="52"/>
      <c r="Y1310" s="52"/>
      <c r="Z1310" s="51"/>
      <c r="AA1310" s="73"/>
      <c r="AB1310" s="73"/>
      <c r="AC1310" s="74"/>
      <c r="AD1310" s="80" t="s">
        <v>7862</v>
      </c>
      <c r="AE1310" s="85" t="s">
        <v>8945</v>
      </c>
      <c r="AF1310" s="80">
        <v>239</v>
      </c>
      <c r="AG1310" s="80">
        <v>155</v>
      </c>
      <c r="AH1310" s="80">
        <v>668</v>
      </c>
      <c r="AI1310" s="80">
        <v>429</v>
      </c>
      <c r="AJ1310" s="80"/>
      <c r="AK1310" s="80" t="s">
        <v>10125</v>
      </c>
      <c r="AL1310" s="80"/>
      <c r="AM1310" s="80"/>
      <c r="AN1310" s="80"/>
      <c r="AO1310" s="82">
        <v>41222.033379629633</v>
      </c>
      <c r="AP1310" s="87" t="str">
        <f>HYPERLINK("https://pbs.twimg.com/profile_banners/935796488/1631427768")</f>
        <v>https://pbs.twimg.com/profile_banners/935796488/1631427768</v>
      </c>
      <c r="AQ1310" s="80" t="b">
        <v>0</v>
      </c>
      <c r="AR1310" s="80" t="b">
        <v>0</v>
      </c>
      <c r="AS1310" s="80" t="b">
        <v>1</v>
      </c>
      <c r="AT1310" s="80"/>
      <c r="AU1310" s="80">
        <v>1</v>
      </c>
      <c r="AV1310" s="87" t="str">
        <f>HYPERLINK("https://abs.twimg.com/images/themes/theme1/bg.png")</f>
        <v>https://abs.twimg.com/images/themes/theme1/bg.png</v>
      </c>
      <c r="AW1310" s="80" t="b">
        <v>0</v>
      </c>
      <c r="AX1310" s="80" t="s">
        <v>10746</v>
      </c>
      <c r="AY1310" s="87" t="str">
        <f>HYPERLINK("https://twitter.com/dattebayo96_")</f>
        <v>https://twitter.com/dattebayo96_</v>
      </c>
      <c r="AZ1310" s="80" t="s">
        <v>66</v>
      </c>
      <c r="BA1310" s="2"/>
      <c r="BB1310" s="3"/>
      <c r="BC1310" s="3"/>
      <c r="BD1310" s="3"/>
      <c r="BE1310" s="3"/>
    </row>
    <row r="1311" spans="1:57" x14ac:dyDescent="0.35">
      <c r="A1311" s="66" t="s">
        <v>1264</v>
      </c>
      <c r="B1311" s="67"/>
      <c r="C1311" s="67"/>
      <c r="D1311" s="68"/>
      <c r="E1311" s="70"/>
      <c r="F1311" s="109" t="str">
        <f>HYPERLINK("https://pbs.twimg.com/profile_images/1422220365074374657/3s7ayQki_normal.jpg")</f>
        <v>https://pbs.twimg.com/profile_images/1422220365074374657/3s7ayQki_normal.jpg</v>
      </c>
      <c r="G1311" s="67"/>
      <c r="H1311" s="71"/>
      <c r="I1311" s="72"/>
      <c r="J1311" s="72"/>
      <c r="K1311" s="71" t="s">
        <v>12054</v>
      </c>
      <c r="L1311" s="75"/>
      <c r="M1311" s="76"/>
      <c r="N1311" s="76"/>
      <c r="O1311" s="77"/>
      <c r="P1311" s="78"/>
      <c r="Q1311" s="78"/>
      <c r="R1311" s="92"/>
      <c r="S1311" s="92"/>
      <c r="T1311" s="92"/>
      <c r="U1311" s="92"/>
      <c r="V1311" s="52"/>
      <c r="W1311" s="52"/>
      <c r="X1311" s="52"/>
      <c r="Y1311" s="52"/>
      <c r="Z1311" s="51"/>
      <c r="AA1311" s="73"/>
      <c r="AB1311" s="73"/>
      <c r="AC1311" s="74"/>
      <c r="AD1311" s="80" t="s">
        <v>7863</v>
      </c>
      <c r="AE1311" s="85" t="s">
        <v>8946</v>
      </c>
      <c r="AF1311" s="80">
        <v>236</v>
      </c>
      <c r="AG1311" s="80">
        <v>148</v>
      </c>
      <c r="AH1311" s="80">
        <v>5267</v>
      </c>
      <c r="AI1311" s="80">
        <v>1111</v>
      </c>
      <c r="AJ1311" s="80"/>
      <c r="AK1311" s="80" t="s">
        <v>10126</v>
      </c>
      <c r="AL1311" s="80" t="s">
        <v>10157</v>
      </c>
      <c r="AM1311" s="80"/>
      <c r="AN1311" s="80"/>
      <c r="AO1311" s="82">
        <v>44214.538078703707</v>
      </c>
      <c r="AP1311" s="87" t="str">
        <f>HYPERLINK("https://pbs.twimg.com/profile_banners/1351151020492148748/1624663648")</f>
        <v>https://pbs.twimg.com/profile_banners/1351151020492148748/1624663648</v>
      </c>
      <c r="AQ1311" s="80" t="b">
        <v>1</v>
      </c>
      <c r="AR1311" s="80" t="b">
        <v>0</v>
      </c>
      <c r="AS1311" s="80" t="b">
        <v>0</v>
      </c>
      <c r="AT1311" s="80"/>
      <c r="AU1311" s="80">
        <v>0</v>
      </c>
      <c r="AV1311" s="80"/>
      <c r="AW1311" s="80" t="b">
        <v>0</v>
      </c>
      <c r="AX1311" s="80" t="s">
        <v>10746</v>
      </c>
      <c r="AY1311" s="87" t="str">
        <f>HYPERLINK("https://twitter.com/enjoyourmark")</f>
        <v>https://twitter.com/enjoyourmark</v>
      </c>
      <c r="AZ1311" s="80" t="s">
        <v>66</v>
      </c>
      <c r="BA1311" s="2"/>
      <c r="BB1311" s="3"/>
      <c r="BC1311" s="3"/>
      <c r="BD1311" s="3"/>
      <c r="BE1311" s="3"/>
    </row>
    <row r="1312" spans="1:57" x14ac:dyDescent="0.35">
      <c r="A1312" s="66" t="s">
        <v>1265</v>
      </c>
      <c r="B1312" s="67"/>
      <c r="C1312" s="67"/>
      <c r="D1312" s="68"/>
      <c r="E1312" s="70"/>
      <c r="F1312" s="109" t="str">
        <f>HYPERLINK("https://pbs.twimg.com/profile_images/1427745705590870017/ghCm_-vW_normal.jpg")</f>
        <v>https://pbs.twimg.com/profile_images/1427745705590870017/ghCm_-vW_normal.jpg</v>
      </c>
      <c r="G1312" s="67"/>
      <c r="H1312" s="71"/>
      <c r="I1312" s="72"/>
      <c r="J1312" s="72"/>
      <c r="K1312" s="71" t="s">
        <v>12055</v>
      </c>
      <c r="L1312" s="75"/>
      <c r="M1312" s="76"/>
      <c r="N1312" s="76"/>
      <c r="O1312" s="77"/>
      <c r="P1312" s="78"/>
      <c r="Q1312" s="78"/>
      <c r="R1312" s="92"/>
      <c r="S1312" s="92"/>
      <c r="T1312" s="92"/>
      <c r="U1312" s="92"/>
      <c r="V1312" s="52"/>
      <c r="W1312" s="52"/>
      <c r="X1312" s="52"/>
      <c r="Y1312" s="52"/>
      <c r="Z1312" s="51"/>
      <c r="AA1312" s="73"/>
      <c r="AB1312" s="73"/>
      <c r="AC1312" s="74"/>
      <c r="AD1312" s="80" t="s">
        <v>7864</v>
      </c>
      <c r="AE1312" s="85" t="s">
        <v>8947</v>
      </c>
      <c r="AF1312" s="80">
        <v>491</v>
      </c>
      <c r="AG1312" s="80">
        <v>538</v>
      </c>
      <c r="AH1312" s="80">
        <v>21604</v>
      </c>
      <c r="AI1312" s="80">
        <v>933</v>
      </c>
      <c r="AJ1312" s="80"/>
      <c r="AK1312" s="80"/>
      <c r="AL1312" s="80" t="s">
        <v>10611</v>
      </c>
      <c r="AM1312" s="80"/>
      <c r="AN1312" s="80"/>
      <c r="AO1312" s="82">
        <v>41020.182430555556</v>
      </c>
      <c r="AP1312" s="87" t="str">
        <f>HYPERLINK("https://pbs.twimg.com/profile_banners/559190318/1612275572")</f>
        <v>https://pbs.twimg.com/profile_banners/559190318/1612275572</v>
      </c>
      <c r="AQ1312" s="80" t="b">
        <v>0</v>
      </c>
      <c r="AR1312" s="80" t="b">
        <v>0</v>
      </c>
      <c r="AS1312" s="80" t="b">
        <v>1</v>
      </c>
      <c r="AT1312" s="80"/>
      <c r="AU1312" s="80">
        <v>0</v>
      </c>
      <c r="AV1312" s="87" t="str">
        <f>HYPERLINK("https://abs.twimg.com/images/themes/theme10/bg.gif")</f>
        <v>https://abs.twimg.com/images/themes/theme10/bg.gif</v>
      </c>
      <c r="AW1312" s="80" t="b">
        <v>0</v>
      </c>
      <c r="AX1312" s="80" t="s">
        <v>10746</v>
      </c>
      <c r="AY1312" s="87" t="str">
        <f>HYPERLINK("https://twitter.com/najusaaaaa")</f>
        <v>https://twitter.com/najusaaaaa</v>
      </c>
      <c r="AZ1312" s="80" t="s">
        <v>66</v>
      </c>
      <c r="BA1312" s="2"/>
      <c r="BB1312" s="3"/>
      <c r="BC1312" s="3"/>
      <c r="BD1312" s="3"/>
      <c r="BE1312" s="3"/>
    </row>
    <row r="1313" spans="1:57" x14ac:dyDescent="0.35">
      <c r="A1313" s="66" t="s">
        <v>1266</v>
      </c>
      <c r="B1313" s="67"/>
      <c r="C1313" s="67"/>
      <c r="D1313" s="68"/>
      <c r="E1313" s="70"/>
      <c r="F1313" s="109" t="str">
        <f>HYPERLINK("https://pbs.twimg.com/profile_images/1418986516622233602/vqTbWnjn_normal.jpg")</f>
        <v>https://pbs.twimg.com/profile_images/1418986516622233602/vqTbWnjn_normal.jpg</v>
      </c>
      <c r="G1313" s="67"/>
      <c r="H1313" s="71"/>
      <c r="I1313" s="72"/>
      <c r="J1313" s="72"/>
      <c r="K1313" s="71" t="s">
        <v>12056</v>
      </c>
      <c r="L1313" s="75"/>
      <c r="M1313" s="76"/>
      <c r="N1313" s="76"/>
      <c r="O1313" s="77"/>
      <c r="P1313" s="78"/>
      <c r="Q1313" s="78"/>
      <c r="R1313" s="92"/>
      <c r="S1313" s="92"/>
      <c r="T1313" s="92"/>
      <c r="U1313" s="92"/>
      <c r="V1313" s="52"/>
      <c r="W1313" s="52"/>
      <c r="X1313" s="52"/>
      <c r="Y1313" s="52"/>
      <c r="Z1313" s="51"/>
      <c r="AA1313" s="73"/>
      <c r="AB1313" s="73"/>
      <c r="AC1313" s="74"/>
      <c r="AD1313" s="80" t="s">
        <v>7865</v>
      </c>
      <c r="AE1313" s="85" t="s">
        <v>8948</v>
      </c>
      <c r="AF1313" s="80">
        <v>754</v>
      </c>
      <c r="AG1313" s="80">
        <v>291</v>
      </c>
      <c r="AH1313" s="80">
        <v>132</v>
      </c>
      <c r="AI1313" s="80">
        <v>53</v>
      </c>
      <c r="AJ1313" s="80"/>
      <c r="AK1313" s="80" t="s">
        <v>10127</v>
      </c>
      <c r="AL1313" s="80" t="s">
        <v>10197</v>
      </c>
      <c r="AM1313" s="87" t="str">
        <f>HYPERLINK("https://t.co/ZAAoENCIyh")</f>
        <v>https://t.co/ZAAoENCIyh</v>
      </c>
      <c r="AN1313" s="80"/>
      <c r="AO1313" s="82">
        <v>44401.723668981482</v>
      </c>
      <c r="AP1313" s="87" t="str">
        <f>HYPERLINK("https://pbs.twimg.com/profile_banners/1418984712891248642/1627314549")</f>
        <v>https://pbs.twimg.com/profile_banners/1418984712891248642/1627314549</v>
      </c>
      <c r="AQ1313" s="80" t="b">
        <v>1</v>
      </c>
      <c r="AR1313" s="80" t="b">
        <v>0</v>
      </c>
      <c r="AS1313" s="80" t="b">
        <v>0</v>
      </c>
      <c r="AT1313" s="80"/>
      <c r="AU1313" s="80">
        <v>0</v>
      </c>
      <c r="AV1313" s="80"/>
      <c r="AW1313" s="80" t="b">
        <v>0</v>
      </c>
      <c r="AX1313" s="80" t="s">
        <v>10746</v>
      </c>
      <c r="AY1313" s="87" t="str">
        <f>HYPERLINK("https://twitter.com/ummunaha")</f>
        <v>https://twitter.com/ummunaha</v>
      </c>
      <c r="AZ1313" s="80" t="s">
        <v>66</v>
      </c>
      <c r="BA1313" s="2"/>
      <c r="BB1313" s="3"/>
      <c r="BC1313" s="3"/>
      <c r="BD1313" s="3"/>
      <c r="BE1313" s="3"/>
    </row>
    <row r="1314" spans="1:57" x14ac:dyDescent="0.35">
      <c r="A1314" s="66" t="s">
        <v>1267</v>
      </c>
      <c r="B1314" s="67"/>
      <c r="C1314" s="67"/>
      <c r="D1314" s="68"/>
      <c r="E1314" s="70"/>
      <c r="F1314" s="109" t="str">
        <f>HYPERLINK("https://pbs.twimg.com/profile_images/1440569665999097858/bKQs_pXr_normal.jpg")</f>
        <v>https://pbs.twimg.com/profile_images/1440569665999097858/bKQs_pXr_normal.jpg</v>
      </c>
      <c r="G1314" s="67"/>
      <c r="H1314" s="71"/>
      <c r="I1314" s="72"/>
      <c r="J1314" s="72"/>
      <c r="K1314" s="71" t="s">
        <v>12057</v>
      </c>
      <c r="L1314" s="75"/>
      <c r="M1314" s="76"/>
      <c r="N1314" s="76"/>
      <c r="O1314" s="77"/>
      <c r="P1314" s="78"/>
      <c r="Q1314" s="78"/>
      <c r="R1314" s="92"/>
      <c r="S1314" s="92"/>
      <c r="T1314" s="92"/>
      <c r="U1314" s="92"/>
      <c r="V1314" s="52"/>
      <c r="W1314" s="52"/>
      <c r="X1314" s="52"/>
      <c r="Y1314" s="52"/>
      <c r="Z1314" s="51"/>
      <c r="AA1314" s="73"/>
      <c r="AB1314" s="73"/>
      <c r="AC1314" s="74"/>
      <c r="AD1314" s="80" t="s">
        <v>7866</v>
      </c>
      <c r="AE1314" s="85" t="s">
        <v>8949</v>
      </c>
      <c r="AF1314" s="80">
        <v>127</v>
      </c>
      <c r="AG1314" s="80">
        <v>122</v>
      </c>
      <c r="AH1314" s="80">
        <v>894</v>
      </c>
      <c r="AI1314" s="80">
        <v>657</v>
      </c>
      <c r="AJ1314" s="80"/>
      <c r="AK1314" s="80" t="s">
        <v>10128</v>
      </c>
      <c r="AL1314" s="80" t="s">
        <v>10742</v>
      </c>
      <c r="AM1314" s="80"/>
      <c r="AN1314" s="80"/>
      <c r="AO1314" s="82">
        <v>44077.120474537034</v>
      </c>
      <c r="AP1314" s="87" t="str">
        <f>HYPERLINK("https://pbs.twimg.com/profile_banners/1301352544321466368/1632293300")</f>
        <v>https://pbs.twimg.com/profile_banners/1301352544321466368/1632293300</v>
      </c>
      <c r="AQ1314" s="80" t="b">
        <v>1</v>
      </c>
      <c r="AR1314" s="80" t="b">
        <v>0</v>
      </c>
      <c r="AS1314" s="80" t="b">
        <v>0</v>
      </c>
      <c r="AT1314" s="80"/>
      <c r="AU1314" s="80">
        <v>0</v>
      </c>
      <c r="AV1314" s="80"/>
      <c r="AW1314" s="80" t="b">
        <v>0</v>
      </c>
      <c r="AX1314" s="80" t="s">
        <v>10746</v>
      </c>
      <c r="AY1314" s="87" t="str">
        <f>HYPERLINK("https://twitter.com/peachyjaemine")</f>
        <v>https://twitter.com/peachyjaemine</v>
      </c>
      <c r="AZ1314" s="80" t="s">
        <v>66</v>
      </c>
      <c r="BA1314" s="2"/>
      <c r="BB1314" s="3"/>
      <c r="BC1314" s="3"/>
      <c r="BD1314" s="3"/>
      <c r="BE1314" s="3"/>
    </row>
    <row r="1315" spans="1:57" x14ac:dyDescent="0.35">
      <c r="A1315" s="66" t="s">
        <v>1531</v>
      </c>
      <c r="B1315" s="67"/>
      <c r="C1315" s="67"/>
      <c r="D1315" s="68"/>
      <c r="E1315" s="70"/>
      <c r="F1315" s="109" t="str">
        <f>HYPERLINK("https://pbs.twimg.com/profile_images/1225441774744657920/0obd34-b_normal.jpg")</f>
        <v>https://pbs.twimg.com/profile_images/1225441774744657920/0obd34-b_normal.jpg</v>
      </c>
      <c r="G1315" s="67"/>
      <c r="H1315" s="71"/>
      <c r="I1315" s="72"/>
      <c r="J1315" s="72"/>
      <c r="K1315" s="71" t="s">
        <v>12058</v>
      </c>
      <c r="L1315" s="75"/>
      <c r="M1315" s="76"/>
      <c r="N1315" s="76"/>
      <c r="O1315" s="77"/>
      <c r="P1315" s="78"/>
      <c r="Q1315" s="78"/>
      <c r="R1315" s="92"/>
      <c r="S1315" s="92"/>
      <c r="T1315" s="92"/>
      <c r="U1315" s="92"/>
      <c r="V1315" s="52"/>
      <c r="W1315" s="52"/>
      <c r="X1315" s="52"/>
      <c r="Y1315" s="52"/>
      <c r="Z1315" s="51"/>
      <c r="AA1315" s="73"/>
      <c r="AB1315" s="73"/>
      <c r="AC1315" s="74"/>
      <c r="AD1315" s="80" t="s">
        <v>7867</v>
      </c>
      <c r="AE1315" s="85" t="s">
        <v>6477</v>
      </c>
      <c r="AF1315" s="80">
        <v>189</v>
      </c>
      <c r="AG1315" s="80">
        <v>461</v>
      </c>
      <c r="AH1315" s="80">
        <v>13217</v>
      </c>
      <c r="AI1315" s="80">
        <v>208</v>
      </c>
      <c r="AJ1315" s="80"/>
      <c r="AK1315" s="80" t="s">
        <v>10129</v>
      </c>
      <c r="AL1315" s="80" t="s">
        <v>10743</v>
      </c>
      <c r="AM1315" s="87" t="str">
        <f>HYPERLINK("https://t.co/K7uuvxg5ex")</f>
        <v>https://t.co/K7uuvxg5ex</v>
      </c>
      <c r="AN1315" s="80"/>
      <c r="AO1315" s="82">
        <v>41033.693368055552</v>
      </c>
      <c r="AP1315" s="87" t="str">
        <f>HYPERLINK("https://pbs.twimg.com/profile_banners/570970928/1575522140")</f>
        <v>https://pbs.twimg.com/profile_banners/570970928/1575522140</v>
      </c>
      <c r="AQ1315" s="80" t="b">
        <v>0</v>
      </c>
      <c r="AR1315" s="80" t="b">
        <v>0</v>
      </c>
      <c r="AS1315" s="80" t="b">
        <v>1</v>
      </c>
      <c r="AT1315" s="80"/>
      <c r="AU1315" s="80">
        <v>4</v>
      </c>
      <c r="AV1315" s="87" t="str">
        <f>HYPERLINK("https://abs.twimg.com/images/themes/theme1/bg.png")</f>
        <v>https://abs.twimg.com/images/themes/theme1/bg.png</v>
      </c>
      <c r="AW1315" s="80" t="b">
        <v>0</v>
      </c>
      <c r="AX1315" s="80" t="s">
        <v>10746</v>
      </c>
      <c r="AY1315" s="87" t="str">
        <f>HYPERLINK("https://twitter.com/rdsandyutama")</f>
        <v>https://twitter.com/rdsandyutama</v>
      </c>
      <c r="AZ1315" s="80" t="s">
        <v>65</v>
      </c>
      <c r="BA1315" s="2"/>
      <c r="BB1315" s="3"/>
      <c r="BC1315" s="3"/>
      <c r="BD1315" s="3"/>
      <c r="BE1315" s="3"/>
    </row>
    <row r="1316" spans="1:57" x14ac:dyDescent="0.35">
      <c r="A1316" s="66" t="s">
        <v>1270</v>
      </c>
      <c r="B1316" s="67"/>
      <c r="C1316" s="67"/>
      <c r="D1316" s="68"/>
      <c r="E1316" s="70"/>
      <c r="F1316" s="109" t="str">
        <f>HYPERLINK("https://pbs.twimg.com/profile_images/1430410414710349824/cMuPyWUU_normal.jpg")</f>
        <v>https://pbs.twimg.com/profile_images/1430410414710349824/cMuPyWUU_normal.jpg</v>
      </c>
      <c r="G1316" s="67"/>
      <c r="H1316" s="71"/>
      <c r="I1316" s="72"/>
      <c r="J1316" s="72"/>
      <c r="K1316" s="71" t="s">
        <v>12059</v>
      </c>
      <c r="L1316" s="75"/>
      <c r="M1316" s="76"/>
      <c r="N1316" s="76"/>
      <c r="O1316" s="77"/>
      <c r="P1316" s="78"/>
      <c r="Q1316" s="78"/>
      <c r="R1316" s="92"/>
      <c r="S1316" s="92"/>
      <c r="T1316" s="92"/>
      <c r="U1316" s="92"/>
      <c r="V1316" s="52"/>
      <c r="W1316" s="52"/>
      <c r="X1316" s="52"/>
      <c r="Y1316" s="52"/>
      <c r="Z1316" s="51"/>
      <c r="AA1316" s="73"/>
      <c r="AB1316" s="73"/>
      <c r="AC1316" s="74"/>
      <c r="AD1316" s="80" t="s">
        <v>7868</v>
      </c>
      <c r="AE1316" s="85" t="s">
        <v>8950</v>
      </c>
      <c r="AF1316" s="80">
        <v>861</v>
      </c>
      <c r="AG1316" s="80">
        <v>618</v>
      </c>
      <c r="AH1316" s="80">
        <v>11874</v>
      </c>
      <c r="AI1316" s="80">
        <v>41118</v>
      </c>
      <c r="AJ1316" s="80"/>
      <c r="AK1316" s="80" t="s">
        <v>10130</v>
      </c>
      <c r="AL1316" s="80" t="s">
        <v>10744</v>
      </c>
      <c r="AM1316" s="87" t="str">
        <f>HYPERLINK("https://t.co/F8NNVTBgdV")</f>
        <v>https://t.co/F8NNVTBgdV</v>
      </c>
      <c r="AN1316" s="80"/>
      <c r="AO1316" s="82">
        <v>43699.269444444442</v>
      </c>
      <c r="AP1316" s="87" t="str">
        <f>HYPERLINK("https://pbs.twimg.com/profile_banners/1164423875511218176/1628989768")</f>
        <v>https://pbs.twimg.com/profile_banners/1164423875511218176/1628989768</v>
      </c>
      <c r="AQ1316" s="80" t="b">
        <v>1</v>
      </c>
      <c r="AR1316" s="80" t="b">
        <v>0</v>
      </c>
      <c r="AS1316" s="80" t="b">
        <v>1</v>
      </c>
      <c r="AT1316" s="80"/>
      <c r="AU1316" s="80">
        <v>1</v>
      </c>
      <c r="AV1316" s="80"/>
      <c r="AW1316" s="80" t="b">
        <v>0</v>
      </c>
      <c r="AX1316" s="80" t="s">
        <v>10746</v>
      </c>
      <c r="AY1316" s="87" t="str">
        <f>HYPERLINK("https://twitter.com/peuniels")</f>
        <v>https://twitter.com/peuniels</v>
      </c>
      <c r="AZ1316" s="80" t="s">
        <v>66</v>
      </c>
      <c r="BA1316" s="2"/>
      <c r="BB1316" s="3"/>
      <c r="BC1316" s="3"/>
      <c r="BD1316" s="3"/>
      <c r="BE1316" s="3"/>
    </row>
    <row r="1317" spans="1:57" x14ac:dyDescent="0.35">
      <c r="A1317" s="93" t="s">
        <v>1271</v>
      </c>
      <c r="B1317" s="94"/>
      <c r="C1317" s="94"/>
      <c r="D1317" s="95"/>
      <c r="E1317" s="96"/>
      <c r="F1317" s="110" t="str">
        <f>HYPERLINK("https://pbs.twimg.com/profile_images/817300824808226817/hWnZ2AFS_normal.jpg")</f>
        <v>https://pbs.twimg.com/profile_images/817300824808226817/hWnZ2AFS_normal.jpg</v>
      </c>
      <c r="G1317" s="94"/>
      <c r="H1317" s="97"/>
      <c r="I1317" s="98"/>
      <c r="J1317" s="98"/>
      <c r="K1317" s="97" t="s">
        <v>12060</v>
      </c>
      <c r="L1317" s="99"/>
      <c r="M1317" s="100"/>
      <c r="N1317" s="100"/>
      <c r="O1317" s="101"/>
      <c r="P1317" s="102"/>
      <c r="Q1317" s="102"/>
      <c r="R1317" s="103"/>
      <c r="S1317" s="103"/>
      <c r="T1317" s="103"/>
      <c r="U1317" s="103"/>
      <c r="V1317" s="104"/>
      <c r="W1317" s="104"/>
      <c r="X1317" s="104"/>
      <c r="Y1317" s="104"/>
      <c r="Z1317" s="105"/>
      <c r="AA1317" s="106"/>
      <c r="AB1317" s="106"/>
      <c r="AC1317" s="107"/>
      <c r="AD1317" s="80" t="s">
        <v>7869</v>
      </c>
      <c r="AE1317" s="85" t="s">
        <v>8951</v>
      </c>
      <c r="AF1317" s="80">
        <v>929</v>
      </c>
      <c r="AG1317" s="80">
        <v>1031</v>
      </c>
      <c r="AH1317" s="80">
        <v>27213</v>
      </c>
      <c r="AI1317" s="80">
        <v>1</v>
      </c>
      <c r="AJ1317" s="80"/>
      <c r="AK1317" s="80"/>
      <c r="AL1317" s="80"/>
      <c r="AM1317" s="80"/>
      <c r="AN1317" s="80"/>
      <c r="AO1317" s="82">
        <v>42144.327604166669</v>
      </c>
      <c r="AP1317" s="87" t="str">
        <f>HYPERLINK("https://pbs.twimg.com/profile_banners/3221202481/1483694841")</f>
        <v>https://pbs.twimg.com/profile_banners/3221202481/1483694841</v>
      </c>
      <c r="AQ1317" s="80" t="b">
        <v>1</v>
      </c>
      <c r="AR1317" s="80" t="b">
        <v>0</v>
      </c>
      <c r="AS1317" s="80" t="b">
        <v>0</v>
      </c>
      <c r="AT1317" s="80"/>
      <c r="AU1317" s="80">
        <v>2</v>
      </c>
      <c r="AV1317" s="87" t="str">
        <f>HYPERLINK("https://abs.twimg.com/images/themes/theme1/bg.png")</f>
        <v>https://abs.twimg.com/images/themes/theme1/bg.png</v>
      </c>
      <c r="AW1317" s="80" t="b">
        <v>0</v>
      </c>
      <c r="AX1317" s="80" t="s">
        <v>10746</v>
      </c>
      <c r="AY1317" s="87" t="str">
        <f>HYPERLINK("https://twitter.com/beritasulselcom")</f>
        <v>https://twitter.com/beritasulselcom</v>
      </c>
      <c r="AZ1317" s="80" t="s">
        <v>66</v>
      </c>
      <c r="BA1317" s="2"/>
      <c r="BB1317" s="3"/>
      <c r="BC1317" s="3"/>
      <c r="BD1317" s="3"/>
      <c r="BE1317" s="3"/>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1317" xr:uid="{00000000-0002-0000-0100-000000000000}"/>
    <dataValidation allowBlank="1" errorTitle="Invalid Vertex Visibility" error="You have entered an unrecognized vertex visibility.  Try selecting from the drop-down list instead." sqref="BA3" xr:uid="{00000000-0002-0000-0100-000001000000}"/>
    <dataValidation allowBlank="1" showErrorMessage="1" sqref="BA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1317"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1317"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1317"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1317"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1317" xr:uid="{00000000-0002-0000-0100-000007000000}"/>
    <dataValidation allowBlank="1" showInputMessage="1" errorTitle="Invalid Vertex Image Key" promptTitle="Vertex Tooltip" prompt="Enter optional text that will pop up when the mouse is hovered over the vertex." sqref="K3:K1317"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1317"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1317" xr:uid="{00000000-0002-0000-0100-00000A00000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1317" xr:uid="{00000000-0002-0000-0100-00000B000000}"/>
    <dataValidation allowBlank="1" showInputMessage="1" promptTitle="Vertex Label Fill Color" prompt="To select an optional fill color for the Label shape, right-click and select Select Color on the right-click menu." sqref="I3:I1317" xr:uid="{00000000-0002-0000-0100-00000C000000}"/>
    <dataValidation allowBlank="1" showInputMessage="1" errorTitle="Invalid Vertex Image Key" promptTitle="Vertex Image File" prompt="Enter the path to an image file.  Hover over the column header for examples." sqref="F3:F1317" xr:uid="{00000000-0002-0000-0100-00000D000000}"/>
    <dataValidation allowBlank="1" showInputMessage="1" promptTitle="Vertex Color" prompt="To select an optional vertex color, right-click and select Select Color on the right-click menu." sqref="B3:B1317"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E3:E1317"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C3:C1317"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1317"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1317" xr:uid="{00000000-0002-0000-0100-000012000000}">
      <formula1>ValidVertexLabelPositions</formula1>
    </dataValidation>
    <dataValidation allowBlank="1" showInputMessage="1" showErrorMessage="1" promptTitle="Vertex Name" prompt="Enter the name of the vertex." sqref="A3:A1317" xr:uid="{00000000-0002-0000-0100-000013000000}"/>
  </dataValidations>
  <pageMargins left="0.7" right="0.7" top="0.75" bottom="0.75" header="0.3" footer="0.3"/>
  <pageSetup orientation="portrait" horizontalDpi="0" verticalDpi="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4.5" x14ac:dyDescent="0.35"/>
  <cols>
    <col min="1" max="1" width="10.81640625" style="3" bestFit="1" customWidth="1"/>
    <col min="2" max="2" width="16.81640625" style="3" bestFit="1" customWidth="1"/>
    <col min="4" max="5" width="9.1796875" customWidth="1"/>
  </cols>
  <sheetData>
    <row r="1" spans="1:1" x14ac:dyDescent="0.35">
      <c r="A1" s="3" t="s">
        <v>49</v>
      </c>
    </row>
    <row r="2" spans="1:1" ht="15" customHeight="1" x14ac:dyDescent="0.35"/>
    <row r="3" spans="1:1" ht="15" customHeight="1" x14ac:dyDescent="0.35">
      <c r="A3" s="32" t="s">
        <v>50</v>
      </c>
    </row>
    <row r="21" spans="4:4" x14ac:dyDescent="0.35">
      <c r="D21" s="7"/>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X10"/>
  <sheetViews>
    <sheetView workbookViewId="0">
      <pane ySplit="2" topLeftCell="A3" activePane="bottomLeft" state="frozen"/>
      <selection pane="bottomLeft" activeCell="A3" sqref="A3"/>
    </sheetView>
  </sheetViews>
  <sheetFormatPr defaultRowHeight="14.5" x14ac:dyDescent="0.35"/>
  <cols>
    <col min="1" max="1" width="9.453125" style="1" bestFit="1" customWidth="1"/>
    <col min="2" max="2" width="14.26953125" bestFit="1" customWidth="1"/>
    <col min="3" max="3" width="15" bestFit="1" customWidth="1"/>
    <col min="4" max="4" width="11.1796875" bestFit="1" customWidth="1"/>
    <col min="5" max="5" width="13" bestFit="1" customWidth="1"/>
    <col min="6" max="6" width="8" bestFit="1" customWidth="1"/>
    <col min="7" max="8" width="13.54296875" hidden="1" customWidth="1"/>
    <col min="9" max="9" width="11" hidden="1" customWidth="1"/>
    <col min="10" max="10" width="12.54296875" hidden="1" customWidth="1"/>
    <col min="11" max="11" width="11" hidden="1" customWidth="1"/>
    <col min="12" max="12" width="9.7265625" hidden="1" customWidth="1"/>
    <col min="13" max="13" width="13.1796875" hidden="1" customWidth="1"/>
    <col min="14" max="15" width="8.453125" hidden="1" customWidth="1"/>
    <col min="16" max="16" width="18.26953125" hidden="1" customWidth="1"/>
    <col min="17" max="17" width="14.81640625" hidden="1" customWidth="1"/>
    <col min="18" max="18" width="14.54296875" hidden="1" customWidth="1"/>
    <col min="19" max="21" width="24.1796875" hidden="1" customWidth="1"/>
    <col min="22" max="22" width="21.26953125" hidden="1" customWidth="1"/>
    <col min="23" max="23" width="19.26953125" hidden="1" customWidth="1"/>
    <col min="24" max="24" width="10" hidden="1" customWidth="1"/>
    <col min="25" max="25" width="13" customWidth="1"/>
  </cols>
  <sheetData>
    <row r="1" spans="1:24" x14ac:dyDescent="0.35">
      <c r="B1" s="56" t="s">
        <v>39</v>
      </c>
      <c r="C1" s="57"/>
      <c r="D1" s="57"/>
      <c r="E1" s="58"/>
      <c r="F1" s="55" t="s">
        <v>43</v>
      </c>
      <c r="G1" s="59" t="s">
        <v>44</v>
      </c>
      <c r="H1" s="60"/>
      <c r="I1" s="61" t="s">
        <v>40</v>
      </c>
      <c r="J1" s="62"/>
      <c r="K1" s="63" t="s">
        <v>42</v>
      </c>
      <c r="L1" s="64"/>
      <c r="M1" s="64"/>
      <c r="N1" s="64"/>
      <c r="O1" s="64"/>
      <c r="P1" s="64"/>
      <c r="Q1" s="64"/>
      <c r="R1" s="64"/>
      <c r="S1" s="64"/>
      <c r="T1" s="64"/>
      <c r="U1" s="64"/>
      <c r="V1" s="64"/>
      <c r="W1" s="64"/>
      <c r="X1" s="64"/>
    </row>
    <row r="2" spans="1:24" s="13" customFormat="1" ht="30" customHeight="1" x14ac:dyDescent="0.35">
      <c r="A2" s="11" t="s">
        <v>144</v>
      </c>
      <c r="B2" s="13" t="s">
        <v>21</v>
      </c>
      <c r="C2" s="13" t="s">
        <v>20</v>
      </c>
      <c r="D2" s="13" t="s">
        <v>11</v>
      </c>
      <c r="E2" s="13" t="s">
        <v>145</v>
      </c>
      <c r="F2" s="13" t="s">
        <v>46</v>
      </c>
      <c r="G2" s="13" t="s">
        <v>167</v>
      </c>
      <c r="H2" s="13" t="s">
        <v>168</v>
      </c>
      <c r="I2" s="13" t="s">
        <v>12</v>
      </c>
      <c r="J2" s="13" t="s">
        <v>166</v>
      </c>
      <c r="K2" s="13" t="s">
        <v>146</v>
      </c>
      <c r="L2" s="13" t="s">
        <v>148</v>
      </c>
      <c r="M2" s="13" t="s">
        <v>149</v>
      </c>
      <c r="N2" s="13" t="s">
        <v>150</v>
      </c>
      <c r="O2" s="13" t="s">
        <v>151</v>
      </c>
      <c r="P2" s="13" t="s">
        <v>170</v>
      </c>
      <c r="Q2" s="13" t="s">
        <v>171</v>
      </c>
      <c r="R2" s="13" t="s">
        <v>152</v>
      </c>
      <c r="S2" s="13" t="s">
        <v>153</v>
      </c>
      <c r="T2" s="13" t="s">
        <v>154</v>
      </c>
      <c r="U2" s="13" t="s">
        <v>155</v>
      </c>
      <c r="V2" s="13" t="s">
        <v>156</v>
      </c>
      <c r="W2" s="13" t="s">
        <v>157</v>
      </c>
      <c r="X2" s="13" t="s">
        <v>158</v>
      </c>
    </row>
    <row r="3" spans="1:24" x14ac:dyDescent="0.35">
      <c r="A3" s="14"/>
      <c r="B3" s="15"/>
      <c r="C3" s="15"/>
      <c r="D3" s="15"/>
      <c r="E3" s="15"/>
      <c r="F3" s="16"/>
      <c r="G3" s="65"/>
      <c r="H3" s="65"/>
      <c r="I3" s="53"/>
      <c r="J3" s="53"/>
      <c r="K3" s="48"/>
      <c r="L3" s="48"/>
      <c r="M3" s="48"/>
      <c r="N3" s="48"/>
      <c r="O3" s="48"/>
      <c r="P3" s="48"/>
      <c r="Q3" s="48"/>
      <c r="R3" s="48"/>
      <c r="S3" s="48"/>
      <c r="T3" s="48"/>
      <c r="U3" s="48"/>
      <c r="V3" s="48"/>
      <c r="W3" s="49"/>
      <c r="X3" s="49"/>
    </row>
    <row r="10" spans="1:24" ht="14.25" customHeight="1" x14ac:dyDescent="0.35"/>
  </sheetData>
  <dataConsolidate/>
  <dataValidations count="8">
    <dataValidation allowBlank="1" showInputMessage="1" promptTitle="Group Vertex Color" prompt="To select a color to use for all vertices in the group, right-click and select Select Color on the right-click menu." sqref="B3"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xr:uid="{00000000-0002-0000-0300-000001000000}">
      <formula1>ValidGroupShapes</formula1>
    </dataValidation>
    <dataValidation allowBlank="1" showInputMessage="1" showErrorMessage="1" promptTitle="Group Name" prompt="Enter the name of the group." sqref="A3"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xr:uid="{00000000-0002-0000-0300-000003000000}">
      <formula1>ValidBooleansDefaultFalse</formula1>
    </dataValidation>
    <dataValidation allowBlank="1" sqref="K3"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2"/>
  <sheetViews>
    <sheetView workbookViewId="0">
      <selection activeCell="A2" sqref="A2"/>
    </sheetView>
  </sheetViews>
  <sheetFormatPr defaultRowHeight="14.5" x14ac:dyDescent="0.35"/>
  <cols>
    <col min="1" max="1" width="9.453125" style="1" bestFit="1" customWidth="1"/>
    <col min="2" max="2" width="9.1796875" style="1"/>
    <col min="3" max="3" width="11.54296875" bestFit="1" customWidth="1"/>
    <col min="4" max="4" width="9.1796875" customWidth="1"/>
  </cols>
  <sheetData>
    <row r="1" spans="1:3" x14ac:dyDescent="0.35">
      <c r="A1" s="1" t="s">
        <v>144</v>
      </c>
      <c r="B1" s="1" t="s">
        <v>5</v>
      </c>
      <c r="C1" s="1" t="s">
        <v>147</v>
      </c>
    </row>
    <row r="2" spans="1:3" x14ac:dyDescent="0.35">
      <c r="C2" s="3"/>
    </row>
  </sheetData>
  <dataConsolidate/>
  <dataValidations xWindow="58" yWindow="226" count="3">
    <dataValidation allowBlank="1" showInputMessage="1" showErrorMessage="1" promptTitle="Group Name" prompt="Enter the name of the group.  The group name must also be entered on the Groups worksheet." sqref="A2" xr:uid="{00000000-0002-0000-0400-000000000000}"/>
    <dataValidation allowBlank="1" showInputMessage="1" showErrorMessage="1" promptTitle="Vertex Name" prompt="Enter the name of a vertex to include in the group." sqref="B2" xr:uid="{00000000-0002-0000-0400-000001000000}"/>
    <dataValidation allowBlank="1" showInputMessage="1" promptTitle="Vertex ID" prompt="This is the value of the hidden ID cell in the Vertices worksheet.  It gets filled in by the items on the NodeXL, Analysis, Groups menu." sqref="C2"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68"/>
  <sheetViews>
    <sheetView workbookViewId="0">
      <selection activeCell="B48" sqref="B48"/>
    </sheetView>
  </sheetViews>
  <sheetFormatPr defaultRowHeight="14.5" x14ac:dyDescent="0.35"/>
  <cols>
    <col min="1" max="1" width="43.1796875" customWidth="1"/>
    <col min="2" max="2" width="13.81640625" customWidth="1"/>
    <col min="3" max="3" width="9.1796875" customWidth="1"/>
    <col min="4" max="4" width="12.81640625" hidden="1" customWidth="1"/>
    <col min="5" max="5" width="19.7265625" hidden="1" customWidth="1"/>
    <col min="6" max="6" width="15.54296875" hidden="1" customWidth="1"/>
    <col min="7" max="7" width="22.1796875" hidden="1" customWidth="1"/>
    <col min="8" max="8" width="17.1796875" hidden="1" customWidth="1"/>
    <col min="9" max="9" width="23.81640625" hidden="1" customWidth="1"/>
    <col min="10" max="10" width="28.26953125" hidden="1" customWidth="1"/>
    <col min="11" max="11" width="34.81640625" hidden="1" customWidth="1"/>
    <col min="12" max="12" width="25" hidden="1" customWidth="1"/>
    <col min="13" max="13" width="31.54296875" hidden="1" customWidth="1"/>
    <col min="14" max="14" width="26.54296875" hidden="1" customWidth="1"/>
    <col min="15" max="17" width="33.26953125" hidden="1" customWidth="1"/>
    <col min="18" max="18" width="26.54296875" hidden="1" customWidth="1"/>
    <col min="19" max="19" width="33" hidden="1" customWidth="1"/>
    <col min="20" max="20" width="19.54296875" hidden="1" customWidth="1"/>
    <col min="21" max="21" width="26.1796875" hidden="1" customWidth="1"/>
    <col min="22" max="22" width="9.1796875" hidden="1" customWidth="1"/>
    <col min="23" max="23" width="34.1796875" hidden="1" customWidth="1"/>
    <col min="24" max="24" width="25.1796875" hidden="1" customWidth="1"/>
  </cols>
  <sheetData>
    <row r="1" spans="1:24" ht="15" customHeight="1" thickBot="1" x14ac:dyDescent="0.4">
      <c r="A1" s="13" t="s">
        <v>162</v>
      </c>
      <c r="B1" s="13" t="s">
        <v>17</v>
      </c>
      <c r="D1" t="s">
        <v>79</v>
      </c>
      <c r="E1" t="s">
        <v>80</v>
      </c>
      <c r="F1" s="37" t="s">
        <v>86</v>
      </c>
      <c r="G1" s="38" t="s">
        <v>87</v>
      </c>
      <c r="H1" s="37" t="s">
        <v>92</v>
      </c>
      <c r="I1" s="38" t="s">
        <v>93</v>
      </c>
      <c r="J1" s="37" t="s">
        <v>98</v>
      </c>
      <c r="K1" s="38" t="s">
        <v>99</v>
      </c>
      <c r="L1" s="37" t="s">
        <v>104</v>
      </c>
      <c r="M1" s="38" t="s">
        <v>105</v>
      </c>
      <c r="N1" s="37" t="s">
        <v>110</v>
      </c>
      <c r="O1" s="38" t="s">
        <v>111</v>
      </c>
      <c r="P1" s="38" t="s">
        <v>138</v>
      </c>
      <c r="Q1" s="38" t="s">
        <v>139</v>
      </c>
      <c r="R1" s="37" t="s">
        <v>116</v>
      </c>
      <c r="S1" s="37" t="s">
        <v>117</v>
      </c>
      <c r="T1" s="37" t="s">
        <v>122</v>
      </c>
      <c r="U1" s="38" t="s">
        <v>123</v>
      </c>
      <c r="W1" t="s">
        <v>127</v>
      </c>
      <c r="X1" t="s">
        <v>17</v>
      </c>
    </row>
    <row r="2" spans="1:24" ht="15" thickTop="1" x14ac:dyDescent="0.35">
      <c r="A2" s="36"/>
      <c r="B2" s="36"/>
      <c r="D2" s="33">
        <f>MIN(Vertices[Degree])</f>
        <v>0</v>
      </c>
      <c r="E2" s="3">
        <f>COUNTIF(Vertices[Degree], "&gt;= " &amp; D2) - COUNTIF(Vertices[Degree], "&gt;=" &amp; D3)</f>
        <v>0</v>
      </c>
      <c r="F2" s="39">
        <f>MIN(Vertices[In-Degree])</f>
        <v>0</v>
      </c>
      <c r="G2" s="40">
        <f>COUNTIF(Vertices[In-Degree], "&gt;= " &amp; F2) - COUNTIF(Vertices[In-Degree], "&gt;=" &amp; F3)</f>
        <v>0</v>
      </c>
      <c r="H2" s="39">
        <f>MIN(Vertices[Out-Degree])</f>
        <v>0</v>
      </c>
      <c r="I2" s="40">
        <f>COUNTIF(Vertices[Out-Degree], "&gt;= " &amp; H2) - COUNTIF(Vertices[Out-Degree], "&gt;=" &amp; H3)</f>
        <v>0</v>
      </c>
      <c r="J2" s="39">
        <f>MIN(Vertices[Betweenness Centrality])</f>
        <v>0</v>
      </c>
      <c r="K2" s="40">
        <f>COUNTIF(Vertices[Betweenness Centrality], "&gt;= " &amp; J2) - COUNTIF(Vertices[Betweenness Centrality], "&gt;=" &amp; J3)</f>
        <v>0</v>
      </c>
      <c r="L2" s="39">
        <f>MIN(Vertices[Closeness Centrality])</f>
        <v>0</v>
      </c>
      <c r="M2" s="40">
        <f>COUNTIF(Vertices[Closeness Centrality], "&gt;= " &amp; L2) - COUNTIF(Vertices[Closeness Centrality], "&gt;=" &amp; L3)</f>
        <v>0</v>
      </c>
      <c r="N2" s="39">
        <f>MIN(Vertices[Eigenvector Centrality])</f>
        <v>0</v>
      </c>
      <c r="O2" s="40">
        <f>COUNTIF(Vertices[Eigenvector Centrality], "&gt;= " &amp; N2) - COUNTIF(Vertices[Eigenvector Centrality], "&gt;=" &amp; N3)</f>
        <v>0</v>
      </c>
      <c r="P2" s="39">
        <f>MIN(Vertices[PageRank])</f>
        <v>0</v>
      </c>
      <c r="Q2" s="40">
        <f>COUNTIF(Vertices[PageRank], "&gt;= " &amp; P2) - COUNTIF(Vertices[PageRank], "&gt;=" &amp; P3)</f>
        <v>0</v>
      </c>
      <c r="R2" s="39">
        <f>MIN(Vertices[Clustering Coefficient])</f>
        <v>0</v>
      </c>
      <c r="S2" s="45">
        <f>COUNTIF(Vertices[Clustering Coefficient], "&gt;= " &amp; R2) - COUNTIF(Vertices[Clustering Coefficient], "&gt;=" &amp; R3)</f>
        <v>0</v>
      </c>
      <c r="T2" s="39" t="e">
        <f ca="1">MIN(INDIRECT(DynamicFilterSourceColumnRange))</f>
        <v>#REF!</v>
      </c>
      <c r="U2" s="40" t="e">
        <f t="shared" ref="U2:U25" ca="1" si="0">COUNTIF(INDIRECT(DynamicFilterSourceColumnRange), "&gt;= " &amp; T2) - COUNTIF(INDIRECT(DynamicFilterSourceColumnRange), "&gt;=" &amp; T3)</f>
        <v>#REF!</v>
      </c>
      <c r="W2" t="s">
        <v>124</v>
      </c>
      <c r="X2">
        <f>ROWS(HistogramBins[Degree Bin]) - 1</f>
        <v>34</v>
      </c>
    </row>
    <row r="3" spans="1:24" x14ac:dyDescent="0.35">
      <c r="D3" s="34">
        <f t="shared" ref="D3:D35" si="1">D2+($D$36-$D$2)/BinDivisor</f>
        <v>0</v>
      </c>
      <c r="E3" s="3">
        <f>COUNTIF(Vertices[Degree], "&gt;= " &amp; D3) - COUNTIF(Vertices[Degree], "&gt;=" &amp; D4)</f>
        <v>0</v>
      </c>
      <c r="F3" s="41">
        <f t="shared" ref="F3:F35" si="2">F2+($F$36-$F$2)/BinDivisor</f>
        <v>0</v>
      </c>
      <c r="G3" s="42">
        <f>COUNTIF(Vertices[In-Degree], "&gt;= " &amp; F3) - COUNTIF(Vertices[In-Degree], "&gt;=" &amp; F4)</f>
        <v>0</v>
      </c>
      <c r="H3" s="41">
        <f t="shared" ref="H3:H35" si="3">H2+($H$36-$H$2)/BinDivisor</f>
        <v>0</v>
      </c>
      <c r="I3" s="42">
        <f>COUNTIF(Vertices[Out-Degree], "&gt;= " &amp; H3) - COUNTIF(Vertices[Out-Degree], "&gt;=" &amp; H4)</f>
        <v>0</v>
      </c>
      <c r="J3" s="41">
        <f t="shared" ref="J3:J35" si="4">J2+($J$36-$J$2)/BinDivisor</f>
        <v>0</v>
      </c>
      <c r="K3" s="42">
        <f>COUNTIF(Vertices[Betweenness Centrality], "&gt;= " &amp; J3) - COUNTIF(Vertices[Betweenness Centrality], "&gt;=" &amp; J4)</f>
        <v>0</v>
      </c>
      <c r="L3" s="41">
        <f t="shared" ref="L3:L35" si="5">L2+($L$36-$L$2)/BinDivisor</f>
        <v>0</v>
      </c>
      <c r="M3" s="42">
        <f>COUNTIF(Vertices[Closeness Centrality], "&gt;= " &amp; L3) - COUNTIF(Vertices[Closeness Centrality], "&gt;=" &amp; L4)</f>
        <v>0</v>
      </c>
      <c r="N3" s="41">
        <f t="shared" ref="N3:N35" si="6">N2+($N$36-$N$2)/BinDivisor</f>
        <v>0</v>
      </c>
      <c r="O3" s="42">
        <f>COUNTIF(Vertices[Eigenvector Centrality], "&gt;= " &amp; N3) - COUNTIF(Vertices[Eigenvector Centrality], "&gt;=" &amp; N4)</f>
        <v>0</v>
      </c>
      <c r="P3" s="41">
        <f t="shared" ref="P3:P35" si="7">P2+($P$36-$P$2)/BinDivisor</f>
        <v>0</v>
      </c>
      <c r="Q3" s="42">
        <f>COUNTIF(Vertices[PageRank], "&gt;= " &amp; P3) - COUNTIF(Vertices[PageRank], "&gt;=" &amp; P4)</f>
        <v>0</v>
      </c>
      <c r="R3" s="41">
        <f t="shared" ref="R3:R35" si="8">R2+($R$36-$R$2)/BinDivisor</f>
        <v>0</v>
      </c>
      <c r="S3" s="46">
        <f>COUNTIF(Vertices[Clustering Coefficient], "&gt;= " &amp; R3) - COUNTIF(Vertices[Clustering Coefficient], "&gt;=" &amp; R4)</f>
        <v>0</v>
      </c>
      <c r="T3" s="41" t="e">
        <f t="shared" ref="T3:T35" ca="1" si="9">T2+($T$36-$T$2)/BinDivisor</f>
        <v>#REF!</v>
      </c>
      <c r="U3" s="42" t="e">
        <f t="shared" ca="1" si="0"/>
        <v>#REF!</v>
      </c>
      <c r="W3" t="s">
        <v>125</v>
      </c>
      <c r="X3" t="s">
        <v>85</v>
      </c>
    </row>
    <row r="4" spans="1:24" x14ac:dyDescent="0.35">
      <c r="D4" s="34">
        <f t="shared" si="1"/>
        <v>0</v>
      </c>
      <c r="E4" s="3">
        <f>COUNTIF(Vertices[Degree], "&gt;= " &amp; D4) - COUNTIF(Vertices[Degree], "&gt;=" &amp; D5)</f>
        <v>0</v>
      </c>
      <c r="F4" s="39">
        <f t="shared" si="2"/>
        <v>0</v>
      </c>
      <c r="G4" s="40">
        <f>COUNTIF(Vertices[In-Degree], "&gt;= " &amp; F4) - COUNTIF(Vertices[In-Degree], "&gt;=" &amp; F5)</f>
        <v>0</v>
      </c>
      <c r="H4" s="39">
        <f t="shared" si="3"/>
        <v>0</v>
      </c>
      <c r="I4" s="40">
        <f>COUNTIF(Vertices[Out-Degree], "&gt;= " &amp; H4) - COUNTIF(Vertices[Out-Degree], "&gt;=" &amp; H5)</f>
        <v>0</v>
      </c>
      <c r="J4" s="39">
        <f t="shared" si="4"/>
        <v>0</v>
      </c>
      <c r="K4" s="40">
        <f>COUNTIF(Vertices[Betweenness Centrality], "&gt;= " &amp; J4) - COUNTIF(Vertices[Betweenness Centrality], "&gt;=" &amp; J5)</f>
        <v>0</v>
      </c>
      <c r="L4" s="39">
        <f t="shared" si="5"/>
        <v>0</v>
      </c>
      <c r="M4" s="40">
        <f>COUNTIF(Vertices[Closeness Centrality], "&gt;= " &amp; L4) - COUNTIF(Vertices[Closeness Centrality], "&gt;=" &amp; L5)</f>
        <v>0</v>
      </c>
      <c r="N4" s="39">
        <f t="shared" si="6"/>
        <v>0</v>
      </c>
      <c r="O4" s="40">
        <f>COUNTIF(Vertices[Eigenvector Centrality], "&gt;= " &amp; N4) - COUNTIF(Vertices[Eigenvector Centrality], "&gt;=" &amp; N5)</f>
        <v>0</v>
      </c>
      <c r="P4" s="39">
        <f t="shared" si="7"/>
        <v>0</v>
      </c>
      <c r="Q4" s="40">
        <f>COUNTIF(Vertices[PageRank], "&gt;= " &amp; P4) - COUNTIF(Vertices[PageRank], "&gt;=" &amp; P5)</f>
        <v>0</v>
      </c>
      <c r="R4" s="39">
        <f t="shared" si="8"/>
        <v>0</v>
      </c>
      <c r="S4" s="45">
        <f>COUNTIF(Vertices[Clustering Coefficient], "&gt;= " &amp; R4) - COUNTIF(Vertices[Clustering Coefficient], "&gt;=" &amp; R5)</f>
        <v>0</v>
      </c>
      <c r="T4" s="39" t="e">
        <f t="shared" ca="1" si="9"/>
        <v>#REF!</v>
      </c>
      <c r="U4" s="40" t="e">
        <f t="shared" ca="1" si="0"/>
        <v>#REF!</v>
      </c>
      <c r="W4" s="12" t="s">
        <v>126</v>
      </c>
      <c r="X4" s="12" t="s">
        <v>128</v>
      </c>
    </row>
    <row r="5" spans="1:24" x14ac:dyDescent="0.35">
      <c r="D5" s="34">
        <f t="shared" si="1"/>
        <v>0</v>
      </c>
      <c r="E5" s="3">
        <f>COUNTIF(Vertices[Degree], "&gt;= " &amp; D5) - COUNTIF(Vertices[Degree], "&gt;=" &amp; D6)</f>
        <v>0</v>
      </c>
      <c r="F5" s="41">
        <f t="shared" si="2"/>
        <v>0</v>
      </c>
      <c r="G5" s="42">
        <f>COUNTIF(Vertices[In-Degree], "&gt;= " &amp; F5) - COUNTIF(Vertices[In-Degree], "&gt;=" &amp; F6)</f>
        <v>0</v>
      </c>
      <c r="H5" s="41">
        <f t="shared" si="3"/>
        <v>0</v>
      </c>
      <c r="I5" s="42">
        <f>COUNTIF(Vertices[Out-Degree], "&gt;= " &amp; H5) - COUNTIF(Vertices[Out-Degree], "&gt;=" &amp; H6)</f>
        <v>0</v>
      </c>
      <c r="J5" s="41">
        <f t="shared" si="4"/>
        <v>0</v>
      </c>
      <c r="K5" s="42">
        <f>COUNTIF(Vertices[Betweenness Centrality], "&gt;= " &amp; J5) - COUNTIF(Vertices[Betweenness Centrality], "&gt;=" &amp; J6)</f>
        <v>0</v>
      </c>
      <c r="L5" s="41">
        <f t="shared" si="5"/>
        <v>0</v>
      </c>
      <c r="M5" s="42">
        <f>COUNTIF(Vertices[Closeness Centrality], "&gt;= " &amp; L5) - COUNTIF(Vertices[Closeness Centrality], "&gt;=" &amp; L6)</f>
        <v>0</v>
      </c>
      <c r="N5" s="41">
        <f t="shared" si="6"/>
        <v>0</v>
      </c>
      <c r="O5" s="42">
        <f>COUNTIF(Vertices[Eigenvector Centrality], "&gt;= " &amp; N5) - COUNTIF(Vertices[Eigenvector Centrality], "&gt;=" &amp; N6)</f>
        <v>0</v>
      </c>
      <c r="P5" s="41">
        <f t="shared" si="7"/>
        <v>0</v>
      </c>
      <c r="Q5" s="42">
        <f>COUNTIF(Vertices[PageRank], "&gt;= " &amp; P5) - COUNTIF(Vertices[PageRank], "&gt;=" &amp; P6)</f>
        <v>0</v>
      </c>
      <c r="R5" s="41">
        <f t="shared" si="8"/>
        <v>0</v>
      </c>
      <c r="S5" s="46">
        <f>COUNTIF(Vertices[Clustering Coefficient], "&gt;= " &amp; R5) - COUNTIF(Vertices[Clustering Coefficient], "&gt;=" &amp; R6)</f>
        <v>0</v>
      </c>
      <c r="T5" s="41" t="e">
        <f t="shared" ca="1" si="9"/>
        <v>#REF!</v>
      </c>
      <c r="U5" s="42" t="e">
        <f t="shared" ca="1" si="0"/>
        <v>#REF!</v>
      </c>
    </row>
    <row r="6" spans="1:24" x14ac:dyDescent="0.35">
      <c r="D6" s="34">
        <f t="shared" si="1"/>
        <v>0</v>
      </c>
      <c r="E6" s="3">
        <f>COUNTIF(Vertices[Degree], "&gt;= " &amp; D6) - COUNTIF(Vertices[Degree], "&gt;=" &amp; D7)</f>
        <v>0</v>
      </c>
      <c r="F6" s="39">
        <f t="shared" si="2"/>
        <v>0</v>
      </c>
      <c r="G6" s="40">
        <f>COUNTIF(Vertices[In-Degree], "&gt;= " &amp; F6) - COUNTIF(Vertices[In-Degree], "&gt;=" &amp; F7)</f>
        <v>0</v>
      </c>
      <c r="H6" s="39">
        <f t="shared" si="3"/>
        <v>0</v>
      </c>
      <c r="I6" s="40">
        <f>COUNTIF(Vertices[Out-Degree], "&gt;= " &amp; H6) - COUNTIF(Vertices[Out-Degree], "&gt;=" &amp; H7)</f>
        <v>0</v>
      </c>
      <c r="J6" s="39">
        <f t="shared" si="4"/>
        <v>0</v>
      </c>
      <c r="K6" s="40">
        <f>COUNTIF(Vertices[Betweenness Centrality], "&gt;= " &amp; J6) - COUNTIF(Vertices[Betweenness Centrality], "&gt;=" &amp; J7)</f>
        <v>0</v>
      </c>
      <c r="L6" s="39">
        <f t="shared" si="5"/>
        <v>0</v>
      </c>
      <c r="M6" s="40">
        <f>COUNTIF(Vertices[Closeness Centrality], "&gt;= " &amp; L6) - COUNTIF(Vertices[Closeness Centrality], "&gt;=" &amp; L7)</f>
        <v>0</v>
      </c>
      <c r="N6" s="39">
        <f t="shared" si="6"/>
        <v>0</v>
      </c>
      <c r="O6" s="40">
        <f>COUNTIF(Vertices[Eigenvector Centrality], "&gt;= " &amp; N6) - COUNTIF(Vertices[Eigenvector Centrality], "&gt;=" &amp; N7)</f>
        <v>0</v>
      </c>
      <c r="P6" s="39">
        <f t="shared" si="7"/>
        <v>0</v>
      </c>
      <c r="Q6" s="40">
        <f>COUNTIF(Vertices[PageRank], "&gt;= " &amp; P6) - COUNTIF(Vertices[PageRank], "&gt;=" &amp; P7)</f>
        <v>0</v>
      </c>
      <c r="R6" s="39">
        <f t="shared" si="8"/>
        <v>0</v>
      </c>
      <c r="S6" s="45">
        <f>COUNTIF(Vertices[Clustering Coefficient], "&gt;= " &amp; R6) - COUNTIF(Vertices[Clustering Coefficient], "&gt;=" &amp; R7)</f>
        <v>0</v>
      </c>
      <c r="T6" s="39" t="e">
        <f t="shared" ca="1" si="9"/>
        <v>#REF!</v>
      </c>
      <c r="U6" s="40" t="e">
        <f t="shared" ca="1" si="0"/>
        <v>#REF!</v>
      </c>
    </row>
    <row r="7" spans="1:24" x14ac:dyDescent="0.35">
      <c r="D7" s="34">
        <f t="shared" si="1"/>
        <v>0</v>
      </c>
      <c r="E7" s="3">
        <f>COUNTIF(Vertices[Degree], "&gt;= " &amp; D7) - COUNTIF(Vertices[Degree], "&gt;=" &amp; D8)</f>
        <v>0</v>
      </c>
      <c r="F7" s="41">
        <f t="shared" si="2"/>
        <v>0</v>
      </c>
      <c r="G7" s="42">
        <f>COUNTIF(Vertices[In-Degree], "&gt;= " &amp; F7) - COUNTIF(Vertices[In-Degree], "&gt;=" &amp; F8)</f>
        <v>0</v>
      </c>
      <c r="H7" s="41">
        <f t="shared" si="3"/>
        <v>0</v>
      </c>
      <c r="I7" s="42">
        <f>COUNTIF(Vertices[Out-Degree], "&gt;= " &amp; H7) - COUNTIF(Vertices[Out-Degree], "&gt;=" &amp; H8)</f>
        <v>0</v>
      </c>
      <c r="J7" s="41">
        <f t="shared" si="4"/>
        <v>0</v>
      </c>
      <c r="K7" s="42">
        <f>COUNTIF(Vertices[Betweenness Centrality], "&gt;= " &amp; J7) - COUNTIF(Vertices[Betweenness Centrality], "&gt;=" &amp; J8)</f>
        <v>0</v>
      </c>
      <c r="L7" s="41">
        <f t="shared" si="5"/>
        <v>0</v>
      </c>
      <c r="M7" s="42">
        <f>COUNTIF(Vertices[Closeness Centrality], "&gt;= " &amp; L7) - COUNTIF(Vertices[Closeness Centrality], "&gt;=" &amp; L8)</f>
        <v>0</v>
      </c>
      <c r="N7" s="41">
        <f t="shared" si="6"/>
        <v>0</v>
      </c>
      <c r="O7" s="42">
        <f>COUNTIF(Vertices[Eigenvector Centrality], "&gt;= " &amp; N7) - COUNTIF(Vertices[Eigenvector Centrality], "&gt;=" &amp; N8)</f>
        <v>0</v>
      </c>
      <c r="P7" s="41">
        <f t="shared" si="7"/>
        <v>0</v>
      </c>
      <c r="Q7" s="42">
        <f>COUNTIF(Vertices[PageRank], "&gt;= " &amp; P7) - COUNTIF(Vertices[PageRank], "&gt;=" &amp; P8)</f>
        <v>0</v>
      </c>
      <c r="R7" s="41">
        <f t="shared" si="8"/>
        <v>0</v>
      </c>
      <c r="S7" s="46">
        <f>COUNTIF(Vertices[Clustering Coefficient], "&gt;= " &amp; R7) - COUNTIF(Vertices[Clustering Coefficient], "&gt;=" &amp; R8)</f>
        <v>0</v>
      </c>
      <c r="T7" s="41" t="e">
        <f t="shared" ca="1" si="9"/>
        <v>#REF!</v>
      </c>
      <c r="U7" s="42" t="e">
        <f t="shared" ca="1" si="0"/>
        <v>#REF!</v>
      </c>
    </row>
    <row r="8" spans="1:24" x14ac:dyDescent="0.35">
      <c r="D8" s="34">
        <f t="shared" si="1"/>
        <v>0</v>
      </c>
      <c r="E8" s="3">
        <f>COUNTIF(Vertices[Degree], "&gt;= " &amp; D8) - COUNTIF(Vertices[Degree], "&gt;=" &amp; D9)</f>
        <v>0</v>
      </c>
      <c r="F8" s="39">
        <f t="shared" si="2"/>
        <v>0</v>
      </c>
      <c r="G8" s="40">
        <f>COUNTIF(Vertices[In-Degree], "&gt;= " &amp; F8) - COUNTIF(Vertices[In-Degree], "&gt;=" &amp; F9)</f>
        <v>0</v>
      </c>
      <c r="H8" s="39">
        <f t="shared" si="3"/>
        <v>0</v>
      </c>
      <c r="I8" s="40">
        <f>COUNTIF(Vertices[Out-Degree], "&gt;= " &amp; H8) - COUNTIF(Vertices[Out-Degree], "&gt;=" &amp; H9)</f>
        <v>0</v>
      </c>
      <c r="J8" s="39">
        <f t="shared" si="4"/>
        <v>0</v>
      </c>
      <c r="K8" s="40">
        <f>COUNTIF(Vertices[Betweenness Centrality], "&gt;= " &amp; J8) - COUNTIF(Vertices[Betweenness Centrality], "&gt;=" &amp; J9)</f>
        <v>0</v>
      </c>
      <c r="L8" s="39">
        <f t="shared" si="5"/>
        <v>0</v>
      </c>
      <c r="M8" s="40">
        <f>COUNTIF(Vertices[Closeness Centrality], "&gt;= " &amp; L8) - COUNTIF(Vertices[Closeness Centrality], "&gt;=" &amp; L9)</f>
        <v>0</v>
      </c>
      <c r="N8" s="39">
        <f t="shared" si="6"/>
        <v>0</v>
      </c>
      <c r="O8" s="40">
        <f>COUNTIF(Vertices[Eigenvector Centrality], "&gt;= " &amp; N8) - COUNTIF(Vertices[Eigenvector Centrality], "&gt;=" &amp; N9)</f>
        <v>0</v>
      </c>
      <c r="P8" s="39">
        <f t="shared" si="7"/>
        <v>0</v>
      </c>
      <c r="Q8" s="40">
        <f>COUNTIF(Vertices[PageRank], "&gt;= " &amp; P8) - COUNTIF(Vertices[PageRank], "&gt;=" &amp; P9)</f>
        <v>0</v>
      </c>
      <c r="R8" s="39">
        <f t="shared" si="8"/>
        <v>0</v>
      </c>
      <c r="S8" s="45">
        <f>COUNTIF(Vertices[Clustering Coefficient], "&gt;= " &amp; R8) - COUNTIF(Vertices[Clustering Coefficient], "&gt;=" &amp; R9)</f>
        <v>0</v>
      </c>
      <c r="T8" s="39" t="e">
        <f t="shared" ca="1" si="9"/>
        <v>#REF!</v>
      </c>
      <c r="U8" s="40" t="e">
        <f t="shared" ca="1" si="0"/>
        <v>#REF!</v>
      </c>
    </row>
    <row r="9" spans="1:24" x14ac:dyDescent="0.35">
      <c r="D9" s="34">
        <f t="shared" si="1"/>
        <v>0</v>
      </c>
      <c r="E9" s="3">
        <f>COUNTIF(Vertices[Degree], "&gt;= " &amp; D9) - COUNTIF(Vertices[Degree], "&gt;=" &amp; D10)</f>
        <v>0</v>
      </c>
      <c r="F9" s="41">
        <f t="shared" si="2"/>
        <v>0</v>
      </c>
      <c r="G9" s="42">
        <f>COUNTIF(Vertices[In-Degree], "&gt;= " &amp; F9) - COUNTIF(Vertices[In-Degree], "&gt;=" &amp; F10)</f>
        <v>0</v>
      </c>
      <c r="H9" s="41">
        <f t="shared" si="3"/>
        <v>0</v>
      </c>
      <c r="I9" s="42">
        <f>COUNTIF(Vertices[Out-Degree], "&gt;= " &amp; H9) - COUNTIF(Vertices[Out-Degree], "&gt;=" &amp; H10)</f>
        <v>0</v>
      </c>
      <c r="J9" s="41">
        <f t="shared" si="4"/>
        <v>0</v>
      </c>
      <c r="K9" s="42">
        <f>COUNTIF(Vertices[Betweenness Centrality], "&gt;= " &amp; J9) - COUNTIF(Vertices[Betweenness Centrality], "&gt;=" &amp; J10)</f>
        <v>0</v>
      </c>
      <c r="L9" s="41">
        <f t="shared" si="5"/>
        <v>0</v>
      </c>
      <c r="M9" s="42">
        <f>COUNTIF(Vertices[Closeness Centrality], "&gt;= " &amp; L9) - COUNTIF(Vertices[Closeness Centrality], "&gt;=" &amp; L10)</f>
        <v>0</v>
      </c>
      <c r="N9" s="41">
        <f t="shared" si="6"/>
        <v>0</v>
      </c>
      <c r="O9" s="42">
        <f>COUNTIF(Vertices[Eigenvector Centrality], "&gt;= " &amp; N9) - COUNTIF(Vertices[Eigenvector Centrality], "&gt;=" &amp; N10)</f>
        <v>0</v>
      </c>
      <c r="P9" s="41">
        <f t="shared" si="7"/>
        <v>0</v>
      </c>
      <c r="Q9" s="42">
        <f>COUNTIF(Vertices[PageRank], "&gt;= " &amp; P9) - COUNTIF(Vertices[PageRank], "&gt;=" &amp; P10)</f>
        <v>0</v>
      </c>
      <c r="R9" s="41">
        <f t="shared" si="8"/>
        <v>0</v>
      </c>
      <c r="S9" s="46">
        <f>COUNTIF(Vertices[Clustering Coefficient], "&gt;= " &amp; R9) - COUNTIF(Vertices[Clustering Coefficient], "&gt;=" &amp; R10)</f>
        <v>0</v>
      </c>
      <c r="T9" s="41" t="e">
        <f t="shared" ca="1" si="9"/>
        <v>#REF!</v>
      </c>
      <c r="U9" s="42" t="e">
        <f t="shared" ca="1" si="0"/>
        <v>#REF!</v>
      </c>
    </row>
    <row r="10" spans="1:24" x14ac:dyDescent="0.35">
      <c r="D10" s="34">
        <f t="shared" si="1"/>
        <v>0</v>
      </c>
      <c r="E10" s="3">
        <f>COUNTIF(Vertices[Degree], "&gt;= " &amp; D10) - COUNTIF(Vertices[Degree], "&gt;=" &amp; D11)</f>
        <v>0</v>
      </c>
      <c r="F10" s="39">
        <f t="shared" si="2"/>
        <v>0</v>
      </c>
      <c r="G10" s="40">
        <f>COUNTIF(Vertices[In-Degree], "&gt;= " &amp; F10) - COUNTIF(Vertices[In-Degree], "&gt;=" &amp; F11)</f>
        <v>0</v>
      </c>
      <c r="H10" s="39">
        <f t="shared" si="3"/>
        <v>0</v>
      </c>
      <c r="I10" s="40">
        <f>COUNTIF(Vertices[Out-Degree], "&gt;= " &amp; H10) - COUNTIF(Vertices[Out-Degree], "&gt;=" &amp; H11)</f>
        <v>0</v>
      </c>
      <c r="J10" s="39">
        <f t="shared" si="4"/>
        <v>0</v>
      </c>
      <c r="K10" s="40">
        <f>COUNTIF(Vertices[Betweenness Centrality], "&gt;= " &amp; J10) - COUNTIF(Vertices[Betweenness Centrality], "&gt;=" &amp; J11)</f>
        <v>0</v>
      </c>
      <c r="L10" s="39">
        <f t="shared" si="5"/>
        <v>0</v>
      </c>
      <c r="M10" s="40">
        <f>COUNTIF(Vertices[Closeness Centrality], "&gt;= " &amp; L10) - COUNTIF(Vertices[Closeness Centrality], "&gt;=" &amp; L11)</f>
        <v>0</v>
      </c>
      <c r="N10" s="39">
        <f t="shared" si="6"/>
        <v>0</v>
      </c>
      <c r="O10" s="40">
        <f>COUNTIF(Vertices[Eigenvector Centrality], "&gt;= " &amp; N10) - COUNTIF(Vertices[Eigenvector Centrality], "&gt;=" &amp; N11)</f>
        <v>0</v>
      </c>
      <c r="P10" s="39">
        <f t="shared" si="7"/>
        <v>0</v>
      </c>
      <c r="Q10" s="40">
        <f>COUNTIF(Vertices[PageRank], "&gt;= " &amp; P10) - COUNTIF(Vertices[PageRank], "&gt;=" &amp; P11)</f>
        <v>0</v>
      </c>
      <c r="R10" s="39">
        <f t="shared" si="8"/>
        <v>0</v>
      </c>
      <c r="S10" s="45">
        <f>COUNTIF(Vertices[Clustering Coefficient], "&gt;= " &amp; R10) - COUNTIF(Vertices[Clustering Coefficient], "&gt;=" &amp; R11)</f>
        <v>0</v>
      </c>
      <c r="T10" s="39" t="e">
        <f t="shared" ca="1" si="9"/>
        <v>#REF!</v>
      </c>
      <c r="U10" s="40" t="e">
        <f t="shared" ca="1" si="0"/>
        <v>#REF!</v>
      </c>
    </row>
    <row r="11" spans="1:24" x14ac:dyDescent="0.35">
      <c r="D11" s="34">
        <f t="shared" si="1"/>
        <v>0</v>
      </c>
      <c r="E11" s="3">
        <f>COUNTIF(Vertices[Degree], "&gt;= " &amp; D11) - COUNTIF(Vertices[Degree], "&gt;=" &amp; D12)</f>
        <v>0</v>
      </c>
      <c r="F11" s="41">
        <f t="shared" si="2"/>
        <v>0</v>
      </c>
      <c r="G11" s="42">
        <f>COUNTIF(Vertices[In-Degree], "&gt;= " &amp; F11) - COUNTIF(Vertices[In-Degree], "&gt;=" &amp; F12)</f>
        <v>0</v>
      </c>
      <c r="H11" s="41">
        <f t="shared" si="3"/>
        <v>0</v>
      </c>
      <c r="I11" s="42">
        <f>COUNTIF(Vertices[Out-Degree], "&gt;= " &amp; H11) - COUNTIF(Vertices[Out-Degree], "&gt;=" &amp; H12)</f>
        <v>0</v>
      </c>
      <c r="J11" s="41">
        <f t="shared" si="4"/>
        <v>0</v>
      </c>
      <c r="K11" s="42">
        <f>COUNTIF(Vertices[Betweenness Centrality], "&gt;= " &amp; J11) - COUNTIF(Vertices[Betweenness Centrality], "&gt;=" &amp; J12)</f>
        <v>0</v>
      </c>
      <c r="L11" s="41">
        <f t="shared" si="5"/>
        <v>0</v>
      </c>
      <c r="M11" s="42">
        <f>COUNTIF(Vertices[Closeness Centrality], "&gt;= " &amp; L11) - COUNTIF(Vertices[Closeness Centrality], "&gt;=" &amp; L12)</f>
        <v>0</v>
      </c>
      <c r="N11" s="41">
        <f t="shared" si="6"/>
        <v>0</v>
      </c>
      <c r="O11" s="42">
        <f>COUNTIF(Vertices[Eigenvector Centrality], "&gt;= " &amp; N11) - COUNTIF(Vertices[Eigenvector Centrality], "&gt;=" &amp; N12)</f>
        <v>0</v>
      </c>
      <c r="P11" s="41">
        <f t="shared" si="7"/>
        <v>0</v>
      </c>
      <c r="Q11" s="42">
        <f>COUNTIF(Vertices[PageRank], "&gt;= " &amp; P11) - COUNTIF(Vertices[PageRank], "&gt;=" &amp; P12)</f>
        <v>0</v>
      </c>
      <c r="R11" s="41">
        <f t="shared" si="8"/>
        <v>0</v>
      </c>
      <c r="S11" s="46">
        <f>COUNTIF(Vertices[Clustering Coefficient], "&gt;= " &amp; R11) - COUNTIF(Vertices[Clustering Coefficient], "&gt;=" &amp; R12)</f>
        <v>0</v>
      </c>
      <c r="T11" s="41" t="e">
        <f t="shared" ca="1" si="9"/>
        <v>#REF!</v>
      </c>
      <c r="U11" s="42" t="e">
        <f t="shared" ca="1" si="0"/>
        <v>#REF!</v>
      </c>
    </row>
    <row r="12" spans="1:24" x14ac:dyDescent="0.35">
      <c r="D12" s="34">
        <f t="shared" si="1"/>
        <v>0</v>
      </c>
      <c r="E12" s="3">
        <f>COUNTIF(Vertices[Degree], "&gt;= " &amp; D12) - COUNTIF(Vertices[Degree], "&gt;=" &amp; D13)</f>
        <v>0</v>
      </c>
      <c r="F12" s="39">
        <f t="shared" si="2"/>
        <v>0</v>
      </c>
      <c r="G12" s="40">
        <f>COUNTIF(Vertices[In-Degree], "&gt;= " &amp; F12) - COUNTIF(Vertices[In-Degree], "&gt;=" &amp; F13)</f>
        <v>0</v>
      </c>
      <c r="H12" s="39">
        <f t="shared" si="3"/>
        <v>0</v>
      </c>
      <c r="I12" s="40">
        <f>COUNTIF(Vertices[Out-Degree], "&gt;= " &amp; H12) - COUNTIF(Vertices[Out-Degree], "&gt;=" &amp; H13)</f>
        <v>0</v>
      </c>
      <c r="J12" s="39">
        <f t="shared" si="4"/>
        <v>0</v>
      </c>
      <c r="K12" s="40">
        <f>COUNTIF(Vertices[Betweenness Centrality], "&gt;= " &amp; J12) - COUNTIF(Vertices[Betweenness Centrality], "&gt;=" &amp; J13)</f>
        <v>0</v>
      </c>
      <c r="L12" s="39">
        <f t="shared" si="5"/>
        <v>0</v>
      </c>
      <c r="M12" s="40">
        <f>COUNTIF(Vertices[Closeness Centrality], "&gt;= " &amp; L12) - COUNTIF(Vertices[Closeness Centrality], "&gt;=" &amp; L13)</f>
        <v>0</v>
      </c>
      <c r="N12" s="39">
        <f t="shared" si="6"/>
        <v>0</v>
      </c>
      <c r="O12" s="40">
        <f>COUNTIF(Vertices[Eigenvector Centrality], "&gt;= " &amp; N12) - COUNTIF(Vertices[Eigenvector Centrality], "&gt;=" &amp; N13)</f>
        <v>0</v>
      </c>
      <c r="P12" s="39">
        <f t="shared" si="7"/>
        <v>0</v>
      </c>
      <c r="Q12" s="40">
        <f>COUNTIF(Vertices[PageRank], "&gt;= " &amp; P12) - COUNTIF(Vertices[PageRank], "&gt;=" &amp; P13)</f>
        <v>0</v>
      </c>
      <c r="R12" s="39">
        <f t="shared" si="8"/>
        <v>0</v>
      </c>
      <c r="S12" s="45">
        <f>COUNTIF(Vertices[Clustering Coefficient], "&gt;= " &amp; R12) - COUNTIF(Vertices[Clustering Coefficient], "&gt;=" &amp; R13)</f>
        <v>0</v>
      </c>
      <c r="T12" s="39" t="e">
        <f t="shared" ca="1" si="9"/>
        <v>#REF!</v>
      </c>
      <c r="U12" s="40" t="e">
        <f t="shared" ca="1" si="0"/>
        <v>#REF!</v>
      </c>
    </row>
    <row r="13" spans="1:24" x14ac:dyDescent="0.35">
      <c r="D13" s="34">
        <f t="shared" si="1"/>
        <v>0</v>
      </c>
      <c r="E13" s="3">
        <f>COUNTIF(Vertices[Degree], "&gt;= " &amp; D13) - COUNTIF(Vertices[Degree], "&gt;=" &amp; D14)</f>
        <v>0</v>
      </c>
      <c r="F13" s="41">
        <f t="shared" si="2"/>
        <v>0</v>
      </c>
      <c r="G13" s="42">
        <f>COUNTIF(Vertices[In-Degree], "&gt;= " &amp; F13) - COUNTIF(Vertices[In-Degree], "&gt;=" &amp; F14)</f>
        <v>0</v>
      </c>
      <c r="H13" s="41">
        <f t="shared" si="3"/>
        <v>0</v>
      </c>
      <c r="I13" s="42">
        <f>COUNTIF(Vertices[Out-Degree], "&gt;= " &amp; H13) - COUNTIF(Vertices[Out-Degree], "&gt;=" &amp; H14)</f>
        <v>0</v>
      </c>
      <c r="J13" s="41">
        <f t="shared" si="4"/>
        <v>0</v>
      </c>
      <c r="K13" s="42">
        <f>COUNTIF(Vertices[Betweenness Centrality], "&gt;= " &amp; J13) - COUNTIF(Vertices[Betweenness Centrality], "&gt;=" &amp; J14)</f>
        <v>0</v>
      </c>
      <c r="L13" s="41">
        <f t="shared" si="5"/>
        <v>0</v>
      </c>
      <c r="M13" s="42">
        <f>COUNTIF(Vertices[Closeness Centrality], "&gt;= " &amp; L13) - COUNTIF(Vertices[Closeness Centrality], "&gt;=" &amp; L14)</f>
        <v>0</v>
      </c>
      <c r="N13" s="41">
        <f t="shared" si="6"/>
        <v>0</v>
      </c>
      <c r="O13" s="42">
        <f>COUNTIF(Vertices[Eigenvector Centrality], "&gt;= " &amp; N13) - COUNTIF(Vertices[Eigenvector Centrality], "&gt;=" &amp; N14)</f>
        <v>0</v>
      </c>
      <c r="P13" s="41">
        <f t="shared" si="7"/>
        <v>0</v>
      </c>
      <c r="Q13" s="42">
        <f>COUNTIF(Vertices[PageRank], "&gt;= " &amp; P13) - COUNTIF(Vertices[PageRank], "&gt;=" &amp; P14)</f>
        <v>0</v>
      </c>
      <c r="R13" s="41">
        <f t="shared" si="8"/>
        <v>0</v>
      </c>
      <c r="S13" s="46">
        <f>COUNTIF(Vertices[Clustering Coefficient], "&gt;= " &amp; R13) - COUNTIF(Vertices[Clustering Coefficient], "&gt;=" &amp; R14)</f>
        <v>0</v>
      </c>
      <c r="T13" s="41" t="e">
        <f t="shared" ca="1" si="9"/>
        <v>#REF!</v>
      </c>
      <c r="U13" s="42" t="e">
        <f t="shared" ca="1" si="0"/>
        <v>#REF!</v>
      </c>
    </row>
    <row r="14" spans="1:24" x14ac:dyDescent="0.35">
      <c r="D14" s="34">
        <f t="shared" si="1"/>
        <v>0</v>
      </c>
      <c r="E14" s="3">
        <f>COUNTIF(Vertices[Degree], "&gt;= " &amp; D14) - COUNTIF(Vertices[Degree], "&gt;=" &amp; D15)</f>
        <v>0</v>
      </c>
      <c r="F14" s="39">
        <f t="shared" si="2"/>
        <v>0</v>
      </c>
      <c r="G14" s="40">
        <f>COUNTIF(Vertices[In-Degree], "&gt;= " &amp; F14) - COUNTIF(Vertices[In-Degree], "&gt;=" &amp; F15)</f>
        <v>0</v>
      </c>
      <c r="H14" s="39">
        <f t="shared" si="3"/>
        <v>0</v>
      </c>
      <c r="I14" s="40">
        <f>COUNTIF(Vertices[Out-Degree], "&gt;= " &amp; H14) - COUNTIF(Vertices[Out-Degree], "&gt;=" &amp; H15)</f>
        <v>0</v>
      </c>
      <c r="J14" s="39">
        <f t="shared" si="4"/>
        <v>0</v>
      </c>
      <c r="K14" s="40">
        <f>COUNTIF(Vertices[Betweenness Centrality], "&gt;= " &amp; J14) - COUNTIF(Vertices[Betweenness Centrality], "&gt;=" &amp; J15)</f>
        <v>0</v>
      </c>
      <c r="L14" s="39">
        <f t="shared" si="5"/>
        <v>0</v>
      </c>
      <c r="M14" s="40">
        <f>COUNTIF(Vertices[Closeness Centrality], "&gt;= " &amp; L14) - COUNTIF(Vertices[Closeness Centrality], "&gt;=" &amp; L15)</f>
        <v>0</v>
      </c>
      <c r="N14" s="39">
        <f t="shared" si="6"/>
        <v>0</v>
      </c>
      <c r="O14" s="40">
        <f>COUNTIF(Vertices[Eigenvector Centrality], "&gt;= " &amp; N14) - COUNTIF(Vertices[Eigenvector Centrality], "&gt;=" &amp; N15)</f>
        <v>0</v>
      </c>
      <c r="P14" s="39">
        <f t="shared" si="7"/>
        <v>0</v>
      </c>
      <c r="Q14" s="40">
        <f>COUNTIF(Vertices[PageRank], "&gt;= " &amp; P14) - COUNTIF(Vertices[PageRank], "&gt;=" &amp; P15)</f>
        <v>0</v>
      </c>
      <c r="R14" s="39">
        <f t="shared" si="8"/>
        <v>0</v>
      </c>
      <c r="S14" s="45">
        <f>COUNTIF(Vertices[Clustering Coefficient], "&gt;= " &amp; R14) - COUNTIF(Vertices[Clustering Coefficient], "&gt;=" &amp; R15)</f>
        <v>0</v>
      </c>
      <c r="T14" s="39" t="e">
        <f t="shared" ca="1" si="9"/>
        <v>#REF!</v>
      </c>
      <c r="U14" s="40" t="e">
        <f t="shared" ca="1" si="0"/>
        <v>#REF!</v>
      </c>
    </row>
    <row r="15" spans="1:24" x14ac:dyDescent="0.35">
      <c r="D15" s="34">
        <f t="shared" si="1"/>
        <v>0</v>
      </c>
      <c r="E15" s="3">
        <f>COUNTIF(Vertices[Degree], "&gt;= " &amp; D15) - COUNTIF(Vertices[Degree], "&gt;=" &amp; D16)</f>
        <v>0</v>
      </c>
      <c r="F15" s="41">
        <f t="shared" si="2"/>
        <v>0</v>
      </c>
      <c r="G15" s="42">
        <f>COUNTIF(Vertices[In-Degree], "&gt;= " &amp; F15) - COUNTIF(Vertices[In-Degree], "&gt;=" &amp; F16)</f>
        <v>0</v>
      </c>
      <c r="H15" s="41">
        <f t="shared" si="3"/>
        <v>0</v>
      </c>
      <c r="I15" s="42">
        <f>COUNTIF(Vertices[Out-Degree], "&gt;= " &amp; H15) - COUNTIF(Vertices[Out-Degree], "&gt;=" &amp; H16)</f>
        <v>0</v>
      </c>
      <c r="J15" s="41">
        <f t="shared" si="4"/>
        <v>0</v>
      </c>
      <c r="K15" s="42">
        <f>COUNTIF(Vertices[Betweenness Centrality], "&gt;= " &amp; J15) - COUNTIF(Vertices[Betweenness Centrality], "&gt;=" &amp; J16)</f>
        <v>0</v>
      </c>
      <c r="L15" s="41">
        <f t="shared" si="5"/>
        <v>0</v>
      </c>
      <c r="M15" s="42">
        <f>COUNTIF(Vertices[Closeness Centrality], "&gt;= " &amp; L15) - COUNTIF(Vertices[Closeness Centrality], "&gt;=" &amp; L16)</f>
        <v>0</v>
      </c>
      <c r="N15" s="41">
        <f t="shared" si="6"/>
        <v>0</v>
      </c>
      <c r="O15" s="42">
        <f>COUNTIF(Vertices[Eigenvector Centrality], "&gt;= " &amp; N15) - COUNTIF(Vertices[Eigenvector Centrality], "&gt;=" &amp; N16)</f>
        <v>0</v>
      </c>
      <c r="P15" s="41">
        <f t="shared" si="7"/>
        <v>0</v>
      </c>
      <c r="Q15" s="42">
        <f>COUNTIF(Vertices[PageRank], "&gt;= " &amp; P15) - COUNTIF(Vertices[PageRank], "&gt;=" &amp; P16)</f>
        <v>0</v>
      </c>
      <c r="R15" s="41">
        <f t="shared" si="8"/>
        <v>0</v>
      </c>
      <c r="S15" s="46">
        <f>COUNTIF(Vertices[Clustering Coefficient], "&gt;= " &amp; R15) - COUNTIF(Vertices[Clustering Coefficient], "&gt;=" &amp; R16)</f>
        <v>0</v>
      </c>
      <c r="T15" s="41" t="e">
        <f t="shared" ca="1" si="9"/>
        <v>#REF!</v>
      </c>
      <c r="U15" s="42" t="e">
        <f t="shared" ca="1" si="0"/>
        <v>#REF!</v>
      </c>
    </row>
    <row r="16" spans="1:24" x14ac:dyDescent="0.35">
      <c r="D16" s="34">
        <f t="shared" si="1"/>
        <v>0</v>
      </c>
      <c r="E16" s="3">
        <f>COUNTIF(Vertices[Degree], "&gt;= " &amp; D16) - COUNTIF(Vertices[Degree], "&gt;=" &amp; D17)</f>
        <v>0</v>
      </c>
      <c r="F16" s="39">
        <f t="shared" si="2"/>
        <v>0</v>
      </c>
      <c r="G16" s="40">
        <f>COUNTIF(Vertices[In-Degree], "&gt;= " &amp; F16) - COUNTIF(Vertices[In-Degree], "&gt;=" &amp; F17)</f>
        <v>0</v>
      </c>
      <c r="H16" s="39">
        <f t="shared" si="3"/>
        <v>0</v>
      </c>
      <c r="I16" s="40">
        <f>COUNTIF(Vertices[Out-Degree], "&gt;= " &amp; H16) - COUNTIF(Vertices[Out-Degree], "&gt;=" &amp; H17)</f>
        <v>0</v>
      </c>
      <c r="J16" s="39">
        <f t="shared" si="4"/>
        <v>0</v>
      </c>
      <c r="K16" s="40">
        <f>COUNTIF(Vertices[Betweenness Centrality], "&gt;= " &amp; J16) - COUNTIF(Vertices[Betweenness Centrality], "&gt;=" &amp; J17)</f>
        <v>0</v>
      </c>
      <c r="L16" s="39">
        <f t="shared" si="5"/>
        <v>0</v>
      </c>
      <c r="M16" s="40">
        <f>COUNTIF(Vertices[Closeness Centrality], "&gt;= " &amp; L16) - COUNTIF(Vertices[Closeness Centrality], "&gt;=" &amp; L17)</f>
        <v>0</v>
      </c>
      <c r="N16" s="39">
        <f t="shared" si="6"/>
        <v>0</v>
      </c>
      <c r="O16" s="40">
        <f>COUNTIF(Vertices[Eigenvector Centrality], "&gt;= " &amp; N16) - COUNTIF(Vertices[Eigenvector Centrality], "&gt;=" &amp; N17)</f>
        <v>0</v>
      </c>
      <c r="P16" s="39">
        <f t="shared" si="7"/>
        <v>0</v>
      </c>
      <c r="Q16" s="40">
        <f>COUNTIF(Vertices[PageRank], "&gt;= " &amp; P16) - COUNTIF(Vertices[PageRank], "&gt;=" &amp; P17)</f>
        <v>0</v>
      </c>
      <c r="R16" s="39">
        <f t="shared" si="8"/>
        <v>0</v>
      </c>
      <c r="S16" s="45">
        <f>COUNTIF(Vertices[Clustering Coefficient], "&gt;= " &amp; R16) - COUNTIF(Vertices[Clustering Coefficient], "&gt;=" &amp; R17)</f>
        <v>0</v>
      </c>
      <c r="T16" s="39" t="e">
        <f t="shared" ca="1" si="9"/>
        <v>#REF!</v>
      </c>
      <c r="U16" s="40" t="e">
        <f t="shared" ca="1" si="0"/>
        <v>#REF!</v>
      </c>
    </row>
    <row r="17" spans="4:21" x14ac:dyDescent="0.35">
      <c r="D17" s="34">
        <f t="shared" si="1"/>
        <v>0</v>
      </c>
      <c r="E17" s="3">
        <f>COUNTIF(Vertices[Degree], "&gt;= " &amp; D17) - COUNTIF(Vertices[Degree], "&gt;=" &amp; D18)</f>
        <v>0</v>
      </c>
      <c r="F17" s="41">
        <f t="shared" si="2"/>
        <v>0</v>
      </c>
      <c r="G17" s="42">
        <f>COUNTIF(Vertices[In-Degree], "&gt;= " &amp; F17) - COUNTIF(Vertices[In-Degree], "&gt;=" &amp; F18)</f>
        <v>0</v>
      </c>
      <c r="H17" s="41">
        <f t="shared" si="3"/>
        <v>0</v>
      </c>
      <c r="I17" s="42">
        <f>COUNTIF(Vertices[Out-Degree], "&gt;= " &amp; H17) - COUNTIF(Vertices[Out-Degree], "&gt;=" &amp; H18)</f>
        <v>0</v>
      </c>
      <c r="J17" s="41">
        <f t="shared" si="4"/>
        <v>0</v>
      </c>
      <c r="K17" s="42">
        <f>COUNTIF(Vertices[Betweenness Centrality], "&gt;= " &amp; J17) - COUNTIF(Vertices[Betweenness Centrality], "&gt;=" &amp; J18)</f>
        <v>0</v>
      </c>
      <c r="L17" s="41">
        <f t="shared" si="5"/>
        <v>0</v>
      </c>
      <c r="M17" s="42">
        <f>COUNTIF(Vertices[Closeness Centrality], "&gt;= " &amp; L17) - COUNTIF(Vertices[Closeness Centrality], "&gt;=" &amp; L18)</f>
        <v>0</v>
      </c>
      <c r="N17" s="41">
        <f t="shared" si="6"/>
        <v>0</v>
      </c>
      <c r="O17" s="42">
        <f>COUNTIF(Vertices[Eigenvector Centrality], "&gt;= " &amp; N17) - COUNTIF(Vertices[Eigenvector Centrality], "&gt;=" &amp; N18)</f>
        <v>0</v>
      </c>
      <c r="P17" s="41">
        <f t="shared" si="7"/>
        <v>0</v>
      </c>
      <c r="Q17" s="42">
        <f>COUNTIF(Vertices[PageRank], "&gt;= " &amp; P17) - COUNTIF(Vertices[PageRank], "&gt;=" &amp; P18)</f>
        <v>0</v>
      </c>
      <c r="R17" s="41">
        <f t="shared" si="8"/>
        <v>0</v>
      </c>
      <c r="S17" s="46">
        <f>COUNTIF(Vertices[Clustering Coefficient], "&gt;= " &amp; R17) - COUNTIF(Vertices[Clustering Coefficient], "&gt;=" &amp; R18)</f>
        <v>0</v>
      </c>
      <c r="T17" s="41" t="e">
        <f t="shared" ca="1" si="9"/>
        <v>#REF!</v>
      </c>
      <c r="U17" s="42" t="e">
        <f t="shared" ca="1" si="0"/>
        <v>#REF!</v>
      </c>
    </row>
    <row r="18" spans="4:21" x14ac:dyDescent="0.35">
      <c r="D18" s="34">
        <f t="shared" si="1"/>
        <v>0</v>
      </c>
      <c r="E18" s="3">
        <f>COUNTIF(Vertices[Degree], "&gt;= " &amp; D18) - COUNTIF(Vertices[Degree], "&gt;=" &amp; D19)</f>
        <v>0</v>
      </c>
      <c r="F18" s="39">
        <f t="shared" si="2"/>
        <v>0</v>
      </c>
      <c r="G18" s="40">
        <f>COUNTIF(Vertices[In-Degree], "&gt;= " &amp; F18) - COUNTIF(Vertices[In-Degree], "&gt;=" &amp; F19)</f>
        <v>0</v>
      </c>
      <c r="H18" s="39">
        <f t="shared" si="3"/>
        <v>0</v>
      </c>
      <c r="I18" s="40">
        <f>COUNTIF(Vertices[Out-Degree], "&gt;= " &amp; H18) - COUNTIF(Vertices[Out-Degree], "&gt;=" &amp; H19)</f>
        <v>0</v>
      </c>
      <c r="J18" s="39">
        <f t="shared" si="4"/>
        <v>0</v>
      </c>
      <c r="K18" s="40">
        <f>COUNTIF(Vertices[Betweenness Centrality], "&gt;= " &amp; J18) - COUNTIF(Vertices[Betweenness Centrality], "&gt;=" &amp; J19)</f>
        <v>0</v>
      </c>
      <c r="L18" s="39">
        <f t="shared" si="5"/>
        <v>0</v>
      </c>
      <c r="M18" s="40">
        <f>COUNTIF(Vertices[Closeness Centrality], "&gt;= " &amp; L18) - COUNTIF(Vertices[Closeness Centrality], "&gt;=" &amp; L19)</f>
        <v>0</v>
      </c>
      <c r="N18" s="39">
        <f t="shared" si="6"/>
        <v>0</v>
      </c>
      <c r="O18" s="40">
        <f>COUNTIF(Vertices[Eigenvector Centrality], "&gt;= " &amp; N18) - COUNTIF(Vertices[Eigenvector Centrality], "&gt;=" &amp; N19)</f>
        <v>0</v>
      </c>
      <c r="P18" s="39">
        <f t="shared" si="7"/>
        <v>0</v>
      </c>
      <c r="Q18" s="40">
        <f>COUNTIF(Vertices[PageRank], "&gt;= " &amp; P18) - COUNTIF(Vertices[PageRank], "&gt;=" &amp; P19)</f>
        <v>0</v>
      </c>
      <c r="R18" s="39">
        <f t="shared" si="8"/>
        <v>0</v>
      </c>
      <c r="S18" s="45">
        <f>COUNTIF(Vertices[Clustering Coefficient], "&gt;= " &amp; R18) - COUNTIF(Vertices[Clustering Coefficient], "&gt;=" &amp; R19)</f>
        <v>0</v>
      </c>
      <c r="T18" s="39" t="e">
        <f t="shared" ca="1" si="9"/>
        <v>#REF!</v>
      </c>
      <c r="U18" s="40" t="e">
        <f t="shared" ca="1" si="0"/>
        <v>#REF!</v>
      </c>
    </row>
    <row r="19" spans="4:21" x14ac:dyDescent="0.35">
      <c r="D19" s="34">
        <f t="shared" si="1"/>
        <v>0</v>
      </c>
      <c r="E19" s="3">
        <f>COUNTIF(Vertices[Degree], "&gt;= " &amp; D19) - COUNTIF(Vertices[Degree], "&gt;=" &amp; D20)</f>
        <v>0</v>
      </c>
      <c r="F19" s="41">
        <f t="shared" si="2"/>
        <v>0</v>
      </c>
      <c r="G19" s="42">
        <f>COUNTIF(Vertices[In-Degree], "&gt;= " &amp; F19) - COUNTIF(Vertices[In-Degree], "&gt;=" &amp; F20)</f>
        <v>0</v>
      </c>
      <c r="H19" s="41">
        <f t="shared" si="3"/>
        <v>0</v>
      </c>
      <c r="I19" s="42">
        <f>COUNTIF(Vertices[Out-Degree], "&gt;= " &amp; H19) - COUNTIF(Vertices[Out-Degree], "&gt;=" &amp; H20)</f>
        <v>0</v>
      </c>
      <c r="J19" s="41">
        <f t="shared" si="4"/>
        <v>0</v>
      </c>
      <c r="K19" s="42">
        <f>COUNTIF(Vertices[Betweenness Centrality], "&gt;= " &amp; J19) - COUNTIF(Vertices[Betweenness Centrality], "&gt;=" &amp; J20)</f>
        <v>0</v>
      </c>
      <c r="L19" s="41">
        <f t="shared" si="5"/>
        <v>0</v>
      </c>
      <c r="M19" s="42">
        <f>COUNTIF(Vertices[Closeness Centrality], "&gt;= " &amp; L19) - COUNTIF(Vertices[Closeness Centrality], "&gt;=" &amp; L20)</f>
        <v>0</v>
      </c>
      <c r="N19" s="41">
        <f t="shared" si="6"/>
        <v>0</v>
      </c>
      <c r="O19" s="42">
        <f>COUNTIF(Vertices[Eigenvector Centrality], "&gt;= " &amp; N19) - COUNTIF(Vertices[Eigenvector Centrality], "&gt;=" &amp; N20)</f>
        <v>0</v>
      </c>
      <c r="P19" s="41">
        <f t="shared" si="7"/>
        <v>0</v>
      </c>
      <c r="Q19" s="42">
        <f>COUNTIF(Vertices[PageRank], "&gt;= " &amp; P19) - COUNTIF(Vertices[PageRank], "&gt;=" &amp; P20)</f>
        <v>0</v>
      </c>
      <c r="R19" s="41">
        <f t="shared" si="8"/>
        <v>0</v>
      </c>
      <c r="S19" s="46">
        <f>COUNTIF(Vertices[Clustering Coefficient], "&gt;= " &amp; R19) - COUNTIF(Vertices[Clustering Coefficient], "&gt;=" &amp; R20)</f>
        <v>0</v>
      </c>
      <c r="T19" s="41" t="e">
        <f t="shared" ca="1" si="9"/>
        <v>#REF!</v>
      </c>
      <c r="U19" s="42" t="e">
        <f t="shared" ca="1" si="0"/>
        <v>#REF!</v>
      </c>
    </row>
    <row r="20" spans="4:21" x14ac:dyDescent="0.35">
      <c r="D20" s="34">
        <f t="shared" si="1"/>
        <v>0</v>
      </c>
      <c r="E20" s="3">
        <f>COUNTIF(Vertices[Degree], "&gt;= " &amp; D20) - COUNTIF(Vertices[Degree], "&gt;=" &amp; D21)</f>
        <v>0</v>
      </c>
      <c r="F20" s="39">
        <f t="shared" si="2"/>
        <v>0</v>
      </c>
      <c r="G20" s="40">
        <f>COUNTIF(Vertices[In-Degree], "&gt;= " &amp; F20) - COUNTIF(Vertices[In-Degree], "&gt;=" &amp; F21)</f>
        <v>0</v>
      </c>
      <c r="H20" s="39">
        <f t="shared" si="3"/>
        <v>0</v>
      </c>
      <c r="I20" s="40">
        <f>COUNTIF(Vertices[Out-Degree], "&gt;= " &amp; H20) - COUNTIF(Vertices[Out-Degree], "&gt;=" &amp; H21)</f>
        <v>0</v>
      </c>
      <c r="J20" s="39">
        <f t="shared" si="4"/>
        <v>0</v>
      </c>
      <c r="K20" s="40">
        <f>COUNTIF(Vertices[Betweenness Centrality], "&gt;= " &amp; J20) - COUNTIF(Vertices[Betweenness Centrality], "&gt;=" &amp; J21)</f>
        <v>0</v>
      </c>
      <c r="L20" s="39">
        <f t="shared" si="5"/>
        <v>0</v>
      </c>
      <c r="M20" s="40">
        <f>COUNTIF(Vertices[Closeness Centrality], "&gt;= " &amp; L20) - COUNTIF(Vertices[Closeness Centrality], "&gt;=" &amp; L21)</f>
        <v>0</v>
      </c>
      <c r="N20" s="39">
        <f t="shared" si="6"/>
        <v>0</v>
      </c>
      <c r="O20" s="40">
        <f>COUNTIF(Vertices[Eigenvector Centrality], "&gt;= " &amp; N20) - COUNTIF(Vertices[Eigenvector Centrality], "&gt;=" &amp; N21)</f>
        <v>0</v>
      </c>
      <c r="P20" s="39">
        <f t="shared" si="7"/>
        <v>0</v>
      </c>
      <c r="Q20" s="40">
        <f>COUNTIF(Vertices[PageRank], "&gt;= " &amp; P20) - COUNTIF(Vertices[PageRank], "&gt;=" &amp; P21)</f>
        <v>0</v>
      </c>
      <c r="R20" s="39">
        <f t="shared" si="8"/>
        <v>0</v>
      </c>
      <c r="S20" s="45">
        <f>COUNTIF(Vertices[Clustering Coefficient], "&gt;= " &amp; R20) - COUNTIF(Vertices[Clustering Coefficient], "&gt;=" &amp; R21)</f>
        <v>0</v>
      </c>
      <c r="T20" s="39" t="e">
        <f t="shared" ca="1" si="9"/>
        <v>#REF!</v>
      </c>
      <c r="U20" s="40" t="e">
        <f t="shared" ca="1" si="0"/>
        <v>#REF!</v>
      </c>
    </row>
    <row r="21" spans="4:21" x14ac:dyDescent="0.35">
      <c r="D21" s="34">
        <f t="shared" si="1"/>
        <v>0</v>
      </c>
      <c r="E21" s="3">
        <f>COUNTIF(Vertices[Degree], "&gt;= " &amp; D21) - COUNTIF(Vertices[Degree], "&gt;=" &amp; D22)</f>
        <v>0</v>
      </c>
      <c r="F21" s="41">
        <f t="shared" si="2"/>
        <v>0</v>
      </c>
      <c r="G21" s="42">
        <f>COUNTIF(Vertices[In-Degree], "&gt;= " &amp; F21) - COUNTIF(Vertices[In-Degree], "&gt;=" &amp; F22)</f>
        <v>0</v>
      </c>
      <c r="H21" s="41">
        <f t="shared" si="3"/>
        <v>0</v>
      </c>
      <c r="I21" s="42">
        <f>COUNTIF(Vertices[Out-Degree], "&gt;= " &amp; H21) - COUNTIF(Vertices[Out-Degree], "&gt;=" &amp; H22)</f>
        <v>0</v>
      </c>
      <c r="J21" s="41">
        <f t="shared" si="4"/>
        <v>0</v>
      </c>
      <c r="K21" s="42">
        <f>COUNTIF(Vertices[Betweenness Centrality], "&gt;= " &amp; J21) - COUNTIF(Vertices[Betweenness Centrality], "&gt;=" &amp; J22)</f>
        <v>0</v>
      </c>
      <c r="L21" s="41">
        <f t="shared" si="5"/>
        <v>0</v>
      </c>
      <c r="M21" s="42">
        <f>COUNTIF(Vertices[Closeness Centrality], "&gt;= " &amp; L21) - COUNTIF(Vertices[Closeness Centrality], "&gt;=" &amp; L22)</f>
        <v>0</v>
      </c>
      <c r="N21" s="41">
        <f t="shared" si="6"/>
        <v>0</v>
      </c>
      <c r="O21" s="42">
        <f>COUNTIF(Vertices[Eigenvector Centrality], "&gt;= " &amp; N21) - COUNTIF(Vertices[Eigenvector Centrality], "&gt;=" &amp; N22)</f>
        <v>0</v>
      </c>
      <c r="P21" s="41">
        <f t="shared" si="7"/>
        <v>0</v>
      </c>
      <c r="Q21" s="42">
        <f>COUNTIF(Vertices[PageRank], "&gt;= " &amp; P21) - COUNTIF(Vertices[PageRank], "&gt;=" &amp; P22)</f>
        <v>0</v>
      </c>
      <c r="R21" s="41">
        <f t="shared" si="8"/>
        <v>0</v>
      </c>
      <c r="S21" s="46">
        <f>COUNTIF(Vertices[Clustering Coefficient], "&gt;= " &amp; R21) - COUNTIF(Vertices[Clustering Coefficient], "&gt;=" &amp; R22)</f>
        <v>0</v>
      </c>
      <c r="T21" s="41" t="e">
        <f t="shared" ca="1" si="9"/>
        <v>#REF!</v>
      </c>
      <c r="U21" s="42" t="e">
        <f t="shared" ca="1" si="0"/>
        <v>#REF!</v>
      </c>
    </row>
    <row r="22" spans="4:21" x14ac:dyDescent="0.35">
      <c r="D22" s="34">
        <f t="shared" si="1"/>
        <v>0</v>
      </c>
      <c r="E22" s="3">
        <f>COUNTIF(Vertices[Degree], "&gt;= " &amp; D22) - COUNTIF(Vertices[Degree], "&gt;=" &amp; D23)</f>
        <v>0</v>
      </c>
      <c r="F22" s="39">
        <f t="shared" si="2"/>
        <v>0</v>
      </c>
      <c r="G22" s="40">
        <f>COUNTIF(Vertices[In-Degree], "&gt;= " &amp; F22) - COUNTIF(Vertices[In-Degree], "&gt;=" &amp; F23)</f>
        <v>0</v>
      </c>
      <c r="H22" s="39">
        <f t="shared" si="3"/>
        <v>0</v>
      </c>
      <c r="I22" s="40">
        <f>COUNTIF(Vertices[Out-Degree], "&gt;= " &amp; H22) - COUNTIF(Vertices[Out-Degree], "&gt;=" &amp; H23)</f>
        <v>0</v>
      </c>
      <c r="J22" s="39">
        <f t="shared" si="4"/>
        <v>0</v>
      </c>
      <c r="K22" s="40">
        <f>COUNTIF(Vertices[Betweenness Centrality], "&gt;= " &amp; J22) - COUNTIF(Vertices[Betweenness Centrality], "&gt;=" &amp; J23)</f>
        <v>0</v>
      </c>
      <c r="L22" s="39">
        <f t="shared" si="5"/>
        <v>0</v>
      </c>
      <c r="M22" s="40">
        <f>COUNTIF(Vertices[Closeness Centrality], "&gt;= " &amp; L22) - COUNTIF(Vertices[Closeness Centrality], "&gt;=" &amp; L23)</f>
        <v>0</v>
      </c>
      <c r="N22" s="39">
        <f t="shared" si="6"/>
        <v>0</v>
      </c>
      <c r="O22" s="40">
        <f>COUNTIF(Vertices[Eigenvector Centrality], "&gt;= " &amp; N22) - COUNTIF(Vertices[Eigenvector Centrality], "&gt;=" &amp; N23)</f>
        <v>0</v>
      </c>
      <c r="P22" s="39">
        <f t="shared" si="7"/>
        <v>0</v>
      </c>
      <c r="Q22" s="40">
        <f>COUNTIF(Vertices[PageRank], "&gt;= " &amp; P22) - COUNTIF(Vertices[PageRank], "&gt;=" &amp; P23)</f>
        <v>0</v>
      </c>
      <c r="R22" s="39">
        <f t="shared" si="8"/>
        <v>0</v>
      </c>
      <c r="S22" s="45">
        <f>COUNTIF(Vertices[Clustering Coefficient], "&gt;= " &amp; R22) - COUNTIF(Vertices[Clustering Coefficient], "&gt;=" &amp; R23)</f>
        <v>0</v>
      </c>
      <c r="T22" s="39" t="e">
        <f t="shared" ca="1" si="9"/>
        <v>#REF!</v>
      </c>
      <c r="U22" s="40" t="e">
        <f t="shared" ca="1" si="0"/>
        <v>#REF!</v>
      </c>
    </row>
    <row r="23" spans="4:21" x14ac:dyDescent="0.35">
      <c r="D23" s="34">
        <f t="shared" si="1"/>
        <v>0</v>
      </c>
      <c r="E23" s="3">
        <f>COUNTIF(Vertices[Degree], "&gt;= " &amp; D23) - COUNTIF(Vertices[Degree], "&gt;=" &amp; D24)</f>
        <v>0</v>
      </c>
      <c r="F23" s="41">
        <f t="shared" si="2"/>
        <v>0</v>
      </c>
      <c r="G23" s="42">
        <f>COUNTIF(Vertices[In-Degree], "&gt;= " &amp; F23) - COUNTIF(Vertices[In-Degree], "&gt;=" &amp; F24)</f>
        <v>0</v>
      </c>
      <c r="H23" s="41">
        <f t="shared" si="3"/>
        <v>0</v>
      </c>
      <c r="I23" s="42">
        <f>COUNTIF(Vertices[Out-Degree], "&gt;= " &amp; H23) - COUNTIF(Vertices[Out-Degree], "&gt;=" &amp; H24)</f>
        <v>0</v>
      </c>
      <c r="J23" s="41">
        <f t="shared" si="4"/>
        <v>0</v>
      </c>
      <c r="K23" s="42">
        <f>COUNTIF(Vertices[Betweenness Centrality], "&gt;= " &amp; J23) - COUNTIF(Vertices[Betweenness Centrality], "&gt;=" &amp; J24)</f>
        <v>0</v>
      </c>
      <c r="L23" s="41">
        <f t="shared" si="5"/>
        <v>0</v>
      </c>
      <c r="M23" s="42">
        <f>COUNTIF(Vertices[Closeness Centrality], "&gt;= " &amp; L23) - COUNTIF(Vertices[Closeness Centrality], "&gt;=" &amp; L24)</f>
        <v>0</v>
      </c>
      <c r="N23" s="41">
        <f t="shared" si="6"/>
        <v>0</v>
      </c>
      <c r="O23" s="42">
        <f>COUNTIF(Vertices[Eigenvector Centrality], "&gt;= " &amp; N23) - COUNTIF(Vertices[Eigenvector Centrality], "&gt;=" &amp; N24)</f>
        <v>0</v>
      </c>
      <c r="P23" s="41">
        <f t="shared" si="7"/>
        <v>0</v>
      </c>
      <c r="Q23" s="42">
        <f>COUNTIF(Vertices[PageRank], "&gt;= " &amp; P23) - COUNTIF(Vertices[PageRank], "&gt;=" &amp; P24)</f>
        <v>0</v>
      </c>
      <c r="R23" s="41">
        <f t="shared" si="8"/>
        <v>0</v>
      </c>
      <c r="S23" s="46">
        <f>COUNTIF(Vertices[Clustering Coefficient], "&gt;= " &amp; R23) - COUNTIF(Vertices[Clustering Coefficient], "&gt;=" &amp; R24)</f>
        <v>0</v>
      </c>
      <c r="T23" s="41" t="e">
        <f t="shared" ca="1" si="9"/>
        <v>#REF!</v>
      </c>
      <c r="U23" s="42" t="e">
        <f t="shared" ca="1" si="0"/>
        <v>#REF!</v>
      </c>
    </row>
    <row r="24" spans="4:21" x14ac:dyDescent="0.35">
      <c r="D24" s="34">
        <f t="shared" si="1"/>
        <v>0</v>
      </c>
      <c r="E24" s="3">
        <f>COUNTIF(Vertices[Degree], "&gt;= " &amp; D24) - COUNTIF(Vertices[Degree], "&gt;=" &amp; D25)</f>
        <v>0</v>
      </c>
      <c r="F24" s="39">
        <f t="shared" si="2"/>
        <v>0</v>
      </c>
      <c r="G24" s="40">
        <f>COUNTIF(Vertices[In-Degree], "&gt;= " &amp; F24) - COUNTIF(Vertices[In-Degree], "&gt;=" &amp; F25)</f>
        <v>0</v>
      </c>
      <c r="H24" s="39">
        <f t="shared" si="3"/>
        <v>0</v>
      </c>
      <c r="I24" s="40">
        <f>COUNTIF(Vertices[Out-Degree], "&gt;= " &amp; H24) - COUNTIF(Vertices[Out-Degree], "&gt;=" &amp; H25)</f>
        <v>0</v>
      </c>
      <c r="J24" s="39">
        <f t="shared" si="4"/>
        <v>0</v>
      </c>
      <c r="K24" s="40">
        <f>COUNTIF(Vertices[Betweenness Centrality], "&gt;= " &amp; J24) - COUNTIF(Vertices[Betweenness Centrality], "&gt;=" &amp; J25)</f>
        <v>0</v>
      </c>
      <c r="L24" s="39">
        <f t="shared" si="5"/>
        <v>0</v>
      </c>
      <c r="M24" s="40">
        <f>COUNTIF(Vertices[Closeness Centrality], "&gt;= " &amp; L24) - COUNTIF(Vertices[Closeness Centrality], "&gt;=" &amp; L25)</f>
        <v>0</v>
      </c>
      <c r="N24" s="39">
        <f t="shared" si="6"/>
        <v>0</v>
      </c>
      <c r="O24" s="40">
        <f>COUNTIF(Vertices[Eigenvector Centrality], "&gt;= " &amp; N24) - COUNTIF(Vertices[Eigenvector Centrality], "&gt;=" &amp; N25)</f>
        <v>0</v>
      </c>
      <c r="P24" s="39">
        <f t="shared" si="7"/>
        <v>0</v>
      </c>
      <c r="Q24" s="40">
        <f>COUNTIF(Vertices[PageRank], "&gt;= " &amp; P24) - COUNTIF(Vertices[PageRank], "&gt;=" &amp; P25)</f>
        <v>0</v>
      </c>
      <c r="R24" s="39">
        <f t="shared" si="8"/>
        <v>0</v>
      </c>
      <c r="S24" s="45">
        <f>COUNTIF(Vertices[Clustering Coefficient], "&gt;= " &amp; R24) - COUNTIF(Vertices[Clustering Coefficient], "&gt;=" &amp; R25)</f>
        <v>0</v>
      </c>
      <c r="T24" s="39" t="e">
        <f t="shared" ca="1" si="9"/>
        <v>#REF!</v>
      </c>
      <c r="U24" s="40" t="e">
        <f t="shared" ca="1" si="0"/>
        <v>#REF!</v>
      </c>
    </row>
    <row r="25" spans="4:21" x14ac:dyDescent="0.35">
      <c r="D25" s="34">
        <f t="shared" si="1"/>
        <v>0</v>
      </c>
      <c r="E25" s="3">
        <f>COUNTIF(Vertices[Degree], "&gt;= " &amp; D25) - COUNTIF(Vertices[Degree], "&gt;=" &amp; D26)</f>
        <v>0</v>
      </c>
      <c r="F25" s="41">
        <f t="shared" si="2"/>
        <v>0</v>
      </c>
      <c r="G25" s="42">
        <f>COUNTIF(Vertices[In-Degree], "&gt;= " &amp; F25) - COUNTIF(Vertices[In-Degree], "&gt;=" &amp; F26)</f>
        <v>0</v>
      </c>
      <c r="H25" s="41">
        <f t="shared" si="3"/>
        <v>0</v>
      </c>
      <c r="I25" s="42">
        <f>COUNTIF(Vertices[Out-Degree], "&gt;= " &amp; H25) - COUNTIF(Vertices[Out-Degree], "&gt;=" &amp; H26)</f>
        <v>0</v>
      </c>
      <c r="J25" s="41">
        <f t="shared" si="4"/>
        <v>0</v>
      </c>
      <c r="K25" s="42">
        <f>COUNTIF(Vertices[Betweenness Centrality], "&gt;= " &amp; J25) - COUNTIF(Vertices[Betweenness Centrality], "&gt;=" &amp; J26)</f>
        <v>0</v>
      </c>
      <c r="L25" s="41">
        <f t="shared" si="5"/>
        <v>0</v>
      </c>
      <c r="M25" s="42">
        <f>COUNTIF(Vertices[Closeness Centrality], "&gt;= " &amp; L25) - COUNTIF(Vertices[Closeness Centrality], "&gt;=" &amp; L26)</f>
        <v>0</v>
      </c>
      <c r="N25" s="41">
        <f t="shared" si="6"/>
        <v>0</v>
      </c>
      <c r="O25" s="42">
        <f>COUNTIF(Vertices[Eigenvector Centrality], "&gt;= " &amp; N25) - COUNTIF(Vertices[Eigenvector Centrality], "&gt;=" &amp; N26)</f>
        <v>0</v>
      </c>
      <c r="P25" s="41">
        <f t="shared" si="7"/>
        <v>0</v>
      </c>
      <c r="Q25" s="42">
        <f>COUNTIF(Vertices[PageRank], "&gt;= " &amp; P25) - COUNTIF(Vertices[PageRank], "&gt;=" &amp; P26)</f>
        <v>0</v>
      </c>
      <c r="R25" s="41">
        <f t="shared" si="8"/>
        <v>0</v>
      </c>
      <c r="S25" s="46">
        <f>COUNTIF(Vertices[Clustering Coefficient], "&gt;= " &amp; R25) - COUNTIF(Vertices[Clustering Coefficient], "&gt;=" &amp; R26)</f>
        <v>0</v>
      </c>
      <c r="T25" s="41" t="e">
        <f t="shared" ca="1" si="9"/>
        <v>#REF!</v>
      </c>
      <c r="U25" s="42" t="e">
        <f t="shared" ca="1" si="0"/>
        <v>#REF!</v>
      </c>
    </row>
    <row r="26" spans="4:21" x14ac:dyDescent="0.35">
      <c r="D26" s="34">
        <f t="shared" si="1"/>
        <v>0</v>
      </c>
      <c r="E26" s="3">
        <f>COUNTIF(Vertices[Degree], "&gt;= " &amp; D26) - COUNTIF(Vertices[Degree], "&gt;=" &amp; D27)</f>
        <v>0</v>
      </c>
      <c r="F26" s="39">
        <f t="shared" si="2"/>
        <v>0</v>
      </c>
      <c r="G26" s="40">
        <f>COUNTIF(Vertices[In-Degree], "&gt;= " &amp; F26) - COUNTIF(Vertices[In-Degree], "&gt;=" &amp; F27)</f>
        <v>0</v>
      </c>
      <c r="H26" s="39">
        <f t="shared" si="3"/>
        <v>0</v>
      </c>
      <c r="I26" s="40">
        <f>COUNTIF(Vertices[Out-Degree], "&gt;= " &amp; H26) - COUNTIF(Vertices[Out-Degree], "&gt;=" &amp; H27)</f>
        <v>0</v>
      </c>
      <c r="J26" s="39">
        <f t="shared" si="4"/>
        <v>0</v>
      </c>
      <c r="K26" s="40">
        <f>COUNTIF(Vertices[Betweenness Centrality], "&gt;= " &amp; J26) - COUNTIF(Vertices[Betweenness Centrality], "&gt;=" &amp; J27)</f>
        <v>0</v>
      </c>
      <c r="L26" s="39">
        <f t="shared" si="5"/>
        <v>0</v>
      </c>
      <c r="M26" s="40">
        <f>COUNTIF(Vertices[Closeness Centrality], "&gt;= " &amp; L26) - COUNTIF(Vertices[Closeness Centrality], "&gt;=" &amp; L27)</f>
        <v>0</v>
      </c>
      <c r="N26" s="39">
        <f t="shared" si="6"/>
        <v>0</v>
      </c>
      <c r="O26" s="40">
        <f>COUNTIF(Vertices[Eigenvector Centrality], "&gt;= " &amp; N26) - COUNTIF(Vertices[Eigenvector Centrality], "&gt;=" &amp; N27)</f>
        <v>0</v>
      </c>
      <c r="P26" s="39">
        <f t="shared" si="7"/>
        <v>0</v>
      </c>
      <c r="Q26" s="40">
        <f>COUNTIF(Vertices[PageRank], "&gt;= " &amp; P26) - COUNTIF(Vertices[PageRank], "&gt;=" &amp; P27)</f>
        <v>0</v>
      </c>
      <c r="R26" s="39">
        <f t="shared" si="8"/>
        <v>0</v>
      </c>
      <c r="S26" s="45">
        <f>COUNTIF(Vertices[Clustering Coefficient], "&gt;= " &amp; R26) - COUNTIF(Vertices[Clustering Coefficient], "&gt;=" &amp; R27)</f>
        <v>0</v>
      </c>
      <c r="T26" s="39" t="e">
        <f t="shared" ca="1" si="9"/>
        <v>#REF!</v>
      </c>
      <c r="U26" s="40" t="e">
        <f t="shared" ref="U26:U35" ca="1" si="10">COUNTIF(INDIRECT(DynamicFilterSourceColumnRange), "&gt;= " &amp; T26) - COUNTIF(INDIRECT(DynamicFilterSourceColumnRange), "&gt;=" &amp; T27)</f>
        <v>#REF!</v>
      </c>
    </row>
    <row r="27" spans="4:21" x14ac:dyDescent="0.35">
      <c r="D27" s="34">
        <f t="shared" si="1"/>
        <v>0</v>
      </c>
      <c r="E27" s="3">
        <f>COUNTIF(Vertices[Degree], "&gt;= " &amp; D27) - COUNTIF(Vertices[Degree], "&gt;=" &amp; D28)</f>
        <v>0</v>
      </c>
      <c r="F27" s="41">
        <f t="shared" si="2"/>
        <v>0</v>
      </c>
      <c r="G27" s="42">
        <f>COUNTIF(Vertices[In-Degree], "&gt;= " &amp; F27) - COUNTIF(Vertices[In-Degree], "&gt;=" &amp; F28)</f>
        <v>0</v>
      </c>
      <c r="H27" s="41">
        <f t="shared" si="3"/>
        <v>0</v>
      </c>
      <c r="I27" s="42">
        <f>COUNTIF(Vertices[Out-Degree], "&gt;= " &amp; H27) - COUNTIF(Vertices[Out-Degree], "&gt;=" &amp; H28)</f>
        <v>0</v>
      </c>
      <c r="J27" s="41">
        <f t="shared" si="4"/>
        <v>0</v>
      </c>
      <c r="K27" s="42">
        <f>COUNTIF(Vertices[Betweenness Centrality], "&gt;= " &amp; J27) - COUNTIF(Vertices[Betweenness Centrality], "&gt;=" &amp; J28)</f>
        <v>0</v>
      </c>
      <c r="L27" s="41">
        <f t="shared" si="5"/>
        <v>0</v>
      </c>
      <c r="M27" s="42">
        <f>COUNTIF(Vertices[Closeness Centrality], "&gt;= " &amp; L27) - COUNTIF(Vertices[Closeness Centrality], "&gt;=" &amp; L28)</f>
        <v>0</v>
      </c>
      <c r="N27" s="41">
        <f t="shared" si="6"/>
        <v>0</v>
      </c>
      <c r="O27" s="42">
        <f>COUNTIF(Vertices[Eigenvector Centrality], "&gt;= " &amp; N27) - COUNTIF(Vertices[Eigenvector Centrality], "&gt;=" &amp; N28)</f>
        <v>0</v>
      </c>
      <c r="P27" s="41">
        <f t="shared" si="7"/>
        <v>0</v>
      </c>
      <c r="Q27" s="42">
        <f>COUNTIF(Vertices[PageRank], "&gt;= " &amp; P27) - COUNTIF(Vertices[PageRank], "&gt;=" &amp; P28)</f>
        <v>0</v>
      </c>
      <c r="R27" s="41">
        <f t="shared" si="8"/>
        <v>0</v>
      </c>
      <c r="S27" s="46">
        <f>COUNTIF(Vertices[Clustering Coefficient], "&gt;= " &amp; R27) - COUNTIF(Vertices[Clustering Coefficient], "&gt;=" &amp; R28)</f>
        <v>0</v>
      </c>
      <c r="T27" s="41" t="e">
        <f t="shared" ca="1" si="9"/>
        <v>#REF!</v>
      </c>
      <c r="U27" s="42" t="e">
        <f t="shared" ca="1" si="10"/>
        <v>#REF!</v>
      </c>
    </row>
    <row r="28" spans="4:21" x14ac:dyDescent="0.35">
      <c r="D28" s="34">
        <f t="shared" si="1"/>
        <v>0</v>
      </c>
      <c r="E28" s="3">
        <f>COUNTIF(Vertices[Degree], "&gt;= " &amp; D28) - COUNTIF(Vertices[Degree], "&gt;=" &amp; D29)</f>
        <v>0</v>
      </c>
      <c r="F28" s="39">
        <f t="shared" si="2"/>
        <v>0</v>
      </c>
      <c r="G28" s="40">
        <f>COUNTIF(Vertices[In-Degree], "&gt;= " &amp; F28) - COUNTIF(Vertices[In-Degree], "&gt;=" &amp; F29)</f>
        <v>0</v>
      </c>
      <c r="H28" s="39">
        <f t="shared" si="3"/>
        <v>0</v>
      </c>
      <c r="I28" s="40">
        <f>COUNTIF(Vertices[Out-Degree], "&gt;= " &amp; H28) - COUNTIF(Vertices[Out-Degree], "&gt;=" &amp; H29)</f>
        <v>0</v>
      </c>
      <c r="J28" s="39">
        <f t="shared" si="4"/>
        <v>0</v>
      </c>
      <c r="K28" s="40">
        <f>COUNTIF(Vertices[Betweenness Centrality], "&gt;= " &amp; J28) - COUNTIF(Vertices[Betweenness Centrality], "&gt;=" &amp; J29)</f>
        <v>0</v>
      </c>
      <c r="L28" s="39">
        <f t="shared" si="5"/>
        <v>0</v>
      </c>
      <c r="M28" s="40">
        <f>COUNTIF(Vertices[Closeness Centrality], "&gt;= " &amp; L28) - COUNTIF(Vertices[Closeness Centrality], "&gt;=" &amp; L29)</f>
        <v>0</v>
      </c>
      <c r="N28" s="39">
        <f t="shared" si="6"/>
        <v>0</v>
      </c>
      <c r="O28" s="40">
        <f>COUNTIF(Vertices[Eigenvector Centrality], "&gt;= " &amp; N28) - COUNTIF(Vertices[Eigenvector Centrality], "&gt;=" &amp; N29)</f>
        <v>0</v>
      </c>
      <c r="P28" s="39">
        <f t="shared" si="7"/>
        <v>0</v>
      </c>
      <c r="Q28" s="40">
        <f>COUNTIF(Vertices[PageRank], "&gt;= " &amp; P28) - COUNTIF(Vertices[PageRank], "&gt;=" &amp; P29)</f>
        <v>0</v>
      </c>
      <c r="R28" s="39">
        <f t="shared" si="8"/>
        <v>0</v>
      </c>
      <c r="S28" s="45">
        <f>COUNTIF(Vertices[Clustering Coefficient], "&gt;= " &amp; R28) - COUNTIF(Vertices[Clustering Coefficient], "&gt;=" &amp; R29)</f>
        <v>0</v>
      </c>
      <c r="T28" s="39" t="e">
        <f t="shared" ca="1" si="9"/>
        <v>#REF!</v>
      </c>
      <c r="U28" s="40" t="e">
        <f t="shared" ca="1" si="10"/>
        <v>#REF!</v>
      </c>
    </row>
    <row r="29" spans="4:21" x14ac:dyDescent="0.35">
      <c r="D29" s="34">
        <f t="shared" si="1"/>
        <v>0</v>
      </c>
      <c r="E29" s="3">
        <f>COUNTIF(Vertices[Degree], "&gt;= " &amp; D29) - COUNTIF(Vertices[Degree], "&gt;=" &amp; D30)</f>
        <v>0</v>
      </c>
      <c r="F29" s="41">
        <f t="shared" si="2"/>
        <v>0</v>
      </c>
      <c r="G29" s="42">
        <f>COUNTIF(Vertices[In-Degree], "&gt;= " &amp; F29) - COUNTIF(Vertices[In-Degree], "&gt;=" &amp; F30)</f>
        <v>0</v>
      </c>
      <c r="H29" s="41">
        <f t="shared" si="3"/>
        <v>0</v>
      </c>
      <c r="I29" s="42">
        <f>COUNTIF(Vertices[Out-Degree], "&gt;= " &amp; H29) - COUNTIF(Vertices[Out-Degree], "&gt;=" &amp; H30)</f>
        <v>0</v>
      </c>
      <c r="J29" s="41">
        <f t="shared" si="4"/>
        <v>0</v>
      </c>
      <c r="K29" s="42">
        <f>COUNTIF(Vertices[Betweenness Centrality], "&gt;= " &amp; J29) - COUNTIF(Vertices[Betweenness Centrality], "&gt;=" &amp; J30)</f>
        <v>0</v>
      </c>
      <c r="L29" s="41">
        <f t="shared" si="5"/>
        <v>0</v>
      </c>
      <c r="M29" s="42">
        <f>COUNTIF(Vertices[Closeness Centrality], "&gt;= " &amp; L29) - COUNTIF(Vertices[Closeness Centrality], "&gt;=" &amp; L30)</f>
        <v>0</v>
      </c>
      <c r="N29" s="41">
        <f t="shared" si="6"/>
        <v>0</v>
      </c>
      <c r="O29" s="42">
        <f>COUNTIF(Vertices[Eigenvector Centrality], "&gt;= " &amp; N29) - COUNTIF(Vertices[Eigenvector Centrality], "&gt;=" &amp; N30)</f>
        <v>0</v>
      </c>
      <c r="P29" s="41">
        <f t="shared" si="7"/>
        <v>0</v>
      </c>
      <c r="Q29" s="42">
        <f>COUNTIF(Vertices[PageRank], "&gt;= " &amp; P29) - COUNTIF(Vertices[PageRank], "&gt;=" &amp; P30)</f>
        <v>0</v>
      </c>
      <c r="R29" s="41">
        <f t="shared" si="8"/>
        <v>0</v>
      </c>
      <c r="S29" s="46">
        <f>COUNTIF(Vertices[Clustering Coefficient], "&gt;= " &amp; R29) - COUNTIF(Vertices[Clustering Coefficient], "&gt;=" &amp; R30)</f>
        <v>0</v>
      </c>
      <c r="T29" s="41" t="e">
        <f t="shared" ca="1" si="9"/>
        <v>#REF!</v>
      </c>
      <c r="U29" s="42" t="e">
        <f t="shared" ca="1" si="10"/>
        <v>#REF!</v>
      </c>
    </row>
    <row r="30" spans="4:21" x14ac:dyDescent="0.35">
      <c r="D30" s="34">
        <f t="shared" si="1"/>
        <v>0</v>
      </c>
      <c r="E30" s="3">
        <f>COUNTIF(Vertices[Degree], "&gt;= " &amp; D30) - COUNTIF(Vertices[Degree], "&gt;=" &amp; D31)</f>
        <v>0</v>
      </c>
      <c r="F30" s="39">
        <f t="shared" si="2"/>
        <v>0</v>
      </c>
      <c r="G30" s="40">
        <f>COUNTIF(Vertices[In-Degree], "&gt;= " &amp; F30) - COUNTIF(Vertices[In-Degree], "&gt;=" &amp; F31)</f>
        <v>0</v>
      </c>
      <c r="H30" s="39">
        <f t="shared" si="3"/>
        <v>0</v>
      </c>
      <c r="I30" s="40">
        <f>COUNTIF(Vertices[Out-Degree], "&gt;= " &amp; H30) - COUNTIF(Vertices[Out-Degree], "&gt;=" &amp; H31)</f>
        <v>0</v>
      </c>
      <c r="J30" s="39">
        <f t="shared" si="4"/>
        <v>0</v>
      </c>
      <c r="K30" s="40">
        <f>COUNTIF(Vertices[Betweenness Centrality], "&gt;= " &amp; J30) - COUNTIF(Vertices[Betweenness Centrality], "&gt;=" &amp; J31)</f>
        <v>0</v>
      </c>
      <c r="L30" s="39">
        <f t="shared" si="5"/>
        <v>0</v>
      </c>
      <c r="M30" s="40">
        <f>COUNTIF(Vertices[Closeness Centrality], "&gt;= " &amp; L30) - COUNTIF(Vertices[Closeness Centrality], "&gt;=" &amp; L31)</f>
        <v>0</v>
      </c>
      <c r="N30" s="39">
        <f t="shared" si="6"/>
        <v>0</v>
      </c>
      <c r="O30" s="40">
        <f>COUNTIF(Vertices[Eigenvector Centrality], "&gt;= " &amp; N30) - COUNTIF(Vertices[Eigenvector Centrality], "&gt;=" &amp; N31)</f>
        <v>0</v>
      </c>
      <c r="P30" s="39">
        <f t="shared" si="7"/>
        <v>0</v>
      </c>
      <c r="Q30" s="40">
        <f>COUNTIF(Vertices[PageRank], "&gt;= " &amp; P30) - COUNTIF(Vertices[PageRank], "&gt;=" &amp; P31)</f>
        <v>0</v>
      </c>
      <c r="R30" s="39">
        <f t="shared" si="8"/>
        <v>0</v>
      </c>
      <c r="S30" s="45">
        <f>COUNTIF(Vertices[Clustering Coefficient], "&gt;= " &amp; R30) - COUNTIF(Vertices[Clustering Coefficient], "&gt;=" &amp; R31)</f>
        <v>0</v>
      </c>
      <c r="T30" s="39" t="e">
        <f t="shared" ca="1" si="9"/>
        <v>#REF!</v>
      </c>
      <c r="U30" s="40" t="e">
        <f t="shared" ca="1" si="10"/>
        <v>#REF!</v>
      </c>
    </row>
    <row r="31" spans="4:21" x14ac:dyDescent="0.35">
      <c r="D31" s="34">
        <f t="shared" si="1"/>
        <v>0</v>
      </c>
      <c r="E31" s="3">
        <f>COUNTIF(Vertices[Degree], "&gt;= " &amp; D31) - COUNTIF(Vertices[Degree], "&gt;=" &amp; D32)</f>
        <v>0</v>
      </c>
      <c r="F31" s="41">
        <f t="shared" si="2"/>
        <v>0</v>
      </c>
      <c r="G31" s="42">
        <f>COUNTIF(Vertices[In-Degree], "&gt;= " &amp; F31) - COUNTIF(Vertices[In-Degree], "&gt;=" &amp; F32)</f>
        <v>0</v>
      </c>
      <c r="H31" s="41">
        <f t="shared" si="3"/>
        <v>0</v>
      </c>
      <c r="I31" s="42">
        <f>COUNTIF(Vertices[Out-Degree], "&gt;= " &amp; H31) - COUNTIF(Vertices[Out-Degree], "&gt;=" &amp; H32)</f>
        <v>0</v>
      </c>
      <c r="J31" s="41">
        <f t="shared" si="4"/>
        <v>0</v>
      </c>
      <c r="K31" s="42">
        <f>COUNTIF(Vertices[Betweenness Centrality], "&gt;= " &amp; J31) - COUNTIF(Vertices[Betweenness Centrality], "&gt;=" &amp; J32)</f>
        <v>0</v>
      </c>
      <c r="L31" s="41">
        <f t="shared" si="5"/>
        <v>0</v>
      </c>
      <c r="M31" s="42">
        <f>COUNTIF(Vertices[Closeness Centrality], "&gt;= " &amp; L31) - COUNTIF(Vertices[Closeness Centrality], "&gt;=" &amp; L32)</f>
        <v>0</v>
      </c>
      <c r="N31" s="41">
        <f t="shared" si="6"/>
        <v>0</v>
      </c>
      <c r="O31" s="42">
        <f>COUNTIF(Vertices[Eigenvector Centrality], "&gt;= " &amp; N31) - COUNTIF(Vertices[Eigenvector Centrality], "&gt;=" &amp; N32)</f>
        <v>0</v>
      </c>
      <c r="P31" s="41">
        <f t="shared" si="7"/>
        <v>0</v>
      </c>
      <c r="Q31" s="42">
        <f>COUNTIF(Vertices[PageRank], "&gt;= " &amp; P31) - COUNTIF(Vertices[PageRank], "&gt;=" &amp; P32)</f>
        <v>0</v>
      </c>
      <c r="R31" s="41">
        <f t="shared" si="8"/>
        <v>0</v>
      </c>
      <c r="S31" s="46">
        <f>COUNTIF(Vertices[Clustering Coefficient], "&gt;= " &amp; R31) - COUNTIF(Vertices[Clustering Coefficient], "&gt;=" &amp; R32)</f>
        <v>0</v>
      </c>
      <c r="T31" s="41" t="e">
        <f t="shared" ca="1" si="9"/>
        <v>#REF!</v>
      </c>
      <c r="U31" s="42" t="e">
        <f t="shared" ca="1" si="10"/>
        <v>#REF!</v>
      </c>
    </row>
    <row r="32" spans="4:21" x14ac:dyDescent="0.35">
      <c r="D32" s="34">
        <f t="shared" si="1"/>
        <v>0</v>
      </c>
      <c r="E32" s="3">
        <f>COUNTIF(Vertices[Degree], "&gt;= " &amp; D32) - COUNTIF(Vertices[Degree], "&gt;=" &amp; D33)</f>
        <v>0</v>
      </c>
      <c r="F32" s="39">
        <f t="shared" si="2"/>
        <v>0</v>
      </c>
      <c r="G32" s="40">
        <f>COUNTIF(Vertices[In-Degree], "&gt;= " &amp; F32) - COUNTIF(Vertices[In-Degree], "&gt;=" &amp; F33)</f>
        <v>0</v>
      </c>
      <c r="H32" s="39">
        <f t="shared" si="3"/>
        <v>0</v>
      </c>
      <c r="I32" s="40">
        <f>COUNTIF(Vertices[Out-Degree], "&gt;= " &amp; H32) - COUNTIF(Vertices[Out-Degree], "&gt;=" &amp; H33)</f>
        <v>0</v>
      </c>
      <c r="J32" s="39">
        <f t="shared" si="4"/>
        <v>0</v>
      </c>
      <c r="K32" s="40">
        <f>COUNTIF(Vertices[Betweenness Centrality], "&gt;= " &amp; J32) - COUNTIF(Vertices[Betweenness Centrality], "&gt;=" &amp; J33)</f>
        <v>0</v>
      </c>
      <c r="L32" s="39">
        <f t="shared" si="5"/>
        <v>0</v>
      </c>
      <c r="M32" s="40">
        <f>COUNTIF(Vertices[Closeness Centrality], "&gt;= " &amp; L32) - COUNTIF(Vertices[Closeness Centrality], "&gt;=" &amp; L33)</f>
        <v>0</v>
      </c>
      <c r="N32" s="39">
        <f t="shared" si="6"/>
        <v>0</v>
      </c>
      <c r="O32" s="40">
        <f>COUNTIF(Vertices[Eigenvector Centrality], "&gt;= " &amp; N32) - COUNTIF(Vertices[Eigenvector Centrality], "&gt;=" &amp; N33)</f>
        <v>0</v>
      </c>
      <c r="P32" s="39">
        <f t="shared" si="7"/>
        <v>0</v>
      </c>
      <c r="Q32" s="40">
        <f>COUNTIF(Vertices[PageRank], "&gt;= " &amp; P32) - COUNTIF(Vertices[PageRank], "&gt;=" &amp; P33)</f>
        <v>0</v>
      </c>
      <c r="R32" s="39">
        <f t="shared" si="8"/>
        <v>0</v>
      </c>
      <c r="S32" s="45">
        <f>COUNTIF(Vertices[Clustering Coefficient], "&gt;= " &amp; R32) - COUNTIF(Vertices[Clustering Coefficient], "&gt;=" &amp; R33)</f>
        <v>0</v>
      </c>
      <c r="T32" s="39" t="e">
        <f t="shared" ca="1" si="9"/>
        <v>#REF!</v>
      </c>
      <c r="U32" s="40" t="e">
        <f t="shared" ca="1" si="10"/>
        <v>#REF!</v>
      </c>
    </row>
    <row r="33" spans="4:21" x14ac:dyDescent="0.35">
      <c r="D33" s="34">
        <f t="shared" si="1"/>
        <v>0</v>
      </c>
      <c r="E33" s="3">
        <f>COUNTIF(Vertices[Degree], "&gt;= " &amp; D33) - COUNTIF(Vertices[Degree], "&gt;=" &amp; D34)</f>
        <v>0</v>
      </c>
      <c r="F33" s="41">
        <f t="shared" si="2"/>
        <v>0</v>
      </c>
      <c r="G33" s="42">
        <f>COUNTIF(Vertices[In-Degree], "&gt;= " &amp; F33) - COUNTIF(Vertices[In-Degree], "&gt;=" &amp; F34)</f>
        <v>0</v>
      </c>
      <c r="H33" s="41">
        <f t="shared" si="3"/>
        <v>0</v>
      </c>
      <c r="I33" s="42">
        <f>COUNTIF(Vertices[Out-Degree], "&gt;= " &amp; H33) - COUNTIF(Vertices[Out-Degree], "&gt;=" &amp; H34)</f>
        <v>0</v>
      </c>
      <c r="J33" s="41">
        <f t="shared" si="4"/>
        <v>0</v>
      </c>
      <c r="K33" s="42">
        <f>COUNTIF(Vertices[Betweenness Centrality], "&gt;= " &amp; J33) - COUNTIF(Vertices[Betweenness Centrality], "&gt;=" &amp; J34)</f>
        <v>0</v>
      </c>
      <c r="L33" s="41">
        <f t="shared" si="5"/>
        <v>0</v>
      </c>
      <c r="M33" s="42">
        <f>COUNTIF(Vertices[Closeness Centrality], "&gt;= " &amp; L33) - COUNTIF(Vertices[Closeness Centrality], "&gt;=" &amp; L34)</f>
        <v>0</v>
      </c>
      <c r="N33" s="41">
        <f t="shared" si="6"/>
        <v>0</v>
      </c>
      <c r="O33" s="42">
        <f>COUNTIF(Vertices[Eigenvector Centrality], "&gt;= " &amp; N33) - COUNTIF(Vertices[Eigenvector Centrality], "&gt;=" &amp; N34)</f>
        <v>0</v>
      </c>
      <c r="P33" s="41">
        <f t="shared" si="7"/>
        <v>0</v>
      </c>
      <c r="Q33" s="42">
        <f>COUNTIF(Vertices[PageRank], "&gt;= " &amp; P33) - COUNTIF(Vertices[PageRank], "&gt;=" &amp; P34)</f>
        <v>0</v>
      </c>
      <c r="R33" s="41">
        <f t="shared" si="8"/>
        <v>0</v>
      </c>
      <c r="S33" s="46">
        <f>COUNTIF(Vertices[Clustering Coefficient], "&gt;= " &amp; R33) - COUNTIF(Vertices[Clustering Coefficient], "&gt;=" &amp; R34)</f>
        <v>0</v>
      </c>
      <c r="T33" s="41" t="e">
        <f t="shared" ca="1" si="9"/>
        <v>#REF!</v>
      </c>
      <c r="U33" s="42" t="e">
        <f t="shared" ca="1" si="10"/>
        <v>#REF!</v>
      </c>
    </row>
    <row r="34" spans="4:21" x14ac:dyDescent="0.35">
      <c r="D34" s="34">
        <f t="shared" si="1"/>
        <v>0</v>
      </c>
      <c r="E34" s="3">
        <f>COUNTIF(Vertices[Degree], "&gt;= " &amp; D34) - COUNTIF(Vertices[Degree], "&gt;=" &amp; D35)</f>
        <v>0</v>
      </c>
      <c r="F34" s="39">
        <f t="shared" si="2"/>
        <v>0</v>
      </c>
      <c r="G34" s="40">
        <f>COUNTIF(Vertices[In-Degree], "&gt;= " &amp; F34) - COUNTIF(Vertices[In-Degree], "&gt;=" &amp; F35)</f>
        <v>0</v>
      </c>
      <c r="H34" s="39">
        <f t="shared" si="3"/>
        <v>0</v>
      </c>
      <c r="I34" s="40">
        <f>COUNTIF(Vertices[Out-Degree], "&gt;= " &amp; H34) - COUNTIF(Vertices[Out-Degree], "&gt;=" &amp; H35)</f>
        <v>0</v>
      </c>
      <c r="J34" s="39">
        <f t="shared" si="4"/>
        <v>0</v>
      </c>
      <c r="K34" s="40">
        <f>COUNTIF(Vertices[Betweenness Centrality], "&gt;= " &amp; J34) - COUNTIF(Vertices[Betweenness Centrality], "&gt;=" &amp; J35)</f>
        <v>0</v>
      </c>
      <c r="L34" s="39">
        <f t="shared" si="5"/>
        <v>0</v>
      </c>
      <c r="M34" s="40">
        <f>COUNTIF(Vertices[Closeness Centrality], "&gt;= " &amp; L34) - COUNTIF(Vertices[Closeness Centrality], "&gt;=" &amp; L35)</f>
        <v>0</v>
      </c>
      <c r="N34" s="39">
        <f t="shared" si="6"/>
        <v>0</v>
      </c>
      <c r="O34" s="40">
        <f>COUNTIF(Vertices[Eigenvector Centrality], "&gt;= " &amp; N34) - COUNTIF(Vertices[Eigenvector Centrality], "&gt;=" &amp; N35)</f>
        <v>0</v>
      </c>
      <c r="P34" s="39">
        <f t="shared" si="7"/>
        <v>0</v>
      </c>
      <c r="Q34" s="40">
        <f>COUNTIF(Vertices[PageRank], "&gt;= " &amp; P34) - COUNTIF(Vertices[PageRank], "&gt;=" &amp; P35)</f>
        <v>0</v>
      </c>
      <c r="R34" s="39">
        <f t="shared" si="8"/>
        <v>0</v>
      </c>
      <c r="S34" s="45">
        <f>COUNTIF(Vertices[Clustering Coefficient], "&gt;= " &amp; R34) - COUNTIF(Vertices[Clustering Coefficient], "&gt;=" &amp; R35)</f>
        <v>0</v>
      </c>
      <c r="T34" s="39" t="e">
        <f t="shared" ca="1" si="9"/>
        <v>#REF!</v>
      </c>
      <c r="U34" s="40" t="e">
        <f t="shared" ca="1" si="10"/>
        <v>#REF!</v>
      </c>
    </row>
    <row r="35" spans="4:21" x14ac:dyDescent="0.35">
      <c r="D35" s="34">
        <f t="shared" si="1"/>
        <v>0</v>
      </c>
      <c r="E35" s="3">
        <f>COUNTIF(Vertices[Degree], "&gt;= " &amp; D35) - COUNTIF(Vertices[Degree], "&gt;=" &amp; D36)</f>
        <v>0</v>
      </c>
      <c r="F35" s="41">
        <f t="shared" si="2"/>
        <v>0</v>
      </c>
      <c r="G35" s="42">
        <f>COUNTIF(Vertices[In-Degree], "&gt;= " &amp; F35) - COUNTIF(Vertices[In-Degree], "&gt;=" &amp; F36)</f>
        <v>0</v>
      </c>
      <c r="H35" s="41">
        <f t="shared" si="3"/>
        <v>0</v>
      </c>
      <c r="I35" s="42">
        <f>COUNTIF(Vertices[Out-Degree], "&gt;= " &amp; H35) - COUNTIF(Vertices[Out-Degree], "&gt;=" &amp; H36)</f>
        <v>0</v>
      </c>
      <c r="J35" s="41">
        <f t="shared" si="4"/>
        <v>0</v>
      </c>
      <c r="K35" s="42">
        <f>COUNTIF(Vertices[Betweenness Centrality], "&gt;= " &amp; J35) - COUNTIF(Vertices[Betweenness Centrality], "&gt;=" &amp; J36)</f>
        <v>0</v>
      </c>
      <c r="L35" s="41">
        <f t="shared" si="5"/>
        <v>0</v>
      </c>
      <c r="M35" s="42">
        <f>COUNTIF(Vertices[Closeness Centrality], "&gt;= " &amp; L35) - COUNTIF(Vertices[Closeness Centrality], "&gt;=" &amp; L36)</f>
        <v>0</v>
      </c>
      <c r="N35" s="41">
        <f t="shared" si="6"/>
        <v>0</v>
      </c>
      <c r="O35" s="42">
        <f>COUNTIF(Vertices[Eigenvector Centrality], "&gt;= " &amp; N35) - COUNTIF(Vertices[Eigenvector Centrality], "&gt;=" &amp; N36)</f>
        <v>0</v>
      </c>
      <c r="P35" s="41">
        <f t="shared" si="7"/>
        <v>0</v>
      </c>
      <c r="Q35" s="42">
        <f>COUNTIF(Vertices[PageRank], "&gt;= " &amp; P35) - COUNTIF(Vertices[PageRank], "&gt;=" &amp; P36)</f>
        <v>0</v>
      </c>
      <c r="R35" s="41">
        <f t="shared" si="8"/>
        <v>0</v>
      </c>
      <c r="S35" s="46">
        <f>COUNTIF(Vertices[Clustering Coefficient], "&gt;= " &amp; R35) - COUNTIF(Vertices[Clustering Coefficient], "&gt;=" &amp; R36)</f>
        <v>0</v>
      </c>
      <c r="T35" s="41" t="e">
        <f t="shared" ca="1" si="9"/>
        <v>#REF!</v>
      </c>
      <c r="U35" s="42" t="e">
        <f t="shared" ca="1" si="10"/>
        <v>#REF!</v>
      </c>
    </row>
    <row r="36" spans="4:21" x14ac:dyDescent="0.35">
      <c r="D36" s="34">
        <f>MAX(Vertices[Degree])</f>
        <v>0</v>
      </c>
      <c r="E36" s="3">
        <f>COUNTIF(Vertices[Degree], "&gt;= " &amp; D36) - COUNTIF(Vertices[Degree], "&gt;=" &amp;#REF!)</f>
        <v>0</v>
      </c>
      <c r="F36" s="43">
        <f>MAX(Vertices[In-Degree])</f>
        <v>0</v>
      </c>
      <c r="G36" s="44">
        <f>COUNTIF(Vertices[In-Degree], "&gt;= " &amp; F36) - COUNTIF(Vertices[In-Degree], "&gt;=" &amp;#REF!)</f>
        <v>0</v>
      </c>
      <c r="H36" s="43">
        <f>MAX(Vertices[Out-Degree])</f>
        <v>0</v>
      </c>
      <c r="I36" s="44">
        <f>COUNTIF(Vertices[Out-Degree], "&gt;= " &amp; H36) - COUNTIF(Vertices[Out-Degree], "&gt;=" &amp;#REF!)</f>
        <v>0</v>
      </c>
      <c r="J36" s="43">
        <f>MAX(Vertices[Betweenness Centrality])</f>
        <v>0</v>
      </c>
      <c r="K36" s="44">
        <f>COUNTIF(Vertices[Betweenness Centrality], "&gt;= " &amp; J36) - COUNTIF(Vertices[Betweenness Centrality], "&gt;=" &amp;#REF!)</f>
        <v>0</v>
      </c>
      <c r="L36" s="43">
        <f>MAX(Vertices[Closeness Centrality])</f>
        <v>0</v>
      </c>
      <c r="M36" s="44">
        <f>COUNTIF(Vertices[Closeness Centrality], "&gt;= " &amp; L36) - COUNTIF(Vertices[Closeness Centrality], "&gt;=" &amp;#REF!)</f>
        <v>0</v>
      </c>
      <c r="N36" s="43">
        <f>MAX(Vertices[Eigenvector Centrality])</f>
        <v>0</v>
      </c>
      <c r="O36" s="44">
        <f>COUNTIF(Vertices[Eigenvector Centrality], "&gt;= " &amp; N36) - COUNTIF(Vertices[Eigenvector Centrality], "&gt;=" &amp;#REF!)</f>
        <v>0</v>
      </c>
      <c r="P36" s="43">
        <f>MAX(Vertices[PageRank])</f>
        <v>0</v>
      </c>
      <c r="Q36" s="44">
        <f>COUNTIF(Vertices[PageRank], "&gt;= " &amp; P36) - COUNTIF(Vertices[PageRank], "&gt;=" &amp;#REF!)</f>
        <v>0</v>
      </c>
      <c r="R36" s="43">
        <f>MAX(Vertices[Clustering Coefficient])</f>
        <v>0</v>
      </c>
      <c r="S36" s="47">
        <f>COUNTIF(Vertices[Clustering Coefficient], "&gt;= " &amp; R36) - COUNTIF(Vertices[Clustering Coefficient], "&gt;=" &amp;#REF!)</f>
        <v>0</v>
      </c>
      <c r="T36" s="43" t="e">
        <f ca="1">MAX(INDIRECT(DynamicFilterSourceColumnRange))</f>
        <v>#REF!</v>
      </c>
      <c r="U36" s="44" t="e">
        <f ca="1">COUNTIF(INDIRECT(DynamicFilterSourceColumnRange), "&gt;= " &amp; T36) - COUNTIF(INDIRECT(DynamicFilterSourceColumnRange), "&gt;=" &amp;#REF!)</f>
        <v>#REF!</v>
      </c>
    </row>
    <row r="53" spans="1:2" x14ac:dyDescent="0.35">
      <c r="A53" t="s">
        <v>163</v>
      </c>
      <c r="B53" t="s">
        <v>17</v>
      </c>
    </row>
    <row r="54" spans="1:2" x14ac:dyDescent="0.35">
      <c r="A54" s="35"/>
      <c r="B54" s="35"/>
    </row>
    <row r="67" spans="1:2" x14ac:dyDescent="0.35">
      <c r="A67" s="35" t="s">
        <v>81</v>
      </c>
      <c r="B67" s="48" t="str">
        <f>IF(COUNT(Vertices[Degree])&gt;0, D2, NoMetricMessage)</f>
        <v>Not Available</v>
      </c>
    </row>
    <row r="68" spans="1:2" x14ac:dyDescent="0.35">
      <c r="A68" s="35" t="s">
        <v>82</v>
      </c>
      <c r="B68" s="48" t="str">
        <f>IF(COUNT(Vertices[Degree])&gt;0, D36, NoMetricMessage)</f>
        <v>Not Available</v>
      </c>
    </row>
    <row r="69" spans="1:2" x14ac:dyDescent="0.35">
      <c r="A69" s="35" t="s">
        <v>83</v>
      </c>
      <c r="B69" s="49" t="str">
        <f>IFERROR(AVERAGE(Vertices[Degree]),NoMetricMessage)</f>
        <v>Not Available</v>
      </c>
    </row>
    <row r="70" spans="1:2" x14ac:dyDescent="0.35">
      <c r="A70" s="35" t="s">
        <v>84</v>
      </c>
      <c r="B70" s="49" t="str">
        <f>IFERROR(MEDIAN(Vertices[Degree]),NoMetricMessage)</f>
        <v>Not Available</v>
      </c>
    </row>
    <row r="81" spans="1:2" x14ac:dyDescent="0.35">
      <c r="A81" s="35" t="s">
        <v>88</v>
      </c>
      <c r="B81" s="48" t="str">
        <f>IF(COUNT(Vertices[In-Degree])&gt;0, F2, NoMetricMessage)</f>
        <v>Not Available</v>
      </c>
    </row>
    <row r="82" spans="1:2" x14ac:dyDescent="0.35">
      <c r="A82" s="35" t="s">
        <v>89</v>
      </c>
      <c r="B82" s="48" t="str">
        <f>IF(COUNT(Vertices[In-Degree])&gt;0, F36, NoMetricMessage)</f>
        <v>Not Available</v>
      </c>
    </row>
    <row r="83" spans="1:2" x14ac:dyDescent="0.35">
      <c r="A83" s="35" t="s">
        <v>90</v>
      </c>
      <c r="B83" s="49" t="str">
        <f>IFERROR(AVERAGE(Vertices[In-Degree]),NoMetricMessage)</f>
        <v>Not Available</v>
      </c>
    </row>
    <row r="84" spans="1:2" x14ac:dyDescent="0.35">
      <c r="A84" s="35" t="s">
        <v>91</v>
      </c>
      <c r="B84" s="49" t="str">
        <f>IFERROR(MEDIAN(Vertices[In-Degree]),NoMetricMessage)</f>
        <v>Not Available</v>
      </c>
    </row>
    <row r="95" spans="1:2" x14ac:dyDescent="0.35">
      <c r="A95" s="35" t="s">
        <v>94</v>
      </c>
      <c r="B95" s="48" t="str">
        <f>IF(COUNT(Vertices[Out-Degree])&gt;0, H2, NoMetricMessage)</f>
        <v>Not Available</v>
      </c>
    </row>
    <row r="96" spans="1:2" x14ac:dyDescent="0.35">
      <c r="A96" s="35" t="s">
        <v>95</v>
      </c>
      <c r="B96" s="48" t="str">
        <f>IF(COUNT(Vertices[Out-Degree])&gt;0, H36, NoMetricMessage)</f>
        <v>Not Available</v>
      </c>
    </row>
    <row r="97" spans="1:2" x14ac:dyDescent="0.35">
      <c r="A97" s="35" t="s">
        <v>96</v>
      </c>
      <c r="B97" s="49" t="str">
        <f>IFERROR(AVERAGE(Vertices[Out-Degree]),NoMetricMessage)</f>
        <v>Not Available</v>
      </c>
    </row>
    <row r="98" spans="1:2" x14ac:dyDescent="0.35">
      <c r="A98" s="35" t="s">
        <v>97</v>
      </c>
      <c r="B98" s="49" t="str">
        <f>IFERROR(MEDIAN(Vertices[Out-Degree]),NoMetricMessage)</f>
        <v>Not Available</v>
      </c>
    </row>
    <row r="109" spans="1:2" x14ac:dyDescent="0.35">
      <c r="A109" s="35" t="s">
        <v>100</v>
      </c>
      <c r="B109" s="49" t="str">
        <f>IF(COUNT(Vertices[Betweenness Centrality])&gt;0, J2, NoMetricMessage)</f>
        <v>Not Available</v>
      </c>
    </row>
    <row r="110" spans="1:2" x14ac:dyDescent="0.35">
      <c r="A110" s="35" t="s">
        <v>101</v>
      </c>
      <c r="B110" s="49" t="str">
        <f>IF(COUNT(Vertices[Betweenness Centrality])&gt;0, J36, NoMetricMessage)</f>
        <v>Not Available</v>
      </c>
    </row>
    <row r="111" spans="1:2" x14ac:dyDescent="0.35">
      <c r="A111" s="35" t="s">
        <v>102</v>
      </c>
      <c r="B111" s="49" t="str">
        <f>IFERROR(AVERAGE(Vertices[Betweenness Centrality]),NoMetricMessage)</f>
        <v>Not Available</v>
      </c>
    </row>
    <row r="112" spans="1:2" x14ac:dyDescent="0.35">
      <c r="A112" s="35" t="s">
        <v>103</v>
      </c>
      <c r="B112" s="49" t="str">
        <f>IFERROR(MEDIAN(Vertices[Betweenness Centrality]),NoMetricMessage)</f>
        <v>Not Available</v>
      </c>
    </row>
    <row r="123" spans="1:2" x14ac:dyDescent="0.35">
      <c r="A123" s="35" t="s">
        <v>106</v>
      </c>
      <c r="B123" s="49" t="str">
        <f>IF(COUNT(Vertices[Closeness Centrality])&gt;0, L2, NoMetricMessage)</f>
        <v>Not Available</v>
      </c>
    </row>
    <row r="124" spans="1:2" x14ac:dyDescent="0.35">
      <c r="A124" s="35" t="s">
        <v>107</v>
      </c>
      <c r="B124" s="49" t="str">
        <f>IF(COUNT(Vertices[Closeness Centrality])&gt;0, L36, NoMetricMessage)</f>
        <v>Not Available</v>
      </c>
    </row>
    <row r="125" spans="1:2" x14ac:dyDescent="0.35">
      <c r="A125" s="35" t="s">
        <v>108</v>
      </c>
      <c r="B125" s="49" t="str">
        <f>IFERROR(AVERAGE(Vertices[Closeness Centrality]),NoMetricMessage)</f>
        <v>Not Available</v>
      </c>
    </row>
    <row r="126" spans="1:2" x14ac:dyDescent="0.35">
      <c r="A126" s="35" t="s">
        <v>109</v>
      </c>
      <c r="B126" s="49" t="str">
        <f>IFERROR(MEDIAN(Vertices[Closeness Centrality]),NoMetricMessage)</f>
        <v>Not Available</v>
      </c>
    </row>
    <row r="137" spans="1:2" x14ac:dyDescent="0.35">
      <c r="A137" s="35" t="s">
        <v>112</v>
      </c>
      <c r="B137" s="49" t="str">
        <f>IF(COUNT(Vertices[Eigenvector Centrality])&gt;0, N2, NoMetricMessage)</f>
        <v>Not Available</v>
      </c>
    </row>
    <row r="138" spans="1:2" x14ac:dyDescent="0.35">
      <c r="A138" s="35" t="s">
        <v>113</v>
      </c>
      <c r="B138" s="49" t="str">
        <f>IF(COUNT(Vertices[Eigenvector Centrality])&gt;0, N36, NoMetricMessage)</f>
        <v>Not Available</v>
      </c>
    </row>
    <row r="139" spans="1:2" x14ac:dyDescent="0.35">
      <c r="A139" s="35" t="s">
        <v>114</v>
      </c>
      <c r="B139" s="49" t="str">
        <f>IFERROR(AVERAGE(Vertices[Eigenvector Centrality]),NoMetricMessage)</f>
        <v>Not Available</v>
      </c>
    </row>
    <row r="140" spans="1:2" x14ac:dyDescent="0.35">
      <c r="A140" s="35" t="s">
        <v>115</v>
      </c>
      <c r="B140" s="49" t="str">
        <f>IFERROR(MEDIAN(Vertices[Eigenvector Centrality]),NoMetricMessage)</f>
        <v>Not Available</v>
      </c>
    </row>
    <row r="151" spans="1:2" x14ac:dyDescent="0.35">
      <c r="A151" s="35" t="s">
        <v>140</v>
      </c>
      <c r="B151" s="49" t="str">
        <f>IF(COUNT(Vertices[PageRank])&gt;0, P2, NoMetricMessage)</f>
        <v>Not Available</v>
      </c>
    </row>
    <row r="152" spans="1:2" x14ac:dyDescent="0.35">
      <c r="A152" s="35" t="s">
        <v>141</v>
      </c>
      <c r="B152" s="49" t="str">
        <f>IF(COUNT(Vertices[PageRank])&gt;0, P36, NoMetricMessage)</f>
        <v>Not Available</v>
      </c>
    </row>
    <row r="153" spans="1:2" x14ac:dyDescent="0.35">
      <c r="A153" s="35" t="s">
        <v>142</v>
      </c>
      <c r="B153" s="49" t="str">
        <f>IFERROR(AVERAGE(Vertices[PageRank]),NoMetricMessage)</f>
        <v>Not Available</v>
      </c>
    </row>
    <row r="154" spans="1:2" x14ac:dyDescent="0.35">
      <c r="A154" s="35" t="s">
        <v>143</v>
      </c>
      <c r="B154" s="49" t="str">
        <f>IFERROR(MEDIAN(Vertices[PageRank]),NoMetricMessage)</f>
        <v>Not Available</v>
      </c>
    </row>
    <row r="165" spans="1:2" x14ac:dyDescent="0.35">
      <c r="A165" s="35" t="s">
        <v>118</v>
      </c>
      <c r="B165" s="49" t="str">
        <f>IF(COUNT(Vertices[Clustering Coefficient])&gt;0, R2, NoMetricMessage)</f>
        <v>Not Available</v>
      </c>
    </row>
    <row r="166" spans="1:2" x14ac:dyDescent="0.35">
      <c r="A166" s="35" t="s">
        <v>119</v>
      </c>
      <c r="B166" s="49" t="str">
        <f>IF(COUNT(Vertices[Clustering Coefficient])&gt;0, R36, NoMetricMessage)</f>
        <v>Not Available</v>
      </c>
    </row>
    <row r="167" spans="1:2" x14ac:dyDescent="0.35">
      <c r="A167" s="35" t="s">
        <v>120</v>
      </c>
      <c r="B167" s="49" t="str">
        <f>IFERROR(AVERAGE(Vertices[Clustering Coefficient]),NoMetricMessage)</f>
        <v>Not Available</v>
      </c>
    </row>
    <row r="168" spans="1:2" x14ac:dyDescent="0.35">
      <c r="A168" s="35" t="s">
        <v>121</v>
      </c>
      <c r="B168" s="49" t="str">
        <f>IFERROR(MEDIAN(Vertices[Clustering Coefficient]),NoMetricMessage)</f>
        <v>Not Available</v>
      </c>
    </row>
  </sheetData>
  <dataConsolidate/>
  <pageMargins left="0.7" right="0.7" top="0.75" bottom="0.75" header="0.3" footer="0.3"/>
  <pageSetup orientation="portrait"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4.5" x14ac:dyDescent="0.35"/>
  <cols>
    <col min="1" max="1" width="10.453125" style="1" bestFit="1" customWidth="1"/>
    <col min="2" max="2" width="12.453125" style="1" bestFit="1" customWidth="1"/>
    <col min="3" max="3" width="22.81640625" bestFit="1" customWidth="1"/>
    <col min="4" max="4" width="16.81640625" bestFit="1" customWidth="1"/>
    <col min="5" max="6" width="16.81640625" customWidth="1"/>
    <col min="7" max="7" width="14.26953125" bestFit="1" customWidth="1"/>
    <col min="8" max="8" width="14.26953125" customWidth="1"/>
    <col min="10" max="10" width="39.1796875" bestFit="1" customWidth="1"/>
    <col min="11" max="11" width="10.81640625" bestFit="1" customWidth="1"/>
    <col min="13" max="13" width="8.453125" bestFit="1" customWidth="1"/>
    <col min="14" max="14" width="10" bestFit="1" customWidth="1"/>
    <col min="15" max="15" width="11.81640625" bestFit="1" customWidth="1"/>
    <col min="16" max="16" width="12.1796875" bestFit="1" customWidth="1"/>
  </cols>
  <sheetData>
    <row r="1" spans="1:18" s="4" customFormat="1" ht="36" customHeight="1" x14ac:dyDescent="0.35">
      <c r="A1" s="5" t="s">
        <v>6</v>
      </c>
      <c r="B1" s="5" t="s">
        <v>131</v>
      </c>
      <c r="C1" s="4" t="s">
        <v>7</v>
      </c>
      <c r="D1" s="4" t="s">
        <v>9</v>
      </c>
      <c r="E1" s="4" t="s">
        <v>164</v>
      </c>
      <c r="F1" s="5" t="s">
        <v>169</v>
      </c>
      <c r="G1" s="4" t="s">
        <v>14</v>
      </c>
      <c r="H1" s="4" t="s">
        <v>67</v>
      </c>
      <c r="J1" s="4" t="s">
        <v>18</v>
      </c>
      <c r="K1" s="4" t="s">
        <v>17</v>
      </c>
      <c r="M1" s="4" t="s">
        <v>22</v>
      </c>
      <c r="N1" s="4" t="s">
        <v>23</v>
      </c>
      <c r="O1" s="4" t="s">
        <v>24</v>
      </c>
      <c r="P1" s="4" t="s">
        <v>25</v>
      </c>
    </row>
    <row r="2" spans="1:18" x14ac:dyDescent="0.35">
      <c r="A2" s="1" t="s">
        <v>51</v>
      </c>
      <c r="B2" s="1" t="s">
        <v>132</v>
      </c>
      <c r="C2" t="s">
        <v>54</v>
      </c>
      <c r="D2" t="s">
        <v>55</v>
      </c>
      <c r="E2" t="s">
        <v>55</v>
      </c>
      <c r="F2" s="1" t="s">
        <v>51</v>
      </c>
      <c r="G2" t="s">
        <v>65</v>
      </c>
      <c r="H2" t="s">
        <v>159</v>
      </c>
      <c r="J2" t="s">
        <v>19</v>
      </c>
      <c r="K2">
        <v>108</v>
      </c>
    </row>
    <row r="3" spans="1:18" x14ac:dyDescent="0.35">
      <c r="A3" s="1" t="s">
        <v>52</v>
      </c>
      <c r="B3" s="1" t="s">
        <v>133</v>
      </c>
      <c r="C3" t="s">
        <v>52</v>
      </c>
      <c r="D3" t="s">
        <v>56</v>
      </c>
      <c r="E3" t="s">
        <v>56</v>
      </c>
      <c r="F3" s="1" t="s">
        <v>52</v>
      </c>
      <c r="G3" t="s">
        <v>66</v>
      </c>
      <c r="H3" t="s">
        <v>68</v>
      </c>
      <c r="J3" t="s">
        <v>30</v>
      </c>
      <c r="K3" t="s">
        <v>12063</v>
      </c>
    </row>
    <row r="4" spans="1:18" x14ac:dyDescent="0.35">
      <c r="A4" s="1" t="s">
        <v>53</v>
      </c>
      <c r="B4" s="1" t="s">
        <v>134</v>
      </c>
      <c r="C4" t="s">
        <v>53</v>
      </c>
      <c r="D4" t="s">
        <v>57</v>
      </c>
      <c r="E4" t="s">
        <v>57</v>
      </c>
      <c r="F4" s="1" t="s">
        <v>53</v>
      </c>
      <c r="G4">
        <v>0</v>
      </c>
      <c r="H4" t="s">
        <v>69</v>
      </c>
      <c r="J4" s="12" t="s">
        <v>78</v>
      </c>
      <c r="K4" s="12"/>
    </row>
    <row r="5" spans="1:18" ht="409.5" x14ac:dyDescent="0.35">
      <c r="A5">
        <v>1</v>
      </c>
      <c r="B5" s="1" t="s">
        <v>135</v>
      </c>
      <c r="C5" t="s">
        <v>51</v>
      </c>
      <c r="D5" t="s">
        <v>58</v>
      </c>
      <c r="E5" t="s">
        <v>58</v>
      </c>
      <c r="F5">
        <v>1</v>
      </c>
      <c r="G5">
        <v>1</v>
      </c>
      <c r="H5" t="s">
        <v>70</v>
      </c>
      <c r="J5" t="s">
        <v>172</v>
      </c>
      <c r="K5" s="13" t="s">
        <v>12064</v>
      </c>
    </row>
    <row r="6" spans="1:18" x14ac:dyDescent="0.35">
      <c r="A6">
        <v>0</v>
      </c>
      <c r="B6" s="1" t="s">
        <v>136</v>
      </c>
      <c r="C6">
        <v>1</v>
      </c>
      <c r="D6" t="s">
        <v>59</v>
      </c>
      <c r="E6" t="s">
        <v>59</v>
      </c>
      <c r="F6">
        <v>0</v>
      </c>
      <c r="H6" t="s">
        <v>71</v>
      </c>
      <c r="J6" t="s">
        <v>173</v>
      </c>
      <c r="K6">
        <v>1</v>
      </c>
      <c r="R6" t="s">
        <v>129</v>
      </c>
    </row>
    <row r="7" spans="1:18" x14ac:dyDescent="0.35">
      <c r="A7">
        <v>2</v>
      </c>
      <c r="B7">
        <v>1</v>
      </c>
      <c r="C7">
        <v>0</v>
      </c>
      <c r="D7" t="s">
        <v>60</v>
      </c>
      <c r="E7" t="s">
        <v>60</v>
      </c>
      <c r="F7">
        <v>2</v>
      </c>
      <c r="H7" t="s">
        <v>72</v>
      </c>
      <c r="J7" t="s">
        <v>174</v>
      </c>
      <c r="K7" t="s">
        <v>175</v>
      </c>
    </row>
    <row r="8" spans="1:18" ht="409.5" x14ac:dyDescent="0.35">
      <c r="A8"/>
      <c r="B8">
        <v>2</v>
      </c>
      <c r="C8">
        <v>2</v>
      </c>
      <c r="D8" t="s">
        <v>61</v>
      </c>
      <c r="E8" t="s">
        <v>61</v>
      </c>
      <c r="H8" t="s">
        <v>73</v>
      </c>
      <c r="J8" t="s">
        <v>176</v>
      </c>
      <c r="K8" s="13" t="s">
        <v>12062</v>
      </c>
    </row>
    <row r="9" spans="1:18" x14ac:dyDescent="0.35">
      <c r="A9"/>
      <c r="B9">
        <v>3</v>
      </c>
      <c r="C9">
        <v>4</v>
      </c>
      <c r="D9" t="s">
        <v>62</v>
      </c>
      <c r="E9" t="s">
        <v>62</v>
      </c>
      <c r="H9" t="s">
        <v>74</v>
      </c>
    </row>
    <row r="10" spans="1:18" x14ac:dyDescent="0.35">
      <c r="A10"/>
      <c r="B10">
        <v>4</v>
      </c>
      <c r="D10" t="s">
        <v>63</v>
      </c>
      <c r="E10" t="s">
        <v>63</v>
      </c>
      <c r="H10" t="s">
        <v>75</v>
      </c>
    </row>
    <row r="11" spans="1:18" x14ac:dyDescent="0.35">
      <c r="A11"/>
      <c r="B11">
        <v>5</v>
      </c>
      <c r="D11" t="s">
        <v>46</v>
      </c>
      <c r="E11">
        <v>1</v>
      </c>
      <c r="H11" t="s">
        <v>76</v>
      </c>
    </row>
    <row r="12" spans="1:18" x14ac:dyDescent="0.35">
      <c r="A12"/>
      <c r="B12"/>
      <c r="D12" t="s">
        <v>64</v>
      </c>
      <c r="E12">
        <v>2</v>
      </c>
      <c r="H12">
        <v>0</v>
      </c>
    </row>
    <row r="13" spans="1:18" x14ac:dyDescent="0.35">
      <c r="A13"/>
      <c r="B13"/>
      <c r="D13">
        <v>1</v>
      </c>
      <c r="E13">
        <v>3</v>
      </c>
      <c r="H13">
        <v>1</v>
      </c>
    </row>
    <row r="14" spans="1:18" x14ac:dyDescent="0.35">
      <c r="D14">
        <v>2</v>
      </c>
      <c r="E14">
        <v>4</v>
      </c>
      <c r="H14">
        <v>2</v>
      </c>
    </row>
    <row r="15" spans="1:18" x14ac:dyDescent="0.35">
      <c r="D15">
        <v>3</v>
      </c>
      <c r="E15">
        <v>5</v>
      </c>
      <c r="H15">
        <v>3</v>
      </c>
    </row>
    <row r="16" spans="1:18" x14ac:dyDescent="0.35">
      <c r="D16">
        <v>4</v>
      </c>
      <c r="E16">
        <v>6</v>
      </c>
      <c r="H16">
        <v>4</v>
      </c>
    </row>
    <row r="17" spans="4:8" x14ac:dyDescent="0.35">
      <c r="D17">
        <v>5</v>
      </c>
      <c r="E17">
        <v>7</v>
      </c>
      <c r="H17">
        <v>5</v>
      </c>
    </row>
    <row r="18" spans="4:8" x14ac:dyDescent="0.35">
      <c r="D18">
        <v>6</v>
      </c>
      <c r="E18">
        <v>8</v>
      </c>
      <c r="H18">
        <v>6</v>
      </c>
    </row>
    <row r="19" spans="4:8" x14ac:dyDescent="0.35">
      <c r="D19">
        <v>7</v>
      </c>
      <c r="E19">
        <v>9</v>
      </c>
      <c r="H19">
        <v>7</v>
      </c>
    </row>
    <row r="20" spans="4:8" x14ac:dyDescent="0.35">
      <c r="D20">
        <v>8</v>
      </c>
      <c r="H20">
        <v>8</v>
      </c>
    </row>
    <row r="21" spans="4:8" x14ac:dyDescent="0.35">
      <c r="D21">
        <v>9</v>
      </c>
      <c r="H21">
        <v>9</v>
      </c>
    </row>
    <row r="22" spans="4:8" x14ac:dyDescent="0.35">
      <c r="D22">
        <v>10</v>
      </c>
    </row>
    <row r="23" spans="4:8" x14ac:dyDescent="0.35">
      <c r="D23">
        <v>11</v>
      </c>
    </row>
  </sheetData>
  <dataConsolidate/>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D4F3AF7C-4F9C-476D-93B1-FB937B37814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Edges</vt:lpstr>
      <vt:lpstr>Vertices</vt:lpstr>
      <vt:lpstr>Do Not Delete</vt:lpstr>
      <vt:lpstr>Groups</vt:lpstr>
      <vt:lpstr>Group Vertices</vt:lpstr>
      <vt:lpstr>Overall Metrics</vt:lpstr>
      <vt:lpstr>Misc</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ALIF</dc:creator>
  <cp:lastModifiedBy>ALIF</cp:lastModifiedBy>
  <dcterms:created xsi:type="dcterms:W3CDTF">2008-01-30T00:41:58Z</dcterms:created>
  <dcterms:modified xsi:type="dcterms:W3CDTF">2021-09-28T05:46:58Z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